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приложение 13" sheetId="2" r:id="rId1"/>
  </sheets>
  <definedNames>
    <definedName name="_xlnm._FilterDatabase" localSheetId="0" hidden="1">'приложение 13'!$A$17:$Z$149</definedName>
    <definedName name="_xlnm.Print_Titles" localSheetId="0">'приложение 13'!$16:$17</definedName>
    <definedName name="_xlnm.Print_Area" localSheetId="0">'приложение 13'!$A$1:$Z$149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7" i="2" l="1"/>
  <c r="S149" i="2" l="1"/>
  <c r="S148" i="2"/>
  <c r="S129" i="2"/>
  <c r="W149" i="2"/>
  <c r="U148" i="2"/>
  <c r="W130" i="2" l="1"/>
  <c r="W53" i="2" l="1"/>
  <c r="W55" i="2" l="1"/>
  <c r="W87" i="2" l="1"/>
  <c r="X122" i="2"/>
  <c r="W148" i="2" l="1"/>
  <c r="W147" i="2"/>
  <c r="W144" i="2"/>
  <c r="W143" i="2"/>
  <c r="W142" i="2"/>
  <c r="W140" i="2"/>
  <c r="W129" i="2"/>
  <c r="W127" i="2"/>
  <c r="W123" i="2"/>
  <c r="W113" i="2"/>
  <c r="W105" i="2"/>
  <c r="W99" i="2"/>
  <c r="W94" i="2"/>
  <c r="W90" i="2"/>
  <c r="W89" i="2"/>
  <c r="W136" i="2" s="1"/>
  <c r="W74" i="2"/>
  <c r="W73" i="2"/>
  <c r="W65" i="2"/>
  <c r="W58" i="2"/>
  <c r="W44" i="2"/>
  <c r="W138" i="2" s="1"/>
  <c r="W43" i="2"/>
  <c r="W42" i="2"/>
  <c r="W22" i="2"/>
  <c r="W145" i="2" s="1"/>
  <c r="W21" i="2"/>
  <c r="W20" i="2"/>
  <c r="W85" i="2" l="1"/>
  <c r="W40" i="2"/>
  <c r="W137" i="2"/>
  <c r="W18" i="2"/>
  <c r="W141" i="2"/>
  <c r="W146" i="2"/>
  <c r="W71" i="2"/>
  <c r="U147" i="2"/>
  <c r="U144" i="2"/>
  <c r="U143" i="2"/>
  <c r="U142" i="2"/>
  <c r="U140" i="2"/>
  <c r="U129" i="2"/>
  <c r="U127" i="2"/>
  <c r="U123" i="2"/>
  <c r="U113" i="2"/>
  <c r="U105" i="2"/>
  <c r="U99" i="2"/>
  <c r="U94" i="2"/>
  <c r="U90" i="2"/>
  <c r="U89" i="2"/>
  <c r="U136" i="2" s="1"/>
  <c r="U87" i="2"/>
  <c r="U74" i="2"/>
  <c r="U73" i="2"/>
  <c r="U65" i="2"/>
  <c r="U58" i="2"/>
  <c r="U53" i="2"/>
  <c r="U44" i="2"/>
  <c r="U138" i="2" s="1"/>
  <c r="U43" i="2"/>
  <c r="U42" i="2"/>
  <c r="U149" i="2"/>
  <c r="U22" i="2"/>
  <c r="U145" i="2" s="1"/>
  <c r="U21" i="2"/>
  <c r="U20" i="2"/>
  <c r="U18" i="2" s="1"/>
  <c r="W134" i="2" l="1"/>
  <c r="U40" i="2"/>
  <c r="U137" i="2"/>
  <c r="U141" i="2"/>
  <c r="U71" i="2"/>
  <c r="U146" i="2"/>
  <c r="U85" i="2"/>
  <c r="S90" i="2"/>
  <c r="S73" i="2"/>
  <c r="U134" i="2" l="1"/>
  <c r="S130" i="2"/>
  <c r="S36" i="2" l="1"/>
  <c r="S42" i="2" l="1"/>
  <c r="T70" i="2"/>
  <c r="V70" i="2" s="1"/>
  <c r="X70" i="2" s="1"/>
  <c r="S20" i="2" l="1"/>
  <c r="T39" i="2"/>
  <c r="V39" i="2" s="1"/>
  <c r="X39" i="2" s="1"/>
  <c r="S75" i="2" l="1"/>
  <c r="S55" i="2" l="1"/>
  <c r="S53" i="2" l="1"/>
  <c r="S147" i="2" l="1"/>
  <c r="S144" i="2"/>
  <c r="S143" i="2"/>
  <c r="S142" i="2"/>
  <c r="S140" i="2"/>
  <c r="S127" i="2"/>
  <c r="S123" i="2"/>
  <c r="S113" i="2"/>
  <c r="S105" i="2"/>
  <c r="S99" i="2"/>
  <c r="S94" i="2"/>
  <c r="S89" i="2"/>
  <c r="S136" i="2" s="1"/>
  <c r="S87" i="2"/>
  <c r="S74" i="2"/>
  <c r="S65" i="2"/>
  <c r="S58" i="2"/>
  <c r="S44" i="2"/>
  <c r="S138" i="2" s="1"/>
  <c r="S43" i="2"/>
  <c r="S22" i="2"/>
  <c r="S21" i="2"/>
  <c r="S18" i="2" s="1"/>
  <c r="S141" i="2" l="1"/>
  <c r="S146" i="2"/>
  <c r="S85" i="2"/>
  <c r="S40" i="2"/>
  <c r="S137" i="2"/>
  <c r="S71" i="2"/>
  <c r="S145" i="2"/>
  <c r="Q55" i="2"/>
  <c r="S134" i="2" l="1"/>
  <c r="Q140" i="2"/>
  <c r="Q42" i="2"/>
  <c r="R69" i="2" l="1"/>
  <c r="T69" i="2" s="1"/>
  <c r="V69" i="2" s="1"/>
  <c r="X69" i="2" s="1"/>
  <c r="Q149" i="2" l="1"/>
  <c r="Q148" i="2"/>
  <c r="Q147" i="2"/>
  <c r="Q144" i="2"/>
  <c r="Q143" i="2"/>
  <c r="Q142" i="2"/>
  <c r="Q129" i="2"/>
  <c r="Q127" i="2"/>
  <c r="Q123" i="2"/>
  <c r="Q113" i="2"/>
  <c r="Q105" i="2"/>
  <c r="Q99" i="2"/>
  <c r="Q94" i="2"/>
  <c r="Q90" i="2"/>
  <c r="Q89" i="2"/>
  <c r="Q136" i="2" s="1"/>
  <c r="Q87" i="2"/>
  <c r="Q74" i="2"/>
  <c r="Q65" i="2"/>
  <c r="Q58" i="2"/>
  <c r="Q53" i="2"/>
  <c r="Q44" i="2"/>
  <c r="Q138" i="2" s="1"/>
  <c r="Q43" i="2"/>
  <c r="Q22" i="2"/>
  <c r="Q145" i="2" s="1"/>
  <c r="Q21" i="2"/>
  <c r="Q20" i="2"/>
  <c r="Q85" i="2" l="1"/>
  <c r="Q18" i="2"/>
  <c r="Q141" i="2"/>
  <c r="Q40" i="2"/>
  <c r="Q137" i="2"/>
  <c r="Q146" i="2"/>
  <c r="Q73" i="2"/>
  <c r="O87" i="2"/>
  <c r="Q71" i="2" l="1"/>
  <c r="O75" i="2"/>
  <c r="O73" i="2" s="1"/>
  <c r="Q134" i="2" l="1"/>
  <c r="P84" i="2"/>
  <c r="R84" i="2" s="1"/>
  <c r="T84" i="2" s="1"/>
  <c r="V84" i="2" s="1"/>
  <c r="X84" i="2" s="1"/>
  <c r="P120" i="2" l="1"/>
  <c r="R120" i="2" s="1"/>
  <c r="T120" i="2" s="1"/>
  <c r="V120" i="2" s="1"/>
  <c r="X120" i="2" s="1"/>
  <c r="P119" i="2"/>
  <c r="R119" i="2" s="1"/>
  <c r="T119" i="2" s="1"/>
  <c r="V119" i="2" s="1"/>
  <c r="X119" i="2" s="1"/>
  <c r="O55" i="2" l="1"/>
  <c r="O43" i="2" l="1"/>
  <c r="O42" i="2"/>
  <c r="O65" i="2"/>
  <c r="P65" i="2" s="1"/>
  <c r="R65" i="2" s="1"/>
  <c r="T65" i="2" s="1"/>
  <c r="V65" i="2" s="1"/>
  <c r="X65" i="2" s="1"/>
  <c r="P67" i="2"/>
  <c r="R67" i="2" s="1"/>
  <c r="T67" i="2" s="1"/>
  <c r="V67" i="2" s="1"/>
  <c r="X67" i="2" s="1"/>
  <c r="P68" i="2"/>
  <c r="R68" i="2" s="1"/>
  <c r="T68" i="2" s="1"/>
  <c r="V68" i="2" s="1"/>
  <c r="X68" i="2" s="1"/>
  <c r="P118" i="2" l="1"/>
  <c r="R118" i="2" s="1"/>
  <c r="T118" i="2" s="1"/>
  <c r="V118" i="2" s="1"/>
  <c r="X118" i="2" s="1"/>
  <c r="O149" i="2" l="1"/>
  <c r="O148" i="2"/>
  <c r="O147" i="2"/>
  <c r="O144" i="2"/>
  <c r="O143" i="2"/>
  <c r="O142" i="2"/>
  <c r="O140" i="2"/>
  <c r="O129" i="2"/>
  <c r="O127" i="2"/>
  <c r="O123" i="2"/>
  <c r="O113" i="2"/>
  <c r="O105" i="2"/>
  <c r="O99" i="2"/>
  <c r="O94" i="2"/>
  <c r="O90" i="2"/>
  <c r="O89" i="2"/>
  <c r="O85" i="2" s="1"/>
  <c r="O74" i="2"/>
  <c r="O58" i="2"/>
  <c r="O53" i="2"/>
  <c r="O44" i="2"/>
  <c r="O22" i="2"/>
  <c r="O145" i="2" s="1"/>
  <c r="O21" i="2"/>
  <c r="O20" i="2"/>
  <c r="O146" i="2" l="1"/>
  <c r="O141" i="2"/>
  <c r="O18" i="2"/>
  <c r="O40" i="2"/>
  <c r="O71" i="2"/>
  <c r="O137" i="2"/>
  <c r="O136" i="2"/>
  <c r="O138" i="2"/>
  <c r="M149" i="2"/>
  <c r="M148" i="2"/>
  <c r="M147" i="2"/>
  <c r="M144" i="2"/>
  <c r="M143" i="2"/>
  <c r="M142" i="2"/>
  <c r="M140" i="2"/>
  <c r="M129" i="2"/>
  <c r="M127" i="2"/>
  <c r="M123" i="2"/>
  <c r="M113" i="2"/>
  <c r="M105" i="2"/>
  <c r="M99" i="2"/>
  <c r="M94" i="2"/>
  <c r="M90" i="2"/>
  <c r="M89" i="2"/>
  <c r="M136" i="2" s="1"/>
  <c r="M87" i="2"/>
  <c r="M74" i="2"/>
  <c r="M73" i="2"/>
  <c r="M58" i="2"/>
  <c r="M53" i="2"/>
  <c r="M44" i="2"/>
  <c r="M43" i="2"/>
  <c r="M42" i="2"/>
  <c r="M22" i="2"/>
  <c r="M145" i="2" s="1"/>
  <c r="M21" i="2"/>
  <c r="M20" i="2"/>
  <c r="M146" i="2" l="1"/>
  <c r="M71" i="2"/>
  <c r="M40" i="2"/>
  <c r="M85" i="2"/>
  <c r="O134" i="2"/>
  <c r="M137" i="2"/>
  <c r="M18" i="2"/>
  <c r="M138" i="2"/>
  <c r="M141" i="2"/>
  <c r="K89" i="2"/>
  <c r="M134" i="2" l="1"/>
  <c r="K149" i="2"/>
  <c r="K129" i="2"/>
  <c r="L133" i="2"/>
  <c r="N133" i="2" s="1"/>
  <c r="P133" i="2" s="1"/>
  <c r="R133" i="2" s="1"/>
  <c r="T133" i="2" s="1"/>
  <c r="V133" i="2" s="1"/>
  <c r="X133" i="2" s="1"/>
  <c r="K142" i="2" l="1"/>
  <c r="K20" i="2"/>
  <c r="L38" i="2"/>
  <c r="N38" i="2" s="1"/>
  <c r="P38" i="2" s="1"/>
  <c r="R38" i="2" s="1"/>
  <c r="T38" i="2" s="1"/>
  <c r="V38" i="2" s="1"/>
  <c r="X38" i="2" s="1"/>
  <c r="K136" i="2" l="1"/>
  <c r="K87" i="2"/>
  <c r="K148" i="2"/>
  <c r="J113" i="2"/>
  <c r="L115" i="2"/>
  <c r="N115" i="2" s="1"/>
  <c r="P115" i="2" s="1"/>
  <c r="R115" i="2" s="1"/>
  <c r="T115" i="2" s="1"/>
  <c r="V115" i="2" s="1"/>
  <c r="X115" i="2" s="1"/>
  <c r="L116" i="2"/>
  <c r="N116" i="2" s="1"/>
  <c r="P116" i="2" s="1"/>
  <c r="R116" i="2" s="1"/>
  <c r="T116" i="2" s="1"/>
  <c r="V116" i="2" s="1"/>
  <c r="X116" i="2" s="1"/>
  <c r="K113" i="2"/>
  <c r="K147" i="2" l="1"/>
  <c r="K144" i="2"/>
  <c r="K143" i="2"/>
  <c r="K140" i="2"/>
  <c r="K127" i="2"/>
  <c r="K123" i="2"/>
  <c r="K105" i="2"/>
  <c r="K99" i="2"/>
  <c r="K94" i="2"/>
  <c r="K90" i="2"/>
  <c r="K74" i="2"/>
  <c r="K73" i="2"/>
  <c r="K58" i="2"/>
  <c r="K53" i="2"/>
  <c r="K44" i="2"/>
  <c r="K43" i="2"/>
  <c r="K42" i="2"/>
  <c r="K22" i="2"/>
  <c r="K145" i="2" s="1"/>
  <c r="K21" i="2"/>
  <c r="K141" i="2" l="1"/>
  <c r="K71" i="2"/>
  <c r="K18" i="2"/>
  <c r="K85" i="2"/>
  <c r="K40" i="2"/>
  <c r="K137" i="2"/>
  <c r="K146" i="2"/>
  <c r="K138" i="2"/>
  <c r="I149" i="2"/>
  <c r="I147" i="2"/>
  <c r="I144" i="2"/>
  <c r="I143" i="2"/>
  <c r="I142" i="2"/>
  <c r="I140" i="2"/>
  <c r="I148" i="2"/>
  <c r="I129" i="2"/>
  <c r="I127" i="2"/>
  <c r="I123" i="2"/>
  <c r="I105" i="2"/>
  <c r="I99" i="2"/>
  <c r="I94" i="2"/>
  <c r="I90" i="2"/>
  <c r="I87" i="2"/>
  <c r="I74" i="2"/>
  <c r="I58" i="2"/>
  <c r="I42" i="2"/>
  <c r="I44" i="2"/>
  <c r="I43" i="2"/>
  <c r="I22" i="2"/>
  <c r="I21" i="2"/>
  <c r="I20" i="2"/>
  <c r="I18" i="2" l="1"/>
  <c r="K134" i="2"/>
  <c r="I89" i="2"/>
  <c r="I136" i="2" s="1"/>
  <c r="I137" i="2"/>
  <c r="I40" i="2"/>
  <c r="I53" i="2"/>
  <c r="I138" i="2"/>
  <c r="I141" i="2"/>
  <c r="I145" i="2"/>
  <c r="I73" i="2"/>
  <c r="G143" i="2"/>
  <c r="G123" i="2"/>
  <c r="H126" i="2"/>
  <c r="J126" i="2" s="1"/>
  <c r="L126" i="2" s="1"/>
  <c r="N126" i="2" s="1"/>
  <c r="P126" i="2" s="1"/>
  <c r="R126" i="2" s="1"/>
  <c r="T126" i="2" s="1"/>
  <c r="V126" i="2" s="1"/>
  <c r="X126" i="2" s="1"/>
  <c r="I85" i="2" l="1"/>
  <c r="I146" i="2"/>
  <c r="I71" i="2"/>
  <c r="G130" i="2"/>
  <c r="I134" i="2" l="1"/>
  <c r="H117" i="2"/>
  <c r="J117" i="2" s="1"/>
  <c r="L117" i="2" s="1"/>
  <c r="N117" i="2" s="1"/>
  <c r="P117" i="2" s="1"/>
  <c r="R117" i="2" s="1"/>
  <c r="T117" i="2" s="1"/>
  <c r="V117" i="2" s="1"/>
  <c r="X117" i="2" s="1"/>
  <c r="G83" i="2"/>
  <c r="G20" i="2" l="1"/>
  <c r="H37" i="2"/>
  <c r="J37" i="2" s="1"/>
  <c r="L37" i="2" s="1"/>
  <c r="N37" i="2" s="1"/>
  <c r="P37" i="2" s="1"/>
  <c r="R37" i="2" s="1"/>
  <c r="T37" i="2" s="1"/>
  <c r="V37" i="2" s="1"/>
  <c r="X37" i="2" s="1"/>
  <c r="G107" i="2" l="1"/>
  <c r="G87" i="2" s="1"/>
  <c r="H113" i="2"/>
  <c r="L113" i="2" s="1"/>
  <c r="N113" i="2" s="1"/>
  <c r="P113" i="2" s="1"/>
  <c r="R113" i="2" s="1"/>
  <c r="T113" i="2" s="1"/>
  <c r="V113" i="2" s="1"/>
  <c r="X113" i="2" s="1"/>
  <c r="G73" i="2" l="1"/>
  <c r="G43" i="2"/>
  <c r="G149" i="2"/>
  <c r="G147" i="2"/>
  <c r="G144" i="2"/>
  <c r="G142" i="2"/>
  <c r="G140" i="2"/>
  <c r="G148" i="2"/>
  <c r="G132" i="2"/>
  <c r="H121" i="2"/>
  <c r="J121" i="2" s="1"/>
  <c r="L121" i="2" s="1"/>
  <c r="N121" i="2" s="1"/>
  <c r="P121" i="2" s="1"/>
  <c r="R121" i="2" s="1"/>
  <c r="T121" i="2" s="1"/>
  <c r="V121" i="2" s="1"/>
  <c r="X121" i="2" s="1"/>
  <c r="H83" i="2"/>
  <c r="J83" i="2" s="1"/>
  <c r="L83" i="2" s="1"/>
  <c r="N83" i="2" s="1"/>
  <c r="P83" i="2" s="1"/>
  <c r="R83" i="2" s="1"/>
  <c r="T83" i="2" s="1"/>
  <c r="V83" i="2" s="1"/>
  <c r="X83" i="2" s="1"/>
  <c r="H36" i="2"/>
  <c r="J36" i="2" s="1"/>
  <c r="L36" i="2" s="1"/>
  <c r="N36" i="2" s="1"/>
  <c r="P36" i="2" s="1"/>
  <c r="R36" i="2" s="1"/>
  <c r="T36" i="2" s="1"/>
  <c r="V36" i="2" s="1"/>
  <c r="X36" i="2" s="1"/>
  <c r="H64" i="2"/>
  <c r="J64" i="2" s="1"/>
  <c r="L64" i="2" s="1"/>
  <c r="N64" i="2" s="1"/>
  <c r="P64" i="2" s="1"/>
  <c r="R64" i="2" s="1"/>
  <c r="T64" i="2" s="1"/>
  <c r="V64" i="2" s="1"/>
  <c r="X64" i="2" s="1"/>
  <c r="H63" i="2"/>
  <c r="J63" i="2" s="1"/>
  <c r="L63" i="2" s="1"/>
  <c r="N63" i="2" s="1"/>
  <c r="P63" i="2" s="1"/>
  <c r="R63" i="2" s="1"/>
  <c r="T63" i="2" s="1"/>
  <c r="V63" i="2" s="1"/>
  <c r="X63" i="2" s="1"/>
  <c r="G55" i="2" l="1"/>
  <c r="G42" i="2" s="1"/>
  <c r="G108" i="2"/>
  <c r="G89" i="2" s="1"/>
  <c r="F105" i="2" l="1"/>
  <c r="H107" i="2"/>
  <c r="J107" i="2" s="1"/>
  <c r="L107" i="2" s="1"/>
  <c r="N107" i="2" s="1"/>
  <c r="P107" i="2" s="1"/>
  <c r="R107" i="2" s="1"/>
  <c r="T107" i="2" s="1"/>
  <c r="V107" i="2" s="1"/>
  <c r="X107" i="2" s="1"/>
  <c r="H108" i="2"/>
  <c r="J108" i="2" s="1"/>
  <c r="L108" i="2" s="1"/>
  <c r="N108" i="2" s="1"/>
  <c r="P108" i="2" s="1"/>
  <c r="R108" i="2" s="1"/>
  <c r="T108" i="2" s="1"/>
  <c r="V108" i="2" s="1"/>
  <c r="X108" i="2" s="1"/>
  <c r="G105" i="2"/>
  <c r="G99" i="2"/>
  <c r="G94" i="2"/>
  <c r="G90" i="2"/>
  <c r="G141" i="2" l="1"/>
  <c r="H62" i="2"/>
  <c r="J62" i="2" s="1"/>
  <c r="L62" i="2" s="1"/>
  <c r="N62" i="2" s="1"/>
  <c r="P62" i="2" s="1"/>
  <c r="R62" i="2" s="1"/>
  <c r="T62" i="2" s="1"/>
  <c r="V62" i="2" s="1"/>
  <c r="X62" i="2" s="1"/>
  <c r="H132" i="2" l="1"/>
  <c r="J132" i="2" s="1"/>
  <c r="L132" i="2" s="1"/>
  <c r="N132" i="2" s="1"/>
  <c r="P132" i="2" s="1"/>
  <c r="R132" i="2" s="1"/>
  <c r="T132" i="2" s="1"/>
  <c r="V132" i="2" s="1"/>
  <c r="X132" i="2" s="1"/>
  <c r="G129" i="2"/>
  <c r="G53" i="2" l="1"/>
  <c r="G127" i="2" l="1"/>
  <c r="G136" i="2"/>
  <c r="G74" i="2"/>
  <c r="G44" i="2"/>
  <c r="G138" i="2" s="1"/>
  <c r="G22" i="2"/>
  <c r="G145" i="2" s="1"/>
  <c r="H60" i="2"/>
  <c r="J60" i="2" s="1"/>
  <c r="L60" i="2" s="1"/>
  <c r="N60" i="2" s="1"/>
  <c r="P60" i="2" s="1"/>
  <c r="R60" i="2" s="1"/>
  <c r="T60" i="2" s="1"/>
  <c r="V60" i="2" s="1"/>
  <c r="X60" i="2" s="1"/>
  <c r="H61" i="2"/>
  <c r="J61" i="2" s="1"/>
  <c r="L61" i="2" s="1"/>
  <c r="N61" i="2" s="1"/>
  <c r="P61" i="2" s="1"/>
  <c r="R61" i="2" s="1"/>
  <c r="T61" i="2" s="1"/>
  <c r="V61" i="2" s="1"/>
  <c r="X61" i="2" s="1"/>
  <c r="G21" i="2"/>
  <c r="G58" i="2"/>
  <c r="H58" i="2" s="1"/>
  <c r="J58" i="2" s="1"/>
  <c r="L58" i="2" s="1"/>
  <c r="N58" i="2" s="1"/>
  <c r="P58" i="2" s="1"/>
  <c r="R58" i="2" s="1"/>
  <c r="T58" i="2" s="1"/>
  <c r="V58" i="2" s="1"/>
  <c r="X58" i="2" s="1"/>
  <c r="G146" i="2" l="1"/>
  <c r="G137" i="2"/>
  <c r="G85" i="2"/>
  <c r="G71" i="2"/>
  <c r="G40" i="2"/>
  <c r="G18" i="2" l="1"/>
  <c r="G134" i="2" s="1"/>
  <c r="E78" i="2" l="1"/>
  <c r="E24" i="2" l="1"/>
  <c r="E20" i="2" s="1"/>
  <c r="E76" i="2" l="1"/>
  <c r="E141" i="2" s="1"/>
  <c r="E22" i="2"/>
  <c r="E145" i="2" s="1"/>
  <c r="E149" i="2"/>
  <c r="E148" i="2"/>
  <c r="E147" i="2"/>
  <c r="E146" i="2"/>
  <c r="E144" i="2"/>
  <c r="E142" i="2"/>
  <c r="E140" i="2"/>
  <c r="E129" i="2"/>
  <c r="F131" i="2"/>
  <c r="H131" i="2" s="1"/>
  <c r="J131" i="2" s="1"/>
  <c r="L131" i="2" s="1"/>
  <c r="N131" i="2" s="1"/>
  <c r="P131" i="2" s="1"/>
  <c r="R131" i="2" s="1"/>
  <c r="T131" i="2" s="1"/>
  <c r="V131" i="2" s="1"/>
  <c r="X131" i="2" s="1"/>
  <c r="E127" i="2" l="1"/>
  <c r="E123" i="2"/>
  <c r="E89" i="2"/>
  <c r="E136" i="2" s="1"/>
  <c r="E87" i="2"/>
  <c r="E74" i="2"/>
  <c r="E73" i="2"/>
  <c r="E44" i="2"/>
  <c r="E138" i="2" s="1"/>
  <c r="E43" i="2"/>
  <c r="E42" i="2"/>
  <c r="E21" i="2"/>
  <c r="E18" i="2" s="1"/>
  <c r="F35" i="2"/>
  <c r="H35" i="2" s="1"/>
  <c r="J35" i="2" s="1"/>
  <c r="L35" i="2" s="1"/>
  <c r="N35" i="2" s="1"/>
  <c r="P35" i="2" s="1"/>
  <c r="R35" i="2" s="1"/>
  <c r="T35" i="2" s="1"/>
  <c r="V35" i="2" s="1"/>
  <c r="X35" i="2" s="1"/>
  <c r="E40" i="2" l="1"/>
  <c r="E137" i="2"/>
  <c r="E71" i="2"/>
  <c r="E85" i="2"/>
  <c r="E134" i="2" l="1"/>
  <c r="F24" i="2" l="1"/>
  <c r="H24" i="2" s="1"/>
  <c r="J24" i="2" s="1"/>
  <c r="L24" i="2" s="1"/>
  <c r="N24" i="2" s="1"/>
  <c r="P24" i="2" s="1"/>
  <c r="R24" i="2" s="1"/>
  <c r="T24" i="2" s="1"/>
  <c r="V24" i="2" s="1"/>
  <c r="X24" i="2" s="1"/>
  <c r="F25" i="2"/>
  <c r="H25" i="2" s="1"/>
  <c r="J25" i="2" s="1"/>
  <c r="L25" i="2" s="1"/>
  <c r="N25" i="2" s="1"/>
  <c r="P25" i="2" s="1"/>
  <c r="R25" i="2" s="1"/>
  <c r="T25" i="2" s="1"/>
  <c r="V25" i="2" s="1"/>
  <c r="X25" i="2" s="1"/>
  <c r="F26" i="2"/>
  <c r="H26" i="2" s="1"/>
  <c r="J26" i="2" s="1"/>
  <c r="L26" i="2" s="1"/>
  <c r="N26" i="2" s="1"/>
  <c r="P26" i="2" s="1"/>
  <c r="R26" i="2" s="1"/>
  <c r="T26" i="2" s="1"/>
  <c r="V26" i="2" s="1"/>
  <c r="X26" i="2" s="1"/>
  <c r="F27" i="2"/>
  <c r="H27" i="2" s="1"/>
  <c r="J27" i="2" s="1"/>
  <c r="L27" i="2" s="1"/>
  <c r="N27" i="2" s="1"/>
  <c r="P27" i="2" s="1"/>
  <c r="R27" i="2" s="1"/>
  <c r="T27" i="2" s="1"/>
  <c r="V27" i="2" s="1"/>
  <c r="X27" i="2" s="1"/>
  <c r="F28" i="2"/>
  <c r="H28" i="2" s="1"/>
  <c r="J28" i="2" s="1"/>
  <c r="L28" i="2" s="1"/>
  <c r="N28" i="2" s="1"/>
  <c r="P28" i="2" s="1"/>
  <c r="R28" i="2" s="1"/>
  <c r="T28" i="2" s="1"/>
  <c r="V28" i="2" s="1"/>
  <c r="X28" i="2" s="1"/>
  <c r="F29" i="2"/>
  <c r="H29" i="2" s="1"/>
  <c r="J29" i="2" s="1"/>
  <c r="L29" i="2" s="1"/>
  <c r="N29" i="2" s="1"/>
  <c r="P29" i="2" s="1"/>
  <c r="R29" i="2" s="1"/>
  <c r="T29" i="2" s="1"/>
  <c r="V29" i="2" s="1"/>
  <c r="X29" i="2" s="1"/>
  <c r="F30" i="2"/>
  <c r="H30" i="2" s="1"/>
  <c r="J30" i="2" s="1"/>
  <c r="L30" i="2" s="1"/>
  <c r="N30" i="2" s="1"/>
  <c r="P30" i="2" s="1"/>
  <c r="R30" i="2" s="1"/>
  <c r="T30" i="2" s="1"/>
  <c r="V30" i="2" s="1"/>
  <c r="X30" i="2" s="1"/>
  <c r="F31" i="2"/>
  <c r="H31" i="2" s="1"/>
  <c r="J31" i="2" s="1"/>
  <c r="L31" i="2" s="1"/>
  <c r="N31" i="2" s="1"/>
  <c r="P31" i="2" s="1"/>
  <c r="R31" i="2" s="1"/>
  <c r="T31" i="2" s="1"/>
  <c r="V31" i="2" s="1"/>
  <c r="X31" i="2" s="1"/>
  <c r="F32" i="2"/>
  <c r="H32" i="2" s="1"/>
  <c r="J32" i="2" s="1"/>
  <c r="L32" i="2" s="1"/>
  <c r="N32" i="2" s="1"/>
  <c r="P32" i="2" s="1"/>
  <c r="R32" i="2" s="1"/>
  <c r="T32" i="2" s="1"/>
  <c r="V32" i="2" s="1"/>
  <c r="X32" i="2" s="1"/>
  <c r="F33" i="2"/>
  <c r="H33" i="2" s="1"/>
  <c r="J33" i="2" s="1"/>
  <c r="L33" i="2" s="1"/>
  <c r="N33" i="2" s="1"/>
  <c r="P33" i="2" s="1"/>
  <c r="R33" i="2" s="1"/>
  <c r="T33" i="2" s="1"/>
  <c r="V33" i="2" s="1"/>
  <c r="X33" i="2" s="1"/>
  <c r="F34" i="2"/>
  <c r="H34" i="2" s="1"/>
  <c r="J34" i="2" s="1"/>
  <c r="L34" i="2" s="1"/>
  <c r="N34" i="2" s="1"/>
  <c r="P34" i="2" s="1"/>
  <c r="R34" i="2" s="1"/>
  <c r="T34" i="2" s="1"/>
  <c r="V34" i="2" s="1"/>
  <c r="X34" i="2" s="1"/>
  <c r="F45" i="2"/>
  <c r="H45" i="2" s="1"/>
  <c r="J45" i="2" s="1"/>
  <c r="L45" i="2" s="1"/>
  <c r="N45" i="2" s="1"/>
  <c r="P45" i="2" s="1"/>
  <c r="R45" i="2" s="1"/>
  <c r="T45" i="2" s="1"/>
  <c r="V45" i="2" s="1"/>
  <c r="X45" i="2" s="1"/>
  <c r="F46" i="2"/>
  <c r="H46" i="2" s="1"/>
  <c r="J46" i="2" s="1"/>
  <c r="L46" i="2" s="1"/>
  <c r="N46" i="2" s="1"/>
  <c r="P46" i="2" s="1"/>
  <c r="R46" i="2" s="1"/>
  <c r="T46" i="2" s="1"/>
  <c r="V46" i="2" s="1"/>
  <c r="X46" i="2" s="1"/>
  <c r="F47" i="2"/>
  <c r="H47" i="2" s="1"/>
  <c r="J47" i="2" s="1"/>
  <c r="L47" i="2" s="1"/>
  <c r="N47" i="2" s="1"/>
  <c r="P47" i="2" s="1"/>
  <c r="R47" i="2" s="1"/>
  <c r="T47" i="2" s="1"/>
  <c r="V47" i="2" s="1"/>
  <c r="X47" i="2" s="1"/>
  <c r="F48" i="2"/>
  <c r="H48" i="2" s="1"/>
  <c r="J48" i="2" s="1"/>
  <c r="L48" i="2" s="1"/>
  <c r="N48" i="2" s="1"/>
  <c r="P48" i="2" s="1"/>
  <c r="R48" i="2" s="1"/>
  <c r="T48" i="2" s="1"/>
  <c r="V48" i="2" s="1"/>
  <c r="X48" i="2" s="1"/>
  <c r="F49" i="2"/>
  <c r="H49" i="2" s="1"/>
  <c r="J49" i="2" s="1"/>
  <c r="L49" i="2" s="1"/>
  <c r="N49" i="2" s="1"/>
  <c r="P49" i="2" s="1"/>
  <c r="R49" i="2" s="1"/>
  <c r="T49" i="2" s="1"/>
  <c r="V49" i="2" s="1"/>
  <c r="X49" i="2" s="1"/>
  <c r="F50" i="2"/>
  <c r="H50" i="2" s="1"/>
  <c r="J50" i="2" s="1"/>
  <c r="L50" i="2" s="1"/>
  <c r="N50" i="2" s="1"/>
  <c r="P50" i="2" s="1"/>
  <c r="R50" i="2" s="1"/>
  <c r="T50" i="2" s="1"/>
  <c r="V50" i="2" s="1"/>
  <c r="X50" i="2" s="1"/>
  <c r="F51" i="2"/>
  <c r="H51" i="2" s="1"/>
  <c r="J51" i="2" s="1"/>
  <c r="L51" i="2" s="1"/>
  <c r="N51" i="2" s="1"/>
  <c r="P51" i="2" s="1"/>
  <c r="R51" i="2" s="1"/>
  <c r="T51" i="2" s="1"/>
  <c r="V51" i="2" s="1"/>
  <c r="X51" i="2" s="1"/>
  <c r="F52" i="2"/>
  <c r="H52" i="2" s="1"/>
  <c r="J52" i="2" s="1"/>
  <c r="L52" i="2" s="1"/>
  <c r="N52" i="2" s="1"/>
  <c r="P52" i="2" s="1"/>
  <c r="R52" i="2" s="1"/>
  <c r="T52" i="2" s="1"/>
  <c r="V52" i="2" s="1"/>
  <c r="X52" i="2" s="1"/>
  <c r="F55" i="2"/>
  <c r="H55" i="2" s="1"/>
  <c r="J55" i="2" s="1"/>
  <c r="L55" i="2" s="1"/>
  <c r="N55" i="2" s="1"/>
  <c r="P55" i="2" s="1"/>
  <c r="R55" i="2" s="1"/>
  <c r="T55" i="2" s="1"/>
  <c r="V55" i="2" s="1"/>
  <c r="X55" i="2" s="1"/>
  <c r="F56" i="2"/>
  <c r="H56" i="2" s="1"/>
  <c r="J56" i="2" s="1"/>
  <c r="L56" i="2" s="1"/>
  <c r="N56" i="2" s="1"/>
  <c r="P56" i="2" s="1"/>
  <c r="R56" i="2" s="1"/>
  <c r="T56" i="2" s="1"/>
  <c r="V56" i="2" s="1"/>
  <c r="X56" i="2" s="1"/>
  <c r="F57" i="2"/>
  <c r="H57" i="2" s="1"/>
  <c r="J57" i="2" s="1"/>
  <c r="L57" i="2" s="1"/>
  <c r="N57" i="2" s="1"/>
  <c r="P57" i="2" s="1"/>
  <c r="R57" i="2" s="1"/>
  <c r="T57" i="2" s="1"/>
  <c r="V57" i="2" s="1"/>
  <c r="X57" i="2" s="1"/>
  <c r="F75" i="2"/>
  <c r="H75" i="2" s="1"/>
  <c r="J75" i="2" s="1"/>
  <c r="L75" i="2" s="1"/>
  <c r="N75" i="2" s="1"/>
  <c r="P75" i="2" s="1"/>
  <c r="R75" i="2" s="1"/>
  <c r="T75" i="2" s="1"/>
  <c r="V75" i="2" s="1"/>
  <c r="X75" i="2" s="1"/>
  <c r="F78" i="2"/>
  <c r="H78" i="2" s="1"/>
  <c r="J78" i="2" s="1"/>
  <c r="L78" i="2" s="1"/>
  <c r="N78" i="2" s="1"/>
  <c r="P78" i="2" s="1"/>
  <c r="R78" i="2" s="1"/>
  <c r="T78" i="2" s="1"/>
  <c r="V78" i="2" s="1"/>
  <c r="X78" i="2" s="1"/>
  <c r="F79" i="2"/>
  <c r="H79" i="2" s="1"/>
  <c r="J79" i="2" s="1"/>
  <c r="L79" i="2" s="1"/>
  <c r="N79" i="2" s="1"/>
  <c r="P79" i="2" s="1"/>
  <c r="R79" i="2" s="1"/>
  <c r="T79" i="2" s="1"/>
  <c r="V79" i="2" s="1"/>
  <c r="X79" i="2" s="1"/>
  <c r="F80" i="2"/>
  <c r="H80" i="2" s="1"/>
  <c r="J80" i="2" s="1"/>
  <c r="L80" i="2" s="1"/>
  <c r="N80" i="2" s="1"/>
  <c r="P80" i="2" s="1"/>
  <c r="R80" i="2" s="1"/>
  <c r="T80" i="2" s="1"/>
  <c r="V80" i="2" s="1"/>
  <c r="X80" i="2" s="1"/>
  <c r="F81" i="2"/>
  <c r="H81" i="2" s="1"/>
  <c r="J81" i="2" s="1"/>
  <c r="L81" i="2" s="1"/>
  <c r="N81" i="2" s="1"/>
  <c r="P81" i="2" s="1"/>
  <c r="R81" i="2" s="1"/>
  <c r="T81" i="2" s="1"/>
  <c r="V81" i="2" s="1"/>
  <c r="X81" i="2" s="1"/>
  <c r="F82" i="2"/>
  <c r="H82" i="2" s="1"/>
  <c r="J82" i="2" s="1"/>
  <c r="L82" i="2" s="1"/>
  <c r="N82" i="2" s="1"/>
  <c r="P82" i="2" s="1"/>
  <c r="R82" i="2" s="1"/>
  <c r="T82" i="2" s="1"/>
  <c r="V82" i="2" s="1"/>
  <c r="X82" i="2" s="1"/>
  <c r="F88" i="2"/>
  <c r="H88" i="2" s="1"/>
  <c r="J88" i="2" s="1"/>
  <c r="L88" i="2" s="1"/>
  <c r="N88" i="2" s="1"/>
  <c r="P88" i="2" s="1"/>
  <c r="R88" i="2" s="1"/>
  <c r="T88" i="2" s="1"/>
  <c r="V88" i="2" s="1"/>
  <c r="X88" i="2" s="1"/>
  <c r="F92" i="2"/>
  <c r="H92" i="2" s="1"/>
  <c r="J92" i="2" s="1"/>
  <c r="L92" i="2" s="1"/>
  <c r="N92" i="2" s="1"/>
  <c r="P92" i="2" s="1"/>
  <c r="R92" i="2" s="1"/>
  <c r="T92" i="2" s="1"/>
  <c r="V92" i="2" s="1"/>
  <c r="X92" i="2" s="1"/>
  <c r="F93" i="2"/>
  <c r="H93" i="2" s="1"/>
  <c r="J93" i="2" s="1"/>
  <c r="L93" i="2" s="1"/>
  <c r="N93" i="2" s="1"/>
  <c r="P93" i="2" s="1"/>
  <c r="R93" i="2" s="1"/>
  <c r="T93" i="2" s="1"/>
  <c r="V93" i="2" s="1"/>
  <c r="X93" i="2" s="1"/>
  <c r="F96" i="2"/>
  <c r="H96" i="2" s="1"/>
  <c r="J96" i="2" s="1"/>
  <c r="L96" i="2" s="1"/>
  <c r="N96" i="2" s="1"/>
  <c r="P96" i="2" s="1"/>
  <c r="R96" i="2" s="1"/>
  <c r="T96" i="2" s="1"/>
  <c r="V96" i="2" s="1"/>
  <c r="X96" i="2" s="1"/>
  <c r="F97" i="2"/>
  <c r="H97" i="2" s="1"/>
  <c r="J97" i="2" s="1"/>
  <c r="L97" i="2" s="1"/>
  <c r="N97" i="2" s="1"/>
  <c r="P97" i="2" s="1"/>
  <c r="R97" i="2" s="1"/>
  <c r="T97" i="2" s="1"/>
  <c r="V97" i="2" s="1"/>
  <c r="X97" i="2" s="1"/>
  <c r="F98" i="2"/>
  <c r="H98" i="2" s="1"/>
  <c r="J98" i="2" s="1"/>
  <c r="L98" i="2" s="1"/>
  <c r="N98" i="2" s="1"/>
  <c r="P98" i="2" s="1"/>
  <c r="R98" i="2" s="1"/>
  <c r="T98" i="2" s="1"/>
  <c r="V98" i="2" s="1"/>
  <c r="X98" i="2" s="1"/>
  <c r="F101" i="2"/>
  <c r="H101" i="2" s="1"/>
  <c r="J101" i="2" s="1"/>
  <c r="L101" i="2" s="1"/>
  <c r="N101" i="2" s="1"/>
  <c r="P101" i="2" s="1"/>
  <c r="R101" i="2" s="1"/>
  <c r="T101" i="2" s="1"/>
  <c r="V101" i="2" s="1"/>
  <c r="X101" i="2" s="1"/>
  <c r="F102" i="2"/>
  <c r="H102" i="2" s="1"/>
  <c r="J102" i="2" s="1"/>
  <c r="L102" i="2" s="1"/>
  <c r="N102" i="2" s="1"/>
  <c r="P102" i="2" s="1"/>
  <c r="R102" i="2" s="1"/>
  <c r="T102" i="2" s="1"/>
  <c r="V102" i="2" s="1"/>
  <c r="X102" i="2" s="1"/>
  <c r="F103" i="2"/>
  <c r="H103" i="2" s="1"/>
  <c r="J103" i="2" s="1"/>
  <c r="L103" i="2" s="1"/>
  <c r="N103" i="2" s="1"/>
  <c r="P103" i="2" s="1"/>
  <c r="R103" i="2" s="1"/>
  <c r="T103" i="2" s="1"/>
  <c r="V103" i="2" s="1"/>
  <c r="X103" i="2" s="1"/>
  <c r="F104" i="2"/>
  <c r="H104" i="2" s="1"/>
  <c r="J104" i="2" s="1"/>
  <c r="L104" i="2" s="1"/>
  <c r="N104" i="2" s="1"/>
  <c r="P104" i="2" s="1"/>
  <c r="R104" i="2" s="1"/>
  <c r="T104" i="2" s="1"/>
  <c r="V104" i="2" s="1"/>
  <c r="X104" i="2" s="1"/>
  <c r="H105" i="2"/>
  <c r="J105" i="2" s="1"/>
  <c r="L105" i="2" s="1"/>
  <c r="N105" i="2" s="1"/>
  <c r="P105" i="2" s="1"/>
  <c r="R105" i="2" s="1"/>
  <c r="T105" i="2" s="1"/>
  <c r="V105" i="2" s="1"/>
  <c r="X105" i="2" s="1"/>
  <c r="F109" i="2"/>
  <c r="H109" i="2" s="1"/>
  <c r="J109" i="2" s="1"/>
  <c r="L109" i="2" s="1"/>
  <c r="N109" i="2" s="1"/>
  <c r="P109" i="2" s="1"/>
  <c r="R109" i="2" s="1"/>
  <c r="T109" i="2" s="1"/>
  <c r="V109" i="2" s="1"/>
  <c r="X109" i="2" s="1"/>
  <c r="F110" i="2"/>
  <c r="H110" i="2" s="1"/>
  <c r="J110" i="2" s="1"/>
  <c r="L110" i="2" s="1"/>
  <c r="N110" i="2" s="1"/>
  <c r="P110" i="2" s="1"/>
  <c r="R110" i="2" s="1"/>
  <c r="T110" i="2" s="1"/>
  <c r="V110" i="2" s="1"/>
  <c r="X110" i="2" s="1"/>
  <c r="F111" i="2"/>
  <c r="H111" i="2" s="1"/>
  <c r="J111" i="2" s="1"/>
  <c r="L111" i="2" s="1"/>
  <c r="N111" i="2" s="1"/>
  <c r="P111" i="2" s="1"/>
  <c r="R111" i="2" s="1"/>
  <c r="T111" i="2" s="1"/>
  <c r="V111" i="2" s="1"/>
  <c r="X111" i="2" s="1"/>
  <c r="F112" i="2"/>
  <c r="H112" i="2" s="1"/>
  <c r="J112" i="2" s="1"/>
  <c r="L112" i="2" s="1"/>
  <c r="N112" i="2" s="1"/>
  <c r="P112" i="2" s="1"/>
  <c r="R112" i="2" s="1"/>
  <c r="T112" i="2" s="1"/>
  <c r="V112" i="2" s="1"/>
  <c r="X112" i="2" s="1"/>
  <c r="F124" i="2"/>
  <c r="H124" i="2" s="1"/>
  <c r="J124" i="2" s="1"/>
  <c r="L124" i="2" s="1"/>
  <c r="N124" i="2" s="1"/>
  <c r="P124" i="2" s="1"/>
  <c r="R124" i="2" s="1"/>
  <c r="T124" i="2" s="1"/>
  <c r="F125" i="2"/>
  <c r="H125" i="2" s="1"/>
  <c r="J125" i="2" s="1"/>
  <c r="L125" i="2" s="1"/>
  <c r="N125" i="2" s="1"/>
  <c r="P125" i="2" s="1"/>
  <c r="R125" i="2" s="1"/>
  <c r="T125" i="2" s="1"/>
  <c r="V125" i="2" s="1"/>
  <c r="X125" i="2" s="1"/>
  <c r="F128" i="2"/>
  <c r="H128" i="2" s="1"/>
  <c r="J128" i="2" s="1"/>
  <c r="L128" i="2" s="1"/>
  <c r="N128" i="2" s="1"/>
  <c r="P128" i="2" s="1"/>
  <c r="R128" i="2" s="1"/>
  <c r="T128" i="2" s="1"/>
  <c r="V128" i="2" s="1"/>
  <c r="X128" i="2" s="1"/>
  <c r="F130" i="2"/>
  <c r="H130" i="2" s="1"/>
  <c r="J130" i="2" s="1"/>
  <c r="L130" i="2" s="1"/>
  <c r="N130" i="2" s="1"/>
  <c r="P130" i="2" s="1"/>
  <c r="R130" i="2" s="1"/>
  <c r="T130" i="2" s="1"/>
  <c r="V130" i="2" s="1"/>
  <c r="X130" i="2" s="1"/>
  <c r="F143" i="2"/>
  <c r="H143" i="2" s="1"/>
  <c r="J143" i="2" s="1"/>
  <c r="L143" i="2" s="1"/>
  <c r="N143" i="2" s="1"/>
  <c r="P143" i="2" s="1"/>
  <c r="R143" i="2" s="1"/>
  <c r="T143" i="2" s="1"/>
  <c r="V143" i="2" s="1"/>
  <c r="X143" i="2" s="1"/>
  <c r="V124" i="2" l="1"/>
  <c r="X124" i="2" s="1"/>
  <c r="D144" i="2"/>
  <c r="F144" i="2" s="1"/>
  <c r="H144" i="2" s="1"/>
  <c r="J144" i="2" s="1"/>
  <c r="L144" i="2" s="1"/>
  <c r="N144" i="2" s="1"/>
  <c r="P144" i="2" s="1"/>
  <c r="R144" i="2" s="1"/>
  <c r="T144" i="2" s="1"/>
  <c r="V144" i="2" s="1"/>
  <c r="X144" i="2" s="1"/>
  <c r="D87" i="2"/>
  <c r="F87" i="2" s="1"/>
  <c r="H87" i="2" s="1"/>
  <c r="J87" i="2" s="1"/>
  <c r="L87" i="2" s="1"/>
  <c r="N87" i="2" s="1"/>
  <c r="P87" i="2" s="1"/>
  <c r="R87" i="2" s="1"/>
  <c r="T87" i="2" s="1"/>
  <c r="V87" i="2" s="1"/>
  <c r="X87" i="2" s="1"/>
  <c r="D74" i="2" l="1"/>
  <c r="F74" i="2" s="1"/>
  <c r="H74" i="2" s="1"/>
  <c r="J74" i="2" s="1"/>
  <c r="L74" i="2" s="1"/>
  <c r="N74" i="2" s="1"/>
  <c r="P74" i="2" s="1"/>
  <c r="R74" i="2" s="1"/>
  <c r="T74" i="2" s="1"/>
  <c r="V74" i="2" s="1"/>
  <c r="X74" i="2" s="1"/>
  <c r="D73" i="2"/>
  <c r="F73" i="2" s="1"/>
  <c r="H73" i="2" s="1"/>
  <c r="J73" i="2" s="1"/>
  <c r="L73" i="2" s="1"/>
  <c r="N73" i="2" s="1"/>
  <c r="P73" i="2" s="1"/>
  <c r="R73" i="2" s="1"/>
  <c r="T73" i="2" s="1"/>
  <c r="V73" i="2" s="1"/>
  <c r="X73" i="2" s="1"/>
  <c r="D76" i="2"/>
  <c r="F76" i="2" s="1"/>
  <c r="H76" i="2" s="1"/>
  <c r="J76" i="2" s="1"/>
  <c r="L76" i="2" s="1"/>
  <c r="N76" i="2" s="1"/>
  <c r="P76" i="2" s="1"/>
  <c r="R76" i="2" s="1"/>
  <c r="T76" i="2" s="1"/>
  <c r="V76" i="2" s="1"/>
  <c r="X76" i="2" s="1"/>
  <c r="D149" i="2" l="1"/>
  <c r="F149" i="2" s="1"/>
  <c r="H149" i="2" s="1"/>
  <c r="J149" i="2" s="1"/>
  <c r="L149" i="2" s="1"/>
  <c r="N149" i="2" s="1"/>
  <c r="P149" i="2" s="1"/>
  <c r="R149" i="2" s="1"/>
  <c r="D147" i="2"/>
  <c r="F147" i="2" s="1"/>
  <c r="H147" i="2" s="1"/>
  <c r="J147" i="2" s="1"/>
  <c r="L147" i="2" s="1"/>
  <c r="N147" i="2" s="1"/>
  <c r="P147" i="2" s="1"/>
  <c r="R147" i="2" s="1"/>
  <c r="T147" i="2" s="1"/>
  <c r="V147" i="2" s="1"/>
  <c r="X147" i="2" s="1"/>
  <c r="D123" i="2"/>
  <c r="F123" i="2" s="1"/>
  <c r="H123" i="2" s="1"/>
  <c r="J123" i="2" s="1"/>
  <c r="L123" i="2" s="1"/>
  <c r="N123" i="2" s="1"/>
  <c r="P123" i="2" s="1"/>
  <c r="R123" i="2" s="1"/>
  <c r="T123" i="2" s="1"/>
  <c r="D142" i="2"/>
  <c r="F142" i="2" s="1"/>
  <c r="H142" i="2" s="1"/>
  <c r="J142" i="2" s="1"/>
  <c r="L142" i="2" s="1"/>
  <c r="N142" i="2" s="1"/>
  <c r="P142" i="2" s="1"/>
  <c r="R142" i="2" s="1"/>
  <c r="T142" i="2" s="1"/>
  <c r="V142" i="2" s="1"/>
  <c r="X142" i="2" s="1"/>
  <c r="D140" i="2"/>
  <c r="F140" i="2" s="1"/>
  <c r="H140" i="2" s="1"/>
  <c r="J140" i="2" s="1"/>
  <c r="L140" i="2" s="1"/>
  <c r="N140" i="2" s="1"/>
  <c r="P140" i="2" s="1"/>
  <c r="R140" i="2" s="1"/>
  <c r="T140" i="2" s="1"/>
  <c r="V140" i="2" s="1"/>
  <c r="X140" i="2" s="1"/>
  <c r="D148" i="2"/>
  <c r="F148" i="2" s="1"/>
  <c r="H148" i="2" s="1"/>
  <c r="J148" i="2" s="1"/>
  <c r="L148" i="2" s="1"/>
  <c r="N148" i="2" s="1"/>
  <c r="P148" i="2" s="1"/>
  <c r="R148" i="2" s="1"/>
  <c r="D129" i="2"/>
  <c r="F129" i="2" s="1"/>
  <c r="H129" i="2" s="1"/>
  <c r="J129" i="2" s="1"/>
  <c r="L129" i="2" s="1"/>
  <c r="N129" i="2" s="1"/>
  <c r="P129" i="2" s="1"/>
  <c r="R129" i="2" s="1"/>
  <c r="T129" i="2" s="1"/>
  <c r="V129" i="2" s="1"/>
  <c r="X129" i="2" s="1"/>
  <c r="D89" i="2"/>
  <c r="D20" i="2"/>
  <c r="F20" i="2" s="1"/>
  <c r="H20" i="2" s="1"/>
  <c r="J20" i="2" s="1"/>
  <c r="L20" i="2" s="1"/>
  <c r="N20" i="2" s="1"/>
  <c r="P20" i="2" s="1"/>
  <c r="R20" i="2" s="1"/>
  <c r="T20" i="2" s="1"/>
  <c r="V20" i="2" s="1"/>
  <c r="X20" i="2" s="1"/>
  <c r="D21" i="2"/>
  <c r="F21" i="2" s="1"/>
  <c r="H21" i="2" s="1"/>
  <c r="J21" i="2" s="1"/>
  <c r="L21" i="2" s="1"/>
  <c r="N21" i="2" s="1"/>
  <c r="P21" i="2" s="1"/>
  <c r="R21" i="2" s="1"/>
  <c r="T21" i="2" s="1"/>
  <c r="V21" i="2" s="1"/>
  <c r="X21" i="2" s="1"/>
  <c r="T149" i="2" l="1"/>
  <c r="V149" i="2" s="1"/>
  <c r="X149" i="2" s="1"/>
  <c r="V123" i="2"/>
  <c r="X123" i="2" s="1"/>
  <c r="T148" i="2"/>
  <c r="V148" i="2" s="1"/>
  <c r="X148" i="2" s="1"/>
  <c r="D136" i="2"/>
  <c r="F136" i="2" s="1"/>
  <c r="H136" i="2" s="1"/>
  <c r="J136" i="2" s="1"/>
  <c r="L136" i="2" s="1"/>
  <c r="N136" i="2" s="1"/>
  <c r="P136" i="2" s="1"/>
  <c r="R136" i="2" s="1"/>
  <c r="T136" i="2" s="1"/>
  <c r="V136" i="2" s="1"/>
  <c r="X136" i="2" s="1"/>
  <c r="F89" i="2"/>
  <c r="H89" i="2" s="1"/>
  <c r="J89" i="2" s="1"/>
  <c r="L89" i="2" s="1"/>
  <c r="N89" i="2" s="1"/>
  <c r="P89" i="2" s="1"/>
  <c r="R89" i="2" s="1"/>
  <c r="T89" i="2" s="1"/>
  <c r="V89" i="2" s="1"/>
  <c r="X89" i="2" s="1"/>
  <c r="D85" i="2"/>
  <c r="F85" i="2" s="1"/>
  <c r="H85" i="2" s="1"/>
  <c r="J85" i="2" s="1"/>
  <c r="L85" i="2" s="1"/>
  <c r="N85" i="2" s="1"/>
  <c r="P85" i="2" s="1"/>
  <c r="R85" i="2" s="1"/>
  <c r="T85" i="2" s="1"/>
  <c r="V85" i="2" s="1"/>
  <c r="X85" i="2" s="1"/>
  <c r="D99" i="2"/>
  <c r="F99" i="2" s="1"/>
  <c r="H99" i="2" s="1"/>
  <c r="J99" i="2" s="1"/>
  <c r="L99" i="2" s="1"/>
  <c r="N99" i="2" s="1"/>
  <c r="P99" i="2" s="1"/>
  <c r="R99" i="2" s="1"/>
  <c r="T99" i="2" s="1"/>
  <c r="V99" i="2" s="1"/>
  <c r="X99" i="2" s="1"/>
  <c r="D94" i="2"/>
  <c r="F94" i="2" s="1"/>
  <c r="H94" i="2" s="1"/>
  <c r="J94" i="2" s="1"/>
  <c r="L94" i="2" s="1"/>
  <c r="N94" i="2" s="1"/>
  <c r="P94" i="2" s="1"/>
  <c r="R94" i="2" s="1"/>
  <c r="T94" i="2" s="1"/>
  <c r="V94" i="2" s="1"/>
  <c r="X94" i="2" s="1"/>
  <c r="D42" i="2" l="1"/>
  <c r="F42" i="2" s="1"/>
  <c r="H42" i="2" s="1"/>
  <c r="J42" i="2" s="1"/>
  <c r="L42" i="2" s="1"/>
  <c r="N42" i="2" s="1"/>
  <c r="P42" i="2" s="1"/>
  <c r="R42" i="2" s="1"/>
  <c r="T42" i="2" s="1"/>
  <c r="V42" i="2" s="1"/>
  <c r="X42" i="2" s="1"/>
  <c r="D22" i="2" l="1"/>
  <c r="D145" i="2" l="1"/>
  <c r="F145" i="2" s="1"/>
  <c r="H145" i="2" s="1"/>
  <c r="J145" i="2" s="1"/>
  <c r="L145" i="2" s="1"/>
  <c r="N145" i="2" s="1"/>
  <c r="P145" i="2" s="1"/>
  <c r="R145" i="2" s="1"/>
  <c r="T145" i="2" s="1"/>
  <c r="V145" i="2" s="1"/>
  <c r="X145" i="2" s="1"/>
  <c r="F22" i="2"/>
  <c r="H22" i="2" s="1"/>
  <c r="J22" i="2" s="1"/>
  <c r="L22" i="2" s="1"/>
  <c r="N22" i="2" s="1"/>
  <c r="P22" i="2" s="1"/>
  <c r="R22" i="2" s="1"/>
  <c r="T22" i="2" s="1"/>
  <c r="V22" i="2" s="1"/>
  <c r="X22" i="2" s="1"/>
  <c r="D138" i="2"/>
  <c r="F138" i="2" s="1"/>
  <c r="H138" i="2" s="1"/>
  <c r="J138" i="2" s="1"/>
  <c r="L138" i="2" s="1"/>
  <c r="N138" i="2" s="1"/>
  <c r="P138" i="2" s="1"/>
  <c r="R138" i="2" s="1"/>
  <c r="T138" i="2" s="1"/>
  <c r="V138" i="2" s="1"/>
  <c r="X138" i="2" s="1"/>
  <c r="D18" i="2" l="1"/>
  <c r="F18" i="2" s="1"/>
  <c r="H18" i="2" s="1"/>
  <c r="J18" i="2" s="1"/>
  <c r="L18" i="2" s="1"/>
  <c r="N18" i="2" s="1"/>
  <c r="P18" i="2" s="1"/>
  <c r="R18" i="2" s="1"/>
  <c r="T18" i="2" s="1"/>
  <c r="V18" i="2" s="1"/>
  <c r="X18" i="2" s="1"/>
  <c r="D71" i="2" l="1"/>
  <c r="F71" i="2" s="1"/>
  <c r="H71" i="2" s="1"/>
  <c r="J71" i="2" s="1"/>
  <c r="L71" i="2" s="1"/>
  <c r="N71" i="2" s="1"/>
  <c r="P71" i="2" s="1"/>
  <c r="R71" i="2" s="1"/>
  <c r="T71" i="2" s="1"/>
  <c r="V71" i="2" s="1"/>
  <c r="X71" i="2" s="1"/>
  <c r="D44" i="2" l="1"/>
  <c r="F44" i="2" s="1"/>
  <c r="H44" i="2" s="1"/>
  <c r="J44" i="2" s="1"/>
  <c r="L44" i="2" s="1"/>
  <c r="N44" i="2" s="1"/>
  <c r="P44" i="2" s="1"/>
  <c r="R44" i="2" s="1"/>
  <c r="T44" i="2" s="1"/>
  <c r="V44" i="2" s="1"/>
  <c r="X44" i="2" s="1"/>
  <c r="D43" i="2" l="1"/>
  <c r="D53" i="2"/>
  <c r="D90" i="2"/>
  <c r="D146" i="2" l="1"/>
  <c r="F146" i="2" s="1"/>
  <c r="H146" i="2" s="1"/>
  <c r="J146" i="2" s="1"/>
  <c r="L146" i="2" s="1"/>
  <c r="N146" i="2" s="1"/>
  <c r="P146" i="2" s="1"/>
  <c r="R146" i="2" s="1"/>
  <c r="T146" i="2" s="1"/>
  <c r="V146" i="2" s="1"/>
  <c r="X146" i="2" s="1"/>
  <c r="F53" i="2"/>
  <c r="H53" i="2" s="1"/>
  <c r="J53" i="2" s="1"/>
  <c r="L53" i="2" s="1"/>
  <c r="N53" i="2" s="1"/>
  <c r="P53" i="2" s="1"/>
  <c r="R53" i="2" s="1"/>
  <c r="T53" i="2" s="1"/>
  <c r="V53" i="2" s="1"/>
  <c r="X53" i="2" s="1"/>
  <c r="D141" i="2"/>
  <c r="F141" i="2" s="1"/>
  <c r="H141" i="2" s="1"/>
  <c r="J141" i="2" s="1"/>
  <c r="L141" i="2" s="1"/>
  <c r="N141" i="2" s="1"/>
  <c r="P141" i="2" s="1"/>
  <c r="R141" i="2" s="1"/>
  <c r="F90" i="2"/>
  <c r="H90" i="2" s="1"/>
  <c r="J90" i="2" s="1"/>
  <c r="L90" i="2" s="1"/>
  <c r="N90" i="2" s="1"/>
  <c r="P90" i="2" s="1"/>
  <c r="R90" i="2" s="1"/>
  <c r="T90" i="2" s="1"/>
  <c r="V90" i="2" s="1"/>
  <c r="X90" i="2" s="1"/>
  <c r="D137" i="2"/>
  <c r="F137" i="2" s="1"/>
  <c r="H137" i="2" s="1"/>
  <c r="J137" i="2" s="1"/>
  <c r="L137" i="2" s="1"/>
  <c r="N137" i="2" s="1"/>
  <c r="P137" i="2" s="1"/>
  <c r="R137" i="2" s="1"/>
  <c r="T137" i="2" s="1"/>
  <c r="V137" i="2" s="1"/>
  <c r="X137" i="2" s="1"/>
  <c r="F43" i="2"/>
  <c r="H43" i="2" s="1"/>
  <c r="J43" i="2" s="1"/>
  <c r="L43" i="2" s="1"/>
  <c r="N43" i="2" s="1"/>
  <c r="P43" i="2" s="1"/>
  <c r="R43" i="2" s="1"/>
  <c r="T43" i="2" s="1"/>
  <c r="V43" i="2" s="1"/>
  <c r="X43" i="2" s="1"/>
  <c r="D40" i="2"/>
  <c r="F40" i="2" s="1"/>
  <c r="H40" i="2" s="1"/>
  <c r="J40" i="2" s="1"/>
  <c r="L40" i="2" s="1"/>
  <c r="N40" i="2" s="1"/>
  <c r="P40" i="2" s="1"/>
  <c r="R40" i="2" s="1"/>
  <c r="T40" i="2" s="1"/>
  <c r="V40" i="2" s="1"/>
  <c r="X40" i="2" s="1"/>
  <c r="D127" i="2"/>
  <c r="F127" i="2" s="1"/>
  <c r="H127" i="2" s="1"/>
  <c r="J127" i="2" s="1"/>
  <c r="L127" i="2" s="1"/>
  <c r="N127" i="2" s="1"/>
  <c r="P127" i="2" s="1"/>
  <c r="R127" i="2" s="1"/>
  <c r="T127" i="2" s="1"/>
  <c r="V127" i="2" s="1"/>
  <c r="X127" i="2" s="1"/>
  <c r="T141" i="2" l="1"/>
  <c r="V141" i="2" s="1"/>
  <c r="X141" i="2" s="1"/>
  <c r="D134" i="2"/>
  <c r="F134" i="2" s="1"/>
  <c r="H134" i="2" s="1"/>
  <c r="J134" i="2" s="1"/>
  <c r="L134" i="2" s="1"/>
  <c r="N134" i="2" s="1"/>
  <c r="P134" i="2" s="1"/>
  <c r="R134" i="2" s="1"/>
  <c r="T134" i="2" s="1"/>
  <c r="V134" i="2" l="1"/>
  <c r="X134" i="2" s="1"/>
</calcChain>
</file>

<file path=xl/sharedStrings.xml><?xml version="1.0" encoding="utf-8"?>
<sst xmlns="http://schemas.openxmlformats.org/spreadsheetml/2006/main" count="311" uniqueCount="186">
  <si>
    <t>№ п/п</t>
  </si>
  <si>
    <t>Образование</t>
  </si>
  <si>
    <t>в том числе:</t>
  </si>
  <si>
    <t>местный бюджет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</si>
  <si>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</si>
  <si>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</si>
  <si>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</si>
  <si>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Внешнее благоустройство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</si>
  <si>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</si>
  <si>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</si>
  <si>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</si>
  <si>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</si>
  <si>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</si>
  <si>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</si>
  <si>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Департамент образования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</si>
  <si>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</si>
  <si>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</si>
  <si>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</si>
  <si>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</si>
  <si>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</si>
  <si>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</si>
  <si>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</si>
  <si>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</si>
  <si>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</si>
  <si>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</si>
  <si>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Реконструкция пересечения ул. Героев Хасана и Транссибирской магистрали (включая тоннель)</t>
  </si>
  <si>
    <t>Объект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</si>
  <si>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</si>
  <si>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Департамент общественной безопасности</t>
  </si>
  <si>
    <t xml:space="preserve">Управление капитального строительства </t>
  </si>
  <si>
    <t>Строительство кладбища «Восточное» с крематорием</t>
  </si>
  <si>
    <t>Общественная безопасность</t>
  </si>
  <si>
    <t>федеральный бюджет</t>
  </si>
  <si>
    <t>Управление капитального строительства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</si>
  <si>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</si>
  <si>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Реконструкция светофорных объектов в части устройства голосового и звукового сопровождения</t>
  </si>
  <si>
    <t>Реконструкция светофорных объектов в части устройства звукового сопровождения</t>
  </si>
  <si>
    <t>Строительство (реконструкция) сетей наружного освещения</t>
  </si>
  <si>
    <t>Расширение и реконструкция (3 очередь) канализации города Перми</t>
  </si>
  <si>
    <t>Строительство сетей водоснабжения и водоотведения микрорайона «Заозерье» для земельных участков многодетных семей</t>
  </si>
  <si>
    <t>Строительство канализационной сети в микрорайоне «Кислотные дачи» Орджоникидзевского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</si>
  <si>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</si>
  <si>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</si>
  <si>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источников противопожарного водоснабжения</t>
  </si>
  <si>
    <t>к решению</t>
  </si>
  <si>
    <t>Пермской городской Думы</t>
  </si>
  <si>
    <t>тыс. руб.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</si>
  <si>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2017 год</t>
  </si>
  <si>
    <t>Строительство нового корпуса МАОУ «СОШ № 129» г. Перми</t>
  </si>
  <si>
    <t>Строительство межшкольного стадиона МАОУ «Средняя общеобразовательная школа «Мастерград»  г. Перми</t>
  </si>
  <si>
    <t>Строительство спортивной площадки МАОУ «Средняя общеобразовательная школа № 41» г. Перми</t>
  </si>
  <si>
    <t>Строительство газопроводов в микрорайонах индивидуальной застройки города Перми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</si>
  <si>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</si>
  <si>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</si>
  <si>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Карпинского от ул. Мира до шоссе Космонавтов</t>
  </si>
  <si>
    <t>Строительство многоквартирного жилого дома по адресу: ул. Баранчинская, 10 для обеспечения жильем граждан</t>
  </si>
  <si>
    <t>Строительство  светофорных объектов</t>
  </si>
  <si>
    <t>Строительство спортивной  базы «Летающий лыжник» г. Перми, ул. Тихая, 22</t>
  </si>
  <si>
    <t>Строительство плавательного бассейна по адресу: ул. Сысольская, 10/5</t>
  </si>
  <si>
    <t>2017 год</t>
  </si>
  <si>
    <t>1.</t>
  </si>
  <si>
    <t>7.</t>
  </si>
  <si>
    <t>4.</t>
  </si>
  <si>
    <t>8.</t>
  </si>
  <si>
    <t>5.</t>
  </si>
  <si>
    <t>9.</t>
  </si>
  <si>
    <t>6.</t>
  </si>
  <si>
    <t>2.</t>
  </si>
  <si>
    <t>3.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</si>
  <si>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</si>
  <si>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</si>
  <si>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</si>
  <si>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</si>
  <si>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</si>
  <si>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</si>
  <si>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</si>
  <si>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</si>
  <si>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</si>
  <si>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</si>
  <si>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</si>
  <si>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</si>
  <si>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</si>
  <si>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</si>
  <si>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</si>
  <si>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</si>
  <si>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</si>
  <si>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</si>
  <si>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</si>
  <si>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</si>
  <si>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</si>
  <si>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</si>
  <si>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</si>
  <si>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</si>
  <si>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</si>
  <si>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</si>
  <si>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</si>
  <si>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</si>
  <si>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</si>
  <si>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</si>
  <si>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Строительство нового корпуса МАОУ «СОШ № 59» г. Перми</t>
  </si>
  <si>
    <t>Реконструкция здания МАОУ «СОШ № 93» г. Перми (пристройка нового корпуса)</t>
  </si>
  <si>
    <t>Реконструкция здания МАУ ДО «ДЮЦ им. В. Соломина»  г. Перми</t>
  </si>
  <si>
    <t>Реконструкция кладбища «Банная гора» (новое)</t>
  </si>
  <si>
    <t>Реконструкция кладбища «Северное»</t>
  </si>
  <si>
    <t>Строительство системы очистных сооружений и водоотвода ливневых стоков на набережной реки Камы</t>
  </si>
  <si>
    <t>Реконструкция ул. Революции от ЦКР до ул. Сибирской с обустройством трамвайной линии</t>
  </si>
  <si>
    <t>Реконструкция ул. Карпинского от ул. Архитектора Свиязева до ул. Советской Армии</t>
  </si>
  <si>
    <t>Изменение ко 2 чтению</t>
  </si>
  <si>
    <t>софинансирование</t>
  </si>
  <si>
    <t>102012Р050</t>
  </si>
  <si>
    <t>241012Р050</t>
  </si>
  <si>
    <t>40.</t>
  </si>
  <si>
    <t>2410141650, 24101SP050, 24101SP051</t>
  </si>
  <si>
    <t>10201SP050, 10201SР054</t>
  </si>
  <si>
    <t>от 20.12.2016 № 265</t>
  </si>
  <si>
    <t>ПРИЛОЖЕНИЕ 13</t>
  </si>
  <si>
    <t>Строительство нового корпуса МАОУ «СОШ № 42» г. Перми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</si>
  <si>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 43а</t>
  </si>
  <si>
    <t>Обеспечение жильем граждан, уволенных с военной службы (службы), и приравненных к ним лиц</t>
  </si>
  <si>
    <t>41.</t>
  </si>
  <si>
    <t>Строительство берегоукрепительного сооружения в районе жилых домов  по ул. Куфонина 30,32</t>
  </si>
  <si>
    <t>Обеспечение котельной поселка Новые Ляды вторым независимым источником электроснабжения</t>
  </si>
  <si>
    <t>102012Т070</t>
  </si>
  <si>
    <t>153010000, 1510121480, 15101S9602</t>
  </si>
  <si>
    <t>Строительство резервуара для воды емкостью 5000 кубических метров на территории насосной станции «Заречная» города Перми</t>
  </si>
  <si>
    <t>Строительство сквера по ул. Гашкова, 20</t>
  </si>
  <si>
    <t>Строительство тротуара по ул. Таежной в микрорайоне Соболи</t>
  </si>
  <si>
    <t>Строительство автомобильной дороги Переход ул. Строителей – площадь Гайдара (проектно-изыскательские работы)</t>
  </si>
  <si>
    <t>10201ST075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</si>
  <si>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</si>
  <si>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</si>
  <si>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</si>
  <si>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</si>
  <si>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</si>
  <si>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</si>
  <si>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</si>
  <si>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</si>
  <si>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</si>
  <si>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Реконструкция здания МАОУ «СОШ № 32 имени Г.А. Сборщикова» г. Перми (пристройка спортивного зала)</t>
  </si>
  <si>
    <t>Расширение и реконструкция (2 очередь) канализации города Перми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</si>
  <si>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</si>
  <si>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1020141520, 10201ST074</t>
  </si>
  <si>
    <t>Строительство пешеходного перехода из микрорайона Владимирский в микрорайон Юбилейный</t>
  </si>
  <si>
    <t>Строительство противооползневого сооружения в районе жилых домов по ул. КИМ, 5, 7, ул. Ивановской, 19 и ул. Чехова, 2, 4, 6, 8, 10</t>
  </si>
  <si>
    <t>Комитет по физической культуре и спорту</t>
  </si>
  <si>
    <t>Строительство объектов недвижимого имущества и инженерной инфраструктуры на территории Экстрим-парка</t>
  </si>
  <si>
    <t>102012T070</t>
  </si>
  <si>
    <t>Строительство спортивной площадки МАОУ «СОШ №135» г. Перми</t>
  </si>
  <si>
    <t>краевой дорожной фонд</t>
  </si>
  <si>
    <t>Строительтство надземного пешеходного перехода по ул.Соликамской в районе остановки общественного транспорта "Промкомбинат"</t>
  </si>
  <si>
    <t>Строительство мостового перехода через реку Кама в г. Перми</t>
  </si>
  <si>
    <t>151042P050</t>
  </si>
  <si>
    <t>15104SP055</t>
  </si>
  <si>
    <t>15104SP055,151042P050</t>
  </si>
  <si>
    <t>Реконструкция площади Восстания, 1-й этап</t>
  </si>
  <si>
    <t>Рекоснтрукция ул.Макаренко от бульвара Гагарина до ул.Уинской</t>
  </si>
  <si>
    <t>Реконструкция центральной площадки города Перми - эспланада, 64-й квартал, участок 1 (от здания Пермского академического Театра-Театра ул.Борчанинова)</t>
  </si>
  <si>
    <t>10201ST073</t>
  </si>
  <si>
    <t>0220241120</t>
  </si>
  <si>
    <t>0220241110</t>
  </si>
  <si>
    <t>1020141500, 10201ST072</t>
  </si>
  <si>
    <t>0510141440</t>
  </si>
  <si>
    <t>0510141420</t>
  </si>
  <si>
    <t>0510141430</t>
  </si>
  <si>
    <t>0320442140</t>
  </si>
  <si>
    <t>55.</t>
  </si>
  <si>
    <t>Изменение март</t>
  </si>
  <si>
    <t>Изменение июнь</t>
  </si>
  <si>
    <t>Изменение март комитет</t>
  </si>
  <si>
    <t>Изменение апрель</t>
  </si>
  <si>
    <t>Изменение апрель комитет</t>
  </si>
  <si>
    <t>Изменение август</t>
  </si>
  <si>
    <t>Приобретение в собственность муниципального образования город Пермь жилых помещений</t>
  </si>
  <si>
    <t>Обустройство скважин для обеспечения водоснабжением населения города Перми</t>
  </si>
  <si>
    <t>Строительство спортивной площадки МАОУ «Школа дизайна «Точка» г. Пермь</t>
  </si>
  <si>
    <t>Приобретение жилых помещений в состав маневренного жилищного фонда</t>
  </si>
  <si>
    <t>51.</t>
  </si>
  <si>
    <t>52.</t>
  </si>
  <si>
    <t>Строительство здания общеобразовательного учреждения по ул.Юнг Прикамья,3</t>
  </si>
  <si>
    <t>Реконструкция здания МАДОУ «Детский сад № 409» г.Перми</t>
  </si>
  <si>
    <t>Решение комитета</t>
  </si>
  <si>
    <t>Уточнение ноябрь</t>
  </si>
  <si>
    <t>Реконструкция ул. Социалистической от ПК7 до ПК10+50 с разворотным кольцом</t>
  </si>
  <si>
    <t>10201ST071, 10201ST072, 1020141920</t>
  </si>
  <si>
    <t>ПРИЛОЖЕНИЕ 5</t>
  </si>
  <si>
    <t>от 21.11.2017 № 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</si>
</sst>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5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vertical="top"/>
    </xf>
    <xf numFmtId="165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/>
    <xf numFmtId="164" fontId="3" fillId="0" borderId="2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164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5" fontId="3" fillId="0" borderId="4" xfId="0" applyNumberFormat="1" applyFont="1" applyFill="1" applyBorder="1" applyAlignment="1">
      <alignment vertical="center"/>
    </xf>
    <xf numFmtId="165" fontId="3" fillId="0" borderId="4" xfId="0" applyNumberFormat="1" applyFont="1" applyFill="1" applyBorder="1" applyAlignme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horizontal="right"/>
    </xf>
    <xf numFmtId="0" fontId="1" fillId="0" borderId="1" xfId="0" applyFont="1" applyFill="1" applyBorder="1"/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/>
    </xf>
    <xf numFmtId="165" fontId="3" fillId="4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164" fontId="3" fillId="4" borderId="1" xfId="0" applyNumberFormat="1" applyFont="1" applyFill="1" applyBorder="1" applyAlignment="1">
      <alignment vertical="top" wrapText="1"/>
    </xf>
    <xf numFmtId="164" fontId="3" fillId="4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1" fillId="3" borderId="0" xfId="0" applyFont="1" applyFill="1"/>
    <xf numFmtId="0" fontId="3" fillId="3" borderId="1" xfId="0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3" fillId="3" borderId="0" xfId="0" applyFont="1" applyFill="1" applyAlignment="1">
      <alignment vertical="center"/>
    </xf>
    <xf numFmtId="0" fontId="1" fillId="3" borderId="0" xfId="0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center" wrapText="1"/>
    </xf>
    <xf numFmtId="49" fontId="1" fillId="3" borderId="0" xfId="0" applyNumberFormat="1" applyFont="1" applyFill="1" applyAlignment="1">
      <alignment horizontal="right"/>
    </xf>
    <xf numFmtId="165" fontId="1" fillId="3" borderId="0" xfId="0" applyNumberFormat="1" applyFont="1" applyFill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/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C149"/>
  <sheetViews>
    <sheetView tabSelected="1" zoomScale="77" zoomScaleNormal="77" workbookViewId="0">
      <selection activeCell="B16" sqref="B16:B17"/>
    </sheetView>
  </sheetViews>
  <sheetFormatPr defaultColWidth="9.109375" defaultRowHeight="18" x14ac:dyDescent="0.3"/>
  <cols>
    <col min="1" max="1" width="5.44140625" style="1" customWidth="1"/>
    <col min="2" max="2" width="76.88671875" style="1" customWidth="1"/>
    <col min="3" max="3" width="20.33203125" style="57" customWidth="1"/>
    <col min="4" max="6" width="17.5546875" style="2" hidden="1" customWidth="1"/>
    <col min="7" max="7" width="17.5546875" style="3" hidden="1" customWidth="1"/>
    <col min="8" max="8" width="17.5546875" style="2" hidden="1" customWidth="1"/>
    <col min="9" max="9" width="17.5546875" style="3" hidden="1" customWidth="1"/>
    <col min="10" max="10" width="17.5546875" style="2" hidden="1" customWidth="1"/>
    <col min="11" max="11" width="17.5546875" style="3" hidden="1" customWidth="1"/>
    <col min="12" max="12" width="17.5546875" style="2" hidden="1" customWidth="1"/>
    <col min="13" max="13" width="17.5546875" style="3" hidden="1" customWidth="1"/>
    <col min="14" max="14" width="17.5546875" style="2" hidden="1" customWidth="1"/>
    <col min="15" max="15" width="17.5546875" style="30" hidden="1" customWidth="1"/>
    <col min="16" max="16" width="17.5546875" style="2" hidden="1" customWidth="1"/>
    <col min="17" max="17" width="17.5546875" style="30" hidden="1" customWidth="1"/>
    <col min="18" max="18" width="17.5546875" style="47" hidden="1" customWidth="1"/>
    <col min="19" max="19" width="17.5546875" style="30" hidden="1" customWidth="1"/>
    <col min="20" max="20" width="17.5546875" style="47" hidden="1" customWidth="1"/>
    <col min="21" max="21" width="17.5546875" style="30" hidden="1" customWidth="1"/>
    <col min="22" max="22" width="17.5546875" style="47" hidden="1" customWidth="1"/>
    <col min="23" max="23" width="17.5546875" style="2" hidden="1" customWidth="1"/>
    <col min="24" max="24" width="17.5546875" style="2" customWidth="1"/>
    <col min="25" max="25" width="26.44140625" style="46" hidden="1" customWidth="1"/>
    <col min="26" max="26" width="11.44140625" style="42" hidden="1" customWidth="1"/>
    <col min="27" max="27" width="20.88671875" style="42" hidden="1" customWidth="1"/>
    <col min="28" max="44" width="20.88671875" style="1" customWidth="1"/>
    <col min="45" max="16384" width="9.109375" style="1"/>
  </cols>
  <sheetData>
    <row r="1" spans="1:29" x14ac:dyDescent="0.3">
      <c r="H1" s="4"/>
      <c r="J1" s="4"/>
      <c r="L1" s="4"/>
      <c r="N1" s="4"/>
      <c r="P1" s="4"/>
      <c r="R1" s="45"/>
      <c r="T1" s="45"/>
      <c r="V1" s="45"/>
      <c r="W1" s="4"/>
      <c r="X1" s="4" t="s">
        <v>184</v>
      </c>
    </row>
    <row r="2" spans="1:29" x14ac:dyDescent="0.3">
      <c r="H2" s="4"/>
      <c r="J2" s="4"/>
      <c r="L2" s="4"/>
      <c r="N2" s="4"/>
      <c r="P2" s="4"/>
      <c r="R2" s="45"/>
      <c r="T2" s="45"/>
      <c r="V2" s="45"/>
      <c r="W2" s="4"/>
      <c r="X2" s="4" t="s">
        <v>44</v>
      </c>
    </row>
    <row r="3" spans="1:29" x14ac:dyDescent="0.3">
      <c r="H3" s="4"/>
      <c r="J3" s="4"/>
      <c r="L3" s="4"/>
      <c r="N3" s="4"/>
      <c r="P3" s="4"/>
      <c r="R3" s="45"/>
      <c r="T3" s="45"/>
      <c r="V3" s="45"/>
      <c r="W3" s="4"/>
      <c r="X3" s="4" t="s">
        <v>45</v>
      </c>
    </row>
    <row r="4" spans="1:29" ht="18" customHeight="1" x14ac:dyDescent="0.3">
      <c r="C4" s="66" t="s">
        <v>185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8"/>
    </row>
    <row r="6" spans="1:29" x14ac:dyDescent="0.3">
      <c r="D6" s="4"/>
      <c r="E6" s="4"/>
      <c r="F6" s="4"/>
      <c r="H6" s="4"/>
      <c r="J6" s="4"/>
      <c r="L6" s="4"/>
      <c r="N6" s="4"/>
      <c r="P6" s="4"/>
      <c r="R6" s="45"/>
      <c r="T6" s="45"/>
      <c r="V6" s="45"/>
      <c r="W6" s="4"/>
      <c r="X6" s="4" t="s">
        <v>115</v>
      </c>
      <c r="AC6" s="4"/>
    </row>
    <row r="7" spans="1:29" x14ac:dyDescent="0.3">
      <c r="B7" s="58"/>
      <c r="D7" s="4"/>
      <c r="E7" s="4"/>
      <c r="F7" s="4"/>
      <c r="H7" s="4"/>
      <c r="J7" s="4"/>
      <c r="L7" s="4"/>
      <c r="N7" s="4"/>
      <c r="P7" s="4"/>
      <c r="R7" s="45"/>
      <c r="T7" s="45"/>
      <c r="V7" s="45"/>
      <c r="W7" s="4"/>
      <c r="X7" s="4" t="s">
        <v>44</v>
      </c>
      <c r="AC7" s="4"/>
    </row>
    <row r="8" spans="1:29" x14ac:dyDescent="0.3">
      <c r="B8" s="58"/>
      <c r="D8" s="4"/>
      <c r="E8" s="4"/>
      <c r="F8" s="4"/>
      <c r="H8" s="4"/>
      <c r="J8" s="4"/>
      <c r="L8" s="4"/>
      <c r="N8" s="4"/>
      <c r="P8" s="4"/>
      <c r="R8" s="45"/>
      <c r="T8" s="45"/>
      <c r="V8" s="45"/>
      <c r="W8" s="4"/>
      <c r="X8" s="4" t="s">
        <v>45</v>
      </c>
    </row>
    <row r="9" spans="1:29" x14ac:dyDescent="0.3">
      <c r="B9" s="58"/>
      <c r="F9" s="4"/>
      <c r="H9" s="4"/>
      <c r="J9" s="4"/>
      <c r="L9" s="4"/>
      <c r="N9" s="4"/>
      <c r="P9" s="4"/>
      <c r="R9" s="45"/>
      <c r="T9" s="45"/>
      <c r="V9" s="45"/>
      <c r="W9" s="4"/>
      <c r="X9" s="4" t="s">
        <v>114</v>
      </c>
    </row>
    <row r="10" spans="1:29" x14ac:dyDescent="0.3">
      <c r="B10" s="58"/>
      <c r="F10" s="4"/>
      <c r="H10" s="4"/>
      <c r="J10" s="4"/>
      <c r="L10" s="4"/>
      <c r="N10" s="4"/>
      <c r="P10" s="4"/>
      <c r="R10" s="45"/>
      <c r="T10" s="45"/>
      <c r="V10" s="45"/>
      <c r="W10" s="4"/>
      <c r="X10" s="4"/>
    </row>
    <row r="11" spans="1:29" ht="18.75" customHeight="1" x14ac:dyDescent="0.3">
      <c r="A11" s="73" t="s">
        <v>47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4"/>
      <c r="P11" s="73"/>
      <c r="Q11" s="75"/>
      <c r="R11" s="76"/>
      <c r="S11" s="75"/>
      <c r="T11" s="75"/>
      <c r="U11" s="75"/>
      <c r="V11" s="75"/>
      <c r="W11" s="75"/>
      <c r="X11" s="77"/>
    </row>
    <row r="12" spans="1:29" ht="13.5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4"/>
      <c r="P12" s="73"/>
      <c r="Q12" s="75"/>
      <c r="R12" s="76"/>
      <c r="S12" s="75"/>
      <c r="T12" s="75"/>
      <c r="U12" s="75"/>
      <c r="V12" s="75"/>
      <c r="W12" s="75"/>
      <c r="X12" s="77"/>
    </row>
    <row r="13" spans="1:29" ht="21.75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  <c r="P13" s="73"/>
      <c r="Q13" s="75"/>
      <c r="R13" s="76"/>
      <c r="S13" s="75"/>
      <c r="T13" s="75"/>
      <c r="U13" s="75"/>
      <c r="V13" s="75"/>
      <c r="W13" s="75"/>
      <c r="X13" s="77"/>
    </row>
    <row r="14" spans="1:29" ht="19.5" customHeight="1" x14ac:dyDescent="0.3">
      <c r="A14" s="56"/>
      <c r="B14" s="56"/>
      <c r="C14" s="56"/>
      <c r="D14" s="2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31"/>
      <c r="P14" s="27"/>
      <c r="Q14" s="31"/>
      <c r="R14" s="31"/>
      <c r="S14" s="31"/>
      <c r="T14" s="31"/>
      <c r="U14" s="31"/>
      <c r="V14" s="31"/>
      <c r="W14" s="27"/>
      <c r="X14" s="27"/>
    </row>
    <row r="15" spans="1:29" x14ac:dyDescent="0.3">
      <c r="A15" s="59"/>
      <c r="B15" s="60"/>
      <c r="E15" s="4"/>
      <c r="F15" s="1"/>
      <c r="H15" s="4"/>
      <c r="J15" s="4"/>
      <c r="L15" s="4"/>
      <c r="N15" s="4"/>
      <c r="P15" s="4"/>
      <c r="R15" s="45"/>
      <c r="T15" s="45"/>
      <c r="V15" s="45"/>
      <c r="W15" s="4"/>
      <c r="X15" s="4" t="s">
        <v>46</v>
      </c>
      <c r="Y15" s="48"/>
    </row>
    <row r="16" spans="1:29" ht="42" customHeight="1" x14ac:dyDescent="0.3">
      <c r="A16" s="82" t="s">
        <v>0</v>
      </c>
      <c r="B16" s="82" t="s">
        <v>26</v>
      </c>
      <c r="C16" s="82" t="s">
        <v>17</v>
      </c>
      <c r="D16" s="69" t="s">
        <v>59</v>
      </c>
      <c r="E16" s="86" t="s">
        <v>107</v>
      </c>
      <c r="F16" s="69" t="s">
        <v>59</v>
      </c>
      <c r="G16" s="69" t="s">
        <v>166</v>
      </c>
      <c r="H16" s="71">
        <v>2017</v>
      </c>
      <c r="I16" s="69" t="s">
        <v>168</v>
      </c>
      <c r="J16" s="71">
        <v>2017</v>
      </c>
      <c r="K16" s="69" t="s">
        <v>169</v>
      </c>
      <c r="L16" s="71">
        <v>2017</v>
      </c>
      <c r="M16" s="69" t="s">
        <v>170</v>
      </c>
      <c r="N16" s="71">
        <v>2017</v>
      </c>
      <c r="O16" s="78" t="s">
        <v>167</v>
      </c>
      <c r="P16" s="71">
        <v>2017</v>
      </c>
      <c r="Q16" s="78" t="s">
        <v>171</v>
      </c>
      <c r="R16" s="80">
        <v>2017</v>
      </c>
      <c r="S16" s="78" t="s">
        <v>171</v>
      </c>
      <c r="T16" s="80">
        <v>2017</v>
      </c>
      <c r="U16" s="78" t="s">
        <v>180</v>
      </c>
      <c r="V16" s="80">
        <v>2017</v>
      </c>
      <c r="W16" s="69" t="s">
        <v>181</v>
      </c>
      <c r="X16" s="71" t="s">
        <v>59</v>
      </c>
    </row>
    <row r="17" spans="1:27" ht="18" hidden="1" customHeight="1" x14ac:dyDescent="0.3">
      <c r="A17" s="83"/>
      <c r="B17" s="84"/>
      <c r="C17" s="85"/>
      <c r="D17" s="70"/>
      <c r="E17" s="87"/>
      <c r="F17" s="70"/>
      <c r="G17" s="70"/>
      <c r="H17" s="72"/>
      <c r="I17" s="70"/>
      <c r="J17" s="72"/>
      <c r="K17" s="70"/>
      <c r="L17" s="72"/>
      <c r="M17" s="70"/>
      <c r="N17" s="72"/>
      <c r="O17" s="79"/>
      <c r="P17" s="72"/>
      <c r="Q17" s="79"/>
      <c r="R17" s="81"/>
      <c r="S17" s="79"/>
      <c r="T17" s="81"/>
      <c r="U17" s="79"/>
      <c r="V17" s="81"/>
      <c r="W17" s="70"/>
      <c r="X17" s="72"/>
    </row>
    <row r="18" spans="1:27" x14ac:dyDescent="0.3">
      <c r="A18" s="6"/>
      <c r="B18" s="7" t="s">
        <v>1</v>
      </c>
      <c r="C18" s="61"/>
      <c r="D18" s="35">
        <f>D20+D21</f>
        <v>928756.4</v>
      </c>
      <c r="E18" s="35">
        <f>E20+E21</f>
        <v>-11541.799999999994</v>
      </c>
      <c r="F18" s="36">
        <f>D18+E18</f>
        <v>917214.6</v>
      </c>
      <c r="G18" s="33">
        <f>G20+G21</f>
        <v>40254.053</v>
      </c>
      <c r="H18" s="36">
        <f>F18+G18</f>
        <v>957468.65299999993</v>
      </c>
      <c r="I18" s="33">
        <f>I20+I21</f>
        <v>0</v>
      </c>
      <c r="J18" s="36">
        <f>H18+I18</f>
        <v>957468.65299999993</v>
      </c>
      <c r="K18" s="33">
        <f>K20+K21</f>
        <v>-2324.0100000000002</v>
      </c>
      <c r="L18" s="36">
        <f>J18+K18</f>
        <v>955144.64299999992</v>
      </c>
      <c r="M18" s="33">
        <f>M20+M21</f>
        <v>0</v>
      </c>
      <c r="N18" s="36">
        <f>L18+M18</f>
        <v>955144.64299999992</v>
      </c>
      <c r="O18" s="33">
        <f>O20+O21</f>
        <v>85410.642000000022</v>
      </c>
      <c r="P18" s="36">
        <f>N18+O18</f>
        <v>1040555.2849999999</v>
      </c>
      <c r="Q18" s="33">
        <f>Q20+Q21</f>
        <v>0</v>
      </c>
      <c r="R18" s="36">
        <f>P18+Q18</f>
        <v>1040555.2849999999</v>
      </c>
      <c r="S18" s="33">
        <f>S20+S21</f>
        <v>9344.6419999999998</v>
      </c>
      <c r="T18" s="36">
        <f>R18+S18</f>
        <v>1049899.9269999999</v>
      </c>
      <c r="U18" s="33">
        <f>U20+U21</f>
        <v>0</v>
      </c>
      <c r="V18" s="36">
        <f>T18+U18</f>
        <v>1049899.9269999999</v>
      </c>
      <c r="W18" s="10">
        <f>W20+W21</f>
        <v>-32336.457999999999</v>
      </c>
      <c r="X18" s="9">
        <f>V18+W18</f>
        <v>1017563.4689999999</v>
      </c>
      <c r="Y18" s="37"/>
      <c r="Z18" s="38"/>
      <c r="AA18" s="38"/>
    </row>
    <row r="19" spans="1:27" x14ac:dyDescent="0.3">
      <c r="A19" s="6"/>
      <c r="B19" s="11" t="s">
        <v>2</v>
      </c>
      <c r="C19" s="61"/>
      <c r="D19" s="8"/>
      <c r="E19" s="8"/>
      <c r="F19" s="9"/>
      <c r="G19" s="10"/>
      <c r="H19" s="9"/>
      <c r="I19" s="10"/>
      <c r="J19" s="9"/>
      <c r="K19" s="10"/>
      <c r="L19" s="9"/>
      <c r="M19" s="10"/>
      <c r="N19" s="9"/>
      <c r="O19" s="32"/>
      <c r="P19" s="9"/>
      <c r="Q19" s="32"/>
      <c r="R19" s="49"/>
      <c r="S19" s="32"/>
      <c r="T19" s="49"/>
      <c r="U19" s="32"/>
      <c r="V19" s="49"/>
      <c r="W19" s="10"/>
      <c r="X19" s="9"/>
    </row>
    <row r="20" spans="1:27" hidden="1" x14ac:dyDescent="0.35">
      <c r="A20" s="6"/>
      <c r="B20" s="11" t="s">
        <v>3</v>
      </c>
      <c r="C20" s="12"/>
      <c r="D20" s="13">
        <f>D24+D26+D27+D28+D29+D32+D30+D31+D33+D34</f>
        <v>794386.3</v>
      </c>
      <c r="E20" s="13">
        <f>E24+E26+E27+E28+E29+E30+E31+E32+E33+E34+E35</f>
        <v>-17386.399999999994</v>
      </c>
      <c r="F20" s="9">
        <f t="shared" ref="F20:F102" si="0">D20+E20</f>
        <v>776999.9</v>
      </c>
      <c r="G20" s="10">
        <f>G24+G26+G27+G28+G29+G30+G31+G32+G33+G34+G35+G36+G37</f>
        <v>40254.053</v>
      </c>
      <c r="H20" s="9">
        <f t="shared" ref="H20:H97" si="1">F20+G20</f>
        <v>817253.95299999998</v>
      </c>
      <c r="I20" s="10">
        <f>I24+I26+I27+I28+I29+I30+I31+I32+I33+I34+I35+I36+I37</f>
        <v>0</v>
      </c>
      <c r="J20" s="9">
        <f t="shared" ref="J20:J22" si="2">H20+I20</f>
        <v>817253.95299999998</v>
      </c>
      <c r="K20" s="10">
        <f>K24+K26+K27+K28+K29+K30+K31+K32+K33+K34+K35+K36+K37+K38</f>
        <v>-2324.0100000000002</v>
      </c>
      <c r="L20" s="9">
        <f t="shared" ref="L20:L22" si="3">J20+K20</f>
        <v>814929.94299999997</v>
      </c>
      <c r="M20" s="10">
        <f>M24+M26+M27+M28+M29+M30+M31+M32+M33+M34+M35+M36+M37+M38</f>
        <v>0</v>
      </c>
      <c r="N20" s="9">
        <f t="shared" ref="N20:N22" si="4">L20+M20</f>
        <v>814929.94299999997</v>
      </c>
      <c r="O20" s="32">
        <f>O24+O26+O27+O28+O29+O30+O31+O32+O33+O34+O35+O36+O37+O38</f>
        <v>85410.642000000022</v>
      </c>
      <c r="P20" s="9">
        <f t="shared" ref="P20:P22" si="5">N20+O20</f>
        <v>900340.58499999996</v>
      </c>
      <c r="Q20" s="32">
        <f>Q24+Q26+Q27+Q28+Q29+Q30+Q31+Q32+Q33+Q34+Q35+Q36+Q37+Q38</f>
        <v>0</v>
      </c>
      <c r="R20" s="9">
        <f t="shared" ref="R20:R22" si="6">P20+Q20</f>
        <v>900340.58499999996</v>
      </c>
      <c r="S20" s="32">
        <f>S24+S26+S27+S28+S29+S30+S31+S32+S33+S34+S35+S36+S37+S38+S39</f>
        <v>9344.6419999999998</v>
      </c>
      <c r="T20" s="9">
        <f t="shared" ref="T20:T22" si="7">R20+S20</f>
        <v>909685.22699999996</v>
      </c>
      <c r="U20" s="32">
        <f>U24+U26+U27+U28+U29+U30+U31+U32+U33+U34+U35+U36+U37+U38+U39</f>
        <v>0</v>
      </c>
      <c r="V20" s="9">
        <f t="shared" ref="V20:V22" si="8">T20+U20</f>
        <v>909685.22699999996</v>
      </c>
      <c r="W20" s="10">
        <f>W24+W26+W27+W28+W29+W30+W31+W32+W33+W34+W35+W36+W37+W38+W39</f>
        <v>-32336.457999999999</v>
      </c>
      <c r="X20" s="9">
        <f t="shared" ref="X20:X22" si="9">V20+W20</f>
        <v>877348.76899999997</v>
      </c>
      <c r="Y20" s="5"/>
      <c r="Z20" s="1">
        <v>0</v>
      </c>
      <c r="AA20" s="1"/>
    </row>
    <row r="21" spans="1:27" x14ac:dyDescent="0.3">
      <c r="A21" s="6"/>
      <c r="B21" s="11" t="s">
        <v>20</v>
      </c>
      <c r="C21" s="61"/>
      <c r="D21" s="8">
        <f>D25</f>
        <v>134370.1</v>
      </c>
      <c r="E21" s="8">
        <f>E25</f>
        <v>5844.6</v>
      </c>
      <c r="F21" s="9">
        <f t="shared" si="0"/>
        <v>140214.70000000001</v>
      </c>
      <c r="G21" s="10">
        <f>G25</f>
        <v>0</v>
      </c>
      <c r="H21" s="9">
        <f t="shared" si="1"/>
        <v>140214.70000000001</v>
      </c>
      <c r="I21" s="10">
        <f>I25</f>
        <v>0</v>
      </c>
      <c r="J21" s="9">
        <f t="shared" si="2"/>
        <v>140214.70000000001</v>
      </c>
      <c r="K21" s="10">
        <f>K25</f>
        <v>0</v>
      </c>
      <c r="L21" s="9">
        <f t="shared" si="3"/>
        <v>140214.70000000001</v>
      </c>
      <c r="M21" s="10">
        <f>M25</f>
        <v>0</v>
      </c>
      <c r="N21" s="9">
        <f t="shared" si="4"/>
        <v>140214.70000000001</v>
      </c>
      <c r="O21" s="32">
        <f>O25</f>
        <v>0</v>
      </c>
      <c r="P21" s="9">
        <f t="shared" si="5"/>
        <v>140214.70000000001</v>
      </c>
      <c r="Q21" s="32">
        <f>Q25</f>
        <v>0</v>
      </c>
      <c r="R21" s="49">
        <f t="shared" si="6"/>
        <v>140214.70000000001</v>
      </c>
      <c r="S21" s="32">
        <f>S25</f>
        <v>0</v>
      </c>
      <c r="T21" s="49">
        <f t="shared" si="7"/>
        <v>140214.70000000001</v>
      </c>
      <c r="U21" s="32">
        <f>U25</f>
        <v>0</v>
      </c>
      <c r="V21" s="49">
        <f t="shared" si="8"/>
        <v>140214.70000000001</v>
      </c>
      <c r="W21" s="10">
        <f>W25</f>
        <v>0</v>
      </c>
      <c r="X21" s="9">
        <f t="shared" si="9"/>
        <v>140214.70000000001</v>
      </c>
    </row>
    <row r="22" spans="1:27" ht="54" x14ac:dyDescent="0.3">
      <c r="A22" s="6" t="s">
        <v>60</v>
      </c>
      <c r="B22" s="14" t="s">
        <v>117</v>
      </c>
      <c r="C22" s="15" t="s">
        <v>19</v>
      </c>
      <c r="D22" s="8">
        <f>D24+D25</f>
        <v>301800</v>
      </c>
      <c r="E22" s="8">
        <f>E24+E25</f>
        <v>-19853</v>
      </c>
      <c r="F22" s="9">
        <f t="shared" si="0"/>
        <v>281947</v>
      </c>
      <c r="G22" s="10">
        <f>G24+G25</f>
        <v>0</v>
      </c>
      <c r="H22" s="9">
        <f t="shared" si="1"/>
        <v>281947</v>
      </c>
      <c r="I22" s="10">
        <f>I24+I25</f>
        <v>0</v>
      </c>
      <c r="J22" s="9">
        <f t="shared" si="2"/>
        <v>281947</v>
      </c>
      <c r="K22" s="10">
        <f>K24+K25</f>
        <v>-2947</v>
      </c>
      <c r="L22" s="9">
        <f t="shared" si="3"/>
        <v>279000</v>
      </c>
      <c r="M22" s="10">
        <f>M24+M25</f>
        <v>0</v>
      </c>
      <c r="N22" s="9">
        <f t="shared" si="4"/>
        <v>279000</v>
      </c>
      <c r="O22" s="32">
        <f>O24+O25</f>
        <v>0</v>
      </c>
      <c r="P22" s="9">
        <f t="shared" si="5"/>
        <v>279000</v>
      </c>
      <c r="Q22" s="32">
        <f>Q24+Q25</f>
        <v>0</v>
      </c>
      <c r="R22" s="49">
        <f t="shared" si="6"/>
        <v>279000</v>
      </c>
      <c r="S22" s="32">
        <f>S24+S25</f>
        <v>0</v>
      </c>
      <c r="T22" s="49">
        <f t="shared" si="7"/>
        <v>279000</v>
      </c>
      <c r="U22" s="32">
        <f>U24+U25</f>
        <v>0</v>
      </c>
      <c r="V22" s="49">
        <f t="shared" si="8"/>
        <v>279000</v>
      </c>
      <c r="W22" s="10">
        <f>W24+W25</f>
        <v>0</v>
      </c>
      <c r="X22" s="9">
        <f t="shared" si="9"/>
        <v>279000</v>
      </c>
    </row>
    <row r="23" spans="1:27" x14ac:dyDescent="0.3">
      <c r="A23" s="6"/>
      <c r="B23" s="14" t="s">
        <v>2</v>
      </c>
      <c r="C23" s="15"/>
      <c r="D23" s="16"/>
      <c r="E23" s="16"/>
      <c r="F23" s="9"/>
      <c r="G23" s="10"/>
      <c r="H23" s="9"/>
      <c r="I23" s="10"/>
      <c r="J23" s="9"/>
      <c r="K23" s="10"/>
      <c r="L23" s="9"/>
      <c r="M23" s="10"/>
      <c r="N23" s="9"/>
      <c r="O23" s="32"/>
      <c r="P23" s="9"/>
      <c r="Q23" s="32"/>
      <c r="R23" s="49"/>
      <c r="S23" s="32"/>
      <c r="T23" s="49"/>
      <c r="U23" s="32"/>
      <c r="V23" s="49"/>
      <c r="W23" s="10"/>
      <c r="X23" s="9"/>
    </row>
    <row r="24" spans="1:27" hidden="1" x14ac:dyDescent="0.35">
      <c r="A24" s="6"/>
      <c r="B24" s="14" t="s">
        <v>3</v>
      </c>
      <c r="C24" s="17"/>
      <c r="D24" s="13">
        <v>167429.9</v>
      </c>
      <c r="E24" s="13">
        <f>-7792.8-19853+1948.2</f>
        <v>-25697.599999999999</v>
      </c>
      <c r="F24" s="9">
        <f t="shared" si="0"/>
        <v>141732.29999999999</v>
      </c>
      <c r="G24" s="10"/>
      <c r="H24" s="9">
        <f t="shared" si="1"/>
        <v>141732.29999999999</v>
      </c>
      <c r="I24" s="10"/>
      <c r="J24" s="9">
        <f t="shared" ref="J24:J40" si="10">H24+I24</f>
        <v>141732.29999999999</v>
      </c>
      <c r="K24" s="10">
        <v>-2947</v>
      </c>
      <c r="L24" s="9">
        <f t="shared" ref="L24:L40" si="11">J24+K24</f>
        <v>138785.29999999999</v>
      </c>
      <c r="M24" s="10"/>
      <c r="N24" s="9">
        <f t="shared" ref="N24:N40" si="12">L24+M24</f>
        <v>138785.29999999999</v>
      </c>
      <c r="O24" s="32"/>
      <c r="P24" s="9">
        <f t="shared" ref="P24:P40" si="13">N24+O24</f>
        <v>138785.29999999999</v>
      </c>
      <c r="Q24" s="32"/>
      <c r="R24" s="9">
        <f t="shared" ref="R24:R40" si="14">P24+Q24</f>
        <v>138785.29999999999</v>
      </c>
      <c r="S24" s="32"/>
      <c r="T24" s="9">
        <f t="shared" ref="T24:T40" si="15">R24+S24</f>
        <v>138785.29999999999</v>
      </c>
      <c r="U24" s="32"/>
      <c r="V24" s="9">
        <f t="shared" ref="V24:V35" si="16">T24+U24</f>
        <v>138785.29999999999</v>
      </c>
      <c r="W24" s="10"/>
      <c r="X24" s="9">
        <f t="shared" ref="X24:X35" si="17">V24+W24</f>
        <v>138785.29999999999</v>
      </c>
      <c r="Y24" s="18" t="s">
        <v>112</v>
      </c>
      <c r="Z24" s="1">
        <v>0</v>
      </c>
      <c r="AA24" s="1"/>
    </row>
    <row r="25" spans="1:27" x14ac:dyDescent="0.3">
      <c r="A25" s="6"/>
      <c r="B25" s="14" t="s">
        <v>20</v>
      </c>
      <c r="C25" s="15"/>
      <c r="D25" s="8">
        <v>134370.1</v>
      </c>
      <c r="E25" s="8">
        <v>5844.6</v>
      </c>
      <c r="F25" s="9">
        <f t="shared" si="0"/>
        <v>140214.70000000001</v>
      </c>
      <c r="G25" s="10"/>
      <c r="H25" s="9">
        <f t="shared" si="1"/>
        <v>140214.70000000001</v>
      </c>
      <c r="I25" s="10"/>
      <c r="J25" s="9">
        <f t="shared" si="10"/>
        <v>140214.70000000001</v>
      </c>
      <c r="K25" s="10"/>
      <c r="L25" s="9">
        <f t="shared" si="11"/>
        <v>140214.70000000001</v>
      </c>
      <c r="M25" s="10"/>
      <c r="N25" s="9">
        <f t="shared" si="12"/>
        <v>140214.70000000001</v>
      </c>
      <c r="O25" s="32"/>
      <c r="P25" s="9">
        <f t="shared" si="13"/>
        <v>140214.70000000001</v>
      </c>
      <c r="Q25" s="32"/>
      <c r="R25" s="49">
        <f t="shared" si="14"/>
        <v>140214.70000000001</v>
      </c>
      <c r="S25" s="32"/>
      <c r="T25" s="49">
        <f t="shared" si="15"/>
        <v>140214.70000000001</v>
      </c>
      <c r="U25" s="32"/>
      <c r="V25" s="49">
        <f t="shared" si="16"/>
        <v>140214.70000000001</v>
      </c>
      <c r="W25" s="10"/>
      <c r="X25" s="9">
        <f t="shared" si="17"/>
        <v>140214.70000000001</v>
      </c>
      <c r="Y25" s="46" t="s">
        <v>110</v>
      </c>
    </row>
    <row r="26" spans="1:27" ht="60.75" customHeight="1" x14ac:dyDescent="0.3">
      <c r="A26" s="6" t="s">
        <v>67</v>
      </c>
      <c r="B26" s="14" t="s">
        <v>34</v>
      </c>
      <c r="C26" s="15" t="s">
        <v>19</v>
      </c>
      <c r="D26" s="8">
        <v>108000</v>
      </c>
      <c r="E26" s="8"/>
      <c r="F26" s="9">
        <f t="shared" si="0"/>
        <v>108000</v>
      </c>
      <c r="G26" s="10"/>
      <c r="H26" s="9">
        <f t="shared" si="1"/>
        <v>108000</v>
      </c>
      <c r="I26" s="10"/>
      <c r="J26" s="9">
        <f t="shared" si="10"/>
        <v>108000</v>
      </c>
      <c r="K26" s="10"/>
      <c r="L26" s="9">
        <f t="shared" si="11"/>
        <v>108000</v>
      </c>
      <c r="M26" s="10"/>
      <c r="N26" s="9">
        <f t="shared" si="12"/>
        <v>108000</v>
      </c>
      <c r="O26" s="32"/>
      <c r="P26" s="9">
        <f t="shared" si="13"/>
        <v>108000</v>
      </c>
      <c r="Q26" s="32"/>
      <c r="R26" s="49">
        <f t="shared" si="14"/>
        <v>108000</v>
      </c>
      <c r="S26" s="32"/>
      <c r="T26" s="49">
        <f t="shared" si="15"/>
        <v>108000</v>
      </c>
      <c r="U26" s="32"/>
      <c r="V26" s="49">
        <f t="shared" si="16"/>
        <v>108000</v>
      </c>
      <c r="W26" s="10"/>
      <c r="X26" s="9">
        <f t="shared" si="17"/>
        <v>108000</v>
      </c>
      <c r="Y26" s="46">
        <v>2410141660</v>
      </c>
    </row>
    <row r="27" spans="1:27" ht="54" x14ac:dyDescent="0.3">
      <c r="A27" s="6" t="s">
        <v>68</v>
      </c>
      <c r="B27" s="14" t="s">
        <v>99</v>
      </c>
      <c r="C27" s="15" t="s">
        <v>29</v>
      </c>
      <c r="D27" s="8">
        <v>85649.2</v>
      </c>
      <c r="E27" s="8">
        <v>-12049</v>
      </c>
      <c r="F27" s="9">
        <f t="shared" si="0"/>
        <v>73600.2</v>
      </c>
      <c r="G27" s="10"/>
      <c r="H27" s="9">
        <f t="shared" si="1"/>
        <v>73600.2</v>
      </c>
      <c r="I27" s="10"/>
      <c r="J27" s="9">
        <f t="shared" si="10"/>
        <v>73600.2</v>
      </c>
      <c r="K27" s="10"/>
      <c r="L27" s="9">
        <f t="shared" si="11"/>
        <v>73600.2</v>
      </c>
      <c r="M27" s="10"/>
      <c r="N27" s="9">
        <f t="shared" si="12"/>
        <v>73600.2</v>
      </c>
      <c r="O27" s="32">
        <v>84000</v>
      </c>
      <c r="P27" s="9">
        <f t="shared" si="13"/>
        <v>157600.20000000001</v>
      </c>
      <c r="Q27" s="32"/>
      <c r="R27" s="49">
        <f t="shared" si="14"/>
        <v>157600.20000000001</v>
      </c>
      <c r="S27" s="32"/>
      <c r="T27" s="49">
        <f t="shared" si="15"/>
        <v>157600.20000000001</v>
      </c>
      <c r="U27" s="32"/>
      <c r="V27" s="49">
        <f t="shared" si="16"/>
        <v>157600.20000000001</v>
      </c>
      <c r="W27" s="29">
        <f>65000</f>
        <v>65000</v>
      </c>
      <c r="X27" s="9">
        <f t="shared" si="17"/>
        <v>222600.2</v>
      </c>
      <c r="Y27" s="46">
        <v>2420141170</v>
      </c>
    </row>
    <row r="28" spans="1:27" ht="54" x14ac:dyDescent="0.3">
      <c r="A28" s="6" t="s">
        <v>62</v>
      </c>
      <c r="B28" s="14" t="s">
        <v>116</v>
      </c>
      <c r="C28" s="15" t="s">
        <v>29</v>
      </c>
      <c r="D28" s="8">
        <v>315700.2</v>
      </c>
      <c r="E28" s="8">
        <v>-12242.5</v>
      </c>
      <c r="F28" s="9">
        <f t="shared" si="0"/>
        <v>303457.7</v>
      </c>
      <c r="G28" s="10"/>
      <c r="H28" s="9">
        <f t="shared" si="1"/>
        <v>303457.7</v>
      </c>
      <c r="I28" s="10"/>
      <c r="J28" s="9">
        <f t="shared" si="10"/>
        <v>303457.7</v>
      </c>
      <c r="K28" s="10"/>
      <c r="L28" s="9">
        <f t="shared" si="11"/>
        <v>303457.7</v>
      </c>
      <c r="M28" s="10"/>
      <c r="N28" s="9">
        <f t="shared" si="12"/>
        <v>303457.7</v>
      </c>
      <c r="O28" s="32">
        <v>-88.858000000000004</v>
      </c>
      <c r="P28" s="9">
        <f t="shared" si="13"/>
        <v>303368.842</v>
      </c>
      <c r="Q28" s="32"/>
      <c r="R28" s="49">
        <f t="shared" si="14"/>
        <v>303368.842</v>
      </c>
      <c r="S28" s="32"/>
      <c r="T28" s="49">
        <f t="shared" si="15"/>
        <v>303368.842</v>
      </c>
      <c r="U28" s="32"/>
      <c r="V28" s="49">
        <f t="shared" si="16"/>
        <v>303368.842</v>
      </c>
      <c r="W28" s="29">
        <v>-65000</v>
      </c>
      <c r="X28" s="9">
        <f t="shared" si="17"/>
        <v>238368.842</v>
      </c>
      <c r="Y28" s="46">
        <v>2420141180</v>
      </c>
    </row>
    <row r="29" spans="1:27" ht="36" x14ac:dyDescent="0.3">
      <c r="A29" s="6" t="s">
        <v>64</v>
      </c>
      <c r="B29" s="19" t="s">
        <v>50</v>
      </c>
      <c r="C29" s="15" t="s">
        <v>4</v>
      </c>
      <c r="D29" s="8">
        <v>15000</v>
      </c>
      <c r="E29" s="8"/>
      <c r="F29" s="9">
        <f t="shared" si="0"/>
        <v>15000</v>
      </c>
      <c r="G29" s="10"/>
      <c r="H29" s="9">
        <f t="shared" si="1"/>
        <v>15000</v>
      </c>
      <c r="I29" s="10"/>
      <c r="J29" s="9">
        <f t="shared" si="10"/>
        <v>15000</v>
      </c>
      <c r="K29" s="10"/>
      <c r="L29" s="9">
        <f t="shared" si="11"/>
        <v>15000</v>
      </c>
      <c r="M29" s="10"/>
      <c r="N29" s="9">
        <f t="shared" si="12"/>
        <v>15000</v>
      </c>
      <c r="O29" s="32"/>
      <c r="P29" s="9">
        <f t="shared" si="13"/>
        <v>15000</v>
      </c>
      <c r="Q29" s="32"/>
      <c r="R29" s="49">
        <f t="shared" si="14"/>
        <v>15000</v>
      </c>
      <c r="S29" s="32"/>
      <c r="T29" s="49">
        <f t="shared" si="15"/>
        <v>15000</v>
      </c>
      <c r="U29" s="32"/>
      <c r="V29" s="49">
        <f t="shared" si="16"/>
        <v>15000</v>
      </c>
      <c r="W29" s="29">
        <v>-15000</v>
      </c>
      <c r="X29" s="9">
        <f t="shared" si="17"/>
        <v>0</v>
      </c>
      <c r="Y29" s="46">
        <v>2420141550</v>
      </c>
    </row>
    <row r="30" spans="1:27" ht="54" x14ac:dyDescent="0.3">
      <c r="A30" s="6" t="s">
        <v>66</v>
      </c>
      <c r="B30" s="19" t="s">
        <v>48</v>
      </c>
      <c r="C30" s="15" t="s">
        <v>33</v>
      </c>
      <c r="D30" s="8">
        <v>4912.5</v>
      </c>
      <c r="E30" s="8">
        <v>-2462.5</v>
      </c>
      <c r="F30" s="9">
        <f t="shared" si="0"/>
        <v>2450</v>
      </c>
      <c r="G30" s="10"/>
      <c r="H30" s="9">
        <f t="shared" si="1"/>
        <v>2450</v>
      </c>
      <c r="I30" s="10"/>
      <c r="J30" s="9">
        <f t="shared" si="10"/>
        <v>2450</v>
      </c>
      <c r="K30" s="10"/>
      <c r="L30" s="9">
        <f t="shared" si="11"/>
        <v>2450</v>
      </c>
      <c r="M30" s="10"/>
      <c r="N30" s="9">
        <f t="shared" si="12"/>
        <v>2450</v>
      </c>
      <c r="O30" s="32">
        <v>13212.562</v>
      </c>
      <c r="P30" s="9">
        <f t="shared" si="13"/>
        <v>15662.562</v>
      </c>
      <c r="Q30" s="32"/>
      <c r="R30" s="49">
        <f t="shared" si="14"/>
        <v>15662.562</v>
      </c>
      <c r="S30" s="32"/>
      <c r="T30" s="49">
        <f t="shared" si="15"/>
        <v>15662.562</v>
      </c>
      <c r="U30" s="32"/>
      <c r="V30" s="49">
        <f t="shared" si="16"/>
        <v>15662.562</v>
      </c>
      <c r="W30" s="29">
        <v>-13212.562</v>
      </c>
      <c r="X30" s="9">
        <f t="shared" si="17"/>
        <v>2450</v>
      </c>
      <c r="Y30" s="46">
        <v>2420141580</v>
      </c>
    </row>
    <row r="31" spans="1:27" ht="54" x14ac:dyDescent="0.3">
      <c r="A31" s="6" t="s">
        <v>61</v>
      </c>
      <c r="B31" s="19" t="s">
        <v>100</v>
      </c>
      <c r="C31" s="15" t="s">
        <v>33</v>
      </c>
      <c r="D31" s="8">
        <v>9649.9</v>
      </c>
      <c r="E31" s="8">
        <v>-307</v>
      </c>
      <c r="F31" s="9">
        <f t="shared" si="0"/>
        <v>9342.9</v>
      </c>
      <c r="G31" s="10"/>
      <c r="H31" s="9">
        <f t="shared" si="1"/>
        <v>9342.9</v>
      </c>
      <c r="I31" s="10"/>
      <c r="J31" s="9">
        <f t="shared" si="10"/>
        <v>9342.9</v>
      </c>
      <c r="K31" s="10"/>
      <c r="L31" s="9">
        <f t="shared" si="11"/>
        <v>9342.9</v>
      </c>
      <c r="M31" s="10"/>
      <c r="N31" s="9">
        <f t="shared" si="12"/>
        <v>9342.9</v>
      </c>
      <c r="O31" s="32"/>
      <c r="P31" s="9">
        <f t="shared" si="13"/>
        <v>9342.9</v>
      </c>
      <c r="Q31" s="32"/>
      <c r="R31" s="49">
        <f t="shared" si="14"/>
        <v>9342.9</v>
      </c>
      <c r="S31" s="32">
        <v>959.21199999999999</v>
      </c>
      <c r="T31" s="49">
        <f t="shared" si="15"/>
        <v>10302.111999999999</v>
      </c>
      <c r="U31" s="32"/>
      <c r="V31" s="49">
        <f t="shared" si="16"/>
        <v>10302.111999999999</v>
      </c>
      <c r="W31" s="10"/>
      <c r="X31" s="9">
        <f t="shared" si="17"/>
        <v>10302.111999999999</v>
      </c>
      <c r="Y31" s="46">
        <v>2420141590</v>
      </c>
    </row>
    <row r="32" spans="1:27" ht="54" x14ac:dyDescent="0.3">
      <c r="A32" s="6" t="s">
        <v>63</v>
      </c>
      <c r="B32" s="19" t="s">
        <v>101</v>
      </c>
      <c r="C32" s="15" t="s">
        <v>33</v>
      </c>
      <c r="D32" s="8">
        <v>60521.7</v>
      </c>
      <c r="E32" s="8">
        <v>1201.9000000000001</v>
      </c>
      <c r="F32" s="9">
        <f t="shared" si="0"/>
        <v>61723.6</v>
      </c>
      <c r="G32" s="10">
        <v>2995</v>
      </c>
      <c r="H32" s="9">
        <f t="shared" si="1"/>
        <v>64718.6</v>
      </c>
      <c r="I32" s="10"/>
      <c r="J32" s="9">
        <f t="shared" si="10"/>
        <v>64718.6</v>
      </c>
      <c r="K32" s="10"/>
      <c r="L32" s="9">
        <f t="shared" si="11"/>
        <v>64718.6</v>
      </c>
      <c r="M32" s="10"/>
      <c r="N32" s="9">
        <f t="shared" si="12"/>
        <v>64718.6</v>
      </c>
      <c r="O32" s="32">
        <v>-61713.061999999998</v>
      </c>
      <c r="P32" s="9">
        <f t="shared" si="13"/>
        <v>3005.5380000000005</v>
      </c>
      <c r="Q32" s="32"/>
      <c r="R32" s="49">
        <f t="shared" si="14"/>
        <v>3005.5380000000005</v>
      </c>
      <c r="S32" s="32"/>
      <c r="T32" s="49">
        <f t="shared" si="15"/>
        <v>3005.5380000000005</v>
      </c>
      <c r="U32" s="32"/>
      <c r="V32" s="49">
        <f t="shared" si="16"/>
        <v>3005.5380000000005</v>
      </c>
      <c r="W32" s="10"/>
      <c r="X32" s="9">
        <f t="shared" si="17"/>
        <v>3005.5380000000005</v>
      </c>
      <c r="Y32" s="46">
        <v>2420141390</v>
      </c>
    </row>
    <row r="33" spans="1:27" ht="36" x14ac:dyDescent="0.3">
      <c r="A33" s="6" t="s">
        <v>65</v>
      </c>
      <c r="B33" s="19" t="s">
        <v>49</v>
      </c>
      <c r="C33" s="15" t="s">
        <v>4</v>
      </c>
      <c r="D33" s="8">
        <v>18000</v>
      </c>
      <c r="E33" s="8"/>
      <c r="F33" s="9">
        <f t="shared" si="0"/>
        <v>18000</v>
      </c>
      <c r="G33" s="10"/>
      <c r="H33" s="9">
        <f t="shared" si="1"/>
        <v>18000</v>
      </c>
      <c r="I33" s="10"/>
      <c r="J33" s="9">
        <f t="shared" si="10"/>
        <v>18000</v>
      </c>
      <c r="K33" s="10"/>
      <c r="L33" s="9">
        <f t="shared" si="11"/>
        <v>18000</v>
      </c>
      <c r="M33" s="10"/>
      <c r="N33" s="9">
        <f t="shared" si="12"/>
        <v>18000</v>
      </c>
      <c r="O33" s="32"/>
      <c r="P33" s="9">
        <f t="shared" si="13"/>
        <v>18000</v>
      </c>
      <c r="Q33" s="32"/>
      <c r="R33" s="49">
        <f t="shared" si="14"/>
        <v>18000</v>
      </c>
      <c r="S33" s="32"/>
      <c r="T33" s="49">
        <f t="shared" si="15"/>
        <v>18000</v>
      </c>
      <c r="U33" s="32"/>
      <c r="V33" s="49">
        <f t="shared" si="16"/>
        <v>18000</v>
      </c>
      <c r="W33" s="29">
        <v>-3524</v>
      </c>
      <c r="X33" s="9">
        <f t="shared" si="17"/>
        <v>14476</v>
      </c>
      <c r="Y33" s="46">
        <v>2420141700</v>
      </c>
    </row>
    <row r="34" spans="1:27" ht="36" x14ac:dyDescent="0.3">
      <c r="A34" s="6" t="s">
        <v>69</v>
      </c>
      <c r="B34" s="19" t="s">
        <v>174</v>
      </c>
      <c r="C34" s="15" t="s">
        <v>4</v>
      </c>
      <c r="D34" s="8">
        <v>9522.9</v>
      </c>
      <c r="E34" s="8"/>
      <c r="F34" s="9">
        <f t="shared" si="0"/>
        <v>9522.9</v>
      </c>
      <c r="G34" s="10"/>
      <c r="H34" s="9">
        <f t="shared" si="1"/>
        <v>9522.9</v>
      </c>
      <c r="I34" s="10"/>
      <c r="J34" s="9">
        <f t="shared" si="10"/>
        <v>9522.9</v>
      </c>
      <c r="K34" s="10"/>
      <c r="L34" s="9">
        <f t="shared" si="11"/>
        <v>9522.9</v>
      </c>
      <c r="M34" s="10"/>
      <c r="N34" s="9">
        <f t="shared" si="12"/>
        <v>9522.9</v>
      </c>
      <c r="O34" s="32"/>
      <c r="P34" s="9">
        <f t="shared" si="13"/>
        <v>9522.9</v>
      </c>
      <c r="Q34" s="32"/>
      <c r="R34" s="49">
        <f t="shared" si="14"/>
        <v>9522.9</v>
      </c>
      <c r="S34" s="32">
        <v>1774.0630000000001</v>
      </c>
      <c r="T34" s="49">
        <f t="shared" si="15"/>
        <v>11296.963</v>
      </c>
      <c r="U34" s="32"/>
      <c r="V34" s="49">
        <f t="shared" si="16"/>
        <v>11296.963</v>
      </c>
      <c r="W34" s="29">
        <v>-599.89599999999996</v>
      </c>
      <c r="X34" s="9">
        <f t="shared" si="17"/>
        <v>10697.066999999999</v>
      </c>
      <c r="Y34" s="46">
        <v>2420141630</v>
      </c>
    </row>
    <row r="35" spans="1:27" ht="54" x14ac:dyDescent="0.3">
      <c r="A35" s="6" t="s">
        <v>70</v>
      </c>
      <c r="B35" s="19" t="s">
        <v>179</v>
      </c>
      <c r="C35" s="15" t="s">
        <v>33</v>
      </c>
      <c r="D35" s="8"/>
      <c r="E35" s="8">
        <v>34170.300000000003</v>
      </c>
      <c r="F35" s="9">
        <f t="shared" si="0"/>
        <v>34170.300000000003</v>
      </c>
      <c r="G35" s="10">
        <v>7068.5940000000001</v>
      </c>
      <c r="H35" s="9">
        <f t="shared" si="1"/>
        <v>41238.894</v>
      </c>
      <c r="I35" s="10"/>
      <c r="J35" s="9">
        <f t="shared" si="10"/>
        <v>41238.894</v>
      </c>
      <c r="K35" s="10"/>
      <c r="L35" s="9">
        <f t="shared" si="11"/>
        <v>41238.894</v>
      </c>
      <c r="M35" s="10"/>
      <c r="N35" s="9">
        <f t="shared" si="12"/>
        <v>41238.894</v>
      </c>
      <c r="O35" s="32"/>
      <c r="P35" s="9">
        <f t="shared" si="13"/>
        <v>41238.894</v>
      </c>
      <c r="Q35" s="32"/>
      <c r="R35" s="49">
        <f t="shared" si="14"/>
        <v>41238.894</v>
      </c>
      <c r="S35" s="32"/>
      <c r="T35" s="49">
        <f t="shared" si="15"/>
        <v>41238.894</v>
      </c>
      <c r="U35" s="32"/>
      <c r="V35" s="49">
        <f t="shared" si="16"/>
        <v>41238.894</v>
      </c>
      <c r="W35" s="10"/>
      <c r="X35" s="9">
        <f t="shared" si="17"/>
        <v>41238.894</v>
      </c>
      <c r="Y35" s="46">
        <v>2410141690</v>
      </c>
    </row>
    <row r="36" spans="1:27" ht="54" x14ac:dyDescent="0.3">
      <c r="A36" s="6" t="s">
        <v>71</v>
      </c>
      <c r="B36" s="19" t="s">
        <v>138</v>
      </c>
      <c r="C36" s="15" t="s">
        <v>33</v>
      </c>
      <c r="D36" s="8"/>
      <c r="E36" s="8"/>
      <c r="F36" s="9"/>
      <c r="G36" s="10">
        <v>29190.458999999999</v>
      </c>
      <c r="H36" s="9">
        <f t="shared" si="1"/>
        <v>29190.458999999999</v>
      </c>
      <c r="I36" s="10"/>
      <c r="J36" s="9">
        <f t="shared" si="10"/>
        <v>29190.458999999999</v>
      </c>
      <c r="K36" s="10"/>
      <c r="L36" s="9">
        <f t="shared" si="11"/>
        <v>29190.458999999999</v>
      </c>
      <c r="M36" s="10"/>
      <c r="N36" s="9">
        <f t="shared" si="12"/>
        <v>29190.458999999999</v>
      </c>
      <c r="O36" s="32">
        <v>50000</v>
      </c>
      <c r="P36" s="9">
        <f t="shared" si="13"/>
        <v>79190.459000000003</v>
      </c>
      <c r="Q36" s="32"/>
      <c r="R36" s="49">
        <f t="shared" si="14"/>
        <v>79190.459000000003</v>
      </c>
      <c r="S36" s="32">
        <f>6592.848-0.169</f>
        <v>6592.6790000000001</v>
      </c>
      <c r="T36" s="49">
        <f>R36+S36</f>
        <v>85783.138000000006</v>
      </c>
      <c r="U36" s="32"/>
      <c r="V36" s="49">
        <f>T36+U36</f>
        <v>85783.138000000006</v>
      </c>
      <c r="W36" s="10"/>
      <c r="X36" s="9">
        <f>V36+W36</f>
        <v>85783.138000000006</v>
      </c>
      <c r="Y36" s="46">
        <v>2420141330</v>
      </c>
    </row>
    <row r="37" spans="1:27" ht="54" x14ac:dyDescent="0.3">
      <c r="A37" s="6" t="s">
        <v>72</v>
      </c>
      <c r="B37" s="19" t="s">
        <v>140</v>
      </c>
      <c r="C37" s="15" t="s">
        <v>19</v>
      </c>
      <c r="D37" s="8"/>
      <c r="E37" s="8"/>
      <c r="F37" s="9"/>
      <c r="G37" s="10">
        <v>1000</v>
      </c>
      <c r="H37" s="9">
        <f t="shared" si="1"/>
        <v>1000</v>
      </c>
      <c r="I37" s="10"/>
      <c r="J37" s="9">
        <f t="shared" si="10"/>
        <v>1000</v>
      </c>
      <c r="K37" s="10"/>
      <c r="L37" s="9">
        <f t="shared" si="11"/>
        <v>1000</v>
      </c>
      <c r="M37" s="10"/>
      <c r="N37" s="9">
        <f t="shared" si="12"/>
        <v>1000</v>
      </c>
      <c r="O37" s="32"/>
      <c r="P37" s="9">
        <f t="shared" si="13"/>
        <v>1000</v>
      </c>
      <c r="Q37" s="32"/>
      <c r="R37" s="49">
        <f t="shared" si="14"/>
        <v>1000</v>
      </c>
      <c r="S37" s="32"/>
      <c r="T37" s="49">
        <f t="shared" si="15"/>
        <v>1000</v>
      </c>
      <c r="U37" s="32"/>
      <c r="V37" s="49">
        <f t="shared" ref="V37:V40" si="18">T37+U37</f>
        <v>1000</v>
      </c>
      <c r="W37" s="10"/>
      <c r="X37" s="9">
        <f t="shared" ref="X37:X40" si="19">V37+W37</f>
        <v>1000</v>
      </c>
      <c r="Y37" s="46">
        <v>2410141620</v>
      </c>
    </row>
    <row r="38" spans="1:27" ht="36" x14ac:dyDescent="0.3">
      <c r="A38" s="6" t="s">
        <v>73</v>
      </c>
      <c r="B38" s="19" t="s">
        <v>147</v>
      </c>
      <c r="C38" s="15" t="s">
        <v>4</v>
      </c>
      <c r="D38" s="8"/>
      <c r="E38" s="8"/>
      <c r="F38" s="9"/>
      <c r="G38" s="10"/>
      <c r="H38" s="9"/>
      <c r="I38" s="10"/>
      <c r="J38" s="9"/>
      <c r="K38" s="10">
        <v>622.99</v>
      </c>
      <c r="L38" s="9">
        <f t="shared" si="11"/>
        <v>622.99</v>
      </c>
      <c r="M38" s="10"/>
      <c r="N38" s="9">
        <f t="shared" si="12"/>
        <v>622.99</v>
      </c>
      <c r="O38" s="32"/>
      <c r="P38" s="9">
        <f t="shared" si="13"/>
        <v>622.99</v>
      </c>
      <c r="Q38" s="32"/>
      <c r="R38" s="49">
        <f t="shared" si="14"/>
        <v>622.99</v>
      </c>
      <c r="S38" s="32"/>
      <c r="T38" s="49">
        <f t="shared" si="15"/>
        <v>622.99</v>
      </c>
      <c r="U38" s="32"/>
      <c r="V38" s="49">
        <f t="shared" si="18"/>
        <v>622.99</v>
      </c>
      <c r="W38" s="10"/>
      <c r="X38" s="9">
        <f t="shared" si="19"/>
        <v>622.99</v>
      </c>
      <c r="Y38" s="46">
        <v>2420141190</v>
      </c>
    </row>
    <row r="39" spans="1:27" ht="54" x14ac:dyDescent="0.3">
      <c r="A39" s="6" t="s">
        <v>74</v>
      </c>
      <c r="B39" s="19" t="s">
        <v>178</v>
      </c>
      <c r="C39" s="15" t="s">
        <v>33</v>
      </c>
      <c r="D39" s="8"/>
      <c r="E39" s="8"/>
      <c r="F39" s="9"/>
      <c r="G39" s="10"/>
      <c r="H39" s="9"/>
      <c r="I39" s="10"/>
      <c r="J39" s="9"/>
      <c r="K39" s="10"/>
      <c r="L39" s="9"/>
      <c r="M39" s="10"/>
      <c r="N39" s="9"/>
      <c r="O39" s="32"/>
      <c r="P39" s="9"/>
      <c r="Q39" s="32"/>
      <c r="R39" s="49"/>
      <c r="S39" s="32">
        <v>18.687999999999999</v>
      </c>
      <c r="T39" s="49">
        <f t="shared" si="15"/>
        <v>18.687999999999999</v>
      </c>
      <c r="U39" s="32"/>
      <c r="V39" s="49">
        <f t="shared" si="18"/>
        <v>18.687999999999999</v>
      </c>
      <c r="W39" s="10"/>
      <c r="X39" s="9">
        <f t="shared" si="19"/>
        <v>18.687999999999999</v>
      </c>
      <c r="Y39" s="46">
        <v>2420141400</v>
      </c>
    </row>
    <row r="40" spans="1:27" x14ac:dyDescent="0.3">
      <c r="A40" s="6"/>
      <c r="B40" s="19" t="s">
        <v>5</v>
      </c>
      <c r="C40" s="15"/>
      <c r="D40" s="35">
        <f>D45+D46+D49+D50+D51+D52+D53+D47+D48</f>
        <v>1260078.2</v>
      </c>
      <c r="E40" s="35">
        <f>E42+E43+E44</f>
        <v>0</v>
      </c>
      <c r="F40" s="36">
        <f t="shared" si="0"/>
        <v>1260078.2</v>
      </c>
      <c r="G40" s="33">
        <f>G42+G43+G44</f>
        <v>161835.34299999999</v>
      </c>
      <c r="H40" s="36">
        <f t="shared" si="1"/>
        <v>1421913.5430000001</v>
      </c>
      <c r="I40" s="33">
        <f>I42+I43+I44</f>
        <v>-65000</v>
      </c>
      <c r="J40" s="36">
        <f t="shared" si="10"/>
        <v>1356913.5430000001</v>
      </c>
      <c r="K40" s="33">
        <f>K42+K43+K44</f>
        <v>-300</v>
      </c>
      <c r="L40" s="36">
        <f t="shared" si="11"/>
        <v>1356613.5430000001</v>
      </c>
      <c r="M40" s="33">
        <f>M42+M43+M44</f>
        <v>0</v>
      </c>
      <c r="N40" s="36">
        <f t="shared" si="12"/>
        <v>1356613.5430000001</v>
      </c>
      <c r="O40" s="33">
        <f>O42+O43+O44</f>
        <v>-108015.01199999999</v>
      </c>
      <c r="P40" s="36">
        <f t="shared" si="13"/>
        <v>1248598.531</v>
      </c>
      <c r="Q40" s="33">
        <f>Q42+Q43+Q44</f>
        <v>-844.63800000000629</v>
      </c>
      <c r="R40" s="36">
        <f t="shared" si="14"/>
        <v>1247753.8929999999</v>
      </c>
      <c r="S40" s="33">
        <f>S42+S43+S44</f>
        <v>67903.313999999998</v>
      </c>
      <c r="T40" s="36">
        <f t="shared" si="15"/>
        <v>1315657.2069999999</v>
      </c>
      <c r="U40" s="33">
        <f>U42+U43+U44</f>
        <v>0</v>
      </c>
      <c r="V40" s="36">
        <f t="shared" si="18"/>
        <v>1315657.2069999999</v>
      </c>
      <c r="W40" s="10">
        <f>W42+W43+W44</f>
        <v>-52011.241000000002</v>
      </c>
      <c r="X40" s="9">
        <f t="shared" si="19"/>
        <v>1263645.966</v>
      </c>
      <c r="Y40" s="37"/>
      <c r="Z40" s="38"/>
      <c r="AA40" s="38"/>
    </row>
    <row r="41" spans="1:27" x14ac:dyDescent="0.3">
      <c r="A41" s="6"/>
      <c r="B41" s="7" t="s">
        <v>2</v>
      </c>
      <c r="C41" s="15"/>
      <c r="D41" s="8"/>
      <c r="E41" s="8"/>
      <c r="F41" s="9"/>
      <c r="G41" s="10"/>
      <c r="H41" s="9"/>
      <c r="I41" s="10"/>
      <c r="J41" s="9"/>
      <c r="K41" s="10"/>
      <c r="L41" s="9"/>
      <c r="M41" s="10"/>
      <c r="N41" s="9"/>
      <c r="O41" s="32"/>
      <c r="P41" s="9"/>
      <c r="Q41" s="32"/>
      <c r="R41" s="49"/>
      <c r="S41" s="32"/>
      <c r="T41" s="49"/>
      <c r="U41" s="32"/>
      <c r="V41" s="49"/>
      <c r="W41" s="10"/>
      <c r="X41" s="9"/>
    </row>
    <row r="42" spans="1:27" hidden="1" x14ac:dyDescent="0.35">
      <c r="A42" s="6"/>
      <c r="B42" s="19" t="s">
        <v>3</v>
      </c>
      <c r="C42" s="17"/>
      <c r="D42" s="13">
        <f>D45+D46+D49+D50+D51+D52+D55+D47+D48</f>
        <v>1260078.2</v>
      </c>
      <c r="E42" s="13">
        <f>E45+E46+E47+E48+E49+E50+E51+E52+E55</f>
        <v>0</v>
      </c>
      <c r="F42" s="9">
        <f t="shared" si="0"/>
        <v>1260078.2</v>
      </c>
      <c r="G42" s="10">
        <f>G45+G46+G47+G48+G49+G50+G51+G52+G55+G60+G62+G63+G64</f>
        <v>154625.84299999999</v>
      </c>
      <c r="H42" s="9">
        <f t="shared" si="1"/>
        <v>1414704.0430000001</v>
      </c>
      <c r="I42" s="10">
        <f>I45+I46+I47+I48+I49+I50+I51+I52+I55+I60+I62+I63+I64</f>
        <v>-65000</v>
      </c>
      <c r="J42" s="9">
        <f t="shared" ref="J42:J53" si="20">H42+I42</f>
        <v>1349704.0430000001</v>
      </c>
      <c r="K42" s="10">
        <f>K45+K46+K47+K48+K49+K50+K51+K52+K55+K60+K62+K63+K64</f>
        <v>-300</v>
      </c>
      <c r="L42" s="9">
        <f t="shared" ref="L42:L53" si="21">J42+K42</f>
        <v>1349404.0430000001</v>
      </c>
      <c r="M42" s="10">
        <f>M45+M46+M47+M48+M49+M50+M51+M52+M55+M60+M62+M63+M64</f>
        <v>0</v>
      </c>
      <c r="N42" s="9">
        <f t="shared" ref="N42:N53" si="22">L42+M42</f>
        <v>1349404.0430000001</v>
      </c>
      <c r="O42" s="32">
        <f>O45+O46+O47+O48+O49+O50+O51+O52+O55+O60+O62+O63+O64+O67</f>
        <v>-132024.12099999998</v>
      </c>
      <c r="P42" s="9">
        <f t="shared" ref="P42:P53" si="23">N42+O42</f>
        <v>1217379.922</v>
      </c>
      <c r="Q42" s="32">
        <f>Q45+Q46+Q47+Q48+Q49+Q50+Q51+Q52+Q55+Q60+Q62+Q63+Q64+Q67+Q69</f>
        <v>-844.63800000000629</v>
      </c>
      <c r="R42" s="9">
        <f t="shared" ref="R42:R53" si="24">P42+Q42</f>
        <v>1216535.284</v>
      </c>
      <c r="S42" s="32">
        <f>S45+S46+S47+S48+S49+S50+S51+S52+S55+S60+S62+S63+S64+S67+S69+S70</f>
        <v>67903.313999999998</v>
      </c>
      <c r="T42" s="9">
        <f t="shared" ref="T42:T53" si="25">R42+S42</f>
        <v>1284438.598</v>
      </c>
      <c r="U42" s="32">
        <f>U45+U46+U47+U48+U49+U50+U51+U52+U55+U60+U62+U63+U64+U67+U69+U70</f>
        <v>0</v>
      </c>
      <c r="V42" s="9">
        <f t="shared" ref="V42:V44" si="26">T42+U42</f>
        <v>1284438.598</v>
      </c>
      <c r="W42" s="10">
        <f>W45+W46+W47+W48+W49+W50+W51+W52+W55+W60+W62+W63+W64+W67+W69+W70</f>
        <v>-52011.241000000002</v>
      </c>
      <c r="X42" s="9">
        <f t="shared" ref="X42:X44" si="27">V42+W42</f>
        <v>1232427.3570000001</v>
      </c>
      <c r="Y42" s="5"/>
      <c r="Z42" s="1">
        <v>0</v>
      </c>
      <c r="AA42" s="1"/>
    </row>
    <row r="43" spans="1:27" x14ac:dyDescent="0.3">
      <c r="A43" s="6"/>
      <c r="B43" s="19" t="s">
        <v>20</v>
      </c>
      <c r="C43" s="15"/>
      <c r="D43" s="8">
        <f>D56</f>
        <v>0</v>
      </c>
      <c r="E43" s="8">
        <f>E56</f>
        <v>0</v>
      </c>
      <c r="F43" s="9">
        <f t="shared" si="0"/>
        <v>0</v>
      </c>
      <c r="G43" s="10">
        <f>G56</f>
        <v>0</v>
      </c>
      <c r="H43" s="9">
        <f t="shared" si="1"/>
        <v>0</v>
      </c>
      <c r="I43" s="10">
        <f>I56</f>
        <v>0</v>
      </c>
      <c r="J43" s="9">
        <f t="shared" si="20"/>
        <v>0</v>
      </c>
      <c r="K43" s="10">
        <f>K56</f>
        <v>0</v>
      </c>
      <c r="L43" s="9">
        <f t="shared" si="21"/>
        <v>0</v>
      </c>
      <c r="M43" s="10">
        <f>M56</f>
        <v>0</v>
      </c>
      <c r="N43" s="9">
        <f t="shared" si="22"/>
        <v>0</v>
      </c>
      <c r="O43" s="32">
        <f>O56+O68</f>
        <v>24009.109</v>
      </c>
      <c r="P43" s="9">
        <f t="shared" si="23"/>
        <v>24009.109</v>
      </c>
      <c r="Q43" s="32">
        <f>Q56+Q68</f>
        <v>0</v>
      </c>
      <c r="R43" s="49">
        <f t="shared" si="24"/>
        <v>24009.109</v>
      </c>
      <c r="S43" s="32">
        <f>S56+S68</f>
        <v>0</v>
      </c>
      <c r="T43" s="49">
        <f t="shared" si="25"/>
        <v>24009.109</v>
      </c>
      <c r="U43" s="32">
        <f>U56+U68</f>
        <v>0</v>
      </c>
      <c r="V43" s="49">
        <f t="shared" si="26"/>
        <v>24009.109</v>
      </c>
      <c r="W43" s="10">
        <f>W56+W68</f>
        <v>0</v>
      </c>
      <c r="X43" s="9">
        <f t="shared" si="27"/>
        <v>24009.109</v>
      </c>
    </row>
    <row r="44" spans="1:27" x14ac:dyDescent="0.3">
      <c r="A44" s="6"/>
      <c r="B44" s="19" t="s">
        <v>32</v>
      </c>
      <c r="C44" s="15"/>
      <c r="D44" s="8">
        <f>D57</f>
        <v>0</v>
      </c>
      <c r="E44" s="8">
        <f>E57</f>
        <v>0</v>
      </c>
      <c r="F44" s="9">
        <f t="shared" si="0"/>
        <v>0</v>
      </c>
      <c r="G44" s="10">
        <f>G57+G61</f>
        <v>7209.5</v>
      </c>
      <c r="H44" s="9">
        <f t="shared" si="1"/>
        <v>7209.5</v>
      </c>
      <c r="I44" s="10">
        <f>I57+I61</f>
        <v>0</v>
      </c>
      <c r="J44" s="9">
        <f t="shared" si="20"/>
        <v>7209.5</v>
      </c>
      <c r="K44" s="10">
        <f>K57+K61</f>
        <v>0</v>
      </c>
      <c r="L44" s="9">
        <f t="shared" si="21"/>
        <v>7209.5</v>
      </c>
      <c r="M44" s="10">
        <f>M57+M61</f>
        <v>0</v>
      </c>
      <c r="N44" s="9">
        <f t="shared" si="22"/>
        <v>7209.5</v>
      </c>
      <c r="O44" s="32">
        <f>O57+O61</f>
        <v>0</v>
      </c>
      <c r="P44" s="9">
        <f t="shared" si="23"/>
        <v>7209.5</v>
      </c>
      <c r="Q44" s="32">
        <f>Q57+Q61</f>
        <v>0</v>
      </c>
      <c r="R44" s="49">
        <f t="shared" si="24"/>
        <v>7209.5</v>
      </c>
      <c r="S44" s="32">
        <f>S57+S61</f>
        <v>0</v>
      </c>
      <c r="T44" s="49">
        <f t="shared" si="25"/>
        <v>7209.5</v>
      </c>
      <c r="U44" s="32">
        <f>U57+U61</f>
        <v>0</v>
      </c>
      <c r="V44" s="49">
        <f t="shared" si="26"/>
        <v>7209.5</v>
      </c>
      <c r="W44" s="10">
        <f>W57+W61</f>
        <v>0</v>
      </c>
      <c r="X44" s="9">
        <f t="shared" si="27"/>
        <v>7209.5</v>
      </c>
    </row>
    <row r="45" spans="1:27" ht="74.25" customHeight="1" x14ac:dyDescent="0.3">
      <c r="A45" s="6" t="s">
        <v>75</v>
      </c>
      <c r="B45" s="20" t="s">
        <v>55</v>
      </c>
      <c r="C45" s="15" t="s">
        <v>15</v>
      </c>
      <c r="D45" s="8">
        <v>332437.7</v>
      </c>
      <c r="E45" s="8"/>
      <c r="F45" s="9">
        <f t="shared" si="0"/>
        <v>332437.7</v>
      </c>
      <c r="G45" s="10">
        <v>1951.847</v>
      </c>
      <c r="H45" s="9">
        <f t="shared" si="1"/>
        <v>334389.54700000002</v>
      </c>
      <c r="I45" s="10"/>
      <c r="J45" s="9">
        <f t="shared" si="20"/>
        <v>334389.54700000002</v>
      </c>
      <c r="K45" s="10"/>
      <c r="L45" s="9">
        <f t="shared" si="21"/>
        <v>334389.54700000002</v>
      </c>
      <c r="M45" s="10"/>
      <c r="N45" s="9">
        <f t="shared" si="22"/>
        <v>334389.54700000002</v>
      </c>
      <c r="O45" s="32"/>
      <c r="P45" s="9">
        <f t="shared" si="23"/>
        <v>334389.54700000002</v>
      </c>
      <c r="Q45" s="32"/>
      <c r="R45" s="49">
        <f t="shared" si="24"/>
        <v>334389.54700000002</v>
      </c>
      <c r="S45" s="32">
        <v>-8402.7090000000007</v>
      </c>
      <c r="T45" s="49">
        <f>R45+S45</f>
        <v>325986.83800000005</v>
      </c>
      <c r="U45" s="32"/>
      <c r="V45" s="49">
        <f>T45+U45</f>
        <v>325986.83800000005</v>
      </c>
      <c r="W45" s="10"/>
      <c r="X45" s="9">
        <f>V45+W45</f>
        <v>325986.83800000005</v>
      </c>
      <c r="Y45" s="46">
        <v>1530241800</v>
      </c>
    </row>
    <row r="46" spans="1:27" ht="72" x14ac:dyDescent="0.3">
      <c r="A46" s="6" t="s">
        <v>76</v>
      </c>
      <c r="B46" s="19" t="s">
        <v>16</v>
      </c>
      <c r="C46" s="15" t="s">
        <v>6</v>
      </c>
      <c r="D46" s="8">
        <v>2066.9</v>
      </c>
      <c r="E46" s="8"/>
      <c r="F46" s="9">
        <f t="shared" si="0"/>
        <v>2066.9</v>
      </c>
      <c r="G46" s="10">
        <v>48394.082999999999</v>
      </c>
      <c r="H46" s="9">
        <f t="shared" si="1"/>
        <v>50460.983</v>
      </c>
      <c r="I46" s="10"/>
      <c r="J46" s="9">
        <f t="shared" si="20"/>
        <v>50460.983</v>
      </c>
      <c r="K46" s="10"/>
      <c r="L46" s="9">
        <f t="shared" si="21"/>
        <v>50460.983</v>
      </c>
      <c r="M46" s="10"/>
      <c r="N46" s="9">
        <f t="shared" si="22"/>
        <v>50460.983</v>
      </c>
      <c r="O46" s="32"/>
      <c r="P46" s="9">
        <f t="shared" si="23"/>
        <v>50460.983</v>
      </c>
      <c r="Q46" s="32"/>
      <c r="R46" s="49">
        <f t="shared" si="24"/>
        <v>50460.983</v>
      </c>
      <c r="S46" s="32"/>
      <c r="T46" s="49">
        <f t="shared" si="25"/>
        <v>50460.983</v>
      </c>
      <c r="U46" s="32"/>
      <c r="V46" s="49">
        <f t="shared" ref="V46:V53" si="28">T46+U46</f>
        <v>50460.983</v>
      </c>
      <c r="W46" s="10"/>
      <c r="X46" s="9">
        <f t="shared" ref="X46:X53" si="29">V46+W46</f>
        <v>50460.983</v>
      </c>
      <c r="Y46" s="46">
        <v>1710141090</v>
      </c>
    </row>
    <row r="47" spans="1:27" ht="72" x14ac:dyDescent="0.3">
      <c r="A47" s="6" t="s">
        <v>77</v>
      </c>
      <c r="B47" s="19" t="s">
        <v>38</v>
      </c>
      <c r="C47" s="15" t="s">
        <v>6</v>
      </c>
      <c r="D47" s="8">
        <v>196942.2</v>
      </c>
      <c r="E47" s="8"/>
      <c r="F47" s="9">
        <f t="shared" si="0"/>
        <v>196942.2</v>
      </c>
      <c r="G47" s="10">
        <v>4470.357</v>
      </c>
      <c r="H47" s="9">
        <f t="shared" si="1"/>
        <v>201412.557</v>
      </c>
      <c r="I47" s="10">
        <v>-65000</v>
      </c>
      <c r="J47" s="9">
        <f t="shared" si="20"/>
        <v>136412.557</v>
      </c>
      <c r="K47" s="10"/>
      <c r="L47" s="9">
        <f t="shared" si="21"/>
        <v>136412.557</v>
      </c>
      <c r="M47" s="10"/>
      <c r="N47" s="9">
        <f t="shared" si="22"/>
        <v>136412.557</v>
      </c>
      <c r="O47" s="32">
        <v>-57500</v>
      </c>
      <c r="P47" s="9">
        <f t="shared" si="23"/>
        <v>78912.557000000001</v>
      </c>
      <c r="Q47" s="32"/>
      <c r="R47" s="49">
        <f t="shared" si="24"/>
        <v>78912.557000000001</v>
      </c>
      <c r="S47" s="32"/>
      <c r="T47" s="49">
        <f t="shared" si="25"/>
        <v>78912.557000000001</v>
      </c>
      <c r="U47" s="32"/>
      <c r="V47" s="49">
        <f t="shared" si="28"/>
        <v>78912.557000000001</v>
      </c>
      <c r="W47" s="29">
        <v>-53000</v>
      </c>
      <c r="X47" s="9">
        <f t="shared" si="29"/>
        <v>25912.557000000001</v>
      </c>
      <c r="Y47" s="46">
        <v>1710141130</v>
      </c>
    </row>
    <row r="48" spans="1:27" ht="72" x14ac:dyDescent="0.3">
      <c r="A48" s="6" t="s">
        <v>78</v>
      </c>
      <c r="B48" s="19" t="s">
        <v>51</v>
      </c>
      <c r="C48" s="15" t="s">
        <v>6</v>
      </c>
      <c r="D48" s="8">
        <v>43898.9</v>
      </c>
      <c r="E48" s="8"/>
      <c r="F48" s="9">
        <f t="shared" si="0"/>
        <v>43898.9</v>
      </c>
      <c r="G48" s="10">
        <v>36635.930999999997</v>
      </c>
      <c r="H48" s="9">
        <f t="shared" si="1"/>
        <v>80534.831000000006</v>
      </c>
      <c r="I48" s="10"/>
      <c r="J48" s="9">
        <f t="shared" si="20"/>
        <v>80534.831000000006</v>
      </c>
      <c r="K48" s="10"/>
      <c r="L48" s="9">
        <f t="shared" si="21"/>
        <v>80534.831000000006</v>
      </c>
      <c r="M48" s="10"/>
      <c r="N48" s="9">
        <f t="shared" si="22"/>
        <v>80534.831000000006</v>
      </c>
      <c r="O48" s="32">
        <v>-16975.784</v>
      </c>
      <c r="P48" s="9">
        <f t="shared" si="23"/>
        <v>63559.047000000006</v>
      </c>
      <c r="Q48" s="32"/>
      <c r="R48" s="49">
        <f t="shared" si="24"/>
        <v>63559.047000000006</v>
      </c>
      <c r="S48" s="32">
        <v>-23819.892</v>
      </c>
      <c r="T48" s="49">
        <f t="shared" si="25"/>
        <v>39739.155000000006</v>
      </c>
      <c r="U48" s="32"/>
      <c r="V48" s="49">
        <f t="shared" si="28"/>
        <v>39739.155000000006</v>
      </c>
      <c r="W48" s="10"/>
      <c r="X48" s="9">
        <f t="shared" si="29"/>
        <v>39739.155000000006</v>
      </c>
      <c r="Y48" s="46">
        <v>1710241100</v>
      </c>
    </row>
    <row r="49" spans="1:27" ht="72" x14ac:dyDescent="0.3">
      <c r="A49" s="6" t="s">
        <v>79</v>
      </c>
      <c r="B49" s="19" t="s">
        <v>39</v>
      </c>
      <c r="C49" s="15" t="s">
        <v>6</v>
      </c>
      <c r="D49" s="8">
        <v>46857</v>
      </c>
      <c r="E49" s="8"/>
      <c r="F49" s="9">
        <f t="shared" si="0"/>
        <v>46857</v>
      </c>
      <c r="G49" s="10">
        <v>7677.2830000000004</v>
      </c>
      <c r="H49" s="9">
        <f t="shared" si="1"/>
        <v>54534.283000000003</v>
      </c>
      <c r="I49" s="10"/>
      <c r="J49" s="9">
        <f t="shared" si="20"/>
        <v>54534.283000000003</v>
      </c>
      <c r="K49" s="10"/>
      <c r="L49" s="9">
        <f t="shared" si="21"/>
        <v>54534.283000000003</v>
      </c>
      <c r="M49" s="10"/>
      <c r="N49" s="9">
        <f t="shared" si="22"/>
        <v>54534.283000000003</v>
      </c>
      <c r="O49" s="32"/>
      <c r="P49" s="9">
        <f t="shared" si="23"/>
        <v>54534.283000000003</v>
      </c>
      <c r="Q49" s="32"/>
      <c r="R49" s="49">
        <f t="shared" si="24"/>
        <v>54534.283000000003</v>
      </c>
      <c r="S49" s="32"/>
      <c r="T49" s="49">
        <f t="shared" si="25"/>
        <v>54534.283000000003</v>
      </c>
      <c r="U49" s="32"/>
      <c r="V49" s="49">
        <f t="shared" si="28"/>
        <v>54534.283000000003</v>
      </c>
      <c r="W49" s="10"/>
      <c r="X49" s="9">
        <f t="shared" si="29"/>
        <v>54534.283000000003</v>
      </c>
      <c r="Y49" s="46">
        <v>1710141140</v>
      </c>
    </row>
    <row r="50" spans="1:27" ht="72" x14ac:dyDescent="0.3">
      <c r="A50" s="6" t="s">
        <v>80</v>
      </c>
      <c r="B50" s="19" t="s">
        <v>40</v>
      </c>
      <c r="C50" s="15" t="s">
        <v>6</v>
      </c>
      <c r="D50" s="21">
        <v>25000</v>
      </c>
      <c r="E50" s="8"/>
      <c r="F50" s="9">
        <f t="shared" si="0"/>
        <v>25000</v>
      </c>
      <c r="G50" s="10">
        <v>6506.37</v>
      </c>
      <c r="H50" s="9">
        <f t="shared" si="1"/>
        <v>31506.37</v>
      </c>
      <c r="I50" s="10"/>
      <c r="J50" s="9">
        <f t="shared" si="20"/>
        <v>31506.37</v>
      </c>
      <c r="K50" s="10"/>
      <c r="L50" s="9">
        <f t="shared" si="21"/>
        <v>31506.37</v>
      </c>
      <c r="M50" s="10"/>
      <c r="N50" s="9">
        <f t="shared" si="22"/>
        <v>31506.37</v>
      </c>
      <c r="O50" s="32"/>
      <c r="P50" s="9">
        <f t="shared" si="23"/>
        <v>31506.37</v>
      </c>
      <c r="Q50" s="32"/>
      <c r="R50" s="49">
        <f t="shared" si="24"/>
        <v>31506.37</v>
      </c>
      <c r="S50" s="32">
        <v>-193.24299999999999</v>
      </c>
      <c r="T50" s="49">
        <f t="shared" si="25"/>
        <v>31313.127</v>
      </c>
      <c r="U50" s="32"/>
      <c r="V50" s="49">
        <f t="shared" si="28"/>
        <v>31313.127</v>
      </c>
      <c r="W50" s="10"/>
      <c r="X50" s="9">
        <f t="shared" si="29"/>
        <v>31313.127</v>
      </c>
      <c r="Y50" s="46">
        <v>1710141200</v>
      </c>
    </row>
    <row r="51" spans="1:27" ht="72" x14ac:dyDescent="0.3">
      <c r="A51" s="6" t="s">
        <v>81</v>
      </c>
      <c r="B51" s="19" t="s">
        <v>41</v>
      </c>
      <c r="C51" s="15" t="s">
        <v>6</v>
      </c>
      <c r="D51" s="21">
        <v>33374.199999999997</v>
      </c>
      <c r="E51" s="8"/>
      <c r="F51" s="9">
        <f t="shared" si="0"/>
        <v>33374.199999999997</v>
      </c>
      <c r="G51" s="10">
        <v>1757.943</v>
      </c>
      <c r="H51" s="9">
        <f t="shared" si="1"/>
        <v>35132.142999999996</v>
      </c>
      <c r="I51" s="10"/>
      <c r="J51" s="9">
        <f t="shared" si="20"/>
        <v>35132.142999999996</v>
      </c>
      <c r="K51" s="10"/>
      <c r="L51" s="9">
        <f t="shared" si="21"/>
        <v>35132.142999999996</v>
      </c>
      <c r="M51" s="10"/>
      <c r="N51" s="9">
        <f t="shared" si="22"/>
        <v>35132.142999999996</v>
      </c>
      <c r="O51" s="32">
        <v>-33374.199999999997</v>
      </c>
      <c r="P51" s="9">
        <f t="shared" si="23"/>
        <v>1757.9429999999993</v>
      </c>
      <c r="Q51" s="32"/>
      <c r="R51" s="49">
        <f t="shared" si="24"/>
        <v>1757.9429999999993</v>
      </c>
      <c r="S51" s="32"/>
      <c r="T51" s="49">
        <f t="shared" si="25"/>
        <v>1757.9429999999993</v>
      </c>
      <c r="U51" s="32"/>
      <c r="V51" s="49">
        <f t="shared" si="28"/>
        <v>1757.9429999999993</v>
      </c>
      <c r="W51" s="10"/>
      <c r="X51" s="9">
        <f t="shared" si="29"/>
        <v>1757.9429999999993</v>
      </c>
      <c r="Y51" s="46">
        <v>1710141210</v>
      </c>
    </row>
    <row r="52" spans="1:27" ht="72" x14ac:dyDescent="0.3">
      <c r="A52" s="6" t="s">
        <v>82</v>
      </c>
      <c r="B52" s="19" t="s">
        <v>42</v>
      </c>
      <c r="C52" s="15" t="s">
        <v>6</v>
      </c>
      <c r="D52" s="21">
        <v>15500.9</v>
      </c>
      <c r="E52" s="8"/>
      <c r="F52" s="9">
        <f t="shared" si="0"/>
        <v>15500.9</v>
      </c>
      <c r="G52" s="10">
        <v>1384.5219999999999</v>
      </c>
      <c r="H52" s="9">
        <f t="shared" si="1"/>
        <v>16885.421999999999</v>
      </c>
      <c r="I52" s="10"/>
      <c r="J52" s="9">
        <f t="shared" si="20"/>
        <v>16885.421999999999</v>
      </c>
      <c r="K52" s="10"/>
      <c r="L52" s="9">
        <f t="shared" si="21"/>
        <v>16885.421999999999</v>
      </c>
      <c r="M52" s="10"/>
      <c r="N52" s="9">
        <f t="shared" si="22"/>
        <v>16885.421999999999</v>
      </c>
      <c r="O52" s="32">
        <v>-15500.9</v>
      </c>
      <c r="P52" s="9">
        <f t="shared" si="23"/>
        <v>1384.521999999999</v>
      </c>
      <c r="Q52" s="32"/>
      <c r="R52" s="49">
        <f t="shared" si="24"/>
        <v>1384.521999999999</v>
      </c>
      <c r="S52" s="32"/>
      <c r="T52" s="49">
        <f t="shared" si="25"/>
        <v>1384.521999999999</v>
      </c>
      <c r="U52" s="32"/>
      <c r="V52" s="49">
        <f t="shared" si="28"/>
        <v>1384.521999999999</v>
      </c>
      <c r="W52" s="10"/>
      <c r="X52" s="9">
        <f t="shared" si="29"/>
        <v>1384.521999999999</v>
      </c>
      <c r="Y52" s="46">
        <v>1710141220</v>
      </c>
    </row>
    <row r="53" spans="1:27" ht="54" x14ac:dyDescent="0.3">
      <c r="A53" s="6" t="s">
        <v>83</v>
      </c>
      <c r="B53" s="19" t="s">
        <v>27</v>
      </c>
      <c r="C53" s="15" t="s">
        <v>15</v>
      </c>
      <c r="D53" s="21">
        <f>D55+D56+D57</f>
        <v>564000.4</v>
      </c>
      <c r="E53" s="8"/>
      <c r="F53" s="9">
        <f t="shared" si="0"/>
        <v>564000.4</v>
      </c>
      <c r="G53" s="10">
        <f>G55+G56+G57</f>
        <v>33880.934000000001</v>
      </c>
      <c r="H53" s="9">
        <f t="shared" si="1"/>
        <v>597881.33400000003</v>
      </c>
      <c r="I53" s="10">
        <f>I55+I56+I57</f>
        <v>0</v>
      </c>
      <c r="J53" s="9">
        <f t="shared" si="20"/>
        <v>597881.33400000003</v>
      </c>
      <c r="K53" s="10">
        <f>K55+K56+K57</f>
        <v>-300</v>
      </c>
      <c r="L53" s="9">
        <f t="shared" si="21"/>
        <v>597581.33400000003</v>
      </c>
      <c r="M53" s="10">
        <f>M55+M56+M57</f>
        <v>0</v>
      </c>
      <c r="N53" s="9">
        <f t="shared" si="22"/>
        <v>597581.33400000003</v>
      </c>
      <c r="O53" s="32">
        <f>O55+O56+O57</f>
        <v>-8306.0370000000003</v>
      </c>
      <c r="P53" s="9">
        <f t="shared" si="23"/>
        <v>589275.29700000002</v>
      </c>
      <c r="Q53" s="32">
        <f>Q55+Q56+Q57</f>
        <v>-844.63800000000629</v>
      </c>
      <c r="R53" s="49">
        <f t="shared" si="24"/>
        <v>588430.65899999999</v>
      </c>
      <c r="S53" s="32">
        <f>S55+S56+S57</f>
        <v>-1680.8419999999999</v>
      </c>
      <c r="T53" s="49">
        <f t="shared" si="25"/>
        <v>586749.81700000004</v>
      </c>
      <c r="U53" s="32">
        <f>U55+U56+U57</f>
        <v>0</v>
      </c>
      <c r="V53" s="49">
        <f t="shared" si="28"/>
        <v>586749.81700000004</v>
      </c>
      <c r="W53" s="10">
        <f>W55+W56+W57</f>
        <v>988.7589999999999</v>
      </c>
      <c r="X53" s="9">
        <f t="shared" si="29"/>
        <v>587738.576</v>
      </c>
    </row>
    <row r="54" spans="1:27" hidden="1" x14ac:dyDescent="0.3">
      <c r="A54" s="6"/>
      <c r="B54" s="7" t="s">
        <v>2</v>
      </c>
      <c r="C54" s="15"/>
      <c r="D54" s="21"/>
      <c r="E54" s="8"/>
      <c r="F54" s="9"/>
      <c r="G54" s="10"/>
      <c r="H54" s="9"/>
      <c r="I54" s="10"/>
      <c r="J54" s="9"/>
      <c r="K54" s="10"/>
      <c r="L54" s="9"/>
      <c r="M54" s="10"/>
      <c r="N54" s="9"/>
      <c r="O54" s="32"/>
      <c r="P54" s="9"/>
      <c r="Q54" s="32"/>
      <c r="R54" s="9"/>
      <c r="S54" s="32"/>
      <c r="T54" s="9"/>
      <c r="U54" s="32"/>
      <c r="V54" s="9"/>
      <c r="W54" s="10"/>
      <c r="X54" s="9"/>
      <c r="Y54" s="5"/>
      <c r="Z54" s="1">
        <v>0</v>
      </c>
      <c r="AA54" s="1"/>
    </row>
    <row r="55" spans="1:27" hidden="1" x14ac:dyDescent="0.35">
      <c r="A55" s="6"/>
      <c r="B55" s="19" t="s">
        <v>3</v>
      </c>
      <c r="C55" s="17"/>
      <c r="D55" s="22">
        <v>564000.4</v>
      </c>
      <c r="E55" s="13"/>
      <c r="F55" s="9">
        <f t="shared" si="0"/>
        <v>564000.4</v>
      </c>
      <c r="G55" s="10">
        <f>-300+22846.149+11334.785</f>
        <v>33880.934000000001</v>
      </c>
      <c r="H55" s="9">
        <f t="shared" si="1"/>
        <v>597881.33400000003</v>
      </c>
      <c r="I55" s="10"/>
      <c r="J55" s="9">
        <f t="shared" ref="J55:J58" si="30">H55+I55</f>
        <v>597881.33400000003</v>
      </c>
      <c r="K55" s="10">
        <v>-300</v>
      </c>
      <c r="L55" s="9">
        <f t="shared" ref="L55:L58" si="31">J55+K55</f>
        <v>597581.33400000003</v>
      </c>
      <c r="M55" s="10"/>
      <c r="N55" s="9">
        <f t="shared" ref="N55:N58" si="32">L55+M55</f>
        <v>597581.33400000003</v>
      </c>
      <c r="O55" s="32">
        <f>-8003.037-303</f>
        <v>-8306.0370000000003</v>
      </c>
      <c r="P55" s="9">
        <f t="shared" ref="P55:P58" si="33">N55+O55</f>
        <v>589275.29700000002</v>
      </c>
      <c r="Q55" s="32">
        <f>-85114.3+84269.662</f>
        <v>-844.63800000000629</v>
      </c>
      <c r="R55" s="9">
        <f t="shared" ref="R55:R58" si="34">P55+Q55</f>
        <v>588430.65899999999</v>
      </c>
      <c r="S55" s="32">
        <f>-1002.3-109.292-569.25</f>
        <v>-1680.8419999999999</v>
      </c>
      <c r="T55" s="9">
        <f t="shared" ref="T55:T58" si="35">R55+S55</f>
        <v>586749.81700000004</v>
      </c>
      <c r="U55" s="32"/>
      <c r="V55" s="9">
        <f t="shared" ref="V55:V58" si="36">T55+U55</f>
        <v>586749.81700000004</v>
      </c>
      <c r="W55" s="29">
        <f>1083.095-20.823-73.513</f>
        <v>988.7589999999999</v>
      </c>
      <c r="X55" s="9">
        <f t="shared" ref="X55:X58" si="37">V55+W55</f>
        <v>587738.576</v>
      </c>
      <c r="Y55" s="18" t="s">
        <v>123</v>
      </c>
      <c r="Z55" s="1">
        <v>0</v>
      </c>
      <c r="AA55" s="1"/>
    </row>
    <row r="56" spans="1:27" hidden="1" x14ac:dyDescent="0.3">
      <c r="A56" s="6"/>
      <c r="B56" s="19" t="s">
        <v>20</v>
      </c>
      <c r="C56" s="15"/>
      <c r="D56" s="21"/>
      <c r="E56" s="8"/>
      <c r="F56" s="9">
        <f t="shared" si="0"/>
        <v>0</v>
      </c>
      <c r="G56" s="10"/>
      <c r="H56" s="9">
        <f t="shared" si="1"/>
        <v>0</v>
      </c>
      <c r="I56" s="10"/>
      <c r="J56" s="9">
        <f t="shared" si="30"/>
        <v>0</v>
      </c>
      <c r="K56" s="10"/>
      <c r="L56" s="9">
        <f t="shared" si="31"/>
        <v>0</v>
      </c>
      <c r="M56" s="10"/>
      <c r="N56" s="9">
        <f t="shared" si="32"/>
        <v>0</v>
      </c>
      <c r="O56" s="32"/>
      <c r="P56" s="9">
        <f t="shared" si="33"/>
        <v>0</v>
      </c>
      <c r="Q56" s="32"/>
      <c r="R56" s="9">
        <f t="shared" si="34"/>
        <v>0</v>
      </c>
      <c r="S56" s="32"/>
      <c r="T56" s="9">
        <f t="shared" si="35"/>
        <v>0</v>
      </c>
      <c r="U56" s="32"/>
      <c r="V56" s="9">
        <f t="shared" si="36"/>
        <v>0</v>
      </c>
      <c r="W56" s="10"/>
      <c r="X56" s="9">
        <f t="shared" si="37"/>
        <v>0</v>
      </c>
      <c r="Y56" s="5"/>
      <c r="Z56" s="1">
        <v>0</v>
      </c>
      <c r="AA56" s="1"/>
    </row>
    <row r="57" spans="1:27" hidden="1" x14ac:dyDescent="0.3">
      <c r="A57" s="6"/>
      <c r="B57" s="19" t="s">
        <v>32</v>
      </c>
      <c r="C57" s="15"/>
      <c r="D57" s="21"/>
      <c r="E57" s="8"/>
      <c r="F57" s="9">
        <f t="shared" si="0"/>
        <v>0</v>
      </c>
      <c r="G57" s="10"/>
      <c r="H57" s="9">
        <f t="shared" si="1"/>
        <v>0</v>
      </c>
      <c r="I57" s="10"/>
      <c r="J57" s="9">
        <f t="shared" si="30"/>
        <v>0</v>
      </c>
      <c r="K57" s="10"/>
      <c r="L57" s="9">
        <f t="shared" si="31"/>
        <v>0</v>
      </c>
      <c r="M57" s="10"/>
      <c r="N57" s="9">
        <f t="shared" si="32"/>
        <v>0</v>
      </c>
      <c r="O57" s="32"/>
      <c r="P57" s="9">
        <f t="shared" si="33"/>
        <v>0</v>
      </c>
      <c r="Q57" s="32"/>
      <c r="R57" s="9">
        <f t="shared" si="34"/>
        <v>0</v>
      </c>
      <c r="S57" s="32"/>
      <c r="T57" s="9">
        <f t="shared" si="35"/>
        <v>0</v>
      </c>
      <c r="U57" s="32"/>
      <c r="V57" s="9">
        <f t="shared" si="36"/>
        <v>0</v>
      </c>
      <c r="W57" s="10"/>
      <c r="X57" s="9">
        <f t="shared" si="37"/>
        <v>0</v>
      </c>
      <c r="Y57" s="5"/>
      <c r="Z57" s="1">
        <v>0</v>
      </c>
      <c r="AA57" s="1"/>
    </row>
    <row r="58" spans="1:27" ht="57.75" customHeight="1" x14ac:dyDescent="0.3">
      <c r="A58" s="6" t="s">
        <v>84</v>
      </c>
      <c r="B58" s="19" t="s">
        <v>118</v>
      </c>
      <c r="C58" s="15" t="s">
        <v>15</v>
      </c>
      <c r="D58" s="21"/>
      <c r="E58" s="8"/>
      <c r="F58" s="9"/>
      <c r="G58" s="10">
        <f>G60+G61</f>
        <v>7209.5</v>
      </c>
      <c r="H58" s="9">
        <f t="shared" si="1"/>
        <v>7209.5</v>
      </c>
      <c r="I58" s="10">
        <f>I60+I61</f>
        <v>0</v>
      </c>
      <c r="J58" s="9">
        <f t="shared" si="30"/>
        <v>7209.5</v>
      </c>
      <c r="K58" s="10">
        <f>K60+K61</f>
        <v>0</v>
      </c>
      <c r="L58" s="9">
        <f t="shared" si="31"/>
        <v>7209.5</v>
      </c>
      <c r="M58" s="10">
        <f>M60+M61</f>
        <v>0</v>
      </c>
      <c r="N58" s="9">
        <f t="shared" si="32"/>
        <v>7209.5</v>
      </c>
      <c r="O58" s="32">
        <f>O60+O61</f>
        <v>0</v>
      </c>
      <c r="P58" s="9">
        <f t="shared" si="33"/>
        <v>7209.5</v>
      </c>
      <c r="Q58" s="32">
        <f>Q60+Q61</f>
        <v>0</v>
      </c>
      <c r="R58" s="49">
        <f t="shared" si="34"/>
        <v>7209.5</v>
      </c>
      <c r="S58" s="32">
        <f>S60+S61</f>
        <v>0</v>
      </c>
      <c r="T58" s="49">
        <f t="shared" si="35"/>
        <v>7209.5</v>
      </c>
      <c r="U58" s="32">
        <f>U60+U61</f>
        <v>0</v>
      </c>
      <c r="V58" s="49">
        <f t="shared" si="36"/>
        <v>7209.5</v>
      </c>
      <c r="W58" s="10">
        <f>W60+W61</f>
        <v>0</v>
      </c>
      <c r="X58" s="9">
        <f t="shared" si="37"/>
        <v>7209.5</v>
      </c>
    </row>
    <row r="59" spans="1:27" x14ac:dyDescent="0.3">
      <c r="A59" s="6"/>
      <c r="B59" s="19" t="s">
        <v>2</v>
      </c>
      <c r="C59" s="15"/>
      <c r="D59" s="21"/>
      <c r="E59" s="8"/>
      <c r="F59" s="9"/>
      <c r="G59" s="10"/>
      <c r="H59" s="9"/>
      <c r="I59" s="10"/>
      <c r="J59" s="9"/>
      <c r="K59" s="10"/>
      <c r="L59" s="9"/>
      <c r="M59" s="10"/>
      <c r="N59" s="9"/>
      <c r="O59" s="32"/>
      <c r="P59" s="9"/>
      <c r="Q59" s="32"/>
      <c r="R59" s="49"/>
      <c r="S59" s="32"/>
      <c r="T59" s="49"/>
      <c r="U59" s="32"/>
      <c r="V59" s="49"/>
      <c r="W59" s="10"/>
      <c r="X59" s="9"/>
    </row>
    <row r="60" spans="1:27" hidden="1" x14ac:dyDescent="0.3">
      <c r="A60" s="6"/>
      <c r="B60" s="19" t="s">
        <v>3</v>
      </c>
      <c r="C60" s="15"/>
      <c r="D60" s="21"/>
      <c r="E60" s="8"/>
      <c r="F60" s="9"/>
      <c r="G60" s="10"/>
      <c r="H60" s="9">
        <f t="shared" si="1"/>
        <v>0</v>
      </c>
      <c r="I60" s="10"/>
      <c r="J60" s="9">
        <f t="shared" ref="J60:J71" si="38">H60+I60</f>
        <v>0</v>
      </c>
      <c r="K60" s="10"/>
      <c r="L60" s="9">
        <f t="shared" ref="L60:L71" si="39">J60+K60</f>
        <v>0</v>
      </c>
      <c r="M60" s="10"/>
      <c r="N60" s="9">
        <f t="shared" ref="N60:N71" si="40">L60+M60</f>
        <v>0</v>
      </c>
      <c r="O60" s="32"/>
      <c r="P60" s="9">
        <f t="shared" ref="P60:P64" si="41">N60+O60</f>
        <v>0</v>
      </c>
      <c r="Q60" s="32"/>
      <c r="R60" s="9">
        <f t="shared" ref="R60:R64" si="42">P60+Q60</f>
        <v>0</v>
      </c>
      <c r="S60" s="32"/>
      <c r="T60" s="9">
        <f t="shared" ref="T60:T64" si="43">R60+S60</f>
        <v>0</v>
      </c>
      <c r="U60" s="32"/>
      <c r="V60" s="9">
        <f t="shared" ref="V60:V64" si="44">T60+U60</f>
        <v>0</v>
      </c>
      <c r="W60" s="10"/>
      <c r="X60" s="9">
        <f t="shared" ref="X60:X64" si="45">V60+W60</f>
        <v>0</v>
      </c>
      <c r="Y60" s="5"/>
      <c r="Z60" s="1">
        <v>0</v>
      </c>
      <c r="AA60" s="1"/>
    </row>
    <row r="61" spans="1:27" x14ac:dyDescent="0.3">
      <c r="A61" s="6"/>
      <c r="B61" s="19" t="s">
        <v>32</v>
      </c>
      <c r="C61" s="15"/>
      <c r="D61" s="21"/>
      <c r="E61" s="8"/>
      <c r="F61" s="9"/>
      <c r="G61" s="10">
        <v>7209.5</v>
      </c>
      <c r="H61" s="9">
        <f t="shared" si="1"/>
        <v>7209.5</v>
      </c>
      <c r="I61" s="10"/>
      <c r="J61" s="9">
        <f t="shared" si="38"/>
        <v>7209.5</v>
      </c>
      <c r="K61" s="10"/>
      <c r="L61" s="9">
        <f t="shared" si="39"/>
        <v>7209.5</v>
      </c>
      <c r="M61" s="10"/>
      <c r="N61" s="9">
        <f t="shared" si="40"/>
        <v>7209.5</v>
      </c>
      <c r="O61" s="32"/>
      <c r="P61" s="9">
        <f t="shared" si="41"/>
        <v>7209.5</v>
      </c>
      <c r="Q61" s="32"/>
      <c r="R61" s="49">
        <f t="shared" si="42"/>
        <v>7209.5</v>
      </c>
      <c r="S61" s="32"/>
      <c r="T61" s="49">
        <f t="shared" si="43"/>
        <v>7209.5</v>
      </c>
      <c r="U61" s="32"/>
      <c r="V61" s="49">
        <f t="shared" si="44"/>
        <v>7209.5</v>
      </c>
      <c r="W61" s="10"/>
      <c r="X61" s="9">
        <f t="shared" si="45"/>
        <v>7209.5</v>
      </c>
      <c r="Y61" s="46">
        <v>9190054850</v>
      </c>
    </row>
    <row r="62" spans="1:27" ht="72" hidden="1" x14ac:dyDescent="0.3">
      <c r="A62" s="6" t="s">
        <v>84</v>
      </c>
      <c r="B62" s="19" t="s">
        <v>121</v>
      </c>
      <c r="C62" s="15" t="s">
        <v>6</v>
      </c>
      <c r="D62" s="21"/>
      <c r="E62" s="8"/>
      <c r="F62" s="9"/>
      <c r="G62" s="10">
        <v>8364.9</v>
      </c>
      <c r="H62" s="9">
        <f t="shared" si="1"/>
        <v>8364.9</v>
      </c>
      <c r="I62" s="10"/>
      <c r="J62" s="9">
        <f t="shared" si="38"/>
        <v>8364.9</v>
      </c>
      <c r="K62" s="10"/>
      <c r="L62" s="9">
        <f t="shared" si="39"/>
        <v>8364.9</v>
      </c>
      <c r="M62" s="10"/>
      <c r="N62" s="9">
        <f t="shared" si="40"/>
        <v>8364.9</v>
      </c>
      <c r="O62" s="32">
        <v>-8364.9</v>
      </c>
      <c r="P62" s="9">
        <f t="shared" si="41"/>
        <v>0</v>
      </c>
      <c r="Q62" s="32"/>
      <c r="R62" s="9">
        <f t="shared" si="42"/>
        <v>0</v>
      </c>
      <c r="S62" s="32"/>
      <c r="T62" s="9">
        <f t="shared" si="43"/>
        <v>0</v>
      </c>
      <c r="U62" s="32"/>
      <c r="V62" s="9">
        <f t="shared" si="44"/>
        <v>0</v>
      </c>
      <c r="W62" s="10"/>
      <c r="X62" s="9">
        <f t="shared" si="45"/>
        <v>0</v>
      </c>
      <c r="Y62" s="5">
        <v>1710641310</v>
      </c>
      <c r="Z62" s="1">
        <v>0</v>
      </c>
      <c r="AA62" s="1"/>
    </row>
    <row r="63" spans="1:27" ht="72" hidden="1" x14ac:dyDescent="0.3">
      <c r="A63" s="6" t="s">
        <v>85</v>
      </c>
      <c r="B63" s="19" t="s">
        <v>139</v>
      </c>
      <c r="C63" s="15" t="s">
        <v>6</v>
      </c>
      <c r="D63" s="21"/>
      <c r="E63" s="8"/>
      <c r="F63" s="9"/>
      <c r="G63" s="10">
        <v>5.3369999999999997</v>
      </c>
      <c r="H63" s="9">
        <f t="shared" si="1"/>
        <v>5.3369999999999997</v>
      </c>
      <c r="I63" s="10"/>
      <c r="J63" s="9">
        <f t="shared" si="38"/>
        <v>5.3369999999999997</v>
      </c>
      <c r="K63" s="10"/>
      <c r="L63" s="9">
        <f t="shared" si="39"/>
        <v>5.3369999999999997</v>
      </c>
      <c r="M63" s="10"/>
      <c r="N63" s="9">
        <f t="shared" si="40"/>
        <v>5.3369999999999997</v>
      </c>
      <c r="O63" s="32">
        <v>-5.3369999999999997</v>
      </c>
      <c r="P63" s="9">
        <f t="shared" si="41"/>
        <v>0</v>
      </c>
      <c r="Q63" s="32"/>
      <c r="R63" s="9">
        <f t="shared" si="42"/>
        <v>0</v>
      </c>
      <c r="S63" s="32"/>
      <c r="T63" s="9">
        <f t="shared" si="43"/>
        <v>0</v>
      </c>
      <c r="U63" s="32"/>
      <c r="V63" s="9">
        <f t="shared" si="44"/>
        <v>0</v>
      </c>
      <c r="W63" s="10"/>
      <c r="X63" s="9">
        <f t="shared" si="45"/>
        <v>0</v>
      </c>
      <c r="Y63" s="5">
        <v>1710141080</v>
      </c>
      <c r="Z63" s="1">
        <v>0</v>
      </c>
      <c r="AA63" s="1"/>
    </row>
    <row r="64" spans="1:27" ht="72" x14ac:dyDescent="0.3">
      <c r="A64" s="6" t="s">
        <v>85</v>
      </c>
      <c r="B64" s="19" t="s">
        <v>124</v>
      </c>
      <c r="C64" s="15" t="s">
        <v>6</v>
      </c>
      <c r="D64" s="21"/>
      <c r="E64" s="8"/>
      <c r="F64" s="9"/>
      <c r="G64" s="10">
        <v>3596.3359999999998</v>
      </c>
      <c r="H64" s="9">
        <f t="shared" si="1"/>
        <v>3596.3359999999998</v>
      </c>
      <c r="I64" s="10"/>
      <c r="J64" s="9">
        <f t="shared" si="38"/>
        <v>3596.3359999999998</v>
      </c>
      <c r="K64" s="10"/>
      <c r="L64" s="9">
        <f t="shared" si="39"/>
        <v>3596.3359999999998</v>
      </c>
      <c r="M64" s="10"/>
      <c r="N64" s="9">
        <f t="shared" si="40"/>
        <v>3596.3359999999998</v>
      </c>
      <c r="O64" s="32"/>
      <c r="P64" s="9">
        <f t="shared" si="41"/>
        <v>3596.3359999999998</v>
      </c>
      <c r="Q64" s="32"/>
      <c r="R64" s="49">
        <f t="shared" si="42"/>
        <v>3596.3359999999998</v>
      </c>
      <c r="S64" s="32"/>
      <c r="T64" s="49">
        <f t="shared" si="43"/>
        <v>3596.3359999999998</v>
      </c>
      <c r="U64" s="32"/>
      <c r="V64" s="49">
        <f t="shared" si="44"/>
        <v>3596.3359999999998</v>
      </c>
      <c r="W64" s="10"/>
      <c r="X64" s="9">
        <f t="shared" si="45"/>
        <v>3596.3359999999998</v>
      </c>
      <c r="Y64" s="46">
        <v>1710141150</v>
      </c>
    </row>
    <row r="65" spans="1:27" ht="54" x14ac:dyDescent="0.3">
      <c r="A65" s="6" t="s">
        <v>86</v>
      </c>
      <c r="B65" s="41" t="s">
        <v>172</v>
      </c>
      <c r="C65" s="23" t="s">
        <v>15</v>
      </c>
      <c r="D65" s="8"/>
      <c r="E65" s="8"/>
      <c r="F65" s="9"/>
      <c r="G65" s="10"/>
      <c r="H65" s="9"/>
      <c r="I65" s="10"/>
      <c r="J65" s="9"/>
      <c r="K65" s="10"/>
      <c r="L65" s="9"/>
      <c r="M65" s="10"/>
      <c r="N65" s="9">
        <v>0</v>
      </c>
      <c r="O65" s="32">
        <f>O67+O68</f>
        <v>32012.146000000001</v>
      </c>
      <c r="P65" s="9">
        <f>N65+O65</f>
        <v>32012.146000000001</v>
      </c>
      <c r="Q65" s="32">
        <f>Q67+Q68</f>
        <v>0</v>
      </c>
      <c r="R65" s="49">
        <f>P65+Q65</f>
        <v>32012.146000000001</v>
      </c>
      <c r="S65" s="32">
        <f>S67+S68</f>
        <v>0</v>
      </c>
      <c r="T65" s="49">
        <f>R65+S65</f>
        <v>32012.146000000001</v>
      </c>
      <c r="U65" s="32">
        <f>U67+U68</f>
        <v>0</v>
      </c>
      <c r="V65" s="49">
        <f>T65+U65</f>
        <v>32012.146000000001</v>
      </c>
      <c r="W65" s="10">
        <f>W67+W68</f>
        <v>0</v>
      </c>
      <c r="X65" s="9">
        <f>V65+W65</f>
        <v>32012.146000000001</v>
      </c>
      <c r="Y65" s="46" t="s">
        <v>153</v>
      </c>
    </row>
    <row r="66" spans="1:27" x14ac:dyDescent="0.3">
      <c r="A66" s="6"/>
      <c r="B66" s="20" t="s">
        <v>2</v>
      </c>
      <c r="C66" s="23"/>
      <c r="D66" s="8"/>
      <c r="E66" s="8"/>
      <c r="F66" s="9"/>
      <c r="G66" s="10"/>
      <c r="H66" s="9"/>
      <c r="I66" s="10"/>
      <c r="J66" s="9"/>
      <c r="K66" s="10"/>
      <c r="L66" s="9"/>
      <c r="M66" s="10"/>
      <c r="N66" s="9"/>
      <c r="O66" s="32"/>
      <c r="P66" s="9"/>
      <c r="Q66" s="32"/>
      <c r="R66" s="49"/>
      <c r="S66" s="32"/>
      <c r="T66" s="49"/>
      <c r="U66" s="32"/>
      <c r="V66" s="49"/>
      <c r="W66" s="10"/>
      <c r="X66" s="9"/>
    </row>
    <row r="67" spans="1:27" hidden="1" x14ac:dyDescent="0.3">
      <c r="A67" s="6"/>
      <c r="B67" s="7" t="s">
        <v>3</v>
      </c>
      <c r="C67" s="23"/>
      <c r="D67" s="8"/>
      <c r="E67" s="8"/>
      <c r="F67" s="9"/>
      <c r="G67" s="10"/>
      <c r="H67" s="9"/>
      <c r="I67" s="10"/>
      <c r="J67" s="9"/>
      <c r="K67" s="10"/>
      <c r="L67" s="9"/>
      <c r="M67" s="10"/>
      <c r="N67" s="9">
        <v>0</v>
      </c>
      <c r="O67" s="32">
        <v>8003.0370000000003</v>
      </c>
      <c r="P67" s="9">
        <f>N67+O67</f>
        <v>8003.0370000000003</v>
      </c>
      <c r="Q67" s="32"/>
      <c r="R67" s="9">
        <f>P67+Q67</f>
        <v>8003.0370000000003</v>
      </c>
      <c r="S67" s="32"/>
      <c r="T67" s="9">
        <f>R67+S67</f>
        <v>8003.0370000000003</v>
      </c>
      <c r="U67" s="32"/>
      <c r="V67" s="9">
        <f>T67+U67</f>
        <v>8003.0370000000003</v>
      </c>
      <c r="W67" s="10"/>
      <c r="X67" s="9">
        <f>V67+W67</f>
        <v>8003.0370000000003</v>
      </c>
      <c r="Y67" s="5" t="s">
        <v>152</v>
      </c>
      <c r="Z67" s="1">
        <v>0</v>
      </c>
      <c r="AA67" s="1"/>
    </row>
    <row r="68" spans="1:27" x14ac:dyDescent="0.3">
      <c r="A68" s="6"/>
      <c r="B68" s="7" t="s">
        <v>20</v>
      </c>
      <c r="C68" s="23"/>
      <c r="D68" s="8"/>
      <c r="E68" s="8"/>
      <c r="F68" s="9"/>
      <c r="G68" s="10"/>
      <c r="H68" s="9"/>
      <c r="I68" s="10"/>
      <c r="J68" s="9"/>
      <c r="K68" s="10"/>
      <c r="L68" s="9"/>
      <c r="M68" s="10"/>
      <c r="N68" s="9">
        <v>0</v>
      </c>
      <c r="O68" s="32">
        <v>24009.109</v>
      </c>
      <c r="P68" s="9">
        <f>N68+O68</f>
        <v>24009.109</v>
      </c>
      <c r="Q68" s="32"/>
      <c r="R68" s="49">
        <f>P68+Q68</f>
        <v>24009.109</v>
      </c>
      <c r="S68" s="32"/>
      <c r="T68" s="49">
        <f>R68+S68</f>
        <v>24009.109</v>
      </c>
      <c r="U68" s="32"/>
      <c r="V68" s="49">
        <f>T68+U68</f>
        <v>24009.109</v>
      </c>
      <c r="W68" s="10"/>
      <c r="X68" s="9">
        <f>V68+W68</f>
        <v>24009.109</v>
      </c>
      <c r="Y68" s="46" t="s">
        <v>151</v>
      </c>
    </row>
    <row r="69" spans="1:27" ht="72" hidden="1" x14ac:dyDescent="0.3">
      <c r="A69" s="6" t="s">
        <v>86</v>
      </c>
      <c r="B69" s="41" t="s">
        <v>173</v>
      </c>
      <c r="C69" s="15" t="s">
        <v>6</v>
      </c>
      <c r="D69" s="8"/>
      <c r="E69" s="8"/>
      <c r="F69" s="9"/>
      <c r="G69" s="10"/>
      <c r="H69" s="9"/>
      <c r="I69" s="10"/>
      <c r="J69" s="9"/>
      <c r="K69" s="10"/>
      <c r="L69" s="9"/>
      <c r="M69" s="10"/>
      <c r="N69" s="9"/>
      <c r="O69" s="32"/>
      <c r="P69" s="9"/>
      <c r="Q69" s="32"/>
      <c r="R69" s="9">
        <f>P69+Q69</f>
        <v>0</v>
      </c>
      <c r="S69" s="32"/>
      <c r="T69" s="9">
        <f>R69+S69</f>
        <v>0</v>
      </c>
      <c r="U69" s="32"/>
      <c r="V69" s="9">
        <f>T69+U69</f>
        <v>0</v>
      </c>
      <c r="W69" s="10"/>
      <c r="X69" s="9">
        <f>V69+W69</f>
        <v>0</v>
      </c>
      <c r="Y69" s="5">
        <v>1710141230</v>
      </c>
      <c r="Z69" s="1">
        <v>0</v>
      </c>
      <c r="AA69" s="1"/>
    </row>
    <row r="70" spans="1:27" ht="54" x14ac:dyDescent="0.3">
      <c r="A70" s="6" t="s">
        <v>87</v>
      </c>
      <c r="B70" s="41" t="s">
        <v>175</v>
      </c>
      <c r="C70" s="23" t="s">
        <v>15</v>
      </c>
      <c r="D70" s="8"/>
      <c r="E70" s="8"/>
      <c r="F70" s="9"/>
      <c r="G70" s="10"/>
      <c r="H70" s="9"/>
      <c r="I70" s="10"/>
      <c r="J70" s="9"/>
      <c r="K70" s="10"/>
      <c r="L70" s="9"/>
      <c r="M70" s="10"/>
      <c r="N70" s="9"/>
      <c r="O70" s="32"/>
      <c r="P70" s="9"/>
      <c r="Q70" s="32"/>
      <c r="R70" s="9"/>
      <c r="S70" s="32">
        <v>102000</v>
      </c>
      <c r="T70" s="49">
        <f>R70+S70</f>
        <v>102000</v>
      </c>
      <c r="U70" s="32"/>
      <c r="V70" s="49">
        <f>T70+U70</f>
        <v>102000</v>
      </c>
      <c r="W70" s="10"/>
      <c r="X70" s="9">
        <f>V70+W70</f>
        <v>102000</v>
      </c>
      <c r="Y70" s="5">
        <v>1510123320</v>
      </c>
      <c r="Z70" s="1"/>
    </row>
    <row r="71" spans="1:27" x14ac:dyDescent="0.3">
      <c r="A71" s="6"/>
      <c r="B71" s="19" t="s">
        <v>7</v>
      </c>
      <c r="C71" s="15"/>
      <c r="D71" s="35">
        <f>D73+D74</f>
        <v>157172.29999999999</v>
      </c>
      <c r="E71" s="35">
        <f>E73+E74</f>
        <v>-10488.5</v>
      </c>
      <c r="F71" s="36">
        <f t="shared" si="0"/>
        <v>146683.79999999999</v>
      </c>
      <c r="G71" s="33">
        <f>G73+G74</f>
        <v>7063.607</v>
      </c>
      <c r="H71" s="36">
        <f t="shared" si="1"/>
        <v>153747.40699999998</v>
      </c>
      <c r="I71" s="33">
        <f>I73+I74</f>
        <v>0</v>
      </c>
      <c r="J71" s="36">
        <f t="shared" si="38"/>
        <v>153747.40699999998</v>
      </c>
      <c r="K71" s="33">
        <f>K73+K74</f>
        <v>-600</v>
      </c>
      <c r="L71" s="36">
        <f t="shared" si="39"/>
        <v>153147.40699999998</v>
      </c>
      <c r="M71" s="33">
        <f>M73+M74</f>
        <v>0</v>
      </c>
      <c r="N71" s="36">
        <f t="shared" si="40"/>
        <v>153147.40699999998</v>
      </c>
      <c r="O71" s="33">
        <f>O73+O74</f>
        <v>-9864.869999999999</v>
      </c>
      <c r="P71" s="36">
        <f>N71+O71-1000</f>
        <v>142282.53699999998</v>
      </c>
      <c r="Q71" s="33">
        <f>Q73+Q74</f>
        <v>-7232.7440000000006</v>
      </c>
      <c r="R71" s="36">
        <f>P71+Q71</f>
        <v>135049.79299999998</v>
      </c>
      <c r="S71" s="33">
        <f>S73+S74</f>
        <v>-803.37400000000002</v>
      </c>
      <c r="T71" s="36">
        <f>R71+S71</f>
        <v>134246.41899999997</v>
      </c>
      <c r="U71" s="33">
        <f>U73+U74</f>
        <v>0</v>
      </c>
      <c r="V71" s="36">
        <f>T71+U71</f>
        <v>134246.41899999997</v>
      </c>
      <c r="W71" s="10">
        <f>W73+W74</f>
        <v>373.83699999999999</v>
      </c>
      <c r="X71" s="9">
        <f>V71+W71</f>
        <v>134620.25599999996</v>
      </c>
      <c r="Y71" s="37"/>
      <c r="Z71" s="38"/>
      <c r="AA71" s="38"/>
    </row>
    <row r="72" spans="1:27" x14ac:dyDescent="0.3">
      <c r="A72" s="6"/>
      <c r="B72" s="19" t="s">
        <v>2</v>
      </c>
      <c r="C72" s="15"/>
      <c r="D72" s="21"/>
      <c r="E72" s="8"/>
      <c r="F72" s="9"/>
      <c r="G72" s="10"/>
      <c r="H72" s="9"/>
      <c r="I72" s="10"/>
      <c r="J72" s="9"/>
      <c r="K72" s="10"/>
      <c r="L72" s="9"/>
      <c r="M72" s="10"/>
      <c r="N72" s="9"/>
      <c r="O72" s="32"/>
      <c r="P72" s="9"/>
      <c r="Q72" s="32"/>
      <c r="R72" s="49"/>
      <c r="S72" s="32"/>
      <c r="T72" s="49"/>
      <c r="U72" s="32"/>
      <c r="V72" s="49"/>
      <c r="W72" s="10"/>
      <c r="X72" s="9"/>
    </row>
    <row r="73" spans="1:27" hidden="1" x14ac:dyDescent="0.35">
      <c r="A73" s="6"/>
      <c r="B73" s="19" t="s">
        <v>3</v>
      </c>
      <c r="C73" s="17"/>
      <c r="D73" s="22">
        <f>D80+D81+D82+D75+D78</f>
        <v>128022.29999999999</v>
      </c>
      <c r="E73" s="13">
        <f>E75+E78+E80+E81+E82</f>
        <v>-4643.8999999999996</v>
      </c>
      <c r="F73" s="9">
        <f t="shared" si="0"/>
        <v>123378.4</v>
      </c>
      <c r="G73" s="10">
        <f>G75+G78+G80+G81+G82+G83+G121</f>
        <v>7063.607</v>
      </c>
      <c r="H73" s="9">
        <f t="shared" si="1"/>
        <v>130442.007</v>
      </c>
      <c r="I73" s="10">
        <f>I75+I78+I80+I81+I82+I83+I121</f>
        <v>0</v>
      </c>
      <c r="J73" s="9">
        <f t="shared" ref="J73:J76" si="46">H73+I73</f>
        <v>130442.007</v>
      </c>
      <c r="K73" s="10">
        <f>K75+K78+K80+K81+K82+K83+K121</f>
        <v>-600</v>
      </c>
      <c r="L73" s="9">
        <f t="shared" ref="L73:L76" si="47">J73+K73</f>
        <v>129842.007</v>
      </c>
      <c r="M73" s="10">
        <f>M75+M78+M80+M81+M82+M83+M121</f>
        <v>0</v>
      </c>
      <c r="N73" s="9">
        <f t="shared" ref="N73:N76" si="48">L73+M73</f>
        <v>129842.007</v>
      </c>
      <c r="O73" s="32">
        <f>O75+O78+O80+O81+O82+O83+O84</f>
        <v>-9864.869999999999</v>
      </c>
      <c r="P73" s="9">
        <f>N73+O73-1000</f>
        <v>118977.137</v>
      </c>
      <c r="Q73" s="32">
        <f>Q75+Q78+Q80+Q81+Q82+Q83+Q84</f>
        <v>-7232.7440000000006</v>
      </c>
      <c r="R73" s="9">
        <f>P73+Q73</f>
        <v>111744.393</v>
      </c>
      <c r="S73" s="32">
        <f>S75+S78+S80+S81+S82+S83+S84</f>
        <v>-803.37400000000002</v>
      </c>
      <c r="T73" s="9">
        <f>R73+S73</f>
        <v>110941.019</v>
      </c>
      <c r="U73" s="32">
        <f>U75+U78+U80+U81+U82+U83+U84</f>
        <v>0</v>
      </c>
      <c r="V73" s="9">
        <f>T73+U73</f>
        <v>110941.019</v>
      </c>
      <c r="W73" s="10">
        <f>W75+W78+W80+W81+W82+W83+W84</f>
        <v>373.83699999999999</v>
      </c>
      <c r="X73" s="9">
        <f>V73+W73</f>
        <v>111314.856</v>
      </c>
      <c r="Y73" s="5"/>
      <c r="Z73" s="1">
        <v>0</v>
      </c>
      <c r="AA73" s="1"/>
    </row>
    <row r="74" spans="1:27" x14ac:dyDescent="0.3">
      <c r="A74" s="6"/>
      <c r="B74" s="19" t="s">
        <v>20</v>
      </c>
      <c r="C74" s="15"/>
      <c r="D74" s="21">
        <f>D79</f>
        <v>29150</v>
      </c>
      <c r="E74" s="8">
        <f>E79</f>
        <v>-5844.6</v>
      </c>
      <c r="F74" s="9">
        <f t="shared" si="0"/>
        <v>23305.4</v>
      </c>
      <c r="G74" s="10">
        <f>G79</f>
        <v>0</v>
      </c>
      <c r="H74" s="9">
        <f t="shared" si="1"/>
        <v>23305.4</v>
      </c>
      <c r="I74" s="10">
        <f>I79</f>
        <v>0</v>
      </c>
      <c r="J74" s="9">
        <f t="shared" si="46"/>
        <v>23305.4</v>
      </c>
      <c r="K74" s="10">
        <f>K79</f>
        <v>0</v>
      </c>
      <c r="L74" s="9">
        <f t="shared" si="47"/>
        <v>23305.4</v>
      </c>
      <c r="M74" s="10">
        <f>M79</f>
        <v>0</v>
      </c>
      <c r="N74" s="9">
        <f t="shared" si="48"/>
        <v>23305.4</v>
      </c>
      <c r="O74" s="32">
        <f>O79</f>
        <v>0</v>
      </c>
      <c r="P74" s="9">
        <f t="shared" ref="P74:P76" si="49">N74+O74</f>
        <v>23305.4</v>
      </c>
      <c r="Q74" s="32">
        <f>Q79</f>
        <v>0</v>
      </c>
      <c r="R74" s="49">
        <f>P74+Q74</f>
        <v>23305.4</v>
      </c>
      <c r="S74" s="32">
        <f>S79</f>
        <v>0</v>
      </c>
      <c r="T74" s="49">
        <f>R74+S74</f>
        <v>23305.4</v>
      </c>
      <c r="U74" s="32">
        <f>U79</f>
        <v>0</v>
      </c>
      <c r="V74" s="49">
        <f>T74+U74</f>
        <v>23305.4</v>
      </c>
      <c r="W74" s="10">
        <f>W79</f>
        <v>0</v>
      </c>
      <c r="X74" s="9">
        <f>V74+W74</f>
        <v>23305.4</v>
      </c>
    </row>
    <row r="75" spans="1:27" ht="54" x14ac:dyDescent="0.3">
      <c r="A75" s="6" t="s">
        <v>88</v>
      </c>
      <c r="B75" s="19" t="s">
        <v>37</v>
      </c>
      <c r="C75" s="23" t="s">
        <v>8</v>
      </c>
      <c r="D75" s="21">
        <v>46750</v>
      </c>
      <c r="E75" s="8"/>
      <c r="F75" s="9">
        <f t="shared" si="0"/>
        <v>46750</v>
      </c>
      <c r="G75" s="10">
        <v>2378.0639999999999</v>
      </c>
      <c r="H75" s="9">
        <f t="shared" si="1"/>
        <v>49128.063999999998</v>
      </c>
      <c r="I75" s="10"/>
      <c r="J75" s="9">
        <f t="shared" si="46"/>
        <v>49128.063999999998</v>
      </c>
      <c r="K75" s="10"/>
      <c r="L75" s="9">
        <f t="shared" si="47"/>
        <v>49128.063999999998</v>
      </c>
      <c r="M75" s="10"/>
      <c r="N75" s="9">
        <f t="shared" si="48"/>
        <v>49128.063999999998</v>
      </c>
      <c r="O75" s="32">
        <f>-90.943-9668.91</f>
        <v>-9759.8529999999992</v>
      </c>
      <c r="P75" s="9">
        <f t="shared" si="49"/>
        <v>39368.210999999996</v>
      </c>
      <c r="Q75" s="32">
        <v>-2378.0639999999999</v>
      </c>
      <c r="R75" s="49">
        <f t="shared" ref="R75:R76" si="50">P75+Q75</f>
        <v>36990.146999999997</v>
      </c>
      <c r="S75" s="32">
        <f>-194.96</f>
        <v>-194.96</v>
      </c>
      <c r="T75" s="49">
        <f t="shared" ref="T75:T76" si="51">R75+S75</f>
        <v>36795.186999999998</v>
      </c>
      <c r="U75" s="32"/>
      <c r="V75" s="49">
        <f t="shared" ref="V75:V76" si="52">T75+U75</f>
        <v>36795.186999999998</v>
      </c>
      <c r="W75" s="29">
        <v>373.83699999999999</v>
      </c>
      <c r="X75" s="9">
        <f t="shared" ref="X75:X76" si="53">V75+W75</f>
        <v>37169.023999999998</v>
      </c>
      <c r="Y75" s="46">
        <v>1020200000</v>
      </c>
    </row>
    <row r="76" spans="1:27" ht="60" customHeight="1" x14ac:dyDescent="0.3">
      <c r="A76" s="6" t="s">
        <v>89</v>
      </c>
      <c r="B76" s="20" t="s">
        <v>104</v>
      </c>
      <c r="C76" s="23" t="s">
        <v>8</v>
      </c>
      <c r="D76" s="8">
        <f>D78+D79</f>
        <v>41562.400000000001</v>
      </c>
      <c r="E76" s="8">
        <f>E78+E79</f>
        <v>-10488.5</v>
      </c>
      <c r="F76" s="9">
        <f t="shared" si="0"/>
        <v>31073.9</v>
      </c>
      <c r="G76" s="10"/>
      <c r="H76" s="9">
        <f t="shared" si="1"/>
        <v>31073.9</v>
      </c>
      <c r="I76" s="10"/>
      <c r="J76" s="9">
        <f t="shared" si="46"/>
        <v>31073.9</v>
      </c>
      <c r="K76" s="10"/>
      <c r="L76" s="9">
        <f t="shared" si="47"/>
        <v>31073.9</v>
      </c>
      <c r="M76" s="10"/>
      <c r="N76" s="9">
        <f t="shared" si="48"/>
        <v>31073.9</v>
      </c>
      <c r="O76" s="32"/>
      <c r="P76" s="9">
        <f t="shared" si="49"/>
        <v>31073.9</v>
      </c>
      <c r="Q76" s="32"/>
      <c r="R76" s="49">
        <f t="shared" si="50"/>
        <v>31073.9</v>
      </c>
      <c r="S76" s="32"/>
      <c r="T76" s="49">
        <f t="shared" si="51"/>
        <v>31073.9</v>
      </c>
      <c r="U76" s="32"/>
      <c r="V76" s="49">
        <f t="shared" si="52"/>
        <v>31073.9</v>
      </c>
      <c r="W76" s="10"/>
      <c r="X76" s="9">
        <f t="shared" si="53"/>
        <v>31073.9</v>
      </c>
      <c r="Y76" s="46">
        <v>1020141490</v>
      </c>
    </row>
    <row r="77" spans="1:27" x14ac:dyDescent="0.35">
      <c r="A77" s="6"/>
      <c r="B77" s="19" t="s">
        <v>2</v>
      </c>
      <c r="C77" s="24"/>
      <c r="D77" s="13"/>
      <c r="E77" s="13"/>
      <c r="F77" s="9"/>
      <c r="G77" s="10"/>
      <c r="H77" s="9"/>
      <c r="I77" s="10"/>
      <c r="J77" s="9"/>
      <c r="K77" s="10"/>
      <c r="L77" s="9"/>
      <c r="M77" s="10"/>
      <c r="N77" s="9"/>
      <c r="O77" s="32"/>
      <c r="P77" s="9"/>
      <c r="Q77" s="32"/>
      <c r="R77" s="49"/>
      <c r="S77" s="32"/>
      <c r="T77" s="49"/>
      <c r="U77" s="32"/>
      <c r="V77" s="49"/>
      <c r="W77" s="10"/>
      <c r="X77" s="9"/>
    </row>
    <row r="78" spans="1:27" hidden="1" x14ac:dyDescent="0.35">
      <c r="A78" s="6"/>
      <c r="B78" s="19" t="s">
        <v>3</v>
      </c>
      <c r="C78" s="24"/>
      <c r="D78" s="13">
        <v>12412.4</v>
      </c>
      <c r="E78" s="13">
        <f>-4643.9</f>
        <v>-4643.8999999999996</v>
      </c>
      <c r="F78" s="9">
        <f t="shared" si="0"/>
        <v>7768.5</v>
      </c>
      <c r="G78" s="10"/>
      <c r="H78" s="9">
        <f t="shared" si="1"/>
        <v>7768.5</v>
      </c>
      <c r="I78" s="10"/>
      <c r="J78" s="9">
        <f t="shared" ref="J78:J85" si="54">H78+I78</f>
        <v>7768.5</v>
      </c>
      <c r="K78" s="10"/>
      <c r="L78" s="9">
        <f t="shared" ref="L78:L85" si="55">J78+K78</f>
        <v>7768.5</v>
      </c>
      <c r="M78" s="10"/>
      <c r="N78" s="9">
        <f t="shared" ref="N78:N85" si="56">L78+M78</f>
        <v>7768.5</v>
      </c>
      <c r="O78" s="32"/>
      <c r="P78" s="9">
        <f t="shared" ref="P78:P84" si="57">N78+O78</f>
        <v>7768.5</v>
      </c>
      <c r="Q78" s="32"/>
      <c r="R78" s="9">
        <f t="shared" ref="R78:R84" si="58">P78+Q78</f>
        <v>7768.5</v>
      </c>
      <c r="S78" s="32"/>
      <c r="T78" s="9">
        <f t="shared" ref="T78:T82" si="59">R78+S78</f>
        <v>7768.5</v>
      </c>
      <c r="U78" s="32"/>
      <c r="V78" s="9">
        <f t="shared" ref="V78:V82" si="60">T78+U78</f>
        <v>7768.5</v>
      </c>
      <c r="W78" s="10"/>
      <c r="X78" s="9">
        <f t="shared" ref="X78:X82" si="61">V78+W78</f>
        <v>7768.5</v>
      </c>
      <c r="Y78" s="5" t="s">
        <v>113</v>
      </c>
      <c r="Z78" s="1">
        <v>0</v>
      </c>
      <c r="AA78" s="1" t="s">
        <v>108</v>
      </c>
    </row>
    <row r="79" spans="1:27" x14ac:dyDescent="0.35">
      <c r="A79" s="6"/>
      <c r="B79" s="19" t="s">
        <v>20</v>
      </c>
      <c r="C79" s="24"/>
      <c r="D79" s="13">
        <v>29150</v>
      </c>
      <c r="E79" s="13">
        <v>-5844.6</v>
      </c>
      <c r="F79" s="9">
        <f t="shared" si="0"/>
        <v>23305.4</v>
      </c>
      <c r="G79" s="10"/>
      <c r="H79" s="9">
        <f t="shared" si="1"/>
        <v>23305.4</v>
      </c>
      <c r="I79" s="10"/>
      <c r="J79" s="9">
        <f t="shared" si="54"/>
        <v>23305.4</v>
      </c>
      <c r="K79" s="10"/>
      <c r="L79" s="9">
        <f t="shared" si="55"/>
        <v>23305.4</v>
      </c>
      <c r="M79" s="10"/>
      <c r="N79" s="9">
        <f t="shared" si="56"/>
        <v>23305.4</v>
      </c>
      <c r="O79" s="32"/>
      <c r="P79" s="9">
        <f t="shared" si="57"/>
        <v>23305.4</v>
      </c>
      <c r="Q79" s="32"/>
      <c r="R79" s="49">
        <f t="shared" si="58"/>
        <v>23305.4</v>
      </c>
      <c r="S79" s="32"/>
      <c r="T79" s="49">
        <f t="shared" si="59"/>
        <v>23305.4</v>
      </c>
      <c r="U79" s="32"/>
      <c r="V79" s="49">
        <f t="shared" si="60"/>
        <v>23305.4</v>
      </c>
      <c r="W79" s="10"/>
      <c r="X79" s="9">
        <f t="shared" si="61"/>
        <v>23305.4</v>
      </c>
      <c r="Y79" s="46" t="s">
        <v>109</v>
      </c>
    </row>
    <row r="80" spans="1:27" ht="60" customHeight="1" x14ac:dyDescent="0.3">
      <c r="A80" s="6" t="s">
        <v>90</v>
      </c>
      <c r="B80" s="20" t="s">
        <v>102</v>
      </c>
      <c r="C80" s="23" t="s">
        <v>8</v>
      </c>
      <c r="D80" s="8">
        <v>60000</v>
      </c>
      <c r="E80" s="8"/>
      <c r="F80" s="9">
        <f t="shared" si="0"/>
        <v>60000</v>
      </c>
      <c r="G80" s="10"/>
      <c r="H80" s="9">
        <f t="shared" si="1"/>
        <v>60000</v>
      </c>
      <c r="I80" s="10"/>
      <c r="J80" s="9">
        <f t="shared" si="54"/>
        <v>60000</v>
      </c>
      <c r="K80" s="10">
        <v>-600</v>
      </c>
      <c r="L80" s="9">
        <f t="shared" si="55"/>
        <v>59400</v>
      </c>
      <c r="M80" s="10"/>
      <c r="N80" s="9">
        <f t="shared" si="56"/>
        <v>59400</v>
      </c>
      <c r="O80" s="32"/>
      <c r="P80" s="9">
        <f t="shared" si="57"/>
        <v>59400</v>
      </c>
      <c r="Q80" s="32"/>
      <c r="R80" s="49">
        <f t="shared" si="58"/>
        <v>59400</v>
      </c>
      <c r="S80" s="32"/>
      <c r="T80" s="49">
        <f t="shared" si="59"/>
        <v>59400</v>
      </c>
      <c r="U80" s="32"/>
      <c r="V80" s="49">
        <f t="shared" si="60"/>
        <v>59400</v>
      </c>
      <c r="W80" s="10"/>
      <c r="X80" s="9">
        <f t="shared" si="61"/>
        <v>59400</v>
      </c>
      <c r="Y80" s="46">
        <v>1120441070</v>
      </c>
    </row>
    <row r="81" spans="1:27" ht="60" customHeight="1" x14ac:dyDescent="0.3">
      <c r="A81" s="6" t="s">
        <v>91</v>
      </c>
      <c r="B81" s="20" t="s">
        <v>103</v>
      </c>
      <c r="C81" s="23" t="s">
        <v>8</v>
      </c>
      <c r="D81" s="8">
        <v>5886.2</v>
      </c>
      <c r="E81" s="8"/>
      <c r="F81" s="9">
        <f t="shared" si="0"/>
        <v>5886.2</v>
      </c>
      <c r="G81" s="10">
        <v>1008.223</v>
      </c>
      <c r="H81" s="9">
        <f t="shared" si="1"/>
        <v>6894.4229999999998</v>
      </c>
      <c r="I81" s="10"/>
      <c r="J81" s="9">
        <f t="shared" si="54"/>
        <v>6894.4229999999998</v>
      </c>
      <c r="K81" s="10"/>
      <c r="L81" s="9">
        <f t="shared" si="55"/>
        <v>6894.4229999999998</v>
      </c>
      <c r="M81" s="10"/>
      <c r="N81" s="9">
        <f t="shared" si="56"/>
        <v>6894.4229999999998</v>
      </c>
      <c r="O81" s="32">
        <v>-500.3</v>
      </c>
      <c r="P81" s="9">
        <f t="shared" si="57"/>
        <v>6394.1229999999996</v>
      </c>
      <c r="Q81" s="32"/>
      <c r="R81" s="49">
        <f t="shared" si="58"/>
        <v>6394.1229999999996</v>
      </c>
      <c r="S81" s="32">
        <v>-213.131</v>
      </c>
      <c r="T81" s="49">
        <f t="shared" si="59"/>
        <v>6180.9919999999993</v>
      </c>
      <c r="U81" s="32"/>
      <c r="V81" s="49">
        <f t="shared" si="60"/>
        <v>6180.9919999999993</v>
      </c>
      <c r="W81" s="10"/>
      <c r="X81" s="9">
        <f t="shared" si="61"/>
        <v>6180.9919999999993</v>
      </c>
      <c r="Y81" s="46">
        <v>1120441540</v>
      </c>
    </row>
    <row r="82" spans="1:27" ht="60" customHeight="1" x14ac:dyDescent="0.3">
      <c r="A82" s="6" t="s">
        <v>92</v>
      </c>
      <c r="B82" s="20" t="s">
        <v>30</v>
      </c>
      <c r="C82" s="23" t="s">
        <v>8</v>
      </c>
      <c r="D82" s="8">
        <v>2973.7</v>
      </c>
      <c r="E82" s="8"/>
      <c r="F82" s="9">
        <f t="shared" si="0"/>
        <v>2973.7</v>
      </c>
      <c r="G82" s="10">
        <v>-2873.86</v>
      </c>
      <c r="H82" s="9">
        <f t="shared" si="1"/>
        <v>99.839999999999691</v>
      </c>
      <c r="I82" s="10"/>
      <c r="J82" s="9">
        <f t="shared" si="54"/>
        <v>99.839999999999691</v>
      </c>
      <c r="K82" s="10"/>
      <c r="L82" s="9">
        <f t="shared" si="55"/>
        <v>99.839999999999691</v>
      </c>
      <c r="M82" s="10"/>
      <c r="N82" s="9">
        <f t="shared" si="56"/>
        <v>99.839999999999691</v>
      </c>
      <c r="O82" s="32"/>
      <c r="P82" s="9">
        <f t="shared" si="57"/>
        <v>99.839999999999691</v>
      </c>
      <c r="Q82" s="32"/>
      <c r="R82" s="49">
        <f t="shared" si="58"/>
        <v>99.839999999999691</v>
      </c>
      <c r="S82" s="32"/>
      <c r="T82" s="49">
        <f t="shared" si="59"/>
        <v>99.839999999999691</v>
      </c>
      <c r="U82" s="32"/>
      <c r="V82" s="49">
        <f t="shared" si="60"/>
        <v>99.839999999999691</v>
      </c>
      <c r="W82" s="10"/>
      <c r="X82" s="9">
        <f t="shared" si="61"/>
        <v>99.839999999999691</v>
      </c>
      <c r="Y82" s="46">
        <v>1120441060</v>
      </c>
    </row>
    <row r="83" spans="1:27" ht="60" customHeight="1" x14ac:dyDescent="0.3">
      <c r="A83" s="6" t="s">
        <v>93</v>
      </c>
      <c r="B83" s="20" t="s">
        <v>125</v>
      </c>
      <c r="C83" s="23" t="s">
        <v>8</v>
      </c>
      <c r="D83" s="8"/>
      <c r="E83" s="8"/>
      <c r="F83" s="9"/>
      <c r="G83" s="10">
        <f>696.5+4854.68</f>
        <v>5551.18</v>
      </c>
      <c r="H83" s="9">
        <f t="shared" si="1"/>
        <v>5551.18</v>
      </c>
      <c r="I83" s="10"/>
      <c r="J83" s="9">
        <f t="shared" si="54"/>
        <v>5551.18</v>
      </c>
      <c r="K83" s="10"/>
      <c r="L83" s="9">
        <f t="shared" si="55"/>
        <v>5551.18</v>
      </c>
      <c r="M83" s="10"/>
      <c r="N83" s="9">
        <f t="shared" si="56"/>
        <v>5551.18</v>
      </c>
      <c r="O83" s="32"/>
      <c r="P83" s="9">
        <f t="shared" si="57"/>
        <v>5551.18</v>
      </c>
      <c r="Q83" s="32">
        <v>-4854.68</v>
      </c>
      <c r="R83" s="49">
        <f>P83+Q83</f>
        <v>696.5</v>
      </c>
      <c r="S83" s="32"/>
      <c r="T83" s="49">
        <f>R83+S83</f>
        <v>696.5</v>
      </c>
      <c r="U83" s="32"/>
      <c r="V83" s="49">
        <f>T83+U83</f>
        <v>696.5</v>
      </c>
      <c r="W83" s="10"/>
      <c r="X83" s="9">
        <f>V83+W83</f>
        <v>696.5</v>
      </c>
      <c r="Y83" s="46">
        <v>1110841780</v>
      </c>
    </row>
    <row r="84" spans="1:27" s="42" customFormat="1" ht="60" hidden="1" customHeight="1" x14ac:dyDescent="0.3">
      <c r="A84" s="43" t="s">
        <v>92</v>
      </c>
      <c r="B84" s="53" t="s">
        <v>156</v>
      </c>
      <c r="C84" s="51" t="s">
        <v>8</v>
      </c>
      <c r="D84" s="8"/>
      <c r="E84" s="8"/>
      <c r="F84" s="9"/>
      <c r="G84" s="10"/>
      <c r="H84" s="9"/>
      <c r="I84" s="10"/>
      <c r="J84" s="9"/>
      <c r="K84" s="10"/>
      <c r="L84" s="9"/>
      <c r="M84" s="10"/>
      <c r="N84" s="9">
        <v>0</v>
      </c>
      <c r="O84" s="32">
        <v>395.28300000000002</v>
      </c>
      <c r="P84" s="9">
        <f t="shared" si="57"/>
        <v>395.28300000000002</v>
      </c>
      <c r="Q84" s="32"/>
      <c r="R84" s="49">
        <f t="shared" si="58"/>
        <v>395.28300000000002</v>
      </c>
      <c r="S84" s="32">
        <v>-395.28300000000002</v>
      </c>
      <c r="T84" s="49">
        <f t="shared" ref="T84" si="62">R84+S84</f>
        <v>0</v>
      </c>
      <c r="U84" s="32"/>
      <c r="V84" s="49">
        <f t="shared" ref="V84" si="63">T84+U84</f>
        <v>0</v>
      </c>
      <c r="W84" s="10"/>
      <c r="X84" s="49">
        <f t="shared" ref="X84" si="64">V84+W84</f>
        <v>0</v>
      </c>
      <c r="Y84" s="46">
        <v>1110841710</v>
      </c>
      <c r="Z84" s="42">
        <v>0</v>
      </c>
    </row>
    <row r="85" spans="1:27" x14ac:dyDescent="0.3">
      <c r="A85" s="6"/>
      <c r="B85" s="19" t="s">
        <v>9</v>
      </c>
      <c r="C85" s="15"/>
      <c r="D85" s="35">
        <f>D87+D89+D88</f>
        <v>538799.19999999995</v>
      </c>
      <c r="E85" s="35">
        <f>E87+E88+E89</f>
        <v>-6447</v>
      </c>
      <c r="F85" s="36">
        <f t="shared" si="0"/>
        <v>532352.19999999995</v>
      </c>
      <c r="G85" s="33">
        <f>G87+G88+G89</f>
        <v>28728.639000000003</v>
      </c>
      <c r="H85" s="36">
        <f t="shared" si="1"/>
        <v>561080.83899999992</v>
      </c>
      <c r="I85" s="33">
        <f>I87+I88+I89</f>
        <v>0</v>
      </c>
      <c r="J85" s="36">
        <f t="shared" si="54"/>
        <v>561080.83899999992</v>
      </c>
      <c r="K85" s="33">
        <f>K87+K88+K89</f>
        <v>109355.1</v>
      </c>
      <c r="L85" s="36">
        <f t="shared" si="55"/>
        <v>670435.9389999999</v>
      </c>
      <c r="M85" s="33">
        <f>M87+M88+M89</f>
        <v>0</v>
      </c>
      <c r="N85" s="36">
        <f t="shared" si="56"/>
        <v>670435.9389999999</v>
      </c>
      <c r="O85" s="33">
        <f>O87+O88+O89</f>
        <v>-6626.71</v>
      </c>
      <c r="P85" s="36">
        <f>N85+O85+1000</f>
        <v>664809.22899999993</v>
      </c>
      <c r="Q85" s="33">
        <f>Q87+Q88+Q89</f>
        <v>-2387.5529999999999</v>
      </c>
      <c r="R85" s="36">
        <f>P85+Q85</f>
        <v>662421.67599999998</v>
      </c>
      <c r="S85" s="33">
        <f>S87+S88+S89</f>
        <v>-437657.9</v>
      </c>
      <c r="T85" s="36">
        <f>R85+S85</f>
        <v>224763.77599999995</v>
      </c>
      <c r="U85" s="33">
        <f>U87+U88+U89</f>
        <v>0</v>
      </c>
      <c r="V85" s="36">
        <f>T85+U85</f>
        <v>224763.77599999995</v>
      </c>
      <c r="W85" s="10">
        <f>W87+W88+W89</f>
        <v>1539.1770000000001</v>
      </c>
      <c r="X85" s="9">
        <f>V85+W85</f>
        <v>226302.95299999995</v>
      </c>
      <c r="Y85" s="37"/>
      <c r="Z85" s="38"/>
      <c r="AA85" s="38"/>
    </row>
    <row r="86" spans="1:27" x14ac:dyDescent="0.3">
      <c r="A86" s="6"/>
      <c r="B86" s="7" t="s">
        <v>2</v>
      </c>
      <c r="C86" s="23"/>
      <c r="D86" s="21"/>
      <c r="E86" s="8"/>
      <c r="F86" s="9"/>
      <c r="G86" s="10"/>
      <c r="H86" s="9"/>
      <c r="I86" s="10"/>
      <c r="J86" s="9"/>
      <c r="K86" s="10"/>
      <c r="L86" s="9"/>
      <c r="M86" s="10"/>
      <c r="N86" s="9"/>
      <c r="O86" s="32"/>
      <c r="P86" s="9"/>
      <c r="Q86" s="32"/>
      <c r="R86" s="49"/>
      <c r="S86" s="32"/>
      <c r="T86" s="49"/>
      <c r="U86" s="32"/>
      <c r="V86" s="49"/>
      <c r="W86" s="10"/>
      <c r="X86" s="9"/>
    </row>
    <row r="87" spans="1:27" hidden="1" x14ac:dyDescent="0.35">
      <c r="A87" s="6"/>
      <c r="B87" s="7" t="s">
        <v>3</v>
      </c>
      <c r="C87" s="24"/>
      <c r="D87" s="22">
        <f>D103+D96+D98+D101+D104+D105+D92+D109+D110+D111+D112</f>
        <v>188294.19999999998</v>
      </c>
      <c r="E87" s="13">
        <f>E92+E96+E98+E101+E103+E104+E105+E109+E110+E111+E112</f>
        <v>-6447</v>
      </c>
      <c r="F87" s="9">
        <f t="shared" si="0"/>
        <v>181847.19999999998</v>
      </c>
      <c r="G87" s="10">
        <f>G92+G96+G98+G101+G103+G104+G109+G110+G111+G112+G107+G113+G117</f>
        <v>8851.639000000001</v>
      </c>
      <c r="H87" s="9">
        <f t="shared" si="1"/>
        <v>190698.83899999998</v>
      </c>
      <c r="I87" s="10">
        <f>I92+I96+I98+I101+I103+I104+I109+I110+I111+I112+I107+I113+I117</f>
        <v>0</v>
      </c>
      <c r="J87" s="9">
        <f t="shared" ref="J87:J90" si="65">H87+I87</f>
        <v>190698.83899999998</v>
      </c>
      <c r="K87" s="10">
        <f>K92+K96+K98+K101+K103+K104+K109+K110+K111+K112+K107+K117+K115</f>
        <v>14931</v>
      </c>
      <c r="L87" s="9">
        <f t="shared" ref="L87:L90" si="66">J87+K87</f>
        <v>205629.83899999998</v>
      </c>
      <c r="M87" s="10">
        <f>M92+M96+M98+M101+M103+M104+M109+M110+M111+M112+M107+M117+M115</f>
        <v>0</v>
      </c>
      <c r="N87" s="9">
        <f t="shared" ref="N87:N90" si="67">L87+M87</f>
        <v>205629.83899999998</v>
      </c>
      <c r="O87" s="32">
        <f>O92+O96+O98+O101+O103+O104+O109+O110+O111+O112+O107+O117+O115+O118+O119+O120+O121</f>
        <v>-6626.71</v>
      </c>
      <c r="P87" s="9">
        <f>N87+O87+1000</f>
        <v>200003.12899999999</v>
      </c>
      <c r="Q87" s="32">
        <f>Q92+Q96+Q98+Q101+Q103+Q104+Q109+Q110+Q111+Q112+Q107+Q117+Q115+Q118+Q119+Q120+Q121</f>
        <v>-2387.5529999999999</v>
      </c>
      <c r="R87" s="9">
        <f>P87+Q87</f>
        <v>197615.576</v>
      </c>
      <c r="S87" s="32">
        <f>S92+S96+S98+S101+S103+S104+S109+S110+S111+S112+S107+S117+S115+S118+S119+S120+S121</f>
        <v>-109414.5</v>
      </c>
      <c r="T87" s="9">
        <f>R87+S87</f>
        <v>88201.076000000001</v>
      </c>
      <c r="U87" s="32">
        <f>U92+U96+U98+U101+U103+U104+U109+U110+U111+U112+U107+U117+U115+U118+U119+U120+U121</f>
        <v>0</v>
      </c>
      <c r="V87" s="9">
        <f>T87+U87</f>
        <v>88201.076000000001</v>
      </c>
      <c r="W87" s="10">
        <f>W92+W96+W98+W101+W103+W104+W109+W110+W111+W112+W107+W117+W115+W118+W119+W120+W121+W122</f>
        <v>1539.1770000000001</v>
      </c>
      <c r="X87" s="9">
        <f>V87+W87</f>
        <v>89740.252999999997</v>
      </c>
      <c r="Y87" s="5"/>
      <c r="Z87" s="1">
        <v>0</v>
      </c>
      <c r="AA87" s="1"/>
    </row>
    <row r="88" spans="1:27" hidden="1" x14ac:dyDescent="0.35">
      <c r="A88" s="6"/>
      <c r="B88" s="7" t="s">
        <v>20</v>
      </c>
      <c r="C88" s="24"/>
      <c r="D88" s="22"/>
      <c r="E88" s="13"/>
      <c r="F88" s="9">
        <f t="shared" si="0"/>
        <v>0</v>
      </c>
      <c r="G88" s="10"/>
      <c r="H88" s="9">
        <f t="shared" si="1"/>
        <v>0</v>
      </c>
      <c r="I88" s="10"/>
      <c r="J88" s="9">
        <f t="shared" si="65"/>
        <v>0</v>
      </c>
      <c r="K88" s="10"/>
      <c r="L88" s="9">
        <f t="shared" si="66"/>
        <v>0</v>
      </c>
      <c r="M88" s="10"/>
      <c r="N88" s="9">
        <f t="shared" si="67"/>
        <v>0</v>
      </c>
      <c r="O88" s="32"/>
      <c r="P88" s="9">
        <f>N88+O88</f>
        <v>0</v>
      </c>
      <c r="Q88" s="32"/>
      <c r="R88" s="9">
        <f>P88+Q88</f>
        <v>0</v>
      </c>
      <c r="S88" s="32"/>
      <c r="T88" s="9">
        <f>R88+S88</f>
        <v>0</v>
      </c>
      <c r="U88" s="32"/>
      <c r="V88" s="9">
        <f>T88+U88</f>
        <v>0</v>
      </c>
      <c r="W88" s="10"/>
      <c r="X88" s="9">
        <f>V88+W88</f>
        <v>0</v>
      </c>
      <c r="Y88" s="5"/>
      <c r="Z88" s="1">
        <v>0</v>
      </c>
      <c r="AA88" s="1"/>
    </row>
    <row r="89" spans="1:27" x14ac:dyDescent="0.3">
      <c r="A89" s="6"/>
      <c r="B89" s="19" t="s">
        <v>148</v>
      </c>
      <c r="C89" s="23"/>
      <c r="D89" s="21">
        <f>D93+D97+D102</f>
        <v>350505</v>
      </c>
      <c r="E89" s="8">
        <f>E93+E97+E102</f>
        <v>0</v>
      </c>
      <c r="F89" s="9">
        <f t="shared" si="0"/>
        <v>350505</v>
      </c>
      <c r="G89" s="10">
        <f>G93+G97+G102+G108</f>
        <v>19877</v>
      </c>
      <c r="H89" s="9">
        <f t="shared" si="1"/>
        <v>370382</v>
      </c>
      <c r="I89" s="10">
        <f>I93+I97+I102+I108</f>
        <v>0</v>
      </c>
      <c r="J89" s="9">
        <f t="shared" si="65"/>
        <v>370382</v>
      </c>
      <c r="K89" s="10">
        <f>K93+K97+K102+K108+K116</f>
        <v>94424.1</v>
      </c>
      <c r="L89" s="9">
        <f t="shared" si="66"/>
        <v>464806.1</v>
      </c>
      <c r="M89" s="10">
        <f>M93+M97+M102+M108+M116</f>
        <v>0</v>
      </c>
      <c r="N89" s="9">
        <f t="shared" si="67"/>
        <v>464806.1</v>
      </c>
      <c r="O89" s="32">
        <f>O93+O97+O102+O108+O116</f>
        <v>0</v>
      </c>
      <c r="P89" s="9">
        <f>N89+O89</f>
        <v>464806.1</v>
      </c>
      <c r="Q89" s="32">
        <f>Q93+Q97+Q102+Q108+Q116</f>
        <v>0</v>
      </c>
      <c r="R89" s="49">
        <f>P89+Q89</f>
        <v>464806.1</v>
      </c>
      <c r="S89" s="32">
        <f>S93+S97+S102+S108+S116</f>
        <v>-328243.40000000002</v>
      </c>
      <c r="T89" s="49">
        <f>R89+S89</f>
        <v>136562.69999999995</v>
      </c>
      <c r="U89" s="32">
        <f>U93+U97+U102+U108+U116</f>
        <v>0</v>
      </c>
      <c r="V89" s="49">
        <f>T89+U89</f>
        <v>136562.69999999995</v>
      </c>
      <c r="W89" s="10">
        <f>W93+W97+W102+W108+W116</f>
        <v>0</v>
      </c>
      <c r="X89" s="9">
        <f>V89+W89</f>
        <v>136562.69999999995</v>
      </c>
    </row>
    <row r="90" spans="1:27" ht="54" x14ac:dyDescent="0.3">
      <c r="A90" s="6" t="s">
        <v>94</v>
      </c>
      <c r="B90" s="19" t="s">
        <v>25</v>
      </c>
      <c r="C90" s="24" t="s">
        <v>8</v>
      </c>
      <c r="D90" s="21">
        <f>D92+D93</f>
        <v>455038</v>
      </c>
      <c r="E90" s="8"/>
      <c r="F90" s="9">
        <f t="shared" si="0"/>
        <v>455038</v>
      </c>
      <c r="G90" s="10">
        <f>G92+G93</f>
        <v>19877</v>
      </c>
      <c r="H90" s="9">
        <f t="shared" si="1"/>
        <v>474915</v>
      </c>
      <c r="I90" s="10">
        <f>I92+I93</f>
        <v>0</v>
      </c>
      <c r="J90" s="9">
        <f t="shared" si="65"/>
        <v>474915</v>
      </c>
      <c r="K90" s="10">
        <f>K92+K93</f>
        <v>28385.4</v>
      </c>
      <c r="L90" s="9">
        <f t="shared" si="66"/>
        <v>503300.4</v>
      </c>
      <c r="M90" s="10">
        <f>M92+M93</f>
        <v>0</v>
      </c>
      <c r="N90" s="9">
        <f t="shared" si="67"/>
        <v>503300.4</v>
      </c>
      <c r="O90" s="32">
        <f>O92+O93</f>
        <v>0</v>
      </c>
      <c r="P90" s="9">
        <f t="shared" ref="P90" si="68">N90+O90</f>
        <v>503300.4</v>
      </c>
      <c r="Q90" s="32">
        <f>Q92+Q93</f>
        <v>0</v>
      </c>
      <c r="R90" s="49">
        <f t="shared" ref="R90" si="69">P90+Q90</f>
        <v>503300.4</v>
      </c>
      <c r="S90" s="32">
        <f>S92+S93</f>
        <v>-364482.7</v>
      </c>
      <c r="T90" s="49">
        <f>R90+S90</f>
        <v>138817.70000000001</v>
      </c>
      <c r="U90" s="32">
        <f>U92+U93</f>
        <v>0</v>
      </c>
      <c r="V90" s="49">
        <f>T90+U90</f>
        <v>138817.70000000001</v>
      </c>
      <c r="W90" s="10">
        <f>W92+W93</f>
        <v>325.61</v>
      </c>
      <c r="X90" s="9">
        <f>V90+W90</f>
        <v>139143.31</v>
      </c>
    </row>
    <row r="91" spans="1:27" x14ac:dyDescent="0.3">
      <c r="A91" s="6"/>
      <c r="B91" s="7" t="s">
        <v>2</v>
      </c>
      <c r="C91" s="24"/>
      <c r="D91" s="21"/>
      <c r="E91" s="8"/>
      <c r="F91" s="9"/>
      <c r="G91" s="10"/>
      <c r="H91" s="9"/>
      <c r="I91" s="10"/>
      <c r="J91" s="9"/>
      <c r="K91" s="10"/>
      <c r="L91" s="9"/>
      <c r="M91" s="10"/>
      <c r="N91" s="9"/>
      <c r="O91" s="32"/>
      <c r="P91" s="9"/>
      <c r="Q91" s="32"/>
      <c r="R91" s="49"/>
      <c r="S91" s="32"/>
      <c r="T91" s="49"/>
      <c r="U91" s="32"/>
      <c r="V91" s="49"/>
      <c r="W91" s="10"/>
      <c r="X91" s="9"/>
    </row>
    <row r="92" spans="1:27" hidden="1" x14ac:dyDescent="0.35">
      <c r="A92" s="6"/>
      <c r="B92" s="19" t="s">
        <v>3</v>
      </c>
      <c r="C92" s="24"/>
      <c r="D92" s="22">
        <v>113759.5</v>
      </c>
      <c r="E92" s="13"/>
      <c r="F92" s="9">
        <f t="shared" si="0"/>
        <v>113759.5</v>
      </c>
      <c r="G92" s="10">
        <v>12238.5</v>
      </c>
      <c r="H92" s="9">
        <f t="shared" si="1"/>
        <v>125998</v>
      </c>
      <c r="I92" s="10"/>
      <c r="J92" s="9">
        <f t="shared" ref="J92:J94" si="70">H92+I92</f>
        <v>125998</v>
      </c>
      <c r="K92" s="10">
        <v>-3547.8</v>
      </c>
      <c r="L92" s="9">
        <f t="shared" ref="L92:L94" si="71">J92+K92</f>
        <v>122450.2</v>
      </c>
      <c r="M92" s="10"/>
      <c r="N92" s="9">
        <f t="shared" ref="N92:N94" si="72">L92+M92</f>
        <v>122450.2</v>
      </c>
      <c r="O92" s="32"/>
      <c r="P92" s="9">
        <f t="shared" ref="P92:P94" si="73">N92+O92</f>
        <v>122450.2</v>
      </c>
      <c r="Q92" s="32"/>
      <c r="R92" s="9">
        <f t="shared" ref="R92:R94" si="74">P92+Q92</f>
        <v>122450.2</v>
      </c>
      <c r="S92" s="32">
        <v>-91120.7</v>
      </c>
      <c r="T92" s="9">
        <f t="shared" ref="T92:T94" si="75">R92+S92</f>
        <v>31329.5</v>
      </c>
      <c r="U92" s="32"/>
      <c r="V92" s="9">
        <f t="shared" ref="V92:V94" si="76">T92+U92</f>
        <v>31329.5</v>
      </c>
      <c r="W92" s="29">
        <v>325.61</v>
      </c>
      <c r="X92" s="9">
        <f t="shared" ref="X92:X94" si="77">V92+W92</f>
        <v>31655.11</v>
      </c>
      <c r="Y92" s="5" t="s">
        <v>183</v>
      </c>
      <c r="Z92" s="1">
        <v>0</v>
      </c>
      <c r="AA92" s="1"/>
    </row>
    <row r="93" spans="1:27" x14ac:dyDescent="0.3">
      <c r="A93" s="6"/>
      <c r="B93" s="19" t="s">
        <v>148</v>
      </c>
      <c r="C93" s="24"/>
      <c r="D93" s="21">
        <v>341278.5</v>
      </c>
      <c r="E93" s="8"/>
      <c r="F93" s="9">
        <f t="shared" si="0"/>
        <v>341278.5</v>
      </c>
      <c r="G93" s="10">
        <v>7638.5</v>
      </c>
      <c r="H93" s="9">
        <f t="shared" si="1"/>
        <v>348917</v>
      </c>
      <c r="I93" s="10"/>
      <c r="J93" s="9">
        <f t="shared" si="70"/>
        <v>348917</v>
      </c>
      <c r="K93" s="10">
        <v>31933.200000000001</v>
      </c>
      <c r="L93" s="9">
        <f t="shared" si="71"/>
        <v>380850.2</v>
      </c>
      <c r="M93" s="10"/>
      <c r="N93" s="9">
        <f t="shared" si="72"/>
        <v>380850.2</v>
      </c>
      <c r="O93" s="32"/>
      <c r="P93" s="9">
        <f t="shared" si="73"/>
        <v>380850.2</v>
      </c>
      <c r="Q93" s="32"/>
      <c r="R93" s="49">
        <f t="shared" si="74"/>
        <v>380850.2</v>
      </c>
      <c r="S93" s="32">
        <v>-273362</v>
      </c>
      <c r="T93" s="49">
        <f t="shared" si="75"/>
        <v>107488.20000000001</v>
      </c>
      <c r="U93" s="32"/>
      <c r="V93" s="49">
        <f t="shared" si="76"/>
        <v>107488.20000000001</v>
      </c>
      <c r="W93" s="10"/>
      <c r="X93" s="9">
        <f t="shared" si="77"/>
        <v>107488.20000000001</v>
      </c>
      <c r="Y93" s="46" t="s">
        <v>122</v>
      </c>
    </row>
    <row r="94" spans="1:27" ht="54" x14ac:dyDescent="0.3">
      <c r="A94" s="6" t="s">
        <v>95</v>
      </c>
      <c r="B94" s="19" t="s">
        <v>105</v>
      </c>
      <c r="C94" s="24" t="s">
        <v>8</v>
      </c>
      <c r="D94" s="21">
        <f>D96</f>
        <v>20923.2</v>
      </c>
      <c r="E94" s="8"/>
      <c r="F94" s="9">
        <f t="shared" si="0"/>
        <v>20923.2</v>
      </c>
      <c r="G94" s="10">
        <f>G96+G97</f>
        <v>0</v>
      </c>
      <c r="H94" s="9">
        <f t="shared" si="1"/>
        <v>20923.2</v>
      </c>
      <c r="I94" s="10">
        <f>I96+I97</f>
        <v>0</v>
      </c>
      <c r="J94" s="9">
        <f t="shared" si="70"/>
        <v>20923.2</v>
      </c>
      <c r="K94" s="10">
        <f>K96+K97</f>
        <v>73175.199999999997</v>
      </c>
      <c r="L94" s="9">
        <f t="shared" si="71"/>
        <v>94098.4</v>
      </c>
      <c r="M94" s="10">
        <f>M96+M97</f>
        <v>0</v>
      </c>
      <c r="N94" s="9">
        <f t="shared" si="72"/>
        <v>94098.4</v>
      </c>
      <c r="O94" s="32">
        <f>O96+O97</f>
        <v>0</v>
      </c>
      <c r="P94" s="9">
        <f t="shared" si="73"/>
        <v>94098.4</v>
      </c>
      <c r="Q94" s="32">
        <f>Q96+Q97</f>
        <v>0</v>
      </c>
      <c r="R94" s="49">
        <f t="shared" si="74"/>
        <v>94098.4</v>
      </c>
      <c r="S94" s="32">
        <f>S96+S97</f>
        <v>-73175.199999999997</v>
      </c>
      <c r="T94" s="49">
        <f t="shared" si="75"/>
        <v>20923.199999999997</v>
      </c>
      <c r="U94" s="32">
        <f>U96+U97</f>
        <v>0</v>
      </c>
      <c r="V94" s="49">
        <f t="shared" si="76"/>
        <v>20923.199999999997</v>
      </c>
      <c r="W94" s="10">
        <f>W96+W97</f>
        <v>0</v>
      </c>
      <c r="X94" s="9">
        <f t="shared" si="77"/>
        <v>20923.199999999997</v>
      </c>
    </row>
    <row r="95" spans="1:27" s="42" customFormat="1" hidden="1" x14ac:dyDescent="0.3">
      <c r="A95" s="43"/>
      <c r="B95" s="44" t="s">
        <v>2</v>
      </c>
      <c r="C95" s="52"/>
      <c r="D95" s="21"/>
      <c r="E95" s="8"/>
      <c r="F95" s="9"/>
      <c r="G95" s="10"/>
      <c r="H95" s="9"/>
      <c r="I95" s="10"/>
      <c r="J95" s="9"/>
      <c r="K95" s="10"/>
      <c r="L95" s="9"/>
      <c r="M95" s="10"/>
      <c r="N95" s="9"/>
      <c r="O95" s="32"/>
      <c r="P95" s="9"/>
      <c r="Q95" s="32"/>
      <c r="R95" s="49"/>
      <c r="S95" s="32"/>
      <c r="T95" s="49"/>
      <c r="U95" s="32"/>
      <c r="V95" s="49"/>
      <c r="W95" s="10"/>
      <c r="X95" s="49"/>
      <c r="Y95" s="46"/>
      <c r="Z95" s="42">
        <v>0</v>
      </c>
    </row>
    <row r="96" spans="1:27" hidden="1" x14ac:dyDescent="0.3">
      <c r="A96" s="6"/>
      <c r="B96" s="19" t="s">
        <v>3</v>
      </c>
      <c r="C96" s="24"/>
      <c r="D96" s="21">
        <v>20923.2</v>
      </c>
      <c r="E96" s="8"/>
      <c r="F96" s="9">
        <f t="shared" si="0"/>
        <v>20923.2</v>
      </c>
      <c r="G96" s="10"/>
      <c r="H96" s="9">
        <f t="shared" si="1"/>
        <v>20923.2</v>
      </c>
      <c r="I96" s="10"/>
      <c r="J96" s="9">
        <f t="shared" ref="J96:J99" si="78">H96+I96</f>
        <v>20923.2</v>
      </c>
      <c r="K96" s="10">
        <v>18293.8</v>
      </c>
      <c r="L96" s="9">
        <f t="shared" ref="L96:L99" si="79">J96+K96</f>
        <v>39217</v>
      </c>
      <c r="M96" s="10"/>
      <c r="N96" s="9">
        <f t="shared" ref="N96:N99" si="80">L96+M96</f>
        <v>39217</v>
      </c>
      <c r="O96" s="32"/>
      <c r="P96" s="9">
        <f t="shared" ref="P96:P99" si="81">N96+O96</f>
        <v>39217</v>
      </c>
      <c r="Q96" s="32"/>
      <c r="R96" s="9">
        <f t="shared" ref="R96:R99" si="82">P96+Q96</f>
        <v>39217</v>
      </c>
      <c r="S96" s="32">
        <v>-18293.8</v>
      </c>
      <c r="T96" s="9">
        <f t="shared" ref="T96:T99" si="83">R96+S96</f>
        <v>20923.2</v>
      </c>
      <c r="U96" s="32"/>
      <c r="V96" s="9">
        <f t="shared" ref="V96:V99" si="84">T96+U96</f>
        <v>20923.2</v>
      </c>
      <c r="W96" s="10"/>
      <c r="X96" s="9">
        <f t="shared" ref="X96:X99" si="85">V96+W96</f>
        <v>20923.2</v>
      </c>
      <c r="Y96" s="5" t="s">
        <v>160</v>
      </c>
      <c r="Z96" s="1">
        <v>0</v>
      </c>
      <c r="AA96" s="1"/>
    </row>
    <row r="97" spans="1:27" s="42" customFormat="1" hidden="1" x14ac:dyDescent="0.3">
      <c r="A97" s="43"/>
      <c r="B97" s="50" t="s">
        <v>148</v>
      </c>
      <c r="C97" s="52"/>
      <c r="D97" s="21"/>
      <c r="E97" s="8"/>
      <c r="F97" s="9">
        <f t="shared" si="0"/>
        <v>0</v>
      </c>
      <c r="G97" s="10"/>
      <c r="H97" s="9">
        <f t="shared" si="1"/>
        <v>0</v>
      </c>
      <c r="I97" s="10"/>
      <c r="J97" s="9">
        <f t="shared" si="78"/>
        <v>0</v>
      </c>
      <c r="K97" s="10">
        <v>54881.4</v>
      </c>
      <c r="L97" s="9">
        <f t="shared" si="79"/>
        <v>54881.4</v>
      </c>
      <c r="M97" s="10"/>
      <c r="N97" s="9">
        <f t="shared" si="80"/>
        <v>54881.4</v>
      </c>
      <c r="O97" s="32"/>
      <c r="P97" s="9">
        <f t="shared" si="81"/>
        <v>54881.4</v>
      </c>
      <c r="Q97" s="32"/>
      <c r="R97" s="49">
        <f t="shared" si="82"/>
        <v>54881.4</v>
      </c>
      <c r="S97" s="32">
        <v>-54881.4</v>
      </c>
      <c r="T97" s="49">
        <f t="shared" si="83"/>
        <v>0</v>
      </c>
      <c r="U97" s="32"/>
      <c r="V97" s="49">
        <f t="shared" si="84"/>
        <v>0</v>
      </c>
      <c r="W97" s="10"/>
      <c r="X97" s="49">
        <f t="shared" si="85"/>
        <v>0</v>
      </c>
      <c r="Y97" s="46" t="s">
        <v>122</v>
      </c>
      <c r="Z97" s="42">
        <v>0</v>
      </c>
    </row>
    <row r="98" spans="1:27" ht="54" x14ac:dyDescent="0.3">
      <c r="A98" s="6" t="s">
        <v>96</v>
      </c>
      <c r="B98" s="19" t="s">
        <v>52</v>
      </c>
      <c r="C98" s="24" t="s">
        <v>8</v>
      </c>
      <c r="D98" s="21">
        <v>8546.2000000000007</v>
      </c>
      <c r="E98" s="8"/>
      <c r="F98" s="9">
        <f t="shared" si="0"/>
        <v>8546.2000000000007</v>
      </c>
      <c r="G98" s="10"/>
      <c r="H98" s="9">
        <f t="shared" ref="H98:H149" si="86">F98+G98</f>
        <v>8546.2000000000007</v>
      </c>
      <c r="I98" s="10"/>
      <c r="J98" s="9">
        <f t="shared" si="78"/>
        <v>8546.2000000000007</v>
      </c>
      <c r="K98" s="10"/>
      <c r="L98" s="9">
        <f t="shared" si="79"/>
        <v>8546.2000000000007</v>
      </c>
      <c r="M98" s="10"/>
      <c r="N98" s="9">
        <f t="shared" si="80"/>
        <v>8546.2000000000007</v>
      </c>
      <c r="O98" s="32">
        <v>-1025.5</v>
      </c>
      <c r="P98" s="9">
        <f t="shared" si="81"/>
        <v>7520.7000000000007</v>
      </c>
      <c r="Q98" s="32"/>
      <c r="R98" s="49">
        <f t="shared" si="82"/>
        <v>7520.7000000000007</v>
      </c>
      <c r="S98" s="32"/>
      <c r="T98" s="49">
        <f t="shared" si="83"/>
        <v>7520.7000000000007</v>
      </c>
      <c r="U98" s="32"/>
      <c r="V98" s="49">
        <f t="shared" si="84"/>
        <v>7520.7000000000007</v>
      </c>
      <c r="W98" s="10"/>
      <c r="X98" s="9">
        <f t="shared" si="85"/>
        <v>7520.7000000000007</v>
      </c>
      <c r="Y98" s="46">
        <v>1020141270</v>
      </c>
    </row>
    <row r="99" spans="1:27" ht="54" x14ac:dyDescent="0.3">
      <c r="A99" s="6" t="s">
        <v>97</v>
      </c>
      <c r="B99" s="19" t="s">
        <v>150</v>
      </c>
      <c r="C99" s="24" t="s">
        <v>8</v>
      </c>
      <c r="D99" s="21">
        <f>D101+D102</f>
        <v>12302</v>
      </c>
      <c r="E99" s="8"/>
      <c r="F99" s="9">
        <f t="shared" si="0"/>
        <v>12302</v>
      </c>
      <c r="G99" s="10">
        <f>G101+G102</f>
        <v>-4902</v>
      </c>
      <c r="H99" s="9">
        <f t="shared" si="86"/>
        <v>7400</v>
      </c>
      <c r="I99" s="10">
        <f>I101+I102</f>
        <v>0</v>
      </c>
      <c r="J99" s="9">
        <f t="shared" si="78"/>
        <v>7400</v>
      </c>
      <c r="K99" s="10">
        <f>K101+K102</f>
        <v>740</v>
      </c>
      <c r="L99" s="9">
        <f t="shared" si="79"/>
        <v>8140</v>
      </c>
      <c r="M99" s="10">
        <f>M101+M102</f>
        <v>0</v>
      </c>
      <c r="N99" s="9">
        <f t="shared" si="80"/>
        <v>8140</v>
      </c>
      <c r="O99" s="32">
        <f>O101+O102</f>
        <v>0</v>
      </c>
      <c r="P99" s="9">
        <f t="shared" si="81"/>
        <v>8140</v>
      </c>
      <c r="Q99" s="32">
        <f>Q101+Q102</f>
        <v>0</v>
      </c>
      <c r="R99" s="49">
        <f t="shared" si="82"/>
        <v>8140</v>
      </c>
      <c r="S99" s="32">
        <f>S101+S102</f>
        <v>0</v>
      </c>
      <c r="T99" s="49">
        <f t="shared" si="83"/>
        <v>8140</v>
      </c>
      <c r="U99" s="32">
        <f>U101+U102</f>
        <v>0</v>
      </c>
      <c r="V99" s="49">
        <f t="shared" si="84"/>
        <v>8140</v>
      </c>
      <c r="W99" s="10">
        <f>W101+W102</f>
        <v>0</v>
      </c>
      <c r="X99" s="9">
        <f t="shared" si="85"/>
        <v>8140</v>
      </c>
    </row>
    <row r="100" spans="1:27" x14ac:dyDescent="0.3">
      <c r="A100" s="6"/>
      <c r="B100" s="7" t="s">
        <v>2</v>
      </c>
      <c r="C100" s="23"/>
      <c r="D100" s="21"/>
      <c r="E100" s="8"/>
      <c r="F100" s="9"/>
      <c r="G100" s="10"/>
      <c r="H100" s="9"/>
      <c r="I100" s="10"/>
      <c r="J100" s="9"/>
      <c r="K100" s="10"/>
      <c r="L100" s="9"/>
      <c r="M100" s="10"/>
      <c r="N100" s="9"/>
      <c r="O100" s="32"/>
      <c r="P100" s="9"/>
      <c r="Q100" s="32"/>
      <c r="R100" s="49"/>
      <c r="S100" s="32"/>
      <c r="T100" s="49"/>
      <c r="U100" s="32"/>
      <c r="V100" s="49"/>
      <c r="W100" s="10"/>
      <c r="X100" s="9"/>
    </row>
    <row r="101" spans="1:27" hidden="1" x14ac:dyDescent="0.3">
      <c r="A101" s="6"/>
      <c r="B101" s="19" t="s">
        <v>3</v>
      </c>
      <c r="C101" s="23"/>
      <c r="D101" s="21">
        <v>3075.5</v>
      </c>
      <c r="E101" s="8"/>
      <c r="F101" s="9">
        <f t="shared" si="0"/>
        <v>3075.5</v>
      </c>
      <c r="G101" s="10">
        <v>-1225.5</v>
      </c>
      <c r="H101" s="9">
        <f t="shared" si="86"/>
        <v>1850</v>
      </c>
      <c r="I101" s="10"/>
      <c r="J101" s="9">
        <f t="shared" ref="J101:J105" si="87">H101+I101</f>
        <v>1850</v>
      </c>
      <c r="K101" s="10">
        <v>185</v>
      </c>
      <c r="L101" s="9">
        <f t="shared" ref="L101:L105" si="88">J101+K101</f>
        <v>2035</v>
      </c>
      <c r="M101" s="10"/>
      <c r="N101" s="9">
        <f t="shared" ref="N101:N105" si="89">L101+M101</f>
        <v>2035</v>
      </c>
      <c r="O101" s="32"/>
      <c r="P101" s="9">
        <f t="shared" ref="P101:P105" si="90">N101+O101</f>
        <v>2035</v>
      </c>
      <c r="Q101" s="32"/>
      <c r="R101" s="9">
        <f t="shared" ref="R101:R105" si="91">P101+Q101</f>
        <v>2035</v>
      </c>
      <c r="S101" s="32"/>
      <c r="T101" s="9">
        <f t="shared" ref="T101:T105" si="92">R101+S101</f>
        <v>2035</v>
      </c>
      <c r="U101" s="32"/>
      <c r="V101" s="9">
        <f t="shared" ref="V101:V105" si="93">T101+U101</f>
        <v>2035</v>
      </c>
      <c r="W101" s="10"/>
      <c r="X101" s="9">
        <f t="shared" ref="X101:X105" si="94">V101+W101</f>
        <v>2035</v>
      </c>
      <c r="Y101" s="5" t="s">
        <v>157</v>
      </c>
      <c r="Z101" s="1">
        <v>0</v>
      </c>
      <c r="AA101" s="1"/>
    </row>
    <row r="102" spans="1:27" x14ac:dyDescent="0.3">
      <c r="A102" s="6"/>
      <c r="B102" s="19" t="s">
        <v>148</v>
      </c>
      <c r="C102" s="23"/>
      <c r="D102" s="21">
        <v>9226.5</v>
      </c>
      <c r="E102" s="8"/>
      <c r="F102" s="9">
        <f t="shared" si="0"/>
        <v>9226.5</v>
      </c>
      <c r="G102" s="10">
        <v>-3676.5</v>
      </c>
      <c r="H102" s="9">
        <f t="shared" si="86"/>
        <v>5550</v>
      </c>
      <c r="I102" s="10"/>
      <c r="J102" s="9">
        <f t="shared" si="87"/>
        <v>5550</v>
      </c>
      <c r="K102" s="10">
        <v>555</v>
      </c>
      <c r="L102" s="9">
        <f t="shared" si="88"/>
        <v>6105</v>
      </c>
      <c r="M102" s="10"/>
      <c r="N102" s="9">
        <f t="shared" si="89"/>
        <v>6105</v>
      </c>
      <c r="O102" s="32"/>
      <c r="P102" s="9">
        <f t="shared" si="90"/>
        <v>6105</v>
      </c>
      <c r="Q102" s="32"/>
      <c r="R102" s="49">
        <f t="shared" si="91"/>
        <v>6105</v>
      </c>
      <c r="S102" s="32"/>
      <c r="T102" s="49">
        <f t="shared" si="92"/>
        <v>6105</v>
      </c>
      <c r="U102" s="32"/>
      <c r="V102" s="49">
        <f t="shared" si="93"/>
        <v>6105</v>
      </c>
      <c r="W102" s="10"/>
      <c r="X102" s="9">
        <f t="shared" si="94"/>
        <v>6105</v>
      </c>
      <c r="Y102" s="46" t="s">
        <v>146</v>
      </c>
    </row>
    <row r="103" spans="1:27" ht="60" customHeight="1" x14ac:dyDescent="0.3">
      <c r="A103" s="6" t="s">
        <v>98</v>
      </c>
      <c r="B103" s="20" t="s">
        <v>53</v>
      </c>
      <c r="C103" s="24" t="s">
        <v>8</v>
      </c>
      <c r="D103" s="8">
        <v>11616</v>
      </c>
      <c r="E103" s="8"/>
      <c r="F103" s="9">
        <f t="shared" ref="F103:F149" si="95">D103+E103</f>
        <v>11616</v>
      </c>
      <c r="G103" s="10"/>
      <c r="H103" s="9">
        <f t="shared" si="86"/>
        <v>11616</v>
      </c>
      <c r="I103" s="10"/>
      <c r="J103" s="9">
        <f t="shared" si="87"/>
        <v>11616</v>
      </c>
      <c r="K103" s="10"/>
      <c r="L103" s="9">
        <f t="shared" si="88"/>
        <v>11616</v>
      </c>
      <c r="M103" s="10"/>
      <c r="N103" s="9">
        <f t="shared" si="89"/>
        <v>11616</v>
      </c>
      <c r="O103" s="32"/>
      <c r="P103" s="9">
        <f t="shared" si="90"/>
        <v>11616</v>
      </c>
      <c r="Q103" s="32"/>
      <c r="R103" s="49">
        <f t="shared" si="91"/>
        <v>11616</v>
      </c>
      <c r="S103" s="32"/>
      <c r="T103" s="49">
        <f t="shared" si="92"/>
        <v>11616</v>
      </c>
      <c r="U103" s="32"/>
      <c r="V103" s="49">
        <f t="shared" si="93"/>
        <v>11616</v>
      </c>
      <c r="W103" s="10"/>
      <c r="X103" s="9">
        <f t="shared" si="94"/>
        <v>11616</v>
      </c>
      <c r="Y103" s="46">
        <v>1020141480</v>
      </c>
    </row>
    <row r="104" spans="1:27" ht="60" hidden="1" customHeight="1" x14ac:dyDescent="0.3">
      <c r="A104" s="6" t="s">
        <v>97</v>
      </c>
      <c r="B104" s="20" t="s">
        <v>106</v>
      </c>
      <c r="C104" s="24" t="s">
        <v>8</v>
      </c>
      <c r="D104" s="8">
        <v>1348</v>
      </c>
      <c r="E104" s="8">
        <v>-1348</v>
      </c>
      <c r="F104" s="9">
        <f t="shared" si="95"/>
        <v>0</v>
      </c>
      <c r="G104" s="10"/>
      <c r="H104" s="9">
        <f t="shared" si="86"/>
        <v>0</v>
      </c>
      <c r="I104" s="10"/>
      <c r="J104" s="9">
        <f t="shared" si="87"/>
        <v>0</v>
      </c>
      <c r="K104" s="10"/>
      <c r="L104" s="9">
        <f t="shared" si="88"/>
        <v>0</v>
      </c>
      <c r="M104" s="10"/>
      <c r="N104" s="9">
        <f t="shared" si="89"/>
        <v>0</v>
      </c>
      <c r="O104" s="32"/>
      <c r="P104" s="9">
        <f t="shared" si="90"/>
        <v>0</v>
      </c>
      <c r="Q104" s="32"/>
      <c r="R104" s="9">
        <f t="shared" si="91"/>
        <v>0</v>
      </c>
      <c r="S104" s="32"/>
      <c r="T104" s="9">
        <f t="shared" si="92"/>
        <v>0</v>
      </c>
      <c r="U104" s="32"/>
      <c r="V104" s="9">
        <f t="shared" si="93"/>
        <v>0</v>
      </c>
      <c r="W104" s="10"/>
      <c r="X104" s="9">
        <f t="shared" si="94"/>
        <v>0</v>
      </c>
      <c r="Y104" s="5">
        <v>1020141510</v>
      </c>
      <c r="Z104" s="1">
        <v>0</v>
      </c>
      <c r="AA104" s="1"/>
    </row>
    <row r="105" spans="1:27" ht="60" customHeight="1" x14ac:dyDescent="0.3">
      <c r="A105" s="6" t="s">
        <v>111</v>
      </c>
      <c r="B105" s="20" t="s">
        <v>54</v>
      </c>
      <c r="C105" s="24" t="s">
        <v>8</v>
      </c>
      <c r="D105" s="8">
        <v>21220</v>
      </c>
      <c r="E105" s="8">
        <v>-4902</v>
      </c>
      <c r="F105" s="9">
        <f>F107+F108</f>
        <v>16318</v>
      </c>
      <c r="G105" s="10">
        <f>G107+G108</f>
        <v>4902</v>
      </c>
      <c r="H105" s="9">
        <f t="shared" si="86"/>
        <v>21220</v>
      </c>
      <c r="I105" s="10">
        <f>I107+I108</f>
        <v>0</v>
      </c>
      <c r="J105" s="9">
        <f t="shared" si="87"/>
        <v>21220</v>
      </c>
      <c r="K105" s="10">
        <f>K107+K108</f>
        <v>0</v>
      </c>
      <c r="L105" s="9">
        <f t="shared" si="88"/>
        <v>21220</v>
      </c>
      <c r="M105" s="10">
        <f>M107+M108</f>
        <v>0</v>
      </c>
      <c r="N105" s="9">
        <f t="shared" si="89"/>
        <v>21220</v>
      </c>
      <c r="O105" s="32">
        <f>O107+O108</f>
        <v>0</v>
      </c>
      <c r="P105" s="9">
        <f t="shared" si="90"/>
        <v>21220</v>
      </c>
      <c r="Q105" s="32">
        <f>Q107+Q108</f>
        <v>0</v>
      </c>
      <c r="R105" s="49">
        <f t="shared" si="91"/>
        <v>21220</v>
      </c>
      <c r="S105" s="32">
        <f>S107+S108</f>
        <v>0</v>
      </c>
      <c r="T105" s="49">
        <f t="shared" si="92"/>
        <v>21220</v>
      </c>
      <c r="U105" s="32">
        <f>U107+U108</f>
        <v>0</v>
      </c>
      <c r="V105" s="49">
        <f t="shared" si="93"/>
        <v>21220</v>
      </c>
      <c r="W105" s="10">
        <f>W107+W108</f>
        <v>0</v>
      </c>
      <c r="X105" s="9">
        <f t="shared" si="94"/>
        <v>21220</v>
      </c>
    </row>
    <row r="106" spans="1:27" x14ac:dyDescent="0.3">
      <c r="A106" s="6"/>
      <c r="B106" s="7" t="s">
        <v>2</v>
      </c>
      <c r="C106" s="24"/>
      <c r="D106" s="8"/>
      <c r="E106" s="8"/>
      <c r="F106" s="9"/>
      <c r="G106" s="10"/>
      <c r="H106" s="9"/>
      <c r="I106" s="10"/>
      <c r="J106" s="9"/>
      <c r="K106" s="10"/>
      <c r="L106" s="9"/>
      <c r="M106" s="10"/>
      <c r="N106" s="9"/>
      <c r="O106" s="32"/>
      <c r="P106" s="9"/>
      <c r="Q106" s="32"/>
      <c r="R106" s="49"/>
      <c r="S106" s="32"/>
      <c r="T106" s="49"/>
      <c r="U106" s="32"/>
      <c r="V106" s="49"/>
      <c r="W106" s="10"/>
      <c r="X106" s="9"/>
    </row>
    <row r="107" spans="1:27" hidden="1" x14ac:dyDescent="0.3">
      <c r="A107" s="6"/>
      <c r="B107" s="19" t="s">
        <v>3</v>
      </c>
      <c r="C107" s="24"/>
      <c r="D107" s="8"/>
      <c r="E107" s="8"/>
      <c r="F107" s="9">
        <v>16318</v>
      </c>
      <c r="G107" s="10">
        <f>1225.5-12238.5-4079.5+4079.5</f>
        <v>-11013</v>
      </c>
      <c r="H107" s="9">
        <f t="shared" si="86"/>
        <v>5305</v>
      </c>
      <c r="I107" s="10"/>
      <c r="J107" s="9">
        <f t="shared" ref="J107:J134" si="96">H107+I107</f>
        <v>5305</v>
      </c>
      <c r="K107" s="10"/>
      <c r="L107" s="9">
        <f t="shared" ref="L107:L134" si="97">J107+K107</f>
        <v>5305</v>
      </c>
      <c r="M107" s="10"/>
      <c r="N107" s="9">
        <f t="shared" ref="N107:N113" si="98">L107+M107</f>
        <v>5305</v>
      </c>
      <c r="O107" s="32"/>
      <c r="P107" s="9">
        <f t="shared" ref="P107:P113" si="99">N107+O107</f>
        <v>5305</v>
      </c>
      <c r="Q107" s="32"/>
      <c r="R107" s="9">
        <f t="shared" ref="R107:R113" si="100">P107+Q107</f>
        <v>5305</v>
      </c>
      <c r="S107" s="32"/>
      <c r="T107" s="9">
        <f t="shared" ref="T107:T113" si="101">R107+S107</f>
        <v>5305</v>
      </c>
      <c r="U107" s="32"/>
      <c r="V107" s="9">
        <f t="shared" ref="V107:V113" si="102">T107+U107</f>
        <v>5305</v>
      </c>
      <c r="W107" s="10"/>
      <c r="X107" s="9">
        <f t="shared" ref="X107:X113" si="103">V107+W107</f>
        <v>5305</v>
      </c>
      <c r="Y107" s="5" t="s">
        <v>141</v>
      </c>
      <c r="Z107" s="1">
        <v>0</v>
      </c>
      <c r="AA107" s="1"/>
    </row>
    <row r="108" spans="1:27" x14ac:dyDescent="0.3">
      <c r="A108" s="6"/>
      <c r="B108" s="19" t="s">
        <v>148</v>
      </c>
      <c r="C108" s="24"/>
      <c r="D108" s="8"/>
      <c r="E108" s="8"/>
      <c r="F108" s="9"/>
      <c r="G108" s="10">
        <f>3676.5+12238.5</f>
        <v>15915</v>
      </c>
      <c r="H108" s="9">
        <f t="shared" si="86"/>
        <v>15915</v>
      </c>
      <c r="I108" s="10"/>
      <c r="J108" s="9">
        <f t="shared" si="96"/>
        <v>15915</v>
      </c>
      <c r="K108" s="10"/>
      <c r="L108" s="9">
        <f t="shared" si="97"/>
        <v>15915</v>
      </c>
      <c r="M108" s="10"/>
      <c r="N108" s="9">
        <f t="shared" si="98"/>
        <v>15915</v>
      </c>
      <c r="O108" s="32"/>
      <c r="P108" s="9">
        <f t="shared" si="99"/>
        <v>15915</v>
      </c>
      <c r="Q108" s="32"/>
      <c r="R108" s="49">
        <f t="shared" si="100"/>
        <v>15915</v>
      </c>
      <c r="S108" s="32"/>
      <c r="T108" s="49">
        <f t="shared" si="101"/>
        <v>15915</v>
      </c>
      <c r="U108" s="32"/>
      <c r="V108" s="49">
        <f t="shared" si="102"/>
        <v>15915</v>
      </c>
      <c r="W108" s="10"/>
      <c r="X108" s="9">
        <f t="shared" si="103"/>
        <v>15915</v>
      </c>
      <c r="Y108" s="46" t="s">
        <v>122</v>
      </c>
    </row>
    <row r="109" spans="1:27" ht="54" hidden="1" x14ac:dyDescent="0.3">
      <c r="A109" s="6" t="s">
        <v>129</v>
      </c>
      <c r="B109" s="19" t="s">
        <v>21</v>
      </c>
      <c r="C109" s="23" t="s">
        <v>10</v>
      </c>
      <c r="D109" s="8">
        <v>3000</v>
      </c>
      <c r="E109" s="8">
        <v>-197</v>
      </c>
      <c r="F109" s="9">
        <f t="shared" si="95"/>
        <v>2803</v>
      </c>
      <c r="G109" s="10"/>
      <c r="H109" s="9">
        <f t="shared" si="86"/>
        <v>2803</v>
      </c>
      <c r="I109" s="10"/>
      <c r="J109" s="9">
        <f t="shared" si="96"/>
        <v>2803</v>
      </c>
      <c r="K109" s="10"/>
      <c r="L109" s="9">
        <f t="shared" si="97"/>
        <v>2803</v>
      </c>
      <c r="M109" s="10"/>
      <c r="N109" s="9">
        <f t="shared" si="98"/>
        <v>2803</v>
      </c>
      <c r="O109" s="32">
        <v>-2803</v>
      </c>
      <c r="P109" s="9">
        <f t="shared" si="99"/>
        <v>0</v>
      </c>
      <c r="Q109" s="32"/>
      <c r="R109" s="9">
        <f t="shared" si="100"/>
        <v>0</v>
      </c>
      <c r="S109" s="32"/>
      <c r="T109" s="9">
        <f t="shared" si="101"/>
        <v>0</v>
      </c>
      <c r="U109" s="32"/>
      <c r="V109" s="9">
        <f t="shared" si="102"/>
        <v>0</v>
      </c>
      <c r="W109" s="10"/>
      <c r="X109" s="9">
        <f t="shared" si="103"/>
        <v>0</v>
      </c>
      <c r="Y109" s="5">
        <v>1210441570</v>
      </c>
      <c r="Z109" s="1">
        <v>0</v>
      </c>
      <c r="AA109" s="1"/>
    </row>
    <row r="110" spans="1:27" ht="54" hidden="1" x14ac:dyDescent="0.3">
      <c r="A110" s="6" t="s">
        <v>130</v>
      </c>
      <c r="B110" s="19" t="s">
        <v>56</v>
      </c>
      <c r="C110" s="23" t="s">
        <v>10</v>
      </c>
      <c r="D110" s="8">
        <v>4332.8</v>
      </c>
      <c r="E110" s="8"/>
      <c r="F110" s="9">
        <f t="shared" si="95"/>
        <v>4332.8</v>
      </c>
      <c r="G110" s="10">
        <v>1078.4590000000001</v>
      </c>
      <c r="H110" s="9">
        <f t="shared" si="86"/>
        <v>5411.259</v>
      </c>
      <c r="I110" s="10"/>
      <c r="J110" s="9">
        <f t="shared" si="96"/>
        <v>5411.259</v>
      </c>
      <c r="K110" s="10"/>
      <c r="L110" s="9">
        <f t="shared" si="97"/>
        <v>5411.259</v>
      </c>
      <c r="M110" s="10"/>
      <c r="N110" s="9">
        <f t="shared" si="98"/>
        <v>5411.259</v>
      </c>
      <c r="O110" s="32">
        <v>-5411.259</v>
      </c>
      <c r="P110" s="9">
        <f t="shared" si="99"/>
        <v>0</v>
      </c>
      <c r="Q110" s="32"/>
      <c r="R110" s="9">
        <f t="shared" si="100"/>
        <v>0</v>
      </c>
      <c r="S110" s="32"/>
      <c r="T110" s="9">
        <f t="shared" si="101"/>
        <v>0</v>
      </c>
      <c r="U110" s="32"/>
      <c r="V110" s="9">
        <f t="shared" si="102"/>
        <v>0</v>
      </c>
      <c r="W110" s="10"/>
      <c r="X110" s="9">
        <f t="shared" si="103"/>
        <v>0</v>
      </c>
      <c r="Y110" s="5">
        <v>1210441560</v>
      </c>
      <c r="Z110" s="1">
        <v>0</v>
      </c>
      <c r="AA110" s="1"/>
    </row>
    <row r="111" spans="1:27" ht="54" hidden="1" x14ac:dyDescent="0.3">
      <c r="A111" s="6" t="s">
        <v>131</v>
      </c>
      <c r="B111" s="19" t="s">
        <v>35</v>
      </c>
      <c r="C111" s="23" t="s">
        <v>10</v>
      </c>
      <c r="D111" s="8">
        <v>151.30000000000001</v>
      </c>
      <c r="E111" s="8"/>
      <c r="F111" s="9">
        <f t="shared" si="95"/>
        <v>151.30000000000001</v>
      </c>
      <c r="G111" s="10"/>
      <c r="H111" s="9">
        <f t="shared" si="86"/>
        <v>151.30000000000001</v>
      </c>
      <c r="I111" s="10"/>
      <c r="J111" s="9">
        <f t="shared" si="96"/>
        <v>151.30000000000001</v>
      </c>
      <c r="K111" s="10"/>
      <c r="L111" s="9">
        <f t="shared" si="97"/>
        <v>151.30000000000001</v>
      </c>
      <c r="M111" s="10"/>
      <c r="N111" s="9">
        <f t="shared" si="98"/>
        <v>151.30000000000001</v>
      </c>
      <c r="O111" s="32">
        <v>-151.30000000000001</v>
      </c>
      <c r="P111" s="9">
        <f t="shared" si="99"/>
        <v>0</v>
      </c>
      <c r="Q111" s="32"/>
      <c r="R111" s="9">
        <f t="shared" si="100"/>
        <v>0</v>
      </c>
      <c r="S111" s="32"/>
      <c r="T111" s="9">
        <f t="shared" si="101"/>
        <v>0</v>
      </c>
      <c r="U111" s="32"/>
      <c r="V111" s="9">
        <f t="shared" si="102"/>
        <v>0</v>
      </c>
      <c r="W111" s="10"/>
      <c r="X111" s="9">
        <f t="shared" si="103"/>
        <v>0</v>
      </c>
      <c r="Y111" s="25" t="s">
        <v>158</v>
      </c>
      <c r="Z111" s="1">
        <v>0</v>
      </c>
      <c r="AA111" s="1"/>
    </row>
    <row r="112" spans="1:27" ht="54" hidden="1" x14ac:dyDescent="0.3">
      <c r="A112" s="6" t="s">
        <v>132</v>
      </c>
      <c r="B112" s="19" t="s">
        <v>36</v>
      </c>
      <c r="C112" s="23" t="s">
        <v>10</v>
      </c>
      <c r="D112" s="21">
        <v>321.7</v>
      </c>
      <c r="E112" s="8"/>
      <c r="F112" s="9">
        <f t="shared" si="95"/>
        <v>321.7</v>
      </c>
      <c r="G112" s="10"/>
      <c r="H112" s="9">
        <f t="shared" si="86"/>
        <v>321.7</v>
      </c>
      <c r="I112" s="10"/>
      <c r="J112" s="9">
        <f t="shared" si="96"/>
        <v>321.7</v>
      </c>
      <c r="K112" s="10"/>
      <c r="L112" s="9">
        <f t="shared" si="97"/>
        <v>321.7</v>
      </c>
      <c r="M112" s="10"/>
      <c r="N112" s="9">
        <f t="shared" si="98"/>
        <v>321.7</v>
      </c>
      <c r="O112" s="32">
        <v>-321.7</v>
      </c>
      <c r="P112" s="9">
        <f t="shared" si="99"/>
        <v>0</v>
      </c>
      <c r="Q112" s="32"/>
      <c r="R112" s="9">
        <f t="shared" si="100"/>
        <v>0</v>
      </c>
      <c r="S112" s="32"/>
      <c r="T112" s="9">
        <f t="shared" si="101"/>
        <v>0</v>
      </c>
      <c r="U112" s="32"/>
      <c r="V112" s="9">
        <f t="shared" si="102"/>
        <v>0</v>
      </c>
      <c r="W112" s="10"/>
      <c r="X112" s="9">
        <f t="shared" si="103"/>
        <v>0</v>
      </c>
      <c r="Y112" s="25" t="s">
        <v>159</v>
      </c>
      <c r="Z112" s="1">
        <v>0</v>
      </c>
      <c r="AA112" s="1"/>
    </row>
    <row r="113" spans="1:27" ht="54" x14ac:dyDescent="0.3">
      <c r="A113" s="6" t="s">
        <v>119</v>
      </c>
      <c r="B113" s="19" t="s">
        <v>127</v>
      </c>
      <c r="C113" s="24" t="s">
        <v>8</v>
      </c>
      <c r="D113" s="21"/>
      <c r="E113" s="8"/>
      <c r="F113" s="9"/>
      <c r="G113" s="10">
        <v>2351.5</v>
      </c>
      <c r="H113" s="9">
        <f t="shared" si="86"/>
        <v>2351.5</v>
      </c>
      <c r="I113" s="10"/>
      <c r="J113" s="9">
        <f>J115+J116</f>
        <v>2351.5</v>
      </c>
      <c r="K113" s="10">
        <f>K115+K116</f>
        <v>7054.5</v>
      </c>
      <c r="L113" s="9">
        <f t="shared" si="97"/>
        <v>9406</v>
      </c>
      <c r="M113" s="10">
        <f>M115+M116</f>
        <v>0</v>
      </c>
      <c r="N113" s="9">
        <f t="shared" si="98"/>
        <v>9406</v>
      </c>
      <c r="O113" s="32">
        <f>O115+O116</f>
        <v>0</v>
      </c>
      <c r="P113" s="9">
        <f t="shared" si="99"/>
        <v>9406</v>
      </c>
      <c r="Q113" s="32">
        <f>Q115+Q116</f>
        <v>0</v>
      </c>
      <c r="R113" s="49">
        <f t="shared" si="100"/>
        <v>9406</v>
      </c>
      <c r="S113" s="32">
        <f>S115+S116</f>
        <v>0</v>
      </c>
      <c r="T113" s="49">
        <f t="shared" si="101"/>
        <v>9406</v>
      </c>
      <c r="U113" s="32">
        <f>U115+U116</f>
        <v>0</v>
      </c>
      <c r="V113" s="49">
        <f t="shared" si="102"/>
        <v>9406</v>
      </c>
      <c r="W113" s="10">
        <f>W115+W116</f>
        <v>0</v>
      </c>
      <c r="X113" s="9">
        <f t="shared" si="103"/>
        <v>9406</v>
      </c>
    </row>
    <row r="114" spans="1:27" x14ac:dyDescent="0.3">
      <c r="A114" s="6"/>
      <c r="B114" s="7" t="s">
        <v>2</v>
      </c>
      <c r="C114" s="24"/>
      <c r="D114" s="21"/>
      <c r="E114" s="8"/>
      <c r="F114" s="9"/>
      <c r="G114" s="10"/>
      <c r="H114" s="9"/>
      <c r="I114" s="10"/>
      <c r="J114" s="9"/>
      <c r="K114" s="10"/>
      <c r="L114" s="9"/>
      <c r="M114" s="10"/>
      <c r="N114" s="9"/>
      <c r="O114" s="32"/>
      <c r="P114" s="9"/>
      <c r="Q114" s="32"/>
      <c r="R114" s="49"/>
      <c r="S114" s="32"/>
      <c r="T114" s="49"/>
      <c r="U114" s="32"/>
      <c r="V114" s="49"/>
      <c r="W114" s="10"/>
      <c r="X114" s="9"/>
    </row>
    <row r="115" spans="1:27" hidden="1" x14ac:dyDescent="0.3">
      <c r="A115" s="6"/>
      <c r="B115" s="19" t="s">
        <v>3</v>
      </c>
      <c r="C115" s="24"/>
      <c r="D115" s="21"/>
      <c r="E115" s="8"/>
      <c r="F115" s="9"/>
      <c r="G115" s="10"/>
      <c r="H115" s="9"/>
      <c r="I115" s="10"/>
      <c r="J115" s="9">
        <v>2351.5</v>
      </c>
      <c r="K115" s="10"/>
      <c r="L115" s="9">
        <f t="shared" si="97"/>
        <v>2351.5</v>
      </c>
      <c r="M115" s="10"/>
      <c r="N115" s="9">
        <f t="shared" ref="N115:N134" si="104">L115+M115</f>
        <v>2351.5</v>
      </c>
      <c r="O115" s="32"/>
      <c r="P115" s="9">
        <f t="shared" ref="P115:P134" si="105">N115+O115</f>
        <v>2351.5</v>
      </c>
      <c r="Q115" s="32"/>
      <c r="R115" s="9">
        <f t="shared" ref="R115:R120" si="106">P115+Q115</f>
        <v>2351.5</v>
      </c>
      <c r="S115" s="32"/>
      <c r="T115" s="9">
        <f t="shared" ref="T115:T120" si="107">R115+S115</f>
        <v>2351.5</v>
      </c>
      <c r="U115" s="32"/>
      <c r="V115" s="9">
        <f t="shared" ref="V115:V120" si="108">T115+U115</f>
        <v>2351.5</v>
      </c>
      <c r="W115" s="10"/>
      <c r="X115" s="9">
        <f t="shared" ref="X115:X120" si="109">V115+W115</f>
        <v>2351.5</v>
      </c>
      <c r="Y115" s="5" t="s">
        <v>128</v>
      </c>
      <c r="Z115" s="1">
        <v>0</v>
      </c>
      <c r="AA115" s="1"/>
    </row>
    <row r="116" spans="1:27" x14ac:dyDescent="0.3">
      <c r="A116" s="6"/>
      <c r="B116" s="19" t="s">
        <v>148</v>
      </c>
      <c r="C116" s="24"/>
      <c r="D116" s="21"/>
      <c r="E116" s="8"/>
      <c r="F116" s="9"/>
      <c r="G116" s="10"/>
      <c r="H116" s="9"/>
      <c r="I116" s="10"/>
      <c r="J116" s="9"/>
      <c r="K116" s="10">
        <v>7054.5</v>
      </c>
      <c r="L116" s="9">
        <f t="shared" si="97"/>
        <v>7054.5</v>
      </c>
      <c r="M116" s="10"/>
      <c r="N116" s="9">
        <f t="shared" si="104"/>
        <v>7054.5</v>
      </c>
      <c r="O116" s="32"/>
      <c r="P116" s="9">
        <f t="shared" si="105"/>
        <v>7054.5</v>
      </c>
      <c r="Q116" s="32"/>
      <c r="R116" s="49">
        <f t="shared" si="106"/>
        <v>7054.5</v>
      </c>
      <c r="S116" s="32"/>
      <c r="T116" s="49">
        <f t="shared" si="107"/>
        <v>7054.5</v>
      </c>
      <c r="U116" s="32"/>
      <c r="V116" s="49">
        <f t="shared" si="108"/>
        <v>7054.5</v>
      </c>
      <c r="W116" s="10"/>
      <c r="X116" s="9">
        <f t="shared" si="109"/>
        <v>7054.5</v>
      </c>
      <c r="Y116" s="46" t="s">
        <v>122</v>
      </c>
    </row>
    <row r="117" spans="1:27" ht="54" x14ac:dyDescent="0.3">
      <c r="A117" s="6" t="s">
        <v>129</v>
      </c>
      <c r="B117" s="19" t="s">
        <v>142</v>
      </c>
      <c r="C117" s="24" t="s">
        <v>8</v>
      </c>
      <c r="D117" s="21"/>
      <c r="E117" s="8"/>
      <c r="F117" s="9"/>
      <c r="G117" s="10">
        <v>5421.68</v>
      </c>
      <c r="H117" s="9">
        <f t="shared" si="86"/>
        <v>5421.68</v>
      </c>
      <c r="I117" s="10"/>
      <c r="J117" s="9">
        <f t="shared" si="96"/>
        <v>5421.68</v>
      </c>
      <c r="K117" s="10"/>
      <c r="L117" s="9">
        <f t="shared" si="97"/>
        <v>5421.68</v>
      </c>
      <c r="M117" s="10"/>
      <c r="N117" s="9">
        <f t="shared" si="104"/>
        <v>5421.68</v>
      </c>
      <c r="O117" s="32"/>
      <c r="P117" s="9">
        <f t="shared" si="105"/>
        <v>5421.68</v>
      </c>
      <c r="Q117" s="32"/>
      <c r="R117" s="49">
        <f t="shared" si="106"/>
        <v>5421.68</v>
      </c>
      <c r="S117" s="32"/>
      <c r="T117" s="49">
        <f t="shared" si="107"/>
        <v>5421.68</v>
      </c>
      <c r="U117" s="32"/>
      <c r="V117" s="49">
        <f t="shared" si="108"/>
        <v>5421.68</v>
      </c>
      <c r="W117" s="10"/>
      <c r="X117" s="9">
        <f t="shared" si="109"/>
        <v>5421.68</v>
      </c>
      <c r="Y117" s="46">
        <v>1110941740</v>
      </c>
    </row>
    <row r="118" spans="1:27" ht="54" hidden="1" x14ac:dyDescent="0.3">
      <c r="A118" s="6" t="s">
        <v>119</v>
      </c>
      <c r="B118" s="19" t="s">
        <v>149</v>
      </c>
      <c r="C118" s="24" t="s">
        <v>8</v>
      </c>
      <c r="D118" s="21"/>
      <c r="E118" s="8"/>
      <c r="F118" s="9"/>
      <c r="G118" s="10"/>
      <c r="H118" s="9"/>
      <c r="I118" s="10"/>
      <c r="J118" s="9"/>
      <c r="K118" s="10"/>
      <c r="L118" s="9"/>
      <c r="M118" s="10"/>
      <c r="N118" s="9">
        <v>0</v>
      </c>
      <c r="O118" s="32">
        <v>2387.5529999999999</v>
      </c>
      <c r="P118" s="9">
        <f t="shared" si="105"/>
        <v>2387.5529999999999</v>
      </c>
      <c r="Q118" s="32">
        <v>-2387.5529999999999</v>
      </c>
      <c r="R118" s="9">
        <f t="shared" si="106"/>
        <v>0</v>
      </c>
      <c r="S118" s="32"/>
      <c r="T118" s="9">
        <f t="shared" si="107"/>
        <v>0</v>
      </c>
      <c r="U118" s="32"/>
      <c r="V118" s="9">
        <f t="shared" si="108"/>
        <v>0</v>
      </c>
      <c r="W118" s="10"/>
      <c r="X118" s="9">
        <f t="shared" si="109"/>
        <v>0</v>
      </c>
      <c r="Y118" s="5">
        <v>1020341290</v>
      </c>
      <c r="Z118" s="1">
        <v>0</v>
      </c>
      <c r="AA118" s="1"/>
    </row>
    <row r="119" spans="1:27" ht="54" x14ac:dyDescent="0.3">
      <c r="A119" s="6" t="s">
        <v>130</v>
      </c>
      <c r="B119" s="19" t="s">
        <v>154</v>
      </c>
      <c r="C119" s="24" t="s">
        <v>8</v>
      </c>
      <c r="D119" s="21"/>
      <c r="E119" s="8"/>
      <c r="F119" s="9"/>
      <c r="G119" s="10"/>
      <c r="H119" s="9"/>
      <c r="I119" s="10"/>
      <c r="J119" s="9"/>
      <c r="K119" s="10"/>
      <c r="L119" s="9"/>
      <c r="M119" s="10"/>
      <c r="N119" s="9">
        <v>0</v>
      </c>
      <c r="O119" s="32">
        <v>598.49599999999998</v>
      </c>
      <c r="P119" s="9">
        <f t="shared" si="105"/>
        <v>598.49599999999998</v>
      </c>
      <c r="Q119" s="32"/>
      <c r="R119" s="49">
        <f t="shared" si="106"/>
        <v>598.49599999999998</v>
      </c>
      <c r="S119" s="32"/>
      <c r="T119" s="49">
        <f t="shared" si="107"/>
        <v>598.49599999999998</v>
      </c>
      <c r="U119" s="32"/>
      <c r="V119" s="49">
        <f t="shared" si="108"/>
        <v>598.49599999999998</v>
      </c>
      <c r="W119" s="10"/>
      <c r="X119" s="9">
        <f t="shared" si="109"/>
        <v>598.49599999999998</v>
      </c>
      <c r="Y119" s="46">
        <v>1020141530</v>
      </c>
    </row>
    <row r="120" spans="1:27" ht="54" x14ac:dyDescent="0.3">
      <c r="A120" s="6" t="s">
        <v>131</v>
      </c>
      <c r="B120" s="19" t="s">
        <v>155</v>
      </c>
      <c r="C120" s="24" t="s">
        <v>8</v>
      </c>
      <c r="D120" s="21"/>
      <c r="E120" s="8"/>
      <c r="F120" s="9"/>
      <c r="G120" s="10"/>
      <c r="H120" s="9"/>
      <c r="I120" s="10"/>
      <c r="J120" s="9"/>
      <c r="K120" s="10"/>
      <c r="L120" s="9"/>
      <c r="M120" s="10"/>
      <c r="N120" s="9">
        <v>0</v>
      </c>
      <c r="O120" s="32">
        <v>100</v>
      </c>
      <c r="P120" s="9">
        <f t="shared" si="105"/>
        <v>100</v>
      </c>
      <c r="Q120" s="32"/>
      <c r="R120" s="49">
        <f t="shared" si="106"/>
        <v>100</v>
      </c>
      <c r="S120" s="32"/>
      <c r="T120" s="49">
        <f t="shared" si="107"/>
        <v>100</v>
      </c>
      <c r="U120" s="32"/>
      <c r="V120" s="49">
        <f t="shared" si="108"/>
        <v>100</v>
      </c>
      <c r="W120" s="10"/>
      <c r="X120" s="9">
        <f t="shared" si="109"/>
        <v>100</v>
      </c>
      <c r="Y120" s="46">
        <v>1020141450</v>
      </c>
    </row>
    <row r="121" spans="1:27" ht="60" customHeight="1" x14ac:dyDescent="0.3">
      <c r="A121" s="6" t="s">
        <v>132</v>
      </c>
      <c r="B121" s="20" t="s">
        <v>126</v>
      </c>
      <c r="C121" s="23" t="s">
        <v>8</v>
      </c>
      <c r="D121" s="8"/>
      <c r="E121" s="8"/>
      <c r="F121" s="9"/>
      <c r="G121" s="10">
        <v>1000</v>
      </c>
      <c r="H121" s="9">
        <f>F121+G121</f>
        <v>1000</v>
      </c>
      <c r="I121" s="10"/>
      <c r="J121" s="9">
        <f>H121+I121</f>
        <v>1000</v>
      </c>
      <c r="K121" s="10"/>
      <c r="L121" s="9">
        <f>J121+K121</f>
        <v>1000</v>
      </c>
      <c r="M121" s="10"/>
      <c r="N121" s="9">
        <f>L121+M121</f>
        <v>1000</v>
      </c>
      <c r="O121" s="32"/>
      <c r="P121" s="9">
        <f>N121+O121</f>
        <v>1000</v>
      </c>
      <c r="Q121" s="32"/>
      <c r="R121" s="49">
        <f>P121+Q121</f>
        <v>1000</v>
      </c>
      <c r="S121" s="32"/>
      <c r="T121" s="49">
        <f>R121+S121</f>
        <v>1000</v>
      </c>
      <c r="U121" s="32"/>
      <c r="V121" s="49">
        <f>T121+U121</f>
        <v>1000</v>
      </c>
      <c r="W121" s="10"/>
      <c r="X121" s="9">
        <f>V121+W121</f>
        <v>1000</v>
      </c>
      <c r="Y121" s="46">
        <v>1020141790</v>
      </c>
    </row>
    <row r="122" spans="1:27" ht="60" customHeight="1" x14ac:dyDescent="0.3">
      <c r="A122" s="6" t="s">
        <v>133</v>
      </c>
      <c r="B122" s="20" t="s">
        <v>182</v>
      </c>
      <c r="C122" s="23" t="s">
        <v>8</v>
      </c>
      <c r="D122" s="8"/>
      <c r="E122" s="8"/>
      <c r="F122" s="9"/>
      <c r="G122" s="10"/>
      <c r="H122" s="9"/>
      <c r="I122" s="10"/>
      <c r="J122" s="9"/>
      <c r="K122" s="10"/>
      <c r="L122" s="9"/>
      <c r="M122" s="10"/>
      <c r="N122" s="9"/>
      <c r="O122" s="32"/>
      <c r="P122" s="9"/>
      <c r="Q122" s="32"/>
      <c r="R122" s="49"/>
      <c r="S122" s="32"/>
      <c r="T122" s="49"/>
      <c r="U122" s="32"/>
      <c r="V122" s="49"/>
      <c r="W122" s="29">
        <v>1213.567</v>
      </c>
      <c r="X122" s="9">
        <f>V122+W122</f>
        <v>1213.567</v>
      </c>
      <c r="Y122" s="46">
        <v>1020141930</v>
      </c>
    </row>
    <row r="123" spans="1:27" x14ac:dyDescent="0.3">
      <c r="A123" s="6"/>
      <c r="B123" s="62" t="s">
        <v>11</v>
      </c>
      <c r="C123" s="63"/>
      <c r="D123" s="35">
        <f>D124+D125</f>
        <v>93800</v>
      </c>
      <c r="E123" s="35">
        <f>E124+E125</f>
        <v>0</v>
      </c>
      <c r="F123" s="36">
        <f t="shared" si="95"/>
        <v>93800</v>
      </c>
      <c r="G123" s="33">
        <f>G124+G125+G126</f>
        <v>5482.299</v>
      </c>
      <c r="H123" s="36">
        <f t="shared" si="86"/>
        <v>99282.298999999999</v>
      </c>
      <c r="I123" s="33">
        <f>I124+I125+I126</f>
        <v>0</v>
      </c>
      <c r="J123" s="36">
        <f t="shared" si="96"/>
        <v>99282.298999999999</v>
      </c>
      <c r="K123" s="33">
        <f>K124+K125+K126</f>
        <v>-1500</v>
      </c>
      <c r="L123" s="36">
        <f t="shared" si="97"/>
        <v>97782.298999999999</v>
      </c>
      <c r="M123" s="33">
        <f>M124+M125+M126</f>
        <v>-13.494</v>
      </c>
      <c r="N123" s="36">
        <f t="shared" si="104"/>
        <v>97768.804999999993</v>
      </c>
      <c r="O123" s="33">
        <f>O124+O125+O126</f>
        <v>-35410.642</v>
      </c>
      <c r="P123" s="36">
        <f t="shared" si="105"/>
        <v>62358.162999999993</v>
      </c>
      <c r="Q123" s="33">
        <f>Q124+Q125+Q126</f>
        <v>0</v>
      </c>
      <c r="R123" s="36">
        <f t="shared" ref="R123:R134" si="110">P123+Q123</f>
        <v>62358.162999999993</v>
      </c>
      <c r="S123" s="33">
        <f>S124+S125+S126</f>
        <v>-7570.7479999999996</v>
      </c>
      <c r="T123" s="36">
        <f t="shared" ref="T123:T134" si="111">R123+S123</f>
        <v>54787.414999999994</v>
      </c>
      <c r="U123" s="33">
        <f>U124+U125+U126</f>
        <v>0</v>
      </c>
      <c r="V123" s="36">
        <f>T123+U123</f>
        <v>54787.414999999994</v>
      </c>
      <c r="W123" s="10">
        <f>W124+W125+W126</f>
        <v>-1655.3420000000001</v>
      </c>
      <c r="X123" s="9">
        <f t="shared" ref="X123:X134" si="112">V123+W123</f>
        <v>53132.072999999997</v>
      </c>
      <c r="Y123" s="37"/>
      <c r="Z123" s="38"/>
      <c r="AA123" s="38"/>
    </row>
    <row r="124" spans="1:27" ht="54" x14ac:dyDescent="0.3">
      <c r="A124" s="6" t="s">
        <v>133</v>
      </c>
      <c r="B124" s="19" t="s">
        <v>57</v>
      </c>
      <c r="C124" s="15" t="s">
        <v>33</v>
      </c>
      <c r="D124" s="8">
        <v>43800</v>
      </c>
      <c r="E124" s="8"/>
      <c r="F124" s="9">
        <f t="shared" si="95"/>
        <v>43800</v>
      </c>
      <c r="G124" s="10"/>
      <c r="H124" s="9">
        <f t="shared" si="86"/>
        <v>43800</v>
      </c>
      <c r="I124" s="10"/>
      <c r="J124" s="9">
        <f t="shared" si="96"/>
        <v>43800</v>
      </c>
      <c r="K124" s="10">
        <v>-1500</v>
      </c>
      <c r="L124" s="9">
        <f t="shared" si="97"/>
        <v>42300</v>
      </c>
      <c r="M124" s="10">
        <v>-13.494</v>
      </c>
      <c r="N124" s="9">
        <f t="shared" si="104"/>
        <v>42286.506000000001</v>
      </c>
      <c r="O124" s="32">
        <v>-35410.642</v>
      </c>
      <c r="P124" s="9">
        <f t="shared" si="105"/>
        <v>6875.8640000000014</v>
      </c>
      <c r="Q124" s="32"/>
      <c r="R124" s="49">
        <f t="shared" si="110"/>
        <v>6875.8640000000014</v>
      </c>
      <c r="S124" s="32"/>
      <c r="T124" s="49">
        <f t="shared" si="111"/>
        <v>6875.8640000000014</v>
      </c>
      <c r="U124" s="32"/>
      <c r="V124" s="49">
        <f>T124+U124</f>
        <v>6875.8640000000014</v>
      </c>
      <c r="W124" s="29">
        <v>-174.85599999999999</v>
      </c>
      <c r="X124" s="9">
        <f t="shared" si="112"/>
        <v>6701.0080000000016</v>
      </c>
      <c r="Y124" s="54" t="s">
        <v>161</v>
      </c>
    </row>
    <row r="125" spans="1:27" ht="54" x14ac:dyDescent="0.3">
      <c r="A125" s="6" t="s">
        <v>134</v>
      </c>
      <c r="B125" s="19" t="s">
        <v>58</v>
      </c>
      <c r="C125" s="23" t="s">
        <v>33</v>
      </c>
      <c r="D125" s="8">
        <v>50000</v>
      </c>
      <c r="E125" s="8"/>
      <c r="F125" s="9">
        <f t="shared" si="95"/>
        <v>50000</v>
      </c>
      <c r="G125" s="10">
        <v>3480</v>
      </c>
      <c r="H125" s="9">
        <f t="shared" si="86"/>
        <v>53480</v>
      </c>
      <c r="I125" s="10"/>
      <c r="J125" s="9">
        <f t="shared" si="96"/>
        <v>53480</v>
      </c>
      <c r="K125" s="10"/>
      <c r="L125" s="9">
        <f t="shared" si="97"/>
        <v>53480</v>
      </c>
      <c r="M125" s="10"/>
      <c r="N125" s="9">
        <f t="shared" si="104"/>
        <v>53480</v>
      </c>
      <c r="O125" s="32"/>
      <c r="P125" s="9">
        <f t="shared" si="105"/>
        <v>53480</v>
      </c>
      <c r="Q125" s="32"/>
      <c r="R125" s="49">
        <f t="shared" si="110"/>
        <v>53480</v>
      </c>
      <c r="S125" s="32">
        <v>-7570.7479999999996</v>
      </c>
      <c r="T125" s="49">
        <f t="shared" si="111"/>
        <v>45909.252</v>
      </c>
      <c r="U125" s="32"/>
      <c r="V125" s="49">
        <f t="shared" ref="V125:V133" si="113">T125+U125</f>
        <v>45909.252</v>
      </c>
      <c r="W125" s="29">
        <v>-724.47</v>
      </c>
      <c r="X125" s="9">
        <f t="shared" si="112"/>
        <v>45184.781999999999</v>
      </c>
      <c r="Y125" s="54" t="s">
        <v>162</v>
      </c>
    </row>
    <row r="126" spans="1:27" ht="72" x14ac:dyDescent="0.3">
      <c r="A126" s="6" t="s">
        <v>135</v>
      </c>
      <c r="B126" s="19" t="s">
        <v>145</v>
      </c>
      <c r="C126" s="23" t="s">
        <v>144</v>
      </c>
      <c r="D126" s="8"/>
      <c r="E126" s="8"/>
      <c r="F126" s="9"/>
      <c r="G126" s="10">
        <v>2002.299</v>
      </c>
      <c r="H126" s="9">
        <f t="shared" si="86"/>
        <v>2002.299</v>
      </c>
      <c r="I126" s="10"/>
      <c r="J126" s="9">
        <f t="shared" si="96"/>
        <v>2002.299</v>
      </c>
      <c r="K126" s="10"/>
      <c r="L126" s="9">
        <f t="shared" si="97"/>
        <v>2002.299</v>
      </c>
      <c r="M126" s="10"/>
      <c r="N126" s="9">
        <f t="shared" si="104"/>
        <v>2002.299</v>
      </c>
      <c r="O126" s="32"/>
      <c r="P126" s="9">
        <f t="shared" si="105"/>
        <v>2002.299</v>
      </c>
      <c r="Q126" s="32"/>
      <c r="R126" s="49">
        <f t="shared" si="110"/>
        <v>2002.299</v>
      </c>
      <c r="S126" s="32"/>
      <c r="T126" s="49">
        <f t="shared" si="111"/>
        <v>2002.299</v>
      </c>
      <c r="U126" s="32"/>
      <c r="V126" s="49">
        <f t="shared" si="113"/>
        <v>2002.299</v>
      </c>
      <c r="W126" s="29">
        <v>-756.01599999999996</v>
      </c>
      <c r="X126" s="9">
        <f t="shared" si="112"/>
        <v>1246.2829999999999</v>
      </c>
      <c r="Y126" s="54" t="s">
        <v>163</v>
      </c>
    </row>
    <row r="127" spans="1:27" s="38" customFormat="1" ht="19.5" hidden="1" customHeight="1" x14ac:dyDescent="0.3">
      <c r="A127" s="34"/>
      <c r="B127" s="39" t="s">
        <v>22</v>
      </c>
      <c r="C127" s="40"/>
      <c r="D127" s="35">
        <f>D128</f>
        <v>22584.7</v>
      </c>
      <c r="E127" s="35">
        <f>E128</f>
        <v>0</v>
      </c>
      <c r="F127" s="36">
        <f t="shared" si="95"/>
        <v>22584.7</v>
      </c>
      <c r="G127" s="33">
        <f>G128</f>
        <v>0</v>
      </c>
      <c r="H127" s="36">
        <f t="shared" si="86"/>
        <v>22584.7</v>
      </c>
      <c r="I127" s="33">
        <f>I128</f>
        <v>0</v>
      </c>
      <c r="J127" s="36">
        <f t="shared" si="96"/>
        <v>22584.7</v>
      </c>
      <c r="K127" s="33">
        <f>K128</f>
        <v>0</v>
      </c>
      <c r="L127" s="36">
        <f t="shared" si="97"/>
        <v>22584.7</v>
      </c>
      <c r="M127" s="33">
        <f>M128</f>
        <v>0</v>
      </c>
      <c r="N127" s="36">
        <f t="shared" si="104"/>
        <v>22584.7</v>
      </c>
      <c r="O127" s="33">
        <f>O128</f>
        <v>-22584.7</v>
      </c>
      <c r="P127" s="36">
        <f t="shared" si="105"/>
        <v>0</v>
      </c>
      <c r="Q127" s="33">
        <f>Q128</f>
        <v>0</v>
      </c>
      <c r="R127" s="36">
        <f t="shared" si="110"/>
        <v>0</v>
      </c>
      <c r="S127" s="33">
        <f>S128</f>
        <v>0</v>
      </c>
      <c r="T127" s="36">
        <f t="shared" si="111"/>
        <v>0</v>
      </c>
      <c r="U127" s="33">
        <f>U128</f>
        <v>0</v>
      </c>
      <c r="V127" s="36">
        <f t="shared" si="113"/>
        <v>0</v>
      </c>
      <c r="W127" s="10">
        <f>W128</f>
        <v>0</v>
      </c>
      <c r="X127" s="36">
        <f t="shared" si="112"/>
        <v>0</v>
      </c>
      <c r="Y127" s="37"/>
      <c r="Z127" s="38">
        <v>0</v>
      </c>
    </row>
    <row r="128" spans="1:27" ht="72" hidden="1" x14ac:dyDescent="0.3">
      <c r="A128" s="6" t="s">
        <v>165</v>
      </c>
      <c r="B128" s="19" t="s">
        <v>23</v>
      </c>
      <c r="C128" s="23" t="s">
        <v>24</v>
      </c>
      <c r="D128" s="8">
        <v>22584.7</v>
      </c>
      <c r="E128" s="8"/>
      <c r="F128" s="9">
        <f t="shared" si="95"/>
        <v>22584.7</v>
      </c>
      <c r="G128" s="10"/>
      <c r="H128" s="9">
        <f t="shared" si="86"/>
        <v>22584.7</v>
      </c>
      <c r="I128" s="10"/>
      <c r="J128" s="9">
        <f t="shared" si="96"/>
        <v>22584.7</v>
      </c>
      <c r="K128" s="10"/>
      <c r="L128" s="9">
        <f t="shared" si="97"/>
        <v>22584.7</v>
      </c>
      <c r="M128" s="10"/>
      <c r="N128" s="9">
        <f t="shared" si="104"/>
        <v>22584.7</v>
      </c>
      <c r="O128" s="32">
        <v>-22584.7</v>
      </c>
      <c r="P128" s="9">
        <f t="shared" si="105"/>
        <v>0</v>
      </c>
      <c r="Q128" s="32"/>
      <c r="R128" s="9">
        <f t="shared" si="110"/>
        <v>0</v>
      </c>
      <c r="S128" s="32"/>
      <c r="T128" s="9">
        <f t="shared" si="111"/>
        <v>0</v>
      </c>
      <c r="U128" s="32"/>
      <c r="V128" s="9">
        <f t="shared" si="113"/>
        <v>0</v>
      </c>
      <c r="W128" s="10"/>
      <c r="X128" s="9">
        <f t="shared" si="112"/>
        <v>0</v>
      </c>
      <c r="Y128" s="25" t="s">
        <v>164</v>
      </c>
      <c r="Z128" s="1">
        <v>0</v>
      </c>
      <c r="AA128" s="1"/>
    </row>
    <row r="129" spans="1:27" x14ac:dyDescent="0.3">
      <c r="A129" s="6"/>
      <c r="B129" s="19" t="s">
        <v>31</v>
      </c>
      <c r="C129" s="15"/>
      <c r="D129" s="35">
        <f>D130</f>
        <v>4085.7</v>
      </c>
      <c r="E129" s="35">
        <f>E130+E131</f>
        <v>10189.199999999999</v>
      </c>
      <c r="F129" s="36">
        <f t="shared" si="95"/>
        <v>14274.899999999998</v>
      </c>
      <c r="G129" s="33">
        <f>G130+G131+G132</f>
        <v>13182.145</v>
      </c>
      <c r="H129" s="36">
        <f t="shared" si="86"/>
        <v>27457.044999999998</v>
      </c>
      <c r="I129" s="33">
        <f>I130+I131+I132</f>
        <v>-19.161999999999999</v>
      </c>
      <c r="J129" s="36">
        <f t="shared" si="96"/>
        <v>27437.882999999998</v>
      </c>
      <c r="K129" s="33">
        <f>K130+K131+K132+K133</f>
        <v>-145.32899999999972</v>
      </c>
      <c r="L129" s="36">
        <f t="shared" si="97"/>
        <v>27292.553999999996</v>
      </c>
      <c r="M129" s="33">
        <f>M130+M131+M132+M133</f>
        <v>0</v>
      </c>
      <c r="N129" s="36">
        <f t="shared" si="104"/>
        <v>27292.553999999996</v>
      </c>
      <c r="O129" s="33">
        <f>O130+O131+O132+O133</f>
        <v>141.65</v>
      </c>
      <c r="P129" s="36">
        <f t="shared" si="105"/>
        <v>27434.203999999998</v>
      </c>
      <c r="Q129" s="33">
        <f>Q130+Q131+Q132+Q133</f>
        <v>0</v>
      </c>
      <c r="R129" s="36">
        <f t="shared" si="110"/>
        <v>27434.203999999998</v>
      </c>
      <c r="S129" s="33">
        <f>S130+S131+S132+S133</f>
        <v>622.40800000000002</v>
      </c>
      <c r="T129" s="36">
        <f t="shared" si="111"/>
        <v>28056.611999999997</v>
      </c>
      <c r="U129" s="33">
        <f>U130+U131+U132+U133</f>
        <v>-500</v>
      </c>
      <c r="V129" s="36">
        <f t="shared" si="113"/>
        <v>27556.611999999997</v>
      </c>
      <c r="W129" s="10">
        <f>W130+W131+W132+W133</f>
        <v>-214.86700000000002</v>
      </c>
      <c r="X129" s="9">
        <f t="shared" si="112"/>
        <v>27341.744999999999</v>
      </c>
      <c r="Y129" s="37"/>
      <c r="Z129" s="38"/>
      <c r="AA129" s="38"/>
    </row>
    <row r="130" spans="1:27" ht="54" x14ac:dyDescent="0.3">
      <c r="A130" s="6" t="s">
        <v>136</v>
      </c>
      <c r="B130" s="19" t="s">
        <v>43</v>
      </c>
      <c r="C130" s="15" t="s">
        <v>28</v>
      </c>
      <c r="D130" s="8">
        <v>4085.7</v>
      </c>
      <c r="E130" s="8">
        <v>-192.6</v>
      </c>
      <c r="F130" s="9">
        <f t="shared" si="95"/>
        <v>3893.1</v>
      </c>
      <c r="G130" s="10">
        <f>4272.656+674.183+36.516</f>
        <v>4983.3549999999996</v>
      </c>
      <c r="H130" s="9">
        <f t="shared" si="86"/>
        <v>8876.4549999999999</v>
      </c>
      <c r="I130" s="10">
        <v>-19.161999999999999</v>
      </c>
      <c r="J130" s="9">
        <f t="shared" si="96"/>
        <v>8857.2929999999997</v>
      </c>
      <c r="K130" s="10">
        <v>-7964.8059999999996</v>
      </c>
      <c r="L130" s="9">
        <f t="shared" si="97"/>
        <v>892.48700000000008</v>
      </c>
      <c r="M130" s="10"/>
      <c r="N130" s="9">
        <f t="shared" si="104"/>
        <v>892.48700000000008</v>
      </c>
      <c r="O130" s="32">
        <v>11.215</v>
      </c>
      <c r="P130" s="9">
        <f t="shared" si="105"/>
        <v>903.70200000000011</v>
      </c>
      <c r="Q130" s="32"/>
      <c r="R130" s="49">
        <f t="shared" si="110"/>
        <v>903.70200000000011</v>
      </c>
      <c r="S130" s="32">
        <f>-21.329+193.877</f>
        <v>172.548</v>
      </c>
      <c r="T130" s="49">
        <f t="shared" si="111"/>
        <v>1076.25</v>
      </c>
      <c r="U130" s="32"/>
      <c r="V130" s="49">
        <f t="shared" si="113"/>
        <v>1076.25</v>
      </c>
      <c r="W130" s="29">
        <f>-0.864-3.9</f>
        <v>-4.7640000000000002</v>
      </c>
      <c r="X130" s="9">
        <f t="shared" si="112"/>
        <v>1071.4860000000001</v>
      </c>
      <c r="Y130" s="46">
        <v>1420341020</v>
      </c>
    </row>
    <row r="131" spans="1:27" ht="54" x14ac:dyDescent="0.3">
      <c r="A131" s="6" t="s">
        <v>137</v>
      </c>
      <c r="B131" s="19" t="s">
        <v>143</v>
      </c>
      <c r="C131" s="15" t="s">
        <v>28</v>
      </c>
      <c r="D131" s="8"/>
      <c r="E131" s="8">
        <v>10381.799999999999</v>
      </c>
      <c r="F131" s="9">
        <f t="shared" si="95"/>
        <v>10381.799999999999</v>
      </c>
      <c r="G131" s="10">
        <v>5000</v>
      </c>
      <c r="H131" s="9">
        <f t="shared" si="86"/>
        <v>15381.8</v>
      </c>
      <c r="I131" s="10"/>
      <c r="J131" s="9">
        <f t="shared" si="96"/>
        <v>15381.8</v>
      </c>
      <c r="K131" s="10"/>
      <c r="L131" s="9">
        <f t="shared" si="97"/>
        <v>15381.8</v>
      </c>
      <c r="M131" s="10"/>
      <c r="N131" s="9">
        <f t="shared" si="104"/>
        <v>15381.8</v>
      </c>
      <c r="O131" s="32"/>
      <c r="P131" s="9">
        <f t="shared" si="105"/>
        <v>15381.8</v>
      </c>
      <c r="Q131" s="32"/>
      <c r="R131" s="49">
        <f t="shared" si="110"/>
        <v>15381.8</v>
      </c>
      <c r="S131" s="32"/>
      <c r="T131" s="49">
        <f t="shared" si="111"/>
        <v>15381.8</v>
      </c>
      <c r="U131" s="32"/>
      <c r="V131" s="49">
        <f t="shared" si="113"/>
        <v>15381.8</v>
      </c>
      <c r="W131" s="10"/>
      <c r="X131" s="9">
        <f t="shared" si="112"/>
        <v>15381.8</v>
      </c>
      <c r="Y131" s="46">
        <v>1410241030</v>
      </c>
    </row>
    <row r="132" spans="1:27" ht="54" x14ac:dyDescent="0.3">
      <c r="A132" s="6" t="s">
        <v>176</v>
      </c>
      <c r="B132" s="19" t="s">
        <v>120</v>
      </c>
      <c r="C132" s="15" t="s">
        <v>28</v>
      </c>
      <c r="D132" s="8"/>
      <c r="E132" s="8"/>
      <c r="F132" s="9"/>
      <c r="G132" s="10">
        <f>398.79+2800</f>
        <v>3198.79</v>
      </c>
      <c r="H132" s="9">
        <f t="shared" si="86"/>
        <v>3198.79</v>
      </c>
      <c r="I132" s="10"/>
      <c r="J132" s="9">
        <f t="shared" si="96"/>
        <v>3198.79</v>
      </c>
      <c r="K132" s="10"/>
      <c r="L132" s="9">
        <f t="shared" si="97"/>
        <v>3198.79</v>
      </c>
      <c r="M132" s="10"/>
      <c r="N132" s="9">
        <f t="shared" si="104"/>
        <v>3198.79</v>
      </c>
      <c r="O132" s="32">
        <v>130.435</v>
      </c>
      <c r="P132" s="9">
        <f t="shared" si="105"/>
        <v>3329.2249999999999</v>
      </c>
      <c r="Q132" s="32"/>
      <c r="R132" s="49">
        <f t="shared" si="110"/>
        <v>3329.2249999999999</v>
      </c>
      <c r="S132" s="32">
        <v>500</v>
      </c>
      <c r="T132" s="49">
        <f t="shared" si="111"/>
        <v>3829.2249999999999</v>
      </c>
      <c r="U132" s="32">
        <v>-500</v>
      </c>
      <c r="V132" s="49">
        <f t="shared" si="113"/>
        <v>3329.2249999999999</v>
      </c>
      <c r="W132" s="10"/>
      <c r="X132" s="9">
        <f t="shared" si="112"/>
        <v>3329.2249999999999</v>
      </c>
      <c r="Y132" s="46">
        <v>1410241410</v>
      </c>
    </row>
    <row r="133" spans="1:27" ht="54" x14ac:dyDescent="0.3">
      <c r="A133" s="6" t="s">
        <v>177</v>
      </c>
      <c r="B133" s="19" t="s">
        <v>43</v>
      </c>
      <c r="C133" s="15" t="s">
        <v>33</v>
      </c>
      <c r="D133" s="8"/>
      <c r="E133" s="8"/>
      <c r="F133" s="9"/>
      <c r="G133" s="10"/>
      <c r="H133" s="9"/>
      <c r="I133" s="10"/>
      <c r="J133" s="9"/>
      <c r="K133" s="10">
        <v>7819.4769999999999</v>
      </c>
      <c r="L133" s="9">
        <f t="shared" si="97"/>
        <v>7819.4769999999999</v>
      </c>
      <c r="M133" s="10"/>
      <c r="N133" s="9">
        <f t="shared" si="104"/>
        <v>7819.4769999999999</v>
      </c>
      <c r="O133" s="32"/>
      <c r="P133" s="9">
        <f t="shared" si="105"/>
        <v>7819.4769999999999</v>
      </c>
      <c r="Q133" s="32"/>
      <c r="R133" s="49">
        <f t="shared" si="110"/>
        <v>7819.4769999999999</v>
      </c>
      <c r="S133" s="32">
        <v>-50.14</v>
      </c>
      <c r="T133" s="49">
        <f t="shared" si="111"/>
        <v>7769.3369999999995</v>
      </c>
      <c r="U133" s="32"/>
      <c r="V133" s="49">
        <f t="shared" si="113"/>
        <v>7769.3369999999995</v>
      </c>
      <c r="W133" s="29">
        <v>-210.10300000000001</v>
      </c>
      <c r="X133" s="9">
        <f t="shared" si="112"/>
        <v>7559.2339999999995</v>
      </c>
      <c r="Y133" s="46">
        <v>1420341020</v>
      </c>
    </row>
    <row r="134" spans="1:27" x14ac:dyDescent="0.3">
      <c r="A134" s="6"/>
      <c r="B134" s="19" t="s">
        <v>13</v>
      </c>
      <c r="C134" s="15"/>
      <c r="D134" s="8">
        <f>D18+D40+D71+D85+D123+D127+D129</f>
        <v>3005276.5</v>
      </c>
      <c r="E134" s="8">
        <f>E18+E40+E71+E85+E123+E127+E129</f>
        <v>-18288.099999999999</v>
      </c>
      <c r="F134" s="9">
        <f t="shared" si="95"/>
        <v>2986988.4</v>
      </c>
      <c r="G134" s="10">
        <f>G18+G40+G71+G85+G123+G127+G129</f>
        <v>256546.08599999998</v>
      </c>
      <c r="H134" s="9">
        <f t="shared" si="86"/>
        <v>3243534.486</v>
      </c>
      <c r="I134" s="10">
        <f>I18+I40+I71+I85+I123+I127+I129</f>
        <v>-65019.161999999997</v>
      </c>
      <c r="J134" s="9">
        <f t="shared" si="96"/>
        <v>3178515.324</v>
      </c>
      <c r="K134" s="10">
        <f>K18+K40+K71+K85+K123+K127+K129</f>
        <v>104485.76100000001</v>
      </c>
      <c r="L134" s="9">
        <f t="shared" si="97"/>
        <v>3283001.085</v>
      </c>
      <c r="M134" s="10">
        <f>M18+M40+M71+M85+M123+M127+M129</f>
        <v>-13.494</v>
      </c>
      <c r="N134" s="9">
        <f t="shared" si="104"/>
        <v>3282987.591</v>
      </c>
      <c r="O134" s="32">
        <f>O18+O40+O71+O85+O123+O127+O129</f>
        <v>-96949.641999999978</v>
      </c>
      <c r="P134" s="9">
        <f t="shared" si="105"/>
        <v>3186037.949</v>
      </c>
      <c r="Q134" s="32">
        <f>Q18+Q40+Q71+Q85+Q123+Q127+Q129</f>
        <v>-10464.935000000007</v>
      </c>
      <c r="R134" s="49">
        <f t="shared" si="110"/>
        <v>3175573.014</v>
      </c>
      <c r="S134" s="32">
        <f>S18+S40+S71+S85+S123+S127+S129</f>
        <v>-368161.65800000005</v>
      </c>
      <c r="T134" s="49">
        <f t="shared" si="111"/>
        <v>2807411.3559999997</v>
      </c>
      <c r="U134" s="32">
        <f>U18+U40+U71+U85+U123+U127+U129</f>
        <v>-500</v>
      </c>
      <c r="V134" s="49">
        <f>T134+U134</f>
        <v>2806911.3559999997</v>
      </c>
      <c r="W134" s="10">
        <f>W18+W40+W71+W85+W123+W127+W129</f>
        <v>-84304.894</v>
      </c>
      <c r="X134" s="9">
        <f t="shared" si="112"/>
        <v>2722606.4619999998</v>
      </c>
      <c r="Z134" s="55"/>
    </row>
    <row r="135" spans="1:27" x14ac:dyDescent="0.3">
      <c r="A135" s="6"/>
      <c r="B135" s="92" t="s">
        <v>2</v>
      </c>
      <c r="C135" s="93"/>
      <c r="D135" s="8"/>
      <c r="E135" s="8"/>
      <c r="F135" s="9"/>
      <c r="G135" s="10"/>
      <c r="H135" s="9"/>
      <c r="I135" s="10"/>
      <c r="J135" s="9"/>
      <c r="K135" s="10"/>
      <c r="L135" s="9"/>
      <c r="M135" s="10"/>
      <c r="N135" s="9"/>
      <c r="O135" s="32"/>
      <c r="P135" s="9"/>
      <c r="Q135" s="32"/>
      <c r="R135" s="49"/>
      <c r="S135" s="32"/>
      <c r="T135" s="49"/>
      <c r="U135" s="32"/>
      <c r="V135" s="49"/>
      <c r="W135" s="10"/>
      <c r="X135" s="9"/>
    </row>
    <row r="136" spans="1:27" x14ac:dyDescent="0.3">
      <c r="A136" s="6"/>
      <c r="B136" s="94" t="s">
        <v>148</v>
      </c>
      <c r="C136" s="95"/>
      <c r="D136" s="8">
        <f>D89</f>
        <v>350505</v>
      </c>
      <c r="E136" s="8">
        <f>E89</f>
        <v>0</v>
      </c>
      <c r="F136" s="9">
        <f t="shared" si="95"/>
        <v>350505</v>
      </c>
      <c r="G136" s="10">
        <f>G89</f>
        <v>19877</v>
      </c>
      <c r="H136" s="9">
        <f t="shared" si="86"/>
        <v>370382</v>
      </c>
      <c r="I136" s="10">
        <f>I89</f>
        <v>0</v>
      </c>
      <c r="J136" s="9">
        <f t="shared" ref="J136:J138" si="114">H136+I136</f>
        <v>370382</v>
      </c>
      <c r="K136" s="10">
        <f>K89</f>
        <v>94424.1</v>
      </c>
      <c r="L136" s="9">
        <f t="shared" ref="L136:L138" si="115">J136+K136</f>
        <v>464806.1</v>
      </c>
      <c r="M136" s="10">
        <f>M89</f>
        <v>0</v>
      </c>
      <c r="N136" s="9">
        <f t="shared" ref="N136:N138" si="116">L136+M136</f>
        <v>464806.1</v>
      </c>
      <c r="O136" s="32">
        <f>O89</f>
        <v>0</v>
      </c>
      <c r="P136" s="9">
        <f>N136+O136</f>
        <v>464806.1</v>
      </c>
      <c r="Q136" s="32">
        <f>Q89</f>
        <v>0</v>
      </c>
      <c r="R136" s="49">
        <f>P136+Q136</f>
        <v>464806.1</v>
      </c>
      <c r="S136" s="32">
        <f>S89</f>
        <v>-328243.40000000002</v>
      </c>
      <c r="T136" s="49">
        <f>R136+S136</f>
        <v>136562.69999999995</v>
      </c>
      <c r="U136" s="32">
        <f>U89</f>
        <v>0</v>
      </c>
      <c r="V136" s="49">
        <f>T136+U136</f>
        <v>136562.69999999995</v>
      </c>
      <c r="W136" s="10">
        <f>W89</f>
        <v>0</v>
      </c>
      <c r="X136" s="9">
        <f>V136+W136</f>
        <v>136562.69999999995</v>
      </c>
    </row>
    <row r="137" spans="1:27" x14ac:dyDescent="0.3">
      <c r="A137" s="6"/>
      <c r="B137" s="64" t="s">
        <v>20</v>
      </c>
      <c r="C137" s="65"/>
      <c r="D137" s="8">
        <f>D74+D43+D21+D88</f>
        <v>163520.1</v>
      </c>
      <c r="E137" s="8">
        <f>E21+E43+E74+E88</f>
        <v>0</v>
      </c>
      <c r="F137" s="9">
        <f t="shared" si="95"/>
        <v>163520.1</v>
      </c>
      <c r="G137" s="10">
        <f>G21+G43+G74+G88</f>
        <v>0</v>
      </c>
      <c r="H137" s="9">
        <f t="shared" si="86"/>
        <v>163520.1</v>
      </c>
      <c r="I137" s="10">
        <f>I21+I43+I74+I88</f>
        <v>0</v>
      </c>
      <c r="J137" s="9">
        <f t="shared" si="114"/>
        <v>163520.1</v>
      </c>
      <c r="K137" s="10">
        <f>K21+K43+K74+K88</f>
        <v>0</v>
      </c>
      <c r="L137" s="9">
        <f t="shared" si="115"/>
        <v>163520.1</v>
      </c>
      <c r="M137" s="10">
        <f>M21+M43+M74+M88</f>
        <v>0</v>
      </c>
      <c r="N137" s="9">
        <f t="shared" si="116"/>
        <v>163520.1</v>
      </c>
      <c r="O137" s="32">
        <f>O21+O43+O74+O88</f>
        <v>24009.109</v>
      </c>
      <c r="P137" s="9">
        <f t="shared" ref="P137:P138" si="117">N137+O137</f>
        <v>187529.209</v>
      </c>
      <c r="Q137" s="32">
        <f>Q21+Q43+Q74+Q88</f>
        <v>0</v>
      </c>
      <c r="R137" s="49">
        <f t="shared" ref="R137:R138" si="118">P137+Q137</f>
        <v>187529.209</v>
      </c>
      <c r="S137" s="32">
        <f>S21+S43+S74+S88</f>
        <v>0</v>
      </c>
      <c r="T137" s="49">
        <f t="shared" ref="T137:T138" si="119">R137+S137</f>
        <v>187529.209</v>
      </c>
      <c r="U137" s="32">
        <f>U21+U43+U74+U88</f>
        <v>0</v>
      </c>
      <c r="V137" s="49">
        <f t="shared" ref="V137:V138" si="120">T137+U137</f>
        <v>187529.209</v>
      </c>
      <c r="W137" s="10">
        <f>W21+W43+W74+W88</f>
        <v>0</v>
      </c>
      <c r="X137" s="9">
        <f t="shared" ref="X137:X138" si="121">V137+W137</f>
        <v>187529.209</v>
      </c>
    </row>
    <row r="138" spans="1:27" x14ac:dyDescent="0.3">
      <c r="A138" s="6"/>
      <c r="B138" s="64" t="s">
        <v>32</v>
      </c>
      <c r="C138" s="65"/>
      <c r="D138" s="8">
        <f>D57</f>
        <v>0</v>
      </c>
      <c r="E138" s="8">
        <f>E44</f>
        <v>0</v>
      </c>
      <c r="F138" s="9">
        <f t="shared" si="95"/>
        <v>0</v>
      </c>
      <c r="G138" s="10">
        <f>G44</f>
        <v>7209.5</v>
      </c>
      <c r="H138" s="9">
        <f t="shared" si="86"/>
        <v>7209.5</v>
      </c>
      <c r="I138" s="10">
        <f>I44</f>
        <v>0</v>
      </c>
      <c r="J138" s="9">
        <f t="shared" si="114"/>
        <v>7209.5</v>
      </c>
      <c r="K138" s="10">
        <f>K44</f>
        <v>0</v>
      </c>
      <c r="L138" s="9">
        <f t="shared" si="115"/>
        <v>7209.5</v>
      </c>
      <c r="M138" s="10">
        <f>M44</f>
        <v>0</v>
      </c>
      <c r="N138" s="9">
        <f t="shared" si="116"/>
        <v>7209.5</v>
      </c>
      <c r="O138" s="32">
        <f>O44</f>
        <v>0</v>
      </c>
      <c r="P138" s="9">
        <f t="shared" si="117"/>
        <v>7209.5</v>
      </c>
      <c r="Q138" s="32">
        <f>Q44</f>
        <v>0</v>
      </c>
      <c r="R138" s="49">
        <f t="shared" si="118"/>
        <v>7209.5</v>
      </c>
      <c r="S138" s="32">
        <f>S44</f>
        <v>0</v>
      </c>
      <c r="T138" s="49">
        <f t="shared" si="119"/>
        <v>7209.5</v>
      </c>
      <c r="U138" s="32">
        <f>U44</f>
        <v>0</v>
      </c>
      <c r="V138" s="49">
        <f t="shared" si="120"/>
        <v>7209.5</v>
      </c>
      <c r="W138" s="10">
        <f>W44</f>
        <v>0</v>
      </c>
      <c r="X138" s="9">
        <f t="shared" si="121"/>
        <v>7209.5</v>
      </c>
    </row>
    <row r="139" spans="1:27" x14ac:dyDescent="0.3">
      <c r="A139" s="6"/>
      <c r="B139" s="89" t="s">
        <v>18</v>
      </c>
      <c r="C139" s="96"/>
      <c r="D139" s="8"/>
      <c r="E139" s="8"/>
      <c r="F139" s="9"/>
      <c r="G139" s="10"/>
      <c r="H139" s="9"/>
      <c r="I139" s="10"/>
      <c r="J139" s="9"/>
      <c r="K139" s="10"/>
      <c r="L139" s="9"/>
      <c r="M139" s="10"/>
      <c r="N139" s="9"/>
      <c r="O139" s="32"/>
      <c r="P139" s="9"/>
      <c r="Q139" s="32"/>
      <c r="R139" s="49"/>
      <c r="S139" s="32"/>
      <c r="T139" s="49"/>
      <c r="U139" s="32"/>
      <c r="V139" s="49"/>
      <c r="W139" s="10"/>
      <c r="X139" s="9"/>
    </row>
    <row r="140" spans="1:27" x14ac:dyDescent="0.3">
      <c r="A140" s="6"/>
      <c r="B140" s="89" t="s">
        <v>6</v>
      </c>
      <c r="C140" s="85"/>
      <c r="D140" s="8">
        <f>D47+D46+D49+D50+D51+D52+D48</f>
        <v>363640.10000000003</v>
      </c>
      <c r="E140" s="8">
        <f>E46+E47+E48+E49+E50+E51+E52</f>
        <v>0</v>
      </c>
      <c r="F140" s="9">
        <f t="shared" si="95"/>
        <v>363640.10000000003</v>
      </c>
      <c r="G140" s="10">
        <f>G46+G47+G48+G49+G50+G51+G52+G62+G63+G64</f>
        <v>118793.06199999998</v>
      </c>
      <c r="H140" s="9">
        <f t="shared" si="86"/>
        <v>482433.16200000001</v>
      </c>
      <c r="I140" s="10">
        <f>I46+I47+I48+I49+I50+I51+I52+I62+I63+I64</f>
        <v>-65000</v>
      </c>
      <c r="J140" s="9">
        <f t="shared" ref="J140:J149" si="122">H140+I140</f>
        <v>417433.16200000001</v>
      </c>
      <c r="K140" s="10">
        <f>K46+K47+K48+K49+K50+K51+K52+K62+K63+K64</f>
        <v>0</v>
      </c>
      <c r="L140" s="9">
        <f t="shared" ref="L140:L149" si="123">J140+K140</f>
        <v>417433.16200000001</v>
      </c>
      <c r="M140" s="10">
        <f>M46+M47+M48+M49+M50+M51+M52+M62+M63+M64</f>
        <v>0</v>
      </c>
      <c r="N140" s="9">
        <f t="shared" ref="N140:N149" si="124">L140+M140</f>
        <v>417433.16200000001</v>
      </c>
      <c r="O140" s="32">
        <f>O46+O47+O48+O49+O50+O51+O52+O62+O63+O64</f>
        <v>-131721.12099999998</v>
      </c>
      <c r="P140" s="9">
        <f t="shared" ref="P140:P149" si="125">N140+O140</f>
        <v>285712.04100000003</v>
      </c>
      <c r="Q140" s="32">
        <f>Q46+Q47+Q48+Q49+Q50+Q51+Q52+Q62+Q63+Q64+Q69</f>
        <v>0</v>
      </c>
      <c r="R140" s="49">
        <f t="shared" ref="R140:R149" si="126">P140+Q140</f>
        <v>285712.04100000003</v>
      </c>
      <c r="S140" s="32">
        <f>S46+S47+S48+S49+S50+S51+S52+S62+S63+S64+S69</f>
        <v>-24013.134999999998</v>
      </c>
      <c r="T140" s="49">
        <f t="shared" ref="T140:T147" si="127">R140+S140</f>
        <v>261698.90600000002</v>
      </c>
      <c r="U140" s="32">
        <f>U46+U47+U48+U49+U50+U51+U52+U62+U63+U64+U69</f>
        <v>0</v>
      </c>
      <c r="V140" s="49">
        <f t="shared" ref="V140:V149" si="128">T140+U140</f>
        <v>261698.90600000002</v>
      </c>
      <c r="W140" s="10">
        <f>W46+W47+W48+W49+W50+W51+W52+W62+W63+W64+W69</f>
        <v>-53000</v>
      </c>
      <c r="X140" s="9">
        <f t="shared" ref="X140:X149" si="129">V140+W140</f>
        <v>208698.90600000002</v>
      </c>
    </row>
    <row r="141" spans="1:27" x14ac:dyDescent="0.3">
      <c r="A141" s="6"/>
      <c r="B141" s="89" t="s">
        <v>8</v>
      </c>
      <c r="C141" s="85"/>
      <c r="D141" s="8">
        <f>D82+D103+D80+D81+D90+D98+D99+D104+D105+D94+D75+D76</f>
        <v>688165.7</v>
      </c>
      <c r="E141" s="8">
        <f>E75+E76+E80+E81+E82+E90+E94+E98+E99+E103+E104+E105</f>
        <v>-16738.5</v>
      </c>
      <c r="F141" s="9">
        <f t="shared" si="95"/>
        <v>671427.2</v>
      </c>
      <c r="G141" s="10">
        <f>G75+G76+G80+G81+G82+G90+G94+G98+G99+G103+G104+G105+G83+G121+G113+G117</f>
        <v>34713.786999999997</v>
      </c>
      <c r="H141" s="9">
        <f t="shared" si="86"/>
        <v>706140.98699999996</v>
      </c>
      <c r="I141" s="10">
        <f>I75+I76+I80+I81+I82+I90+I94+I98+I99+I103+I104+I105+I83+I121+I113+I117</f>
        <v>0</v>
      </c>
      <c r="J141" s="9">
        <f t="shared" si="122"/>
        <v>706140.98699999996</v>
      </c>
      <c r="K141" s="10">
        <f>K75+K76+K80+K81+K82+K90+K94+K98+K99+K103+K104+K105+K83+K121+K113+K117</f>
        <v>108755.1</v>
      </c>
      <c r="L141" s="9">
        <f t="shared" si="123"/>
        <v>814896.08699999994</v>
      </c>
      <c r="M141" s="10">
        <f>M75+M76+M80+M81+M82+M90+M94+M98+M99+M103+M104+M105+M83+M121+M113+M117</f>
        <v>0</v>
      </c>
      <c r="N141" s="9">
        <f t="shared" si="124"/>
        <v>814896.08699999994</v>
      </c>
      <c r="O141" s="32">
        <f>O75+O76+O80+O81+O82+O90+O94+O98+O99+O103+O104+O105+O83+O121+O113+O117+O118+O119+O120+O84</f>
        <v>-7804.320999999999</v>
      </c>
      <c r="P141" s="9">
        <f t="shared" si="125"/>
        <v>807091.76599999995</v>
      </c>
      <c r="Q141" s="32">
        <f>Q75+Q76+Q80+Q81+Q82+Q90+Q94+Q98+Q99+Q103+Q104+Q105+Q83+Q121+Q113+Q117+Q118+Q119+Q120+Q84</f>
        <v>-9620.2970000000005</v>
      </c>
      <c r="R141" s="49">
        <f t="shared" si="126"/>
        <v>797471.46899999992</v>
      </c>
      <c r="S141" s="32">
        <f>S75+S76+S80+S81+S82+S90+S94+S98+S99+S103+S104+S105+S83+S121+S113+S117+S118+S119+S120+S84</f>
        <v>-438461.27400000003</v>
      </c>
      <c r="T141" s="49">
        <f>R141+S141</f>
        <v>359010.19499999989</v>
      </c>
      <c r="U141" s="32">
        <f>U75+U76+U80+U81+U82+U90+U94+U98+U99+U103+U104+U105+U83+U121+U113+U117+U118+U119+U120+U84</f>
        <v>0</v>
      </c>
      <c r="V141" s="49">
        <f t="shared" si="128"/>
        <v>359010.19499999989</v>
      </c>
      <c r="W141" s="10">
        <f>W75+W76+W80+W81+W82+W90+W94+W98+W99+W103+W104+W105+W83+W121+W113+W117+W118+W119+W120+W84+W122</f>
        <v>1913.0140000000001</v>
      </c>
      <c r="X141" s="9">
        <f t="shared" si="129"/>
        <v>360923.20899999992</v>
      </c>
    </row>
    <row r="142" spans="1:27" x14ac:dyDescent="0.3">
      <c r="A142" s="6"/>
      <c r="B142" s="89" t="s">
        <v>14</v>
      </c>
      <c r="C142" s="85"/>
      <c r="D142" s="8">
        <f>D29+D33+D34</f>
        <v>42522.9</v>
      </c>
      <c r="E142" s="8">
        <f>E29+E33+E34</f>
        <v>0</v>
      </c>
      <c r="F142" s="9">
        <f t="shared" si="95"/>
        <v>42522.9</v>
      </c>
      <c r="G142" s="10">
        <f>G29+G33+G34</f>
        <v>0</v>
      </c>
      <c r="H142" s="9">
        <f t="shared" si="86"/>
        <v>42522.9</v>
      </c>
      <c r="I142" s="10">
        <f>I29+I33+I34</f>
        <v>0</v>
      </c>
      <c r="J142" s="9">
        <f t="shared" si="122"/>
        <v>42522.9</v>
      </c>
      <c r="K142" s="10">
        <f>K29+K33+K34+K38</f>
        <v>622.99</v>
      </c>
      <c r="L142" s="9">
        <f t="shared" si="123"/>
        <v>43145.89</v>
      </c>
      <c r="M142" s="10">
        <f>M29+M33+M34+M38</f>
        <v>0</v>
      </c>
      <c r="N142" s="9">
        <f t="shared" si="124"/>
        <v>43145.89</v>
      </c>
      <c r="O142" s="32">
        <f>O29+O33+O34+O38</f>
        <v>0</v>
      </c>
      <c r="P142" s="9">
        <f t="shared" si="125"/>
        <v>43145.89</v>
      </c>
      <c r="Q142" s="32">
        <f>Q29+Q33+Q34+Q38</f>
        <v>0</v>
      </c>
      <c r="R142" s="49">
        <f t="shared" si="126"/>
        <v>43145.89</v>
      </c>
      <c r="S142" s="32">
        <f>S29+S33+S34+S38</f>
        <v>1774.0630000000001</v>
      </c>
      <c r="T142" s="49">
        <f t="shared" si="127"/>
        <v>44919.953000000001</v>
      </c>
      <c r="U142" s="32">
        <f>U29+U33+U34+U38</f>
        <v>0</v>
      </c>
      <c r="V142" s="49">
        <f t="shared" si="128"/>
        <v>44919.953000000001</v>
      </c>
      <c r="W142" s="10">
        <f>W29+W33+W34+W38</f>
        <v>-19123.896000000001</v>
      </c>
      <c r="X142" s="9">
        <f t="shared" si="129"/>
        <v>25796.057000000001</v>
      </c>
    </row>
    <row r="143" spans="1:27" x14ac:dyDescent="0.3">
      <c r="A143" s="6"/>
      <c r="B143" s="97" t="s">
        <v>12</v>
      </c>
      <c r="C143" s="85"/>
      <c r="D143" s="8"/>
      <c r="E143" s="8"/>
      <c r="F143" s="9">
        <f t="shared" si="95"/>
        <v>0</v>
      </c>
      <c r="G143" s="10">
        <f>G126</f>
        <v>2002.299</v>
      </c>
      <c r="H143" s="9">
        <f t="shared" si="86"/>
        <v>2002.299</v>
      </c>
      <c r="I143" s="10">
        <f>I126</f>
        <v>0</v>
      </c>
      <c r="J143" s="9">
        <f t="shared" si="122"/>
        <v>2002.299</v>
      </c>
      <c r="K143" s="10">
        <f>K126</f>
        <v>0</v>
      </c>
      <c r="L143" s="9">
        <f t="shared" si="123"/>
        <v>2002.299</v>
      </c>
      <c r="M143" s="10">
        <f>M126</f>
        <v>0</v>
      </c>
      <c r="N143" s="9">
        <f t="shared" si="124"/>
        <v>2002.299</v>
      </c>
      <c r="O143" s="32">
        <f>O126</f>
        <v>0</v>
      </c>
      <c r="P143" s="9">
        <f t="shared" si="125"/>
        <v>2002.299</v>
      </c>
      <c r="Q143" s="32">
        <f>Q126</f>
        <v>0</v>
      </c>
      <c r="R143" s="49">
        <f t="shared" si="126"/>
        <v>2002.299</v>
      </c>
      <c r="S143" s="32">
        <f>S126</f>
        <v>0</v>
      </c>
      <c r="T143" s="49">
        <f t="shared" si="127"/>
        <v>2002.299</v>
      </c>
      <c r="U143" s="32">
        <f>U126</f>
        <v>0</v>
      </c>
      <c r="V143" s="49">
        <f t="shared" si="128"/>
        <v>2002.299</v>
      </c>
      <c r="W143" s="10">
        <f>W126</f>
        <v>-756.01599999999996</v>
      </c>
      <c r="X143" s="9">
        <f t="shared" si="129"/>
        <v>1246.2829999999999</v>
      </c>
    </row>
    <row r="144" spans="1:27" hidden="1" x14ac:dyDescent="0.3">
      <c r="A144" s="6"/>
      <c r="B144" s="90" t="s">
        <v>10</v>
      </c>
      <c r="C144" s="91"/>
      <c r="D144" s="8">
        <f>D109+D110+D111+D112</f>
        <v>7805.8</v>
      </c>
      <c r="E144" s="8">
        <f>E109+E110+E111+E112</f>
        <v>-197</v>
      </c>
      <c r="F144" s="9">
        <f t="shared" si="95"/>
        <v>7608.8</v>
      </c>
      <c r="G144" s="10">
        <f>G109+G110+G111+G112</f>
        <v>1078.4590000000001</v>
      </c>
      <c r="H144" s="9">
        <f t="shared" si="86"/>
        <v>8687.259</v>
      </c>
      <c r="I144" s="10">
        <f>I109+I110+I111+I112</f>
        <v>0</v>
      </c>
      <c r="J144" s="9">
        <f t="shared" si="122"/>
        <v>8687.259</v>
      </c>
      <c r="K144" s="10">
        <f>K109+K110+K111+K112</f>
        <v>0</v>
      </c>
      <c r="L144" s="9">
        <f t="shared" si="123"/>
        <v>8687.259</v>
      </c>
      <c r="M144" s="10">
        <f>M109+M110+M111+M112</f>
        <v>0</v>
      </c>
      <c r="N144" s="9">
        <f t="shared" si="124"/>
        <v>8687.259</v>
      </c>
      <c r="O144" s="32">
        <f>O109+O110+O111+O112</f>
        <v>-8687.259</v>
      </c>
      <c r="P144" s="9">
        <f t="shared" si="125"/>
        <v>0</v>
      </c>
      <c r="Q144" s="32">
        <f>Q109+Q110+Q111+Q112</f>
        <v>0</v>
      </c>
      <c r="R144" s="9">
        <f t="shared" si="126"/>
        <v>0</v>
      </c>
      <c r="S144" s="32">
        <f>S109+S110+S111+S112</f>
        <v>0</v>
      </c>
      <c r="T144" s="9">
        <f t="shared" si="127"/>
        <v>0</v>
      </c>
      <c r="U144" s="32">
        <f>U109+U110+U111+U112</f>
        <v>0</v>
      </c>
      <c r="V144" s="9">
        <f t="shared" si="128"/>
        <v>0</v>
      </c>
      <c r="W144" s="10">
        <f>W109+W110+W111+W112</f>
        <v>0</v>
      </c>
      <c r="X144" s="9">
        <f t="shared" si="129"/>
        <v>0</v>
      </c>
      <c r="Y144" s="5"/>
      <c r="Z144" s="1">
        <v>0</v>
      </c>
      <c r="AA144" s="1"/>
    </row>
    <row r="145" spans="1:27" x14ac:dyDescent="0.3">
      <c r="A145" s="26"/>
      <c r="B145" s="90" t="s">
        <v>19</v>
      </c>
      <c r="C145" s="91"/>
      <c r="D145" s="8">
        <f>D22+D26</f>
        <v>409800</v>
      </c>
      <c r="E145" s="8">
        <f>E22+E26</f>
        <v>-19853</v>
      </c>
      <c r="F145" s="9">
        <f t="shared" si="95"/>
        <v>389947</v>
      </c>
      <c r="G145" s="10">
        <f>G22+G26+G37</f>
        <v>1000</v>
      </c>
      <c r="H145" s="9">
        <f t="shared" si="86"/>
        <v>390947</v>
      </c>
      <c r="I145" s="10">
        <f>I22+I26+I37</f>
        <v>0</v>
      </c>
      <c r="J145" s="9">
        <f t="shared" si="122"/>
        <v>390947</v>
      </c>
      <c r="K145" s="10">
        <f>K22+K26+K37</f>
        <v>-2947</v>
      </c>
      <c r="L145" s="9">
        <f t="shared" si="123"/>
        <v>388000</v>
      </c>
      <c r="M145" s="10">
        <f>M22+M26+M37</f>
        <v>0</v>
      </c>
      <c r="N145" s="9">
        <f t="shared" si="124"/>
        <v>388000</v>
      </c>
      <c r="O145" s="32">
        <f>O22+O26+O37</f>
        <v>0</v>
      </c>
      <c r="P145" s="9">
        <f t="shared" si="125"/>
        <v>388000</v>
      </c>
      <c r="Q145" s="32">
        <f>Q22+Q26+Q37</f>
        <v>0</v>
      </c>
      <c r="R145" s="49">
        <f t="shared" si="126"/>
        <v>388000</v>
      </c>
      <c r="S145" s="32">
        <f>S22+S26+S37</f>
        <v>0</v>
      </c>
      <c r="T145" s="49">
        <f t="shared" si="127"/>
        <v>388000</v>
      </c>
      <c r="U145" s="32">
        <f>U22+U26+U37</f>
        <v>0</v>
      </c>
      <c r="V145" s="49">
        <f t="shared" si="128"/>
        <v>388000</v>
      </c>
      <c r="W145" s="10">
        <f>W22+W26+W37</f>
        <v>0</v>
      </c>
      <c r="X145" s="9">
        <f t="shared" si="129"/>
        <v>388000</v>
      </c>
    </row>
    <row r="146" spans="1:27" x14ac:dyDescent="0.3">
      <c r="A146" s="26"/>
      <c r="B146" s="90" t="s">
        <v>15</v>
      </c>
      <c r="C146" s="91"/>
      <c r="D146" s="8">
        <f>D45+D53</f>
        <v>896438.10000000009</v>
      </c>
      <c r="E146" s="8">
        <f>E45+E53</f>
        <v>0</v>
      </c>
      <c r="F146" s="9">
        <f t="shared" si="95"/>
        <v>896438.10000000009</v>
      </c>
      <c r="G146" s="10">
        <f>G45+G53+G58</f>
        <v>43042.281000000003</v>
      </c>
      <c r="H146" s="9">
        <f t="shared" si="86"/>
        <v>939480.38100000005</v>
      </c>
      <c r="I146" s="10">
        <f>I45+I53+I58</f>
        <v>0</v>
      </c>
      <c r="J146" s="9">
        <f t="shared" si="122"/>
        <v>939480.38100000005</v>
      </c>
      <c r="K146" s="10">
        <f>K45+K53+K58</f>
        <v>-300</v>
      </c>
      <c r="L146" s="9">
        <f t="shared" si="123"/>
        <v>939180.38100000005</v>
      </c>
      <c r="M146" s="10">
        <f>M45+M53+M58</f>
        <v>0</v>
      </c>
      <c r="N146" s="9">
        <f t="shared" si="124"/>
        <v>939180.38100000005</v>
      </c>
      <c r="O146" s="32">
        <f>O45+O53+O58+O65</f>
        <v>23706.109</v>
      </c>
      <c r="P146" s="9">
        <f t="shared" si="125"/>
        <v>962886.49000000011</v>
      </c>
      <c r="Q146" s="32">
        <f>Q45+Q53+Q58+Q65</f>
        <v>-844.63800000000629</v>
      </c>
      <c r="R146" s="49">
        <f t="shared" si="126"/>
        <v>962041.85200000007</v>
      </c>
      <c r="S146" s="32">
        <f>S45+S53+S58+S65+S70</f>
        <v>91916.448999999993</v>
      </c>
      <c r="T146" s="49">
        <f t="shared" si="127"/>
        <v>1053958.301</v>
      </c>
      <c r="U146" s="32">
        <f>U45+U53+U58+U65+U70</f>
        <v>0</v>
      </c>
      <c r="V146" s="49">
        <f t="shared" si="128"/>
        <v>1053958.301</v>
      </c>
      <c r="W146" s="10">
        <f>W45+W53+W58+W65+W70</f>
        <v>988.7589999999999</v>
      </c>
      <c r="X146" s="9">
        <f t="shared" si="129"/>
        <v>1054947.06</v>
      </c>
    </row>
    <row r="147" spans="1:27" hidden="1" x14ac:dyDescent="0.3">
      <c r="A147" s="26"/>
      <c r="B147" s="90" t="s">
        <v>24</v>
      </c>
      <c r="C147" s="91"/>
      <c r="D147" s="8">
        <f>D128</f>
        <v>22584.7</v>
      </c>
      <c r="E147" s="8">
        <f>E128</f>
        <v>0</v>
      </c>
      <c r="F147" s="9">
        <f t="shared" si="95"/>
        <v>22584.7</v>
      </c>
      <c r="G147" s="10">
        <f>G128</f>
        <v>0</v>
      </c>
      <c r="H147" s="9">
        <f t="shared" si="86"/>
        <v>22584.7</v>
      </c>
      <c r="I147" s="10">
        <f>I128</f>
        <v>0</v>
      </c>
      <c r="J147" s="9">
        <f t="shared" si="122"/>
        <v>22584.7</v>
      </c>
      <c r="K147" s="10">
        <f>K128</f>
        <v>0</v>
      </c>
      <c r="L147" s="9">
        <f t="shared" si="123"/>
        <v>22584.7</v>
      </c>
      <c r="M147" s="10">
        <f>M128</f>
        <v>0</v>
      </c>
      <c r="N147" s="9">
        <f t="shared" si="124"/>
        <v>22584.7</v>
      </c>
      <c r="O147" s="32">
        <f>O128</f>
        <v>-22584.7</v>
      </c>
      <c r="P147" s="9">
        <f t="shared" si="125"/>
        <v>0</v>
      </c>
      <c r="Q147" s="32">
        <f>Q128</f>
        <v>0</v>
      </c>
      <c r="R147" s="9">
        <f t="shared" si="126"/>
        <v>0</v>
      </c>
      <c r="S147" s="32">
        <f>S128</f>
        <v>0</v>
      </c>
      <c r="T147" s="9">
        <f t="shared" si="127"/>
        <v>0</v>
      </c>
      <c r="U147" s="32">
        <f>U128</f>
        <v>0</v>
      </c>
      <c r="V147" s="9">
        <f t="shared" si="128"/>
        <v>0</v>
      </c>
      <c r="W147" s="10">
        <f>W128</f>
        <v>0</v>
      </c>
      <c r="X147" s="9">
        <f t="shared" si="129"/>
        <v>0</v>
      </c>
      <c r="Y147" s="5"/>
      <c r="Z147" s="1">
        <v>0</v>
      </c>
      <c r="AA147" s="1"/>
    </row>
    <row r="148" spans="1:27" x14ac:dyDescent="0.3">
      <c r="A148" s="26"/>
      <c r="B148" s="88" t="s">
        <v>28</v>
      </c>
      <c r="C148" s="82"/>
      <c r="D148" s="8">
        <f>D130</f>
        <v>4085.7</v>
      </c>
      <c r="E148" s="8">
        <f>E130+E131</f>
        <v>10189.199999999999</v>
      </c>
      <c r="F148" s="9">
        <f t="shared" si="95"/>
        <v>14274.899999999998</v>
      </c>
      <c r="G148" s="10">
        <f>G130+G131+G132</f>
        <v>13182.145</v>
      </c>
      <c r="H148" s="9">
        <f t="shared" si="86"/>
        <v>27457.044999999998</v>
      </c>
      <c r="I148" s="10">
        <f>I130+I131+I132</f>
        <v>-19.161999999999999</v>
      </c>
      <c r="J148" s="9">
        <f t="shared" si="122"/>
        <v>27437.882999999998</v>
      </c>
      <c r="K148" s="10">
        <f>K130+K131+K132</f>
        <v>-7964.8059999999996</v>
      </c>
      <c r="L148" s="9">
        <f t="shared" si="123"/>
        <v>19473.076999999997</v>
      </c>
      <c r="M148" s="10">
        <f>M130+M131+M132</f>
        <v>0</v>
      </c>
      <c r="N148" s="9">
        <f t="shared" si="124"/>
        <v>19473.076999999997</v>
      </c>
      <c r="O148" s="32">
        <f>O130+O131+O132</f>
        <v>141.65</v>
      </c>
      <c r="P148" s="9">
        <f t="shared" si="125"/>
        <v>19614.726999999999</v>
      </c>
      <c r="Q148" s="32">
        <f>Q130+Q131+Q132</f>
        <v>0</v>
      </c>
      <c r="R148" s="49">
        <f t="shared" si="126"/>
        <v>19614.726999999999</v>
      </c>
      <c r="S148" s="32">
        <f>S130+S131+S132</f>
        <v>672.548</v>
      </c>
      <c r="T148" s="49">
        <f>R148+S148</f>
        <v>20287.274999999998</v>
      </c>
      <c r="U148" s="32">
        <f>U130+U131+U132</f>
        <v>-500</v>
      </c>
      <c r="V148" s="49">
        <f>T148+U148</f>
        <v>19787.274999999998</v>
      </c>
      <c r="W148" s="10">
        <f>W130+W131+W132</f>
        <v>-4.7640000000000002</v>
      </c>
      <c r="X148" s="9">
        <f>V148+W148</f>
        <v>19782.510999999999</v>
      </c>
    </row>
    <row r="149" spans="1:27" x14ac:dyDescent="0.3">
      <c r="A149" s="26"/>
      <c r="B149" s="88" t="s">
        <v>29</v>
      </c>
      <c r="C149" s="82"/>
      <c r="D149" s="8">
        <f>D27+D28+D32+D30+D31+D124+D125</f>
        <v>570233.5</v>
      </c>
      <c r="E149" s="8">
        <f>E27+E28+E30+E31+E32+E124+E125+E35</f>
        <v>8311.2000000000044</v>
      </c>
      <c r="F149" s="9">
        <f t="shared" si="95"/>
        <v>578544.69999999995</v>
      </c>
      <c r="G149" s="10">
        <f>G27+G28+G30+G31+G32+G35+G36+G124+G125</f>
        <v>42734.053</v>
      </c>
      <c r="H149" s="9">
        <f t="shared" si="86"/>
        <v>621278.75299999991</v>
      </c>
      <c r="I149" s="10">
        <f>I27+I28+I30+I31+I32+I35+I36+I124+I125</f>
        <v>0</v>
      </c>
      <c r="J149" s="9">
        <f t="shared" si="122"/>
        <v>621278.75299999991</v>
      </c>
      <c r="K149" s="10">
        <f>K27+K28+K30+K31+K32+K35+K36+K124+K125+K133</f>
        <v>6319.4769999999999</v>
      </c>
      <c r="L149" s="9">
        <f t="shared" si="123"/>
        <v>627598.22999999986</v>
      </c>
      <c r="M149" s="10">
        <f>M27+M28+M30+M31+M32+M35+M36+M124+M125+M133</f>
        <v>-13.494</v>
      </c>
      <c r="N149" s="9">
        <f t="shared" si="124"/>
        <v>627584.73599999992</v>
      </c>
      <c r="O149" s="32">
        <f>O27+O28+O30+O31+O32+O35+O36+O124+O125+O133</f>
        <v>50000.000000000022</v>
      </c>
      <c r="P149" s="9">
        <f t="shared" si="125"/>
        <v>677584.73599999992</v>
      </c>
      <c r="Q149" s="32">
        <f>Q27+Q28+Q30+Q31+Q32+Q35+Q36+Q124+Q125+Q133</f>
        <v>0</v>
      </c>
      <c r="R149" s="49">
        <f t="shared" si="126"/>
        <v>677584.73599999992</v>
      </c>
      <c r="S149" s="32">
        <f>S27+S28+S30+S31+S32+S35+S36+S124+S125+S133+S39</f>
        <v>-50.308999999999969</v>
      </c>
      <c r="T149" s="49">
        <f>R149+S149</f>
        <v>677534.42699999991</v>
      </c>
      <c r="U149" s="32">
        <f>U27+U28+U30+U31+U32+U35+U36+U124+U125+U133+U39</f>
        <v>0</v>
      </c>
      <c r="V149" s="49">
        <f t="shared" si="128"/>
        <v>677534.42699999991</v>
      </c>
      <c r="W149" s="10">
        <f>W27+W28+W30+W31+W32+W35+W36+W124+W125+W133+W39</f>
        <v>-14321.990999999998</v>
      </c>
      <c r="X149" s="9">
        <f t="shared" si="129"/>
        <v>663212.43599999987</v>
      </c>
    </row>
  </sheetData>
  <sheetProtection password="CF5C" sheet="1" objects="1" scenarios="1"/>
  <autoFilter ref="A17:Z149">
    <filterColumn colId="25">
      <filters blank="1"/>
    </filterColumn>
  </autoFilter>
  <mergeCells count="39">
    <mergeCell ref="U16:U17"/>
    <mergeCell ref="V16:V17"/>
    <mergeCell ref="M16:M17"/>
    <mergeCell ref="B135:C135"/>
    <mergeCell ref="B144:C144"/>
    <mergeCell ref="B136:C136"/>
    <mergeCell ref="B139:C139"/>
    <mergeCell ref="B143:C143"/>
    <mergeCell ref="K16:K17"/>
    <mergeCell ref="L16:L17"/>
    <mergeCell ref="I16:I17"/>
    <mergeCell ref="J16:J17"/>
    <mergeCell ref="F16:F17"/>
    <mergeCell ref="N16:N17"/>
    <mergeCell ref="E16:E17"/>
    <mergeCell ref="B149:C149"/>
    <mergeCell ref="B141:C141"/>
    <mergeCell ref="B142:C142"/>
    <mergeCell ref="B140:C140"/>
    <mergeCell ref="B148:C148"/>
    <mergeCell ref="B147:C147"/>
    <mergeCell ref="B145:C145"/>
    <mergeCell ref="B146:C146"/>
    <mergeCell ref="C4:X4"/>
    <mergeCell ref="W16:W17"/>
    <mergeCell ref="X16:X17"/>
    <mergeCell ref="A11:X13"/>
    <mergeCell ref="S16:S17"/>
    <mergeCell ref="T16:T17"/>
    <mergeCell ref="Q16:Q17"/>
    <mergeCell ref="R16:R17"/>
    <mergeCell ref="O16:O17"/>
    <mergeCell ref="P16:P17"/>
    <mergeCell ref="G16:G17"/>
    <mergeCell ref="H16:H17"/>
    <mergeCell ref="A16:A17"/>
    <mergeCell ref="B16:B17"/>
    <mergeCell ref="C16:C17"/>
    <mergeCell ref="D16:D17"/>
  </mergeCells>
  <pageMargins left="0.98425196850393704" right="0.39370078740157483" top="0.37" bottom="0.78740157480314965" header="0.31496062992125984" footer="0.31496062992125984"/>
  <pageSetup paperSize="9" scale="74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13</vt:lpstr>
      <vt:lpstr>'приложение 13'!Заголовки_для_печати</vt:lpstr>
      <vt:lpstr>'приложение 13'!Область_печати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2017-11-22T04:14:58Z</cp:lastPrinted>
  <dcterms:created xsi:type="dcterms:W3CDTF">2013-10-12T06:09:22Z</dcterms:created>
  <dcterms:modified xsi:type="dcterms:W3CDTF">2017-11-22T04:15:08Z</dcterms:modified>
</cp:coreProperties>
</file>