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1832"/>
  </bookViews>
  <sheets>
    <sheet name="2020-2021" sheetId="1" r:id="rId1"/>
  </sheets>
  <definedNames>
    <definedName name="_xlnm._FilterDatabase" localSheetId="0" hidden="1">'2020-2021'!$A$17:$AE$215</definedName>
    <definedName name="_xlnm.Print_Titles" localSheetId="0">'2020-2021'!$16:$17</definedName>
    <definedName name="_xlnm.Print_Area" localSheetId="0">'2020-2021'!$A$1:$AC$215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202" i="1" l="1"/>
  <c r="Z199" i="1" l="1"/>
  <c r="AB72" i="1"/>
  <c r="AB73" i="1"/>
  <c r="AB128" i="1" l="1"/>
  <c r="AB127" i="1"/>
  <c r="Z128" i="1"/>
  <c r="Z127" i="1"/>
  <c r="AB79" i="1" l="1"/>
  <c r="AB210" i="1" s="1"/>
  <c r="Z79" i="1"/>
  <c r="AA79" i="1" l="1"/>
  <c r="Z210" i="1"/>
  <c r="AA210" i="1" s="1"/>
  <c r="AC79" i="1"/>
  <c r="AC188" i="1"/>
  <c r="AC189" i="1"/>
  <c r="AA188" i="1"/>
  <c r="AA189" i="1"/>
  <c r="AB186" i="1"/>
  <c r="AC186" i="1" s="1"/>
  <c r="Z186" i="1"/>
  <c r="AA186" i="1" s="1"/>
  <c r="AC184" i="1" l="1"/>
  <c r="AC185" i="1"/>
  <c r="AA184" i="1"/>
  <c r="AA185" i="1"/>
  <c r="AB182" i="1"/>
  <c r="AC182" i="1" s="1"/>
  <c r="Z182" i="1"/>
  <c r="AA182" i="1" s="1"/>
  <c r="AB20" i="1" l="1"/>
  <c r="Z20" i="1"/>
  <c r="AA72" i="1"/>
  <c r="AA73" i="1"/>
  <c r="AC72" i="1"/>
  <c r="AC73" i="1"/>
  <c r="AC124" i="1"/>
  <c r="AA124" i="1"/>
  <c r="AC181" i="1"/>
  <c r="AA181" i="1"/>
  <c r="Z96" i="1"/>
  <c r="AC98" i="1"/>
  <c r="AA98" i="1"/>
  <c r="AB93" i="1"/>
  <c r="Z93" i="1"/>
  <c r="AB95" i="1"/>
  <c r="Z95" i="1"/>
  <c r="AB200" i="1" l="1"/>
  <c r="Z200" i="1"/>
  <c r="AC202" i="1"/>
  <c r="AA202" i="1"/>
  <c r="AC58" i="1" l="1"/>
  <c r="AA58" i="1"/>
  <c r="AC56" i="1"/>
  <c r="AA56" i="1"/>
  <c r="AB212" i="1" l="1"/>
  <c r="Z212" i="1"/>
  <c r="AB203" i="1"/>
  <c r="Z203" i="1"/>
  <c r="AB193" i="1"/>
  <c r="Z193" i="1"/>
  <c r="AB190" i="1"/>
  <c r="Z190" i="1"/>
  <c r="AB177" i="1"/>
  <c r="Z177" i="1"/>
  <c r="Z173" i="1"/>
  <c r="AB169" i="1"/>
  <c r="Z169" i="1"/>
  <c r="AB165" i="1"/>
  <c r="Z165" i="1"/>
  <c r="AB161" i="1"/>
  <c r="Z161" i="1"/>
  <c r="AB157" i="1"/>
  <c r="Z157" i="1"/>
  <c r="AB153" i="1"/>
  <c r="Z153" i="1"/>
  <c r="AB149" i="1"/>
  <c r="Z149" i="1"/>
  <c r="AB145" i="1"/>
  <c r="Z145" i="1"/>
  <c r="AB141" i="1"/>
  <c r="Z141" i="1"/>
  <c r="AB137" i="1"/>
  <c r="Z137" i="1"/>
  <c r="AB133" i="1"/>
  <c r="Z133" i="1"/>
  <c r="AB129" i="1"/>
  <c r="Z129" i="1"/>
  <c r="AB207" i="1"/>
  <c r="AB118" i="1"/>
  <c r="Z118" i="1"/>
  <c r="AB102" i="1"/>
  <c r="Z102" i="1"/>
  <c r="AB99" i="1"/>
  <c r="Z99" i="1"/>
  <c r="AB78" i="1"/>
  <c r="Z78" i="1"/>
  <c r="AB77" i="1"/>
  <c r="Z77" i="1"/>
  <c r="AB76" i="1"/>
  <c r="Z76" i="1"/>
  <c r="AB66" i="1"/>
  <c r="Z66" i="1"/>
  <c r="AB60" i="1"/>
  <c r="Z60" i="1"/>
  <c r="AB48" i="1"/>
  <c r="Z48" i="1"/>
  <c r="AB43" i="1"/>
  <c r="Z43" i="1"/>
  <c r="AB39" i="1"/>
  <c r="Z39" i="1"/>
  <c r="AB33" i="1"/>
  <c r="Z33" i="1"/>
  <c r="AB28" i="1"/>
  <c r="Z28" i="1"/>
  <c r="AB23" i="1"/>
  <c r="Z23" i="1"/>
  <c r="AB22" i="1"/>
  <c r="Z22" i="1"/>
  <c r="AB21" i="1"/>
  <c r="Z21" i="1"/>
  <c r="Z215" i="1" l="1"/>
  <c r="AB215" i="1"/>
  <c r="Z74" i="1"/>
  <c r="AB74" i="1"/>
  <c r="AB112" i="1"/>
  <c r="Z214" i="1"/>
  <c r="AB213" i="1"/>
  <c r="Z213" i="1"/>
  <c r="Z112" i="1"/>
  <c r="Z208" i="1"/>
  <c r="AB214" i="1"/>
  <c r="AB125" i="1"/>
  <c r="AB209" i="1"/>
  <c r="Z125" i="1"/>
  <c r="Z209" i="1"/>
  <c r="Z207" i="1"/>
  <c r="Z18" i="1"/>
  <c r="AB208" i="1"/>
  <c r="AB18" i="1"/>
  <c r="V43" i="1"/>
  <c r="X212" i="1"/>
  <c r="V212" i="1"/>
  <c r="X203" i="1"/>
  <c r="V203" i="1"/>
  <c r="X200" i="1"/>
  <c r="V200" i="1"/>
  <c r="X193" i="1"/>
  <c r="V193" i="1"/>
  <c r="X190" i="1"/>
  <c r="V190" i="1"/>
  <c r="X177" i="1"/>
  <c r="V177" i="1"/>
  <c r="V173" i="1"/>
  <c r="X169" i="1"/>
  <c r="V169" i="1"/>
  <c r="X165" i="1"/>
  <c r="V165" i="1"/>
  <c r="X161" i="1"/>
  <c r="V161" i="1"/>
  <c r="X157" i="1"/>
  <c r="V157" i="1"/>
  <c r="X153" i="1"/>
  <c r="V153" i="1"/>
  <c r="X149" i="1"/>
  <c r="V149" i="1"/>
  <c r="X145" i="1"/>
  <c r="V145" i="1"/>
  <c r="X141" i="1"/>
  <c r="V141" i="1"/>
  <c r="X137" i="1"/>
  <c r="V137" i="1"/>
  <c r="X133" i="1"/>
  <c r="V133" i="1"/>
  <c r="X129" i="1"/>
  <c r="V129" i="1"/>
  <c r="X128" i="1"/>
  <c r="X207" i="1" s="1"/>
  <c r="V128" i="1"/>
  <c r="V207" i="1" s="1"/>
  <c r="X127" i="1"/>
  <c r="V127" i="1"/>
  <c r="X118" i="1"/>
  <c r="X112" i="1" s="1"/>
  <c r="V118" i="1"/>
  <c r="V112" i="1" s="1"/>
  <c r="X102" i="1"/>
  <c r="V102" i="1"/>
  <c r="X99" i="1"/>
  <c r="V99" i="1"/>
  <c r="X93" i="1"/>
  <c r="V93" i="1"/>
  <c r="X78" i="1"/>
  <c r="X209" i="1" s="1"/>
  <c r="V78" i="1"/>
  <c r="V209" i="1" s="1"/>
  <c r="X77" i="1"/>
  <c r="V77" i="1"/>
  <c r="X76" i="1"/>
  <c r="V76" i="1"/>
  <c r="X66" i="1"/>
  <c r="V66" i="1"/>
  <c r="X60" i="1"/>
  <c r="X48" i="1"/>
  <c r="V48" i="1"/>
  <c r="X43" i="1"/>
  <c r="X21" i="1"/>
  <c r="X20" i="1"/>
  <c r="V39" i="1"/>
  <c r="X33" i="1"/>
  <c r="V33" i="1"/>
  <c r="V28" i="1"/>
  <c r="X28" i="1"/>
  <c r="X23" i="1"/>
  <c r="X22" i="1"/>
  <c r="V22" i="1"/>
  <c r="V21" i="1"/>
  <c r="V20" i="1"/>
  <c r="X74" i="1" l="1"/>
  <c r="AB205" i="1"/>
  <c r="X125" i="1"/>
  <c r="Z205" i="1"/>
  <c r="X214" i="1"/>
  <c r="V214" i="1"/>
  <c r="X215" i="1"/>
  <c r="V125" i="1"/>
  <c r="V215" i="1"/>
  <c r="V74" i="1"/>
  <c r="X18" i="1"/>
  <c r="X208" i="1"/>
  <c r="V23" i="1"/>
  <c r="V18" i="1"/>
  <c r="V208" i="1"/>
  <c r="V60" i="1"/>
  <c r="X39" i="1"/>
  <c r="U32" i="1"/>
  <c r="Y32" i="1" s="1"/>
  <c r="AC32" i="1" s="1"/>
  <c r="S32" i="1"/>
  <c r="W32" i="1" s="1"/>
  <c r="AA32" i="1" s="1"/>
  <c r="V213" i="1" l="1"/>
  <c r="V205" i="1"/>
  <c r="X205" i="1"/>
  <c r="X213" i="1"/>
  <c r="T45" i="1"/>
  <c r="T212" i="1"/>
  <c r="R212" i="1"/>
  <c r="U59" i="1"/>
  <c r="Y59" i="1" s="1"/>
  <c r="AC59" i="1" s="1"/>
  <c r="S59" i="1"/>
  <c r="W59" i="1" s="1"/>
  <c r="AA59" i="1" s="1"/>
  <c r="T22" i="1"/>
  <c r="U22" i="1" s="1"/>
  <c r="Y22" i="1" s="1"/>
  <c r="AC22" i="1" s="1"/>
  <c r="R22" i="1"/>
  <c r="S22" i="1" s="1"/>
  <c r="W22" i="1" s="1"/>
  <c r="AA22" i="1" s="1"/>
  <c r="U71" i="1"/>
  <c r="Y71" i="1" s="1"/>
  <c r="AC71" i="1" s="1"/>
  <c r="S71" i="1"/>
  <c r="W71" i="1" s="1"/>
  <c r="AA71" i="1" s="1"/>
  <c r="R62" i="1"/>
  <c r="U65" i="1"/>
  <c r="Y65" i="1" s="1"/>
  <c r="AC65" i="1" s="1"/>
  <c r="S65" i="1"/>
  <c r="W65" i="1" s="1"/>
  <c r="AA65" i="1" s="1"/>
  <c r="R63" i="1"/>
  <c r="S63" i="1" s="1"/>
  <c r="W63" i="1" s="1"/>
  <c r="AA63" i="1" s="1"/>
  <c r="U62" i="1"/>
  <c r="Y62" i="1" s="1"/>
  <c r="AC62" i="1" s="1"/>
  <c r="U63" i="1"/>
  <c r="Y63" i="1" s="1"/>
  <c r="AC63" i="1" s="1"/>
  <c r="U64" i="1"/>
  <c r="Y64" i="1" s="1"/>
  <c r="AC64" i="1" s="1"/>
  <c r="S62" i="1"/>
  <c r="W62" i="1" s="1"/>
  <c r="AA62" i="1" s="1"/>
  <c r="S64" i="1"/>
  <c r="W64" i="1" s="1"/>
  <c r="AA64" i="1" s="1"/>
  <c r="T60" i="1"/>
  <c r="R60" i="1"/>
  <c r="T46" i="1"/>
  <c r="T21" i="1" s="1"/>
  <c r="T42" i="1"/>
  <c r="T41" i="1"/>
  <c r="R41" i="1"/>
  <c r="R42" i="1"/>
  <c r="R35" i="1"/>
  <c r="R33" i="1" s="1"/>
  <c r="U36" i="1"/>
  <c r="Y36" i="1" s="1"/>
  <c r="AC36" i="1" s="1"/>
  <c r="U37" i="1"/>
  <c r="Y37" i="1" s="1"/>
  <c r="AC37" i="1" s="1"/>
  <c r="S36" i="1"/>
  <c r="W36" i="1" s="1"/>
  <c r="AA36" i="1" s="1"/>
  <c r="S37" i="1"/>
  <c r="W37" i="1" s="1"/>
  <c r="AA37" i="1" s="1"/>
  <c r="T33" i="1"/>
  <c r="I35" i="1"/>
  <c r="M35" i="1" s="1"/>
  <c r="Q35" i="1" s="1"/>
  <c r="U35" i="1" s="1"/>
  <c r="Y35" i="1" s="1"/>
  <c r="AC35" i="1" s="1"/>
  <c r="G35" i="1"/>
  <c r="K35" i="1" s="1"/>
  <c r="O35" i="1" s="1"/>
  <c r="S35" i="1" s="1"/>
  <c r="W35" i="1" s="1"/>
  <c r="AA35" i="1" s="1"/>
  <c r="R68" i="1"/>
  <c r="S68" i="1" s="1"/>
  <c r="W68" i="1" s="1"/>
  <c r="AA68" i="1" s="1"/>
  <c r="U68" i="1"/>
  <c r="Y68" i="1" s="1"/>
  <c r="AC68" i="1" s="1"/>
  <c r="U69" i="1"/>
  <c r="Y69" i="1" s="1"/>
  <c r="AC69" i="1" s="1"/>
  <c r="U70" i="1"/>
  <c r="Y70" i="1" s="1"/>
  <c r="AC70" i="1" s="1"/>
  <c r="S69" i="1"/>
  <c r="W69" i="1" s="1"/>
  <c r="AA69" i="1" s="1"/>
  <c r="S70" i="1"/>
  <c r="W70" i="1" s="1"/>
  <c r="AA70" i="1" s="1"/>
  <c r="T66" i="1"/>
  <c r="U66" i="1" s="1"/>
  <c r="Y66" i="1" s="1"/>
  <c r="AC66" i="1" s="1"/>
  <c r="T30" i="1"/>
  <c r="T28" i="1" s="1"/>
  <c r="T23" i="1"/>
  <c r="R31" i="1"/>
  <c r="R30" i="1"/>
  <c r="U27" i="1"/>
  <c r="Y27" i="1" s="1"/>
  <c r="AC27" i="1" s="1"/>
  <c r="S27" i="1"/>
  <c r="W27" i="1" s="1"/>
  <c r="AA27" i="1" s="1"/>
  <c r="R26" i="1"/>
  <c r="R25" i="1"/>
  <c r="R20" i="1" s="1"/>
  <c r="R23" i="1" l="1"/>
  <c r="R21" i="1"/>
  <c r="R18" i="1" s="1"/>
  <c r="R28" i="1"/>
  <c r="T20" i="1"/>
  <c r="T18" i="1" s="1"/>
  <c r="R66" i="1"/>
  <c r="S66" i="1" s="1"/>
  <c r="W66" i="1" s="1"/>
  <c r="AA66" i="1" s="1"/>
  <c r="U60" i="1"/>
  <c r="Y60" i="1" s="1"/>
  <c r="AC60" i="1" s="1"/>
  <c r="S60" i="1"/>
  <c r="W60" i="1" s="1"/>
  <c r="AA60" i="1" s="1"/>
  <c r="T128" i="1" l="1"/>
  <c r="T127" i="1"/>
  <c r="R128" i="1"/>
  <c r="R127" i="1"/>
  <c r="T177" i="1"/>
  <c r="U177" i="1" s="1"/>
  <c r="Y177" i="1" s="1"/>
  <c r="AC177" i="1" s="1"/>
  <c r="R177" i="1"/>
  <c r="S177" i="1" s="1"/>
  <c r="W177" i="1" s="1"/>
  <c r="AA177" i="1" s="1"/>
  <c r="U179" i="1"/>
  <c r="Y179" i="1" s="1"/>
  <c r="AC179" i="1" s="1"/>
  <c r="U180" i="1"/>
  <c r="Y180" i="1" s="1"/>
  <c r="AC180" i="1" s="1"/>
  <c r="S179" i="1"/>
  <c r="W179" i="1" s="1"/>
  <c r="AA179" i="1" s="1"/>
  <c r="S180" i="1"/>
  <c r="W180" i="1" s="1"/>
  <c r="AA180" i="1" s="1"/>
  <c r="U173" i="1" l="1"/>
  <c r="Y173" i="1" s="1"/>
  <c r="AC173" i="1" s="1"/>
  <c r="U175" i="1"/>
  <c r="Y175" i="1" s="1"/>
  <c r="AC175" i="1" s="1"/>
  <c r="U176" i="1"/>
  <c r="Y176" i="1" s="1"/>
  <c r="AC176" i="1" s="1"/>
  <c r="S175" i="1"/>
  <c r="W175" i="1" s="1"/>
  <c r="AA175" i="1" s="1"/>
  <c r="S176" i="1"/>
  <c r="W176" i="1" s="1"/>
  <c r="AA176" i="1" s="1"/>
  <c r="R173" i="1"/>
  <c r="S173" i="1" s="1"/>
  <c r="W173" i="1" s="1"/>
  <c r="AA173" i="1" s="1"/>
  <c r="T203" i="1" l="1"/>
  <c r="R203" i="1"/>
  <c r="T200" i="1"/>
  <c r="R200" i="1"/>
  <c r="T193" i="1"/>
  <c r="R193" i="1"/>
  <c r="T190" i="1"/>
  <c r="R190" i="1"/>
  <c r="T169" i="1"/>
  <c r="R169" i="1"/>
  <c r="T165" i="1"/>
  <c r="R165" i="1"/>
  <c r="T161" i="1"/>
  <c r="R161" i="1"/>
  <c r="T157" i="1"/>
  <c r="R157" i="1"/>
  <c r="T153" i="1"/>
  <c r="R153" i="1"/>
  <c r="T149" i="1"/>
  <c r="R149" i="1"/>
  <c r="T145" i="1"/>
  <c r="R145" i="1"/>
  <c r="T141" i="1"/>
  <c r="R141" i="1"/>
  <c r="T137" i="1"/>
  <c r="R137" i="1"/>
  <c r="T133" i="1"/>
  <c r="R133" i="1"/>
  <c r="T129" i="1"/>
  <c r="R129" i="1"/>
  <c r="R207" i="1"/>
  <c r="R125" i="1"/>
  <c r="T118" i="1"/>
  <c r="R118" i="1"/>
  <c r="T102" i="1"/>
  <c r="R102" i="1"/>
  <c r="T99" i="1"/>
  <c r="R99" i="1"/>
  <c r="T93" i="1"/>
  <c r="R93" i="1"/>
  <c r="T78" i="1"/>
  <c r="R78" i="1"/>
  <c r="R209" i="1" s="1"/>
  <c r="T77" i="1"/>
  <c r="R77" i="1"/>
  <c r="T76" i="1"/>
  <c r="R76" i="1"/>
  <c r="T48" i="1"/>
  <c r="R48" i="1"/>
  <c r="T43" i="1"/>
  <c r="R43" i="1"/>
  <c r="T39" i="1"/>
  <c r="R39" i="1"/>
  <c r="R213" i="1" l="1"/>
  <c r="T213" i="1"/>
  <c r="T214" i="1"/>
  <c r="R112" i="1"/>
  <c r="R215" i="1"/>
  <c r="T215" i="1"/>
  <c r="R208" i="1"/>
  <c r="R74" i="1"/>
  <c r="T125" i="1"/>
  <c r="T112" i="1"/>
  <c r="R214" i="1"/>
  <c r="T207" i="1"/>
  <c r="T208" i="1"/>
  <c r="T209" i="1"/>
  <c r="T74" i="1"/>
  <c r="R205" i="1" l="1"/>
  <c r="T205" i="1"/>
  <c r="P212" i="1"/>
  <c r="N212" i="1"/>
  <c r="P203" i="1"/>
  <c r="N203" i="1"/>
  <c r="P200" i="1"/>
  <c r="N200" i="1"/>
  <c r="P193" i="1"/>
  <c r="N193" i="1"/>
  <c r="P190" i="1"/>
  <c r="N190" i="1"/>
  <c r="P169" i="1"/>
  <c r="N169" i="1"/>
  <c r="P165" i="1"/>
  <c r="N165" i="1"/>
  <c r="P161" i="1"/>
  <c r="N161" i="1"/>
  <c r="P157" i="1"/>
  <c r="N157" i="1"/>
  <c r="P153" i="1"/>
  <c r="N153" i="1"/>
  <c r="P149" i="1"/>
  <c r="N149" i="1"/>
  <c r="P145" i="1"/>
  <c r="N145" i="1"/>
  <c r="P141" i="1"/>
  <c r="N141" i="1"/>
  <c r="P137" i="1"/>
  <c r="N137" i="1"/>
  <c r="P133" i="1"/>
  <c r="N133" i="1"/>
  <c r="P129" i="1"/>
  <c r="N129" i="1"/>
  <c r="P128" i="1"/>
  <c r="N128" i="1"/>
  <c r="N207" i="1" s="1"/>
  <c r="P127" i="1"/>
  <c r="N127" i="1"/>
  <c r="P118" i="1"/>
  <c r="P112" i="1" s="1"/>
  <c r="N118" i="1"/>
  <c r="N112" i="1" s="1"/>
  <c r="P102" i="1"/>
  <c r="N102" i="1"/>
  <c r="P99" i="1"/>
  <c r="N99" i="1"/>
  <c r="P93" i="1"/>
  <c r="N93" i="1"/>
  <c r="P78" i="1"/>
  <c r="N78" i="1"/>
  <c r="N209" i="1" s="1"/>
  <c r="P77" i="1"/>
  <c r="N77" i="1"/>
  <c r="P76" i="1"/>
  <c r="N76" i="1"/>
  <c r="P48" i="1"/>
  <c r="N48" i="1"/>
  <c r="P43" i="1"/>
  <c r="N43" i="1"/>
  <c r="P39" i="1"/>
  <c r="N39" i="1"/>
  <c r="P28" i="1"/>
  <c r="N28" i="1"/>
  <c r="P23" i="1"/>
  <c r="N23" i="1"/>
  <c r="P21" i="1"/>
  <c r="N21" i="1"/>
  <c r="P20" i="1"/>
  <c r="N20" i="1"/>
  <c r="N208" i="1" l="1"/>
  <c r="N18" i="1"/>
  <c r="N213" i="1"/>
  <c r="N74" i="1"/>
  <c r="P214" i="1"/>
  <c r="P125" i="1"/>
  <c r="N215" i="1"/>
  <c r="N125" i="1"/>
  <c r="N214" i="1"/>
  <c r="P74" i="1"/>
  <c r="P207" i="1"/>
  <c r="P208" i="1"/>
  <c r="P209" i="1"/>
  <c r="P213" i="1"/>
  <c r="P215" i="1"/>
  <c r="P18" i="1"/>
  <c r="M123" i="1"/>
  <c r="Q123" i="1" s="1"/>
  <c r="U123" i="1" s="1"/>
  <c r="Y123" i="1" s="1"/>
  <c r="AC123" i="1" s="1"/>
  <c r="K123" i="1"/>
  <c r="O123" i="1" s="1"/>
  <c r="S123" i="1" s="1"/>
  <c r="W123" i="1" s="1"/>
  <c r="AA123" i="1" s="1"/>
  <c r="N205" i="1" l="1"/>
  <c r="P205" i="1"/>
  <c r="L43" i="1"/>
  <c r="L212" i="1"/>
  <c r="J212" i="1"/>
  <c r="L203" i="1"/>
  <c r="J203" i="1"/>
  <c r="L200" i="1"/>
  <c r="J200" i="1"/>
  <c r="L193" i="1"/>
  <c r="J193" i="1"/>
  <c r="L190" i="1"/>
  <c r="J190" i="1"/>
  <c r="L169" i="1"/>
  <c r="J169" i="1"/>
  <c r="L165" i="1"/>
  <c r="J165" i="1"/>
  <c r="L161" i="1"/>
  <c r="J161" i="1"/>
  <c r="L157" i="1"/>
  <c r="J157" i="1"/>
  <c r="L153" i="1"/>
  <c r="J153" i="1"/>
  <c r="L149" i="1"/>
  <c r="J149" i="1"/>
  <c r="L145" i="1"/>
  <c r="J145" i="1"/>
  <c r="L141" i="1"/>
  <c r="J141" i="1"/>
  <c r="L137" i="1"/>
  <c r="J137" i="1"/>
  <c r="L133" i="1"/>
  <c r="J133" i="1"/>
  <c r="L129" i="1"/>
  <c r="J129" i="1"/>
  <c r="L128" i="1"/>
  <c r="J128" i="1"/>
  <c r="L127" i="1"/>
  <c r="J127" i="1"/>
  <c r="L118" i="1"/>
  <c r="J118" i="1"/>
  <c r="L102" i="1"/>
  <c r="J102" i="1"/>
  <c r="L99" i="1"/>
  <c r="J99" i="1"/>
  <c r="L93" i="1"/>
  <c r="J93" i="1"/>
  <c r="L78" i="1"/>
  <c r="L209" i="1" s="1"/>
  <c r="J78" i="1"/>
  <c r="J209" i="1" s="1"/>
  <c r="L77" i="1"/>
  <c r="J77" i="1"/>
  <c r="L76" i="1"/>
  <c r="J76" i="1"/>
  <c r="L48" i="1"/>
  <c r="J48" i="1"/>
  <c r="J43" i="1"/>
  <c r="L39" i="1"/>
  <c r="J39" i="1"/>
  <c r="L28" i="1"/>
  <c r="J28" i="1"/>
  <c r="L23" i="1"/>
  <c r="J23" i="1"/>
  <c r="J21" i="1"/>
  <c r="L20" i="1"/>
  <c r="J20" i="1"/>
  <c r="L215" i="1" l="1"/>
  <c r="J215" i="1"/>
  <c r="J112" i="1"/>
  <c r="L112" i="1"/>
  <c r="L125" i="1"/>
  <c r="J214" i="1"/>
  <c r="J213" i="1"/>
  <c r="L74" i="1"/>
  <c r="L213" i="1"/>
  <c r="J74" i="1"/>
  <c r="J18" i="1"/>
  <c r="J208" i="1"/>
  <c r="J125" i="1"/>
  <c r="J207" i="1"/>
  <c r="L207" i="1"/>
  <c r="L214" i="1"/>
  <c r="L21" i="1"/>
  <c r="H78" i="1"/>
  <c r="H209" i="1" s="1"/>
  <c r="F78" i="1"/>
  <c r="F209" i="1" s="1"/>
  <c r="H102" i="1"/>
  <c r="F102" i="1"/>
  <c r="I105" i="1"/>
  <c r="M105" i="1" s="1"/>
  <c r="Q105" i="1" s="1"/>
  <c r="U105" i="1" s="1"/>
  <c r="Y105" i="1" s="1"/>
  <c r="AC105" i="1" s="1"/>
  <c r="G105" i="1"/>
  <c r="K105" i="1" s="1"/>
  <c r="O105" i="1" s="1"/>
  <c r="S105" i="1" s="1"/>
  <c r="W105" i="1" s="1"/>
  <c r="AA105" i="1" s="1"/>
  <c r="J205" i="1" l="1"/>
  <c r="L18" i="1"/>
  <c r="L208" i="1"/>
  <c r="H45" i="1"/>
  <c r="L205" i="1" l="1"/>
  <c r="AQ327" i="1"/>
  <c r="F21" i="1" l="1"/>
  <c r="H50" i="1"/>
  <c r="H48" i="1" s="1"/>
  <c r="F48" i="1"/>
  <c r="E48" i="1"/>
  <c r="D48" i="1"/>
  <c r="G50" i="1"/>
  <c r="K50" i="1" s="1"/>
  <c r="O50" i="1" s="1"/>
  <c r="S50" i="1" s="1"/>
  <c r="W50" i="1" s="1"/>
  <c r="AA50" i="1" s="1"/>
  <c r="G51" i="1"/>
  <c r="K51" i="1" s="1"/>
  <c r="O51" i="1" s="1"/>
  <c r="S51" i="1" s="1"/>
  <c r="W51" i="1" s="1"/>
  <c r="AA51" i="1" s="1"/>
  <c r="I51" i="1"/>
  <c r="M51" i="1" s="1"/>
  <c r="Q51" i="1" s="1"/>
  <c r="U51" i="1" s="1"/>
  <c r="Y51" i="1" s="1"/>
  <c r="AC51" i="1" s="1"/>
  <c r="H46" i="1"/>
  <c r="H21" i="1" s="1"/>
  <c r="H20" i="1" l="1"/>
  <c r="I50" i="1"/>
  <c r="M50" i="1" s="1"/>
  <c r="Q50" i="1" s="1"/>
  <c r="U50" i="1" s="1"/>
  <c r="Y50" i="1" s="1"/>
  <c r="AC50" i="1" s="1"/>
  <c r="F41" i="1"/>
  <c r="F20" i="1" s="1"/>
  <c r="F89" i="1"/>
  <c r="F76" i="1" s="1"/>
  <c r="H76" i="1"/>
  <c r="I111" i="1"/>
  <c r="M111" i="1" s="1"/>
  <c r="Q111" i="1" s="1"/>
  <c r="U111" i="1" s="1"/>
  <c r="Y111" i="1" s="1"/>
  <c r="AC111" i="1" s="1"/>
  <c r="G111" i="1"/>
  <c r="K111" i="1" s="1"/>
  <c r="O111" i="1" s="1"/>
  <c r="S111" i="1" s="1"/>
  <c r="W111" i="1" s="1"/>
  <c r="AA111" i="1" s="1"/>
  <c r="I110" i="1"/>
  <c r="M110" i="1" s="1"/>
  <c r="Q110" i="1" s="1"/>
  <c r="U110" i="1" s="1"/>
  <c r="Y110" i="1" s="1"/>
  <c r="AC110" i="1" s="1"/>
  <c r="G110" i="1"/>
  <c r="K110" i="1" s="1"/>
  <c r="O110" i="1" s="1"/>
  <c r="S110" i="1" s="1"/>
  <c r="W110" i="1" s="1"/>
  <c r="AA110" i="1" s="1"/>
  <c r="I108" i="1"/>
  <c r="M108" i="1" s="1"/>
  <c r="Q108" i="1" s="1"/>
  <c r="U108" i="1" s="1"/>
  <c r="Y108" i="1" s="1"/>
  <c r="AC108" i="1" s="1"/>
  <c r="I109" i="1"/>
  <c r="M109" i="1" s="1"/>
  <c r="Q109" i="1" s="1"/>
  <c r="U109" i="1" s="1"/>
  <c r="Y109" i="1" s="1"/>
  <c r="AC109" i="1" s="1"/>
  <c r="G109" i="1"/>
  <c r="K109" i="1" s="1"/>
  <c r="O109" i="1" s="1"/>
  <c r="S109" i="1" s="1"/>
  <c r="W109" i="1" s="1"/>
  <c r="AA109" i="1" s="1"/>
  <c r="G108" i="1"/>
  <c r="K108" i="1" s="1"/>
  <c r="O108" i="1" s="1"/>
  <c r="S108" i="1" s="1"/>
  <c r="W108" i="1" s="1"/>
  <c r="AA108" i="1" s="1"/>
  <c r="I107" i="1"/>
  <c r="M107" i="1" s="1"/>
  <c r="Q107" i="1" s="1"/>
  <c r="U107" i="1" s="1"/>
  <c r="Y107" i="1" s="1"/>
  <c r="AC107" i="1" s="1"/>
  <c r="G107" i="1"/>
  <c r="K107" i="1" s="1"/>
  <c r="O107" i="1" s="1"/>
  <c r="S107" i="1" s="1"/>
  <c r="W107" i="1" s="1"/>
  <c r="AA107" i="1" s="1"/>
  <c r="I106" i="1"/>
  <c r="M106" i="1" s="1"/>
  <c r="Q106" i="1" s="1"/>
  <c r="U106" i="1" s="1"/>
  <c r="Y106" i="1" s="1"/>
  <c r="AC106" i="1" s="1"/>
  <c r="G106" i="1"/>
  <c r="K106" i="1" s="1"/>
  <c r="O106" i="1" s="1"/>
  <c r="S106" i="1" s="1"/>
  <c r="W106" i="1" s="1"/>
  <c r="AA106" i="1" s="1"/>
  <c r="I78" i="1" l="1"/>
  <c r="M78" i="1" s="1"/>
  <c r="Q78" i="1" s="1"/>
  <c r="U78" i="1" s="1"/>
  <c r="Y78" i="1" s="1"/>
  <c r="AC78" i="1" s="1"/>
  <c r="G78" i="1"/>
  <c r="K78" i="1" s="1"/>
  <c r="O78" i="1" s="1"/>
  <c r="S78" i="1" s="1"/>
  <c r="W78" i="1" s="1"/>
  <c r="AA78" i="1" s="1"/>
  <c r="H93" i="1"/>
  <c r="F93" i="1"/>
  <c r="I97" i="1"/>
  <c r="M97" i="1" s="1"/>
  <c r="Q97" i="1" s="1"/>
  <c r="U97" i="1" s="1"/>
  <c r="Y97" i="1" s="1"/>
  <c r="AC97" i="1" s="1"/>
  <c r="G97" i="1"/>
  <c r="K97" i="1" s="1"/>
  <c r="O97" i="1" s="1"/>
  <c r="S97" i="1" s="1"/>
  <c r="W97" i="1" s="1"/>
  <c r="AA97" i="1" s="1"/>
  <c r="I25" i="1" l="1"/>
  <c r="M25" i="1" s="1"/>
  <c r="Q25" i="1" s="1"/>
  <c r="U25" i="1" s="1"/>
  <c r="Y25" i="1" s="1"/>
  <c r="AC25" i="1" s="1"/>
  <c r="I26" i="1"/>
  <c r="M26" i="1" s="1"/>
  <c r="Q26" i="1" s="1"/>
  <c r="U26" i="1" s="1"/>
  <c r="Y26" i="1" s="1"/>
  <c r="AC26" i="1" s="1"/>
  <c r="I30" i="1"/>
  <c r="M30" i="1" s="1"/>
  <c r="Q30" i="1" s="1"/>
  <c r="U30" i="1" s="1"/>
  <c r="Y30" i="1" s="1"/>
  <c r="AC30" i="1" s="1"/>
  <c r="I31" i="1"/>
  <c r="M31" i="1" s="1"/>
  <c r="Q31" i="1" s="1"/>
  <c r="U31" i="1" s="1"/>
  <c r="Y31" i="1" s="1"/>
  <c r="AC31" i="1" s="1"/>
  <c r="I33" i="1"/>
  <c r="M33" i="1" s="1"/>
  <c r="Q33" i="1" s="1"/>
  <c r="U33" i="1" s="1"/>
  <c r="Y33" i="1" s="1"/>
  <c r="AC33" i="1" s="1"/>
  <c r="I38" i="1"/>
  <c r="M38" i="1" s="1"/>
  <c r="Q38" i="1" s="1"/>
  <c r="U38" i="1" s="1"/>
  <c r="Y38" i="1" s="1"/>
  <c r="AC38" i="1" s="1"/>
  <c r="I41" i="1"/>
  <c r="M41" i="1" s="1"/>
  <c r="Q41" i="1" s="1"/>
  <c r="U41" i="1" s="1"/>
  <c r="Y41" i="1" s="1"/>
  <c r="AC41" i="1" s="1"/>
  <c r="I42" i="1"/>
  <c r="M42" i="1" s="1"/>
  <c r="Q42" i="1" s="1"/>
  <c r="U42" i="1" s="1"/>
  <c r="Y42" i="1" s="1"/>
  <c r="AC42" i="1" s="1"/>
  <c r="I45" i="1"/>
  <c r="M45" i="1" s="1"/>
  <c r="Q45" i="1" s="1"/>
  <c r="U45" i="1" s="1"/>
  <c r="Y45" i="1" s="1"/>
  <c r="AC45" i="1" s="1"/>
  <c r="I46" i="1"/>
  <c r="M46" i="1" s="1"/>
  <c r="Q46" i="1" s="1"/>
  <c r="U46" i="1" s="1"/>
  <c r="Y46" i="1" s="1"/>
  <c r="AC46" i="1" s="1"/>
  <c r="I47" i="1"/>
  <c r="M47" i="1" s="1"/>
  <c r="Q47" i="1" s="1"/>
  <c r="U47" i="1" s="1"/>
  <c r="Y47" i="1" s="1"/>
  <c r="AC47" i="1" s="1"/>
  <c r="I48" i="1"/>
  <c r="M48" i="1" s="1"/>
  <c r="Q48" i="1" s="1"/>
  <c r="U48" i="1" s="1"/>
  <c r="Y48" i="1" s="1"/>
  <c r="AC48" i="1" s="1"/>
  <c r="I52" i="1"/>
  <c r="M52" i="1" s="1"/>
  <c r="Q52" i="1" s="1"/>
  <c r="U52" i="1" s="1"/>
  <c r="Y52" i="1" s="1"/>
  <c r="AC52" i="1" s="1"/>
  <c r="I53" i="1"/>
  <c r="M53" i="1" s="1"/>
  <c r="Q53" i="1" s="1"/>
  <c r="U53" i="1" s="1"/>
  <c r="Y53" i="1" s="1"/>
  <c r="AC53" i="1" s="1"/>
  <c r="I54" i="1"/>
  <c r="M54" i="1" s="1"/>
  <c r="Q54" i="1" s="1"/>
  <c r="U54" i="1" s="1"/>
  <c r="Y54" i="1" s="1"/>
  <c r="AC54" i="1" s="1"/>
  <c r="I55" i="1"/>
  <c r="M55" i="1" s="1"/>
  <c r="Q55" i="1" s="1"/>
  <c r="U55" i="1" s="1"/>
  <c r="Y55" i="1" s="1"/>
  <c r="AC55" i="1" s="1"/>
  <c r="I57" i="1"/>
  <c r="M57" i="1" s="1"/>
  <c r="Q57" i="1" s="1"/>
  <c r="U57" i="1" s="1"/>
  <c r="Y57" i="1" s="1"/>
  <c r="AC57" i="1" s="1"/>
  <c r="I80" i="1"/>
  <c r="M80" i="1" s="1"/>
  <c r="Q80" i="1" s="1"/>
  <c r="U80" i="1" s="1"/>
  <c r="Y80" i="1" s="1"/>
  <c r="AC80" i="1" s="1"/>
  <c r="I81" i="1"/>
  <c r="M81" i="1" s="1"/>
  <c r="Q81" i="1" s="1"/>
  <c r="U81" i="1" s="1"/>
  <c r="Y81" i="1" s="1"/>
  <c r="AC81" i="1" s="1"/>
  <c r="I82" i="1"/>
  <c r="M82" i="1" s="1"/>
  <c r="Q82" i="1" s="1"/>
  <c r="U82" i="1" s="1"/>
  <c r="Y82" i="1" s="1"/>
  <c r="AC82" i="1" s="1"/>
  <c r="I83" i="1"/>
  <c r="M83" i="1" s="1"/>
  <c r="Q83" i="1" s="1"/>
  <c r="U83" i="1" s="1"/>
  <c r="Y83" i="1" s="1"/>
  <c r="AC83" i="1" s="1"/>
  <c r="I84" i="1"/>
  <c r="M84" i="1" s="1"/>
  <c r="Q84" i="1" s="1"/>
  <c r="U84" i="1" s="1"/>
  <c r="Y84" i="1" s="1"/>
  <c r="AC84" i="1" s="1"/>
  <c r="I85" i="1"/>
  <c r="M85" i="1" s="1"/>
  <c r="Q85" i="1" s="1"/>
  <c r="U85" i="1" s="1"/>
  <c r="Y85" i="1" s="1"/>
  <c r="AC85" i="1" s="1"/>
  <c r="I86" i="1"/>
  <c r="M86" i="1" s="1"/>
  <c r="Q86" i="1" s="1"/>
  <c r="U86" i="1" s="1"/>
  <c r="Y86" i="1" s="1"/>
  <c r="AC86" i="1" s="1"/>
  <c r="I87" i="1"/>
  <c r="M87" i="1" s="1"/>
  <c r="Q87" i="1" s="1"/>
  <c r="U87" i="1" s="1"/>
  <c r="Y87" i="1" s="1"/>
  <c r="AC87" i="1" s="1"/>
  <c r="I88" i="1"/>
  <c r="M88" i="1" s="1"/>
  <c r="Q88" i="1" s="1"/>
  <c r="U88" i="1" s="1"/>
  <c r="Y88" i="1" s="1"/>
  <c r="AC88" i="1" s="1"/>
  <c r="I89" i="1"/>
  <c r="M89" i="1" s="1"/>
  <c r="Q89" i="1" s="1"/>
  <c r="U89" i="1" s="1"/>
  <c r="Y89" i="1" s="1"/>
  <c r="AC89" i="1" s="1"/>
  <c r="I90" i="1"/>
  <c r="M90" i="1" s="1"/>
  <c r="Q90" i="1" s="1"/>
  <c r="U90" i="1" s="1"/>
  <c r="Y90" i="1" s="1"/>
  <c r="AC90" i="1" s="1"/>
  <c r="I91" i="1"/>
  <c r="M91" i="1" s="1"/>
  <c r="Q91" i="1" s="1"/>
  <c r="U91" i="1" s="1"/>
  <c r="Y91" i="1" s="1"/>
  <c r="AC91" i="1" s="1"/>
  <c r="I92" i="1"/>
  <c r="M92" i="1" s="1"/>
  <c r="Q92" i="1" s="1"/>
  <c r="U92" i="1" s="1"/>
  <c r="Y92" i="1" s="1"/>
  <c r="AC92" i="1" s="1"/>
  <c r="I95" i="1"/>
  <c r="M95" i="1" s="1"/>
  <c r="Q95" i="1" s="1"/>
  <c r="U95" i="1" s="1"/>
  <c r="Y95" i="1" s="1"/>
  <c r="AC95" i="1" s="1"/>
  <c r="I96" i="1"/>
  <c r="M96" i="1" s="1"/>
  <c r="Q96" i="1" s="1"/>
  <c r="U96" i="1" s="1"/>
  <c r="Y96" i="1" s="1"/>
  <c r="AC96" i="1" s="1"/>
  <c r="I101" i="1"/>
  <c r="M101" i="1" s="1"/>
  <c r="Q101" i="1" s="1"/>
  <c r="U101" i="1" s="1"/>
  <c r="Y101" i="1" s="1"/>
  <c r="AC101" i="1" s="1"/>
  <c r="I104" i="1"/>
  <c r="M104" i="1" s="1"/>
  <c r="Q104" i="1" s="1"/>
  <c r="U104" i="1" s="1"/>
  <c r="Y104" i="1" s="1"/>
  <c r="AC104" i="1" s="1"/>
  <c r="I113" i="1"/>
  <c r="M113" i="1" s="1"/>
  <c r="Q113" i="1" s="1"/>
  <c r="U113" i="1" s="1"/>
  <c r="Y113" i="1" s="1"/>
  <c r="AC113" i="1" s="1"/>
  <c r="I114" i="1"/>
  <c r="M114" i="1" s="1"/>
  <c r="Q114" i="1" s="1"/>
  <c r="U114" i="1" s="1"/>
  <c r="Y114" i="1" s="1"/>
  <c r="AC114" i="1" s="1"/>
  <c r="I115" i="1"/>
  <c r="M115" i="1" s="1"/>
  <c r="Q115" i="1" s="1"/>
  <c r="U115" i="1" s="1"/>
  <c r="Y115" i="1" s="1"/>
  <c r="AC115" i="1" s="1"/>
  <c r="I116" i="1"/>
  <c r="M116" i="1" s="1"/>
  <c r="Q116" i="1" s="1"/>
  <c r="U116" i="1" s="1"/>
  <c r="Y116" i="1" s="1"/>
  <c r="AC116" i="1" s="1"/>
  <c r="I117" i="1"/>
  <c r="M117" i="1" s="1"/>
  <c r="Q117" i="1" s="1"/>
  <c r="U117" i="1" s="1"/>
  <c r="Y117" i="1" s="1"/>
  <c r="AC117" i="1" s="1"/>
  <c r="I120" i="1"/>
  <c r="M120" i="1" s="1"/>
  <c r="Q120" i="1" s="1"/>
  <c r="U120" i="1" s="1"/>
  <c r="Y120" i="1" s="1"/>
  <c r="AC120" i="1" s="1"/>
  <c r="I121" i="1"/>
  <c r="M121" i="1" s="1"/>
  <c r="Q121" i="1" s="1"/>
  <c r="U121" i="1" s="1"/>
  <c r="Y121" i="1" s="1"/>
  <c r="AC121" i="1" s="1"/>
  <c r="I122" i="1"/>
  <c r="M122" i="1" s="1"/>
  <c r="Q122" i="1" s="1"/>
  <c r="U122" i="1" s="1"/>
  <c r="Y122" i="1" s="1"/>
  <c r="AC122" i="1" s="1"/>
  <c r="I131" i="1"/>
  <c r="M131" i="1" s="1"/>
  <c r="Q131" i="1" s="1"/>
  <c r="U131" i="1" s="1"/>
  <c r="Y131" i="1" s="1"/>
  <c r="AC131" i="1" s="1"/>
  <c r="I132" i="1"/>
  <c r="M132" i="1" s="1"/>
  <c r="Q132" i="1" s="1"/>
  <c r="U132" i="1" s="1"/>
  <c r="Y132" i="1" s="1"/>
  <c r="AC132" i="1" s="1"/>
  <c r="I135" i="1"/>
  <c r="M135" i="1" s="1"/>
  <c r="Q135" i="1" s="1"/>
  <c r="U135" i="1" s="1"/>
  <c r="Y135" i="1" s="1"/>
  <c r="AC135" i="1" s="1"/>
  <c r="I136" i="1"/>
  <c r="M136" i="1" s="1"/>
  <c r="Q136" i="1" s="1"/>
  <c r="U136" i="1" s="1"/>
  <c r="Y136" i="1" s="1"/>
  <c r="AC136" i="1" s="1"/>
  <c r="I139" i="1"/>
  <c r="M139" i="1" s="1"/>
  <c r="Q139" i="1" s="1"/>
  <c r="U139" i="1" s="1"/>
  <c r="Y139" i="1" s="1"/>
  <c r="AC139" i="1" s="1"/>
  <c r="I140" i="1"/>
  <c r="M140" i="1" s="1"/>
  <c r="Q140" i="1" s="1"/>
  <c r="U140" i="1" s="1"/>
  <c r="Y140" i="1" s="1"/>
  <c r="AC140" i="1" s="1"/>
  <c r="I143" i="1"/>
  <c r="M143" i="1" s="1"/>
  <c r="Q143" i="1" s="1"/>
  <c r="U143" i="1" s="1"/>
  <c r="Y143" i="1" s="1"/>
  <c r="AC143" i="1" s="1"/>
  <c r="I144" i="1"/>
  <c r="M144" i="1" s="1"/>
  <c r="Q144" i="1" s="1"/>
  <c r="U144" i="1" s="1"/>
  <c r="Y144" i="1" s="1"/>
  <c r="AC144" i="1" s="1"/>
  <c r="I147" i="1"/>
  <c r="M147" i="1" s="1"/>
  <c r="Q147" i="1" s="1"/>
  <c r="U147" i="1" s="1"/>
  <c r="Y147" i="1" s="1"/>
  <c r="AC147" i="1" s="1"/>
  <c r="I148" i="1"/>
  <c r="M148" i="1" s="1"/>
  <c r="Q148" i="1" s="1"/>
  <c r="U148" i="1" s="1"/>
  <c r="Y148" i="1" s="1"/>
  <c r="AC148" i="1" s="1"/>
  <c r="I151" i="1"/>
  <c r="M151" i="1" s="1"/>
  <c r="Q151" i="1" s="1"/>
  <c r="U151" i="1" s="1"/>
  <c r="Y151" i="1" s="1"/>
  <c r="AC151" i="1" s="1"/>
  <c r="I152" i="1"/>
  <c r="M152" i="1" s="1"/>
  <c r="Q152" i="1" s="1"/>
  <c r="U152" i="1" s="1"/>
  <c r="Y152" i="1" s="1"/>
  <c r="AC152" i="1" s="1"/>
  <c r="I155" i="1"/>
  <c r="M155" i="1" s="1"/>
  <c r="Q155" i="1" s="1"/>
  <c r="U155" i="1" s="1"/>
  <c r="Y155" i="1" s="1"/>
  <c r="AC155" i="1" s="1"/>
  <c r="I156" i="1"/>
  <c r="M156" i="1" s="1"/>
  <c r="Q156" i="1" s="1"/>
  <c r="U156" i="1" s="1"/>
  <c r="Y156" i="1" s="1"/>
  <c r="AC156" i="1" s="1"/>
  <c r="I159" i="1"/>
  <c r="M159" i="1" s="1"/>
  <c r="Q159" i="1" s="1"/>
  <c r="U159" i="1" s="1"/>
  <c r="Y159" i="1" s="1"/>
  <c r="AC159" i="1" s="1"/>
  <c r="I160" i="1"/>
  <c r="M160" i="1" s="1"/>
  <c r="Q160" i="1" s="1"/>
  <c r="U160" i="1" s="1"/>
  <c r="Y160" i="1" s="1"/>
  <c r="AC160" i="1" s="1"/>
  <c r="I163" i="1"/>
  <c r="M163" i="1" s="1"/>
  <c r="Q163" i="1" s="1"/>
  <c r="U163" i="1" s="1"/>
  <c r="Y163" i="1" s="1"/>
  <c r="AC163" i="1" s="1"/>
  <c r="I164" i="1"/>
  <c r="M164" i="1" s="1"/>
  <c r="Q164" i="1" s="1"/>
  <c r="U164" i="1" s="1"/>
  <c r="Y164" i="1" s="1"/>
  <c r="AC164" i="1" s="1"/>
  <c r="I167" i="1"/>
  <c r="M167" i="1" s="1"/>
  <c r="Q167" i="1" s="1"/>
  <c r="U167" i="1" s="1"/>
  <c r="Y167" i="1" s="1"/>
  <c r="AC167" i="1" s="1"/>
  <c r="I168" i="1"/>
  <c r="M168" i="1" s="1"/>
  <c r="Q168" i="1" s="1"/>
  <c r="U168" i="1" s="1"/>
  <c r="Y168" i="1" s="1"/>
  <c r="AC168" i="1" s="1"/>
  <c r="I171" i="1"/>
  <c r="M171" i="1" s="1"/>
  <c r="Q171" i="1" s="1"/>
  <c r="U171" i="1" s="1"/>
  <c r="Y171" i="1" s="1"/>
  <c r="AC171" i="1" s="1"/>
  <c r="I172" i="1"/>
  <c r="M172" i="1" s="1"/>
  <c r="Q172" i="1" s="1"/>
  <c r="U172" i="1" s="1"/>
  <c r="Y172" i="1" s="1"/>
  <c r="AC172" i="1" s="1"/>
  <c r="I191" i="1"/>
  <c r="M191" i="1" s="1"/>
  <c r="Q191" i="1" s="1"/>
  <c r="U191" i="1" s="1"/>
  <c r="Y191" i="1" s="1"/>
  <c r="AC191" i="1" s="1"/>
  <c r="I192" i="1"/>
  <c r="M192" i="1" s="1"/>
  <c r="Q192" i="1" s="1"/>
  <c r="U192" i="1" s="1"/>
  <c r="Y192" i="1" s="1"/>
  <c r="AC192" i="1" s="1"/>
  <c r="I194" i="1"/>
  <c r="M194" i="1" s="1"/>
  <c r="Q194" i="1" s="1"/>
  <c r="U194" i="1" s="1"/>
  <c r="Y194" i="1" s="1"/>
  <c r="AC194" i="1" s="1"/>
  <c r="I195" i="1"/>
  <c r="M195" i="1" s="1"/>
  <c r="Q195" i="1" s="1"/>
  <c r="U195" i="1" s="1"/>
  <c r="Y195" i="1" s="1"/>
  <c r="AC195" i="1" s="1"/>
  <c r="I196" i="1"/>
  <c r="M196" i="1" s="1"/>
  <c r="Q196" i="1" s="1"/>
  <c r="U196" i="1" s="1"/>
  <c r="Y196" i="1" s="1"/>
  <c r="AC196" i="1" s="1"/>
  <c r="I197" i="1"/>
  <c r="M197" i="1" s="1"/>
  <c r="Q197" i="1" s="1"/>
  <c r="U197" i="1" s="1"/>
  <c r="Y197" i="1" s="1"/>
  <c r="AC197" i="1" s="1"/>
  <c r="I198" i="1"/>
  <c r="M198" i="1" s="1"/>
  <c r="Q198" i="1" s="1"/>
  <c r="U198" i="1" s="1"/>
  <c r="Y198" i="1" s="1"/>
  <c r="AC198" i="1" s="1"/>
  <c r="I199" i="1"/>
  <c r="M199" i="1" s="1"/>
  <c r="Q199" i="1" s="1"/>
  <c r="U199" i="1" s="1"/>
  <c r="Y199" i="1" s="1"/>
  <c r="AC199" i="1" s="1"/>
  <c r="I201" i="1"/>
  <c r="M201" i="1" s="1"/>
  <c r="Q201" i="1" s="1"/>
  <c r="U201" i="1" s="1"/>
  <c r="Y201" i="1" s="1"/>
  <c r="AC201" i="1" s="1"/>
  <c r="I204" i="1"/>
  <c r="M204" i="1" s="1"/>
  <c r="Q204" i="1" s="1"/>
  <c r="U204" i="1" s="1"/>
  <c r="Y204" i="1" s="1"/>
  <c r="AC204" i="1" s="1"/>
  <c r="I209" i="1"/>
  <c r="M209" i="1" s="1"/>
  <c r="Q209" i="1" s="1"/>
  <c r="U209" i="1" s="1"/>
  <c r="Y209" i="1" s="1"/>
  <c r="AC209" i="1" s="1"/>
  <c r="H212" i="1"/>
  <c r="H203" i="1"/>
  <c r="H200" i="1"/>
  <c r="H193" i="1"/>
  <c r="H190" i="1"/>
  <c r="H169" i="1"/>
  <c r="H165" i="1"/>
  <c r="H161" i="1"/>
  <c r="H157" i="1"/>
  <c r="H153" i="1"/>
  <c r="H149" i="1"/>
  <c r="H145" i="1"/>
  <c r="H141" i="1"/>
  <c r="H137" i="1"/>
  <c r="H133" i="1"/>
  <c r="H129" i="1"/>
  <c r="H128" i="1"/>
  <c r="H207" i="1" s="1"/>
  <c r="H127" i="1"/>
  <c r="H118" i="1"/>
  <c r="H112" i="1" s="1"/>
  <c r="H99" i="1"/>
  <c r="H77" i="1"/>
  <c r="H74" i="1" s="1"/>
  <c r="H43" i="1"/>
  <c r="H39" i="1"/>
  <c r="H28" i="1"/>
  <c r="H23" i="1"/>
  <c r="G25" i="1"/>
  <c r="K25" i="1" s="1"/>
  <c r="O25" i="1" s="1"/>
  <c r="S25" i="1" s="1"/>
  <c r="W25" i="1" s="1"/>
  <c r="AA25" i="1" s="1"/>
  <c r="G26" i="1"/>
  <c r="K26" i="1" s="1"/>
  <c r="O26" i="1" s="1"/>
  <c r="S26" i="1" s="1"/>
  <c r="W26" i="1" s="1"/>
  <c r="AA26" i="1" s="1"/>
  <c r="G30" i="1"/>
  <c r="K30" i="1" s="1"/>
  <c r="O30" i="1" s="1"/>
  <c r="S30" i="1" s="1"/>
  <c r="W30" i="1" s="1"/>
  <c r="AA30" i="1" s="1"/>
  <c r="G31" i="1"/>
  <c r="K31" i="1" s="1"/>
  <c r="O31" i="1" s="1"/>
  <c r="S31" i="1" s="1"/>
  <c r="W31" i="1" s="1"/>
  <c r="AA31" i="1" s="1"/>
  <c r="G33" i="1"/>
  <c r="K33" i="1" s="1"/>
  <c r="O33" i="1" s="1"/>
  <c r="S33" i="1" s="1"/>
  <c r="W33" i="1" s="1"/>
  <c r="AA33" i="1" s="1"/>
  <c r="G38" i="1"/>
  <c r="K38" i="1" s="1"/>
  <c r="O38" i="1" s="1"/>
  <c r="S38" i="1" s="1"/>
  <c r="W38" i="1" s="1"/>
  <c r="AA38" i="1" s="1"/>
  <c r="G41" i="1"/>
  <c r="K41" i="1" s="1"/>
  <c r="O41" i="1" s="1"/>
  <c r="S41" i="1" s="1"/>
  <c r="W41" i="1" s="1"/>
  <c r="AA41" i="1" s="1"/>
  <c r="G42" i="1"/>
  <c r="K42" i="1" s="1"/>
  <c r="O42" i="1" s="1"/>
  <c r="S42" i="1" s="1"/>
  <c r="W42" i="1" s="1"/>
  <c r="AA42" i="1" s="1"/>
  <c r="G45" i="1"/>
  <c r="K45" i="1" s="1"/>
  <c r="O45" i="1" s="1"/>
  <c r="S45" i="1" s="1"/>
  <c r="W45" i="1" s="1"/>
  <c r="AA45" i="1" s="1"/>
  <c r="G46" i="1"/>
  <c r="K46" i="1" s="1"/>
  <c r="O46" i="1" s="1"/>
  <c r="S46" i="1" s="1"/>
  <c r="W46" i="1" s="1"/>
  <c r="AA46" i="1" s="1"/>
  <c r="G47" i="1"/>
  <c r="K47" i="1" s="1"/>
  <c r="O47" i="1" s="1"/>
  <c r="S47" i="1" s="1"/>
  <c r="W47" i="1" s="1"/>
  <c r="AA47" i="1" s="1"/>
  <c r="G48" i="1"/>
  <c r="K48" i="1" s="1"/>
  <c r="O48" i="1" s="1"/>
  <c r="S48" i="1" s="1"/>
  <c r="W48" i="1" s="1"/>
  <c r="AA48" i="1" s="1"/>
  <c r="G52" i="1"/>
  <c r="K52" i="1" s="1"/>
  <c r="O52" i="1" s="1"/>
  <c r="S52" i="1" s="1"/>
  <c r="W52" i="1" s="1"/>
  <c r="AA52" i="1" s="1"/>
  <c r="G53" i="1"/>
  <c r="K53" i="1" s="1"/>
  <c r="O53" i="1" s="1"/>
  <c r="S53" i="1" s="1"/>
  <c r="W53" i="1" s="1"/>
  <c r="AA53" i="1" s="1"/>
  <c r="G54" i="1"/>
  <c r="K54" i="1" s="1"/>
  <c r="O54" i="1" s="1"/>
  <c r="S54" i="1" s="1"/>
  <c r="W54" i="1" s="1"/>
  <c r="AA54" i="1" s="1"/>
  <c r="G55" i="1"/>
  <c r="K55" i="1" s="1"/>
  <c r="O55" i="1" s="1"/>
  <c r="S55" i="1" s="1"/>
  <c r="W55" i="1" s="1"/>
  <c r="AA55" i="1" s="1"/>
  <c r="G57" i="1"/>
  <c r="K57" i="1" s="1"/>
  <c r="O57" i="1" s="1"/>
  <c r="S57" i="1" s="1"/>
  <c r="W57" i="1" s="1"/>
  <c r="AA57" i="1" s="1"/>
  <c r="G80" i="1"/>
  <c r="K80" i="1" s="1"/>
  <c r="O80" i="1" s="1"/>
  <c r="S80" i="1" s="1"/>
  <c r="W80" i="1" s="1"/>
  <c r="AA80" i="1" s="1"/>
  <c r="G81" i="1"/>
  <c r="K81" i="1" s="1"/>
  <c r="O81" i="1" s="1"/>
  <c r="S81" i="1" s="1"/>
  <c r="W81" i="1" s="1"/>
  <c r="AA81" i="1" s="1"/>
  <c r="G82" i="1"/>
  <c r="K82" i="1" s="1"/>
  <c r="O82" i="1" s="1"/>
  <c r="S82" i="1" s="1"/>
  <c r="W82" i="1" s="1"/>
  <c r="AA82" i="1" s="1"/>
  <c r="G83" i="1"/>
  <c r="K83" i="1" s="1"/>
  <c r="O83" i="1" s="1"/>
  <c r="S83" i="1" s="1"/>
  <c r="W83" i="1" s="1"/>
  <c r="AA83" i="1" s="1"/>
  <c r="G84" i="1"/>
  <c r="K84" i="1" s="1"/>
  <c r="O84" i="1" s="1"/>
  <c r="S84" i="1" s="1"/>
  <c r="W84" i="1" s="1"/>
  <c r="AA84" i="1" s="1"/>
  <c r="G85" i="1"/>
  <c r="K85" i="1" s="1"/>
  <c r="O85" i="1" s="1"/>
  <c r="S85" i="1" s="1"/>
  <c r="W85" i="1" s="1"/>
  <c r="AA85" i="1" s="1"/>
  <c r="G86" i="1"/>
  <c r="K86" i="1" s="1"/>
  <c r="O86" i="1" s="1"/>
  <c r="S86" i="1" s="1"/>
  <c r="W86" i="1" s="1"/>
  <c r="AA86" i="1" s="1"/>
  <c r="G87" i="1"/>
  <c r="K87" i="1" s="1"/>
  <c r="O87" i="1" s="1"/>
  <c r="S87" i="1" s="1"/>
  <c r="W87" i="1" s="1"/>
  <c r="AA87" i="1" s="1"/>
  <c r="G88" i="1"/>
  <c r="K88" i="1" s="1"/>
  <c r="O88" i="1" s="1"/>
  <c r="S88" i="1" s="1"/>
  <c r="W88" i="1" s="1"/>
  <c r="AA88" i="1" s="1"/>
  <c r="G89" i="1"/>
  <c r="K89" i="1" s="1"/>
  <c r="O89" i="1" s="1"/>
  <c r="S89" i="1" s="1"/>
  <c r="W89" i="1" s="1"/>
  <c r="AA89" i="1" s="1"/>
  <c r="G90" i="1"/>
  <c r="K90" i="1" s="1"/>
  <c r="O90" i="1" s="1"/>
  <c r="S90" i="1" s="1"/>
  <c r="W90" i="1" s="1"/>
  <c r="AA90" i="1" s="1"/>
  <c r="G91" i="1"/>
  <c r="K91" i="1" s="1"/>
  <c r="O91" i="1" s="1"/>
  <c r="S91" i="1" s="1"/>
  <c r="W91" i="1" s="1"/>
  <c r="AA91" i="1" s="1"/>
  <c r="G92" i="1"/>
  <c r="K92" i="1" s="1"/>
  <c r="O92" i="1" s="1"/>
  <c r="S92" i="1" s="1"/>
  <c r="W92" i="1" s="1"/>
  <c r="AA92" i="1" s="1"/>
  <c r="G95" i="1"/>
  <c r="K95" i="1" s="1"/>
  <c r="O95" i="1" s="1"/>
  <c r="S95" i="1" s="1"/>
  <c r="W95" i="1" s="1"/>
  <c r="AA95" i="1" s="1"/>
  <c r="G96" i="1"/>
  <c r="K96" i="1" s="1"/>
  <c r="O96" i="1" s="1"/>
  <c r="S96" i="1" s="1"/>
  <c r="W96" i="1" s="1"/>
  <c r="AA96" i="1" s="1"/>
  <c r="G101" i="1"/>
  <c r="K101" i="1" s="1"/>
  <c r="O101" i="1" s="1"/>
  <c r="S101" i="1" s="1"/>
  <c r="W101" i="1" s="1"/>
  <c r="AA101" i="1" s="1"/>
  <c r="G104" i="1"/>
  <c r="K104" i="1" s="1"/>
  <c r="O104" i="1" s="1"/>
  <c r="S104" i="1" s="1"/>
  <c r="W104" i="1" s="1"/>
  <c r="AA104" i="1" s="1"/>
  <c r="G113" i="1"/>
  <c r="K113" i="1" s="1"/>
  <c r="O113" i="1" s="1"/>
  <c r="S113" i="1" s="1"/>
  <c r="W113" i="1" s="1"/>
  <c r="AA113" i="1" s="1"/>
  <c r="G114" i="1"/>
  <c r="K114" i="1" s="1"/>
  <c r="O114" i="1" s="1"/>
  <c r="S114" i="1" s="1"/>
  <c r="W114" i="1" s="1"/>
  <c r="AA114" i="1" s="1"/>
  <c r="G115" i="1"/>
  <c r="K115" i="1" s="1"/>
  <c r="O115" i="1" s="1"/>
  <c r="S115" i="1" s="1"/>
  <c r="W115" i="1" s="1"/>
  <c r="AA115" i="1" s="1"/>
  <c r="G116" i="1"/>
  <c r="K116" i="1" s="1"/>
  <c r="O116" i="1" s="1"/>
  <c r="S116" i="1" s="1"/>
  <c r="W116" i="1" s="1"/>
  <c r="AA116" i="1" s="1"/>
  <c r="G117" i="1"/>
  <c r="K117" i="1" s="1"/>
  <c r="O117" i="1" s="1"/>
  <c r="S117" i="1" s="1"/>
  <c r="W117" i="1" s="1"/>
  <c r="AA117" i="1" s="1"/>
  <c r="G120" i="1"/>
  <c r="K120" i="1" s="1"/>
  <c r="O120" i="1" s="1"/>
  <c r="S120" i="1" s="1"/>
  <c r="W120" i="1" s="1"/>
  <c r="AA120" i="1" s="1"/>
  <c r="G121" i="1"/>
  <c r="K121" i="1" s="1"/>
  <c r="O121" i="1" s="1"/>
  <c r="S121" i="1" s="1"/>
  <c r="W121" i="1" s="1"/>
  <c r="AA121" i="1" s="1"/>
  <c r="G122" i="1"/>
  <c r="K122" i="1" s="1"/>
  <c r="O122" i="1" s="1"/>
  <c r="S122" i="1" s="1"/>
  <c r="W122" i="1" s="1"/>
  <c r="AA122" i="1" s="1"/>
  <c r="G131" i="1"/>
  <c r="K131" i="1" s="1"/>
  <c r="O131" i="1" s="1"/>
  <c r="S131" i="1" s="1"/>
  <c r="W131" i="1" s="1"/>
  <c r="AA131" i="1" s="1"/>
  <c r="G132" i="1"/>
  <c r="K132" i="1" s="1"/>
  <c r="O132" i="1" s="1"/>
  <c r="S132" i="1" s="1"/>
  <c r="W132" i="1" s="1"/>
  <c r="AA132" i="1" s="1"/>
  <c r="G135" i="1"/>
  <c r="K135" i="1" s="1"/>
  <c r="O135" i="1" s="1"/>
  <c r="S135" i="1" s="1"/>
  <c r="W135" i="1" s="1"/>
  <c r="AA135" i="1" s="1"/>
  <c r="G136" i="1"/>
  <c r="K136" i="1" s="1"/>
  <c r="O136" i="1" s="1"/>
  <c r="S136" i="1" s="1"/>
  <c r="W136" i="1" s="1"/>
  <c r="AA136" i="1" s="1"/>
  <c r="G139" i="1"/>
  <c r="K139" i="1" s="1"/>
  <c r="O139" i="1" s="1"/>
  <c r="S139" i="1" s="1"/>
  <c r="W139" i="1" s="1"/>
  <c r="AA139" i="1" s="1"/>
  <c r="G140" i="1"/>
  <c r="K140" i="1" s="1"/>
  <c r="O140" i="1" s="1"/>
  <c r="S140" i="1" s="1"/>
  <c r="W140" i="1" s="1"/>
  <c r="AA140" i="1" s="1"/>
  <c r="G143" i="1"/>
  <c r="K143" i="1" s="1"/>
  <c r="O143" i="1" s="1"/>
  <c r="S143" i="1" s="1"/>
  <c r="W143" i="1" s="1"/>
  <c r="AA143" i="1" s="1"/>
  <c r="G144" i="1"/>
  <c r="K144" i="1" s="1"/>
  <c r="O144" i="1" s="1"/>
  <c r="S144" i="1" s="1"/>
  <c r="W144" i="1" s="1"/>
  <c r="AA144" i="1" s="1"/>
  <c r="G147" i="1"/>
  <c r="K147" i="1" s="1"/>
  <c r="O147" i="1" s="1"/>
  <c r="S147" i="1" s="1"/>
  <c r="W147" i="1" s="1"/>
  <c r="AA147" i="1" s="1"/>
  <c r="G148" i="1"/>
  <c r="K148" i="1" s="1"/>
  <c r="O148" i="1" s="1"/>
  <c r="S148" i="1" s="1"/>
  <c r="W148" i="1" s="1"/>
  <c r="AA148" i="1" s="1"/>
  <c r="G151" i="1"/>
  <c r="K151" i="1" s="1"/>
  <c r="O151" i="1" s="1"/>
  <c r="S151" i="1" s="1"/>
  <c r="W151" i="1" s="1"/>
  <c r="AA151" i="1" s="1"/>
  <c r="G152" i="1"/>
  <c r="K152" i="1" s="1"/>
  <c r="O152" i="1" s="1"/>
  <c r="S152" i="1" s="1"/>
  <c r="W152" i="1" s="1"/>
  <c r="AA152" i="1" s="1"/>
  <c r="G155" i="1"/>
  <c r="K155" i="1" s="1"/>
  <c r="O155" i="1" s="1"/>
  <c r="S155" i="1" s="1"/>
  <c r="W155" i="1" s="1"/>
  <c r="AA155" i="1" s="1"/>
  <c r="G156" i="1"/>
  <c r="K156" i="1" s="1"/>
  <c r="O156" i="1" s="1"/>
  <c r="S156" i="1" s="1"/>
  <c r="W156" i="1" s="1"/>
  <c r="AA156" i="1" s="1"/>
  <c r="G159" i="1"/>
  <c r="K159" i="1" s="1"/>
  <c r="O159" i="1" s="1"/>
  <c r="S159" i="1" s="1"/>
  <c r="W159" i="1" s="1"/>
  <c r="AA159" i="1" s="1"/>
  <c r="G160" i="1"/>
  <c r="K160" i="1" s="1"/>
  <c r="O160" i="1" s="1"/>
  <c r="S160" i="1" s="1"/>
  <c r="W160" i="1" s="1"/>
  <c r="AA160" i="1" s="1"/>
  <c r="G163" i="1"/>
  <c r="K163" i="1" s="1"/>
  <c r="O163" i="1" s="1"/>
  <c r="S163" i="1" s="1"/>
  <c r="W163" i="1" s="1"/>
  <c r="AA163" i="1" s="1"/>
  <c r="G164" i="1"/>
  <c r="K164" i="1" s="1"/>
  <c r="O164" i="1" s="1"/>
  <c r="S164" i="1" s="1"/>
  <c r="W164" i="1" s="1"/>
  <c r="AA164" i="1" s="1"/>
  <c r="G167" i="1"/>
  <c r="K167" i="1" s="1"/>
  <c r="O167" i="1" s="1"/>
  <c r="S167" i="1" s="1"/>
  <c r="W167" i="1" s="1"/>
  <c r="AA167" i="1" s="1"/>
  <c r="G168" i="1"/>
  <c r="K168" i="1" s="1"/>
  <c r="O168" i="1" s="1"/>
  <c r="S168" i="1" s="1"/>
  <c r="W168" i="1" s="1"/>
  <c r="AA168" i="1" s="1"/>
  <c r="G171" i="1"/>
  <c r="K171" i="1" s="1"/>
  <c r="O171" i="1" s="1"/>
  <c r="S171" i="1" s="1"/>
  <c r="W171" i="1" s="1"/>
  <c r="AA171" i="1" s="1"/>
  <c r="G172" i="1"/>
  <c r="K172" i="1" s="1"/>
  <c r="O172" i="1" s="1"/>
  <c r="S172" i="1" s="1"/>
  <c r="W172" i="1" s="1"/>
  <c r="AA172" i="1" s="1"/>
  <c r="G191" i="1"/>
  <c r="K191" i="1" s="1"/>
  <c r="O191" i="1" s="1"/>
  <c r="S191" i="1" s="1"/>
  <c r="W191" i="1" s="1"/>
  <c r="AA191" i="1" s="1"/>
  <c r="G192" i="1"/>
  <c r="K192" i="1" s="1"/>
  <c r="O192" i="1" s="1"/>
  <c r="S192" i="1" s="1"/>
  <c r="W192" i="1" s="1"/>
  <c r="AA192" i="1" s="1"/>
  <c r="G194" i="1"/>
  <c r="K194" i="1" s="1"/>
  <c r="O194" i="1" s="1"/>
  <c r="S194" i="1" s="1"/>
  <c r="W194" i="1" s="1"/>
  <c r="AA194" i="1" s="1"/>
  <c r="G195" i="1"/>
  <c r="K195" i="1" s="1"/>
  <c r="O195" i="1" s="1"/>
  <c r="S195" i="1" s="1"/>
  <c r="W195" i="1" s="1"/>
  <c r="AA195" i="1" s="1"/>
  <c r="G196" i="1"/>
  <c r="K196" i="1" s="1"/>
  <c r="O196" i="1" s="1"/>
  <c r="S196" i="1" s="1"/>
  <c r="W196" i="1" s="1"/>
  <c r="AA196" i="1" s="1"/>
  <c r="G197" i="1"/>
  <c r="K197" i="1" s="1"/>
  <c r="O197" i="1" s="1"/>
  <c r="S197" i="1" s="1"/>
  <c r="W197" i="1" s="1"/>
  <c r="AA197" i="1" s="1"/>
  <c r="G198" i="1"/>
  <c r="K198" i="1" s="1"/>
  <c r="O198" i="1" s="1"/>
  <c r="S198" i="1" s="1"/>
  <c r="W198" i="1" s="1"/>
  <c r="AA198" i="1" s="1"/>
  <c r="G199" i="1"/>
  <c r="K199" i="1" s="1"/>
  <c r="O199" i="1" s="1"/>
  <c r="S199" i="1" s="1"/>
  <c r="W199" i="1" s="1"/>
  <c r="AA199" i="1" s="1"/>
  <c r="G201" i="1"/>
  <c r="K201" i="1" s="1"/>
  <c r="O201" i="1" s="1"/>
  <c r="S201" i="1" s="1"/>
  <c r="W201" i="1" s="1"/>
  <c r="AA201" i="1" s="1"/>
  <c r="G204" i="1"/>
  <c r="K204" i="1" s="1"/>
  <c r="O204" i="1" s="1"/>
  <c r="S204" i="1" s="1"/>
  <c r="W204" i="1" s="1"/>
  <c r="AA204" i="1" s="1"/>
  <c r="G209" i="1"/>
  <c r="K209" i="1" s="1"/>
  <c r="O209" i="1" s="1"/>
  <c r="S209" i="1" s="1"/>
  <c r="W209" i="1" s="1"/>
  <c r="AA209" i="1" s="1"/>
  <c r="F28" i="1"/>
  <c r="F212" i="1"/>
  <c r="F203" i="1"/>
  <c r="F200" i="1"/>
  <c r="F193" i="1"/>
  <c r="F190" i="1"/>
  <c r="F169" i="1"/>
  <c r="F165" i="1"/>
  <c r="F161" i="1"/>
  <c r="F157" i="1"/>
  <c r="F153" i="1"/>
  <c r="F149" i="1"/>
  <c r="F145" i="1"/>
  <c r="F141" i="1"/>
  <c r="F137" i="1"/>
  <c r="F133" i="1"/>
  <c r="F129" i="1"/>
  <c r="F128" i="1"/>
  <c r="F207" i="1" s="1"/>
  <c r="F127" i="1"/>
  <c r="F118" i="1"/>
  <c r="F99" i="1"/>
  <c r="F77" i="1"/>
  <c r="F74" i="1" s="1"/>
  <c r="F43" i="1"/>
  <c r="F39" i="1"/>
  <c r="F23" i="1"/>
  <c r="H213" i="1" l="1"/>
  <c r="F213" i="1"/>
  <c r="F208" i="1"/>
  <c r="H125" i="1"/>
  <c r="H215" i="1"/>
  <c r="H214" i="1"/>
  <c r="H208" i="1"/>
  <c r="H18" i="1"/>
  <c r="F215" i="1"/>
  <c r="F125" i="1"/>
  <c r="F112" i="1"/>
  <c r="F214" i="1"/>
  <c r="F18" i="1"/>
  <c r="E127" i="1"/>
  <c r="I127" i="1" s="1"/>
  <c r="M127" i="1" s="1"/>
  <c r="Q127" i="1" s="1"/>
  <c r="U127" i="1" s="1"/>
  <c r="Y127" i="1" s="1"/>
  <c r="AC127" i="1" s="1"/>
  <c r="D127" i="1"/>
  <c r="G127" i="1" s="1"/>
  <c r="K127" i="1" s="1"/>
  <c r="O127" i="1" s="1"/>
  <c r="S127" i="1" s="1"/>
  <c r="W127" i="1" s="1"/>
  <c r="AA127" i="1" s="1"/>
  <c r="E128" i="1"/>
  <c r="I128" i="1" s="1"/>
  <c r="M128" i="1" s="1"/>
  <c r="Q128" i="1" s="1"/>
  <c r="U128" i="1" s="1"/>
  <c r="Y128" i="1" s="1"/>
  <c r="AC128" i="1" s="1"/>
  <c r="D128" i="1"/>
  <c r="G128" i="1" s="1"/>
  <c r="K128" i="1" s="1"/>
  <c r="O128" i="1" s="1"/>
  <c r="S128" i="1" s="1"/>
  <c r="W128" i="1" s="1"/>
  <c r="AA128" i="1" s="1"/>
  <c r="H205" i="1" l="1"/>
  <c r="F205" i="1"/>
  <c r="D212" i="1"/>
  <c r="G212" i="1" s="1"/>
  <c r="K212" i="1" s="1"/>
  <c r="O212" i="1" s="1"/>
  <c r="S212" i="1" s="1"/>
  <c r="W212" i="1" s="1"/>
  <c r="AA212" i="1" s="1"/>
  <c r="E212" i="1"/>
  <c r="I212" i="1" s="1"/>
  <c r="M212" i="1" s="1"/>
  <c r="Q212" i="1" s="1"/>
  <c r="U212" i="1" s="1"/>
  <c r="Y212" i="1" s="1"/>
  <c r="AC212" i="1" s="1"/>
  <c r="E21" i="1"/>
  <c r="I21" i="1" s="1"/>
  <c r="M21" i="1" s="1"/>
  <c r="Q21" i="1" s="1"/>
  <c r="U21" i="1" s="1"/>
  <c r="Y21" i="1" s="1"/>
  <c r="AC21" i="1" s="1"/>
  <c r="D21" i="1"/>
  <c r="G21" i="1" s="1"/>
  <c r="K21" i="1" s="1"/>
  <c r="O21" i="1" s="1"/>
  <c r="S21" i="1" s="1"/>
  <c r="W21" i="1" s="1"/>
  <c r="AA21" i="1" s="1"/>
  <c r="E20" i="1"/>
  <c r="I20" i="1" s="1"/>
  <c r="M20" i="1" s="1"/>
  <c r="Q20" i="1" s="1"/>
  <c r="U20" i="1" s="1"/>
  <c r="Y20" i="1" s="1"/>
  <c r="AC20" i="1" s="1"/>
  <c r="D20" i="1"/>
  <c r="G20" i="1" s="1"/>
  <c r="K20" i="1" s="1"/>
  <c r="O20" i="1" s="1"/>
  <c r="S20" i="1" s="1"/>
  <c r="W20" i="1" s="1"/>
  <c r="AA20" i="1" s="1"/>
  <c r="E39" i="1"/>
  <c r="I39" i="1" s="1"/>
  <c r="M39" i="1" s="1"/>
  <c r="Q39" i="1" s="1"/>
  <c r="U39" i="1" s="1"/>
  <c r="Y39" i="1" s="1"/>
  <c r="AC39" i="1" s="1"/>
  <c r="D39" i="1"/>
  <c r="G39" i="1" s="1"/>
  <c r="K39" i="1" s="1"/>
  <c r="O39" i="1" s="1"/>
  <c r="S39" i="1" s="1"/>
  <c r="W39" i="1" s="1"/>
  <c r="AA39" i="1" s="1"/>
  <c r="E193" i="1" l="1"/>
  <c r="I193" i="1" s="1"/>
  <c r="M193" i="1" s="1"/>
  <c r="Q193" i="1" s="1"/>
  <c r="U193" i="1" s="1"/>
  <c r="Y193" i="1" s="1"/>
  <c r="AC193" i="1" s="1"/>
  <c r="D193" i="1"/>
  <c r="G193" i="1" s="1"/>
  <c r="K193" i="1" s="1"/>
  <c r="O193" i="1" s="1"/>
  <c r="S193" i="1" s="1"/>
  <c r="W193" i="1" s="1"/>
  <c r="AA193" i="1" s="1"/>
  <c r="E43" i="1" l="1"/>
  <c r="I43" i="1" s="1"/>
  <c r="M43" i="1" s="1"/>
  <c r="Q43" i="1" s="1"/>
  <c r="U43" i="1" s="1"/>
  <c r="Y43" i="1" s="1"/>
  <c r="AC43" i="1" s="1"/>
  <c r="D43" i="1"/>
  <c r="G43" i="1" s="1"/>
  <c r="K43" i="1" s="1"/>
  <c r="O43" i="1" s="1"/>
  <c r="S43" i="1" s="1"/>
  <c r="W43" i="1" s="1"/>
  <c r="AA43" i="1" s="1"/>
  <c r="E28" i="1"/>
  <c r="I28" i="1" s="1"/>
  <c r="M28" i="1" s="1"/>
  <c r="Q28" i="1" s="1"/>
  <c r="U28" i="1" s="1"/>
  <c r="Y28" i="1" s="1"/>
  <c r="AC28" i="1" s="1"/>
  <c r="D28" i="1"/>
  <c r="G28" i="1" s="1"/>
  <c r="K28" i="1" s="1"/>
  <c r="O28" i="1" s="1"/>
  <c r="S28" i="1" s="1"/>
  <c r="W28" i="1" s="1"/>
  <c r="AA28" i="1" s="1"/>
  <c r="E23" i="1"/>
  <c r="I23" i="1" s="1"/>
  <c r="M23" i="1" s="1"/>
  <c r="Q23" i="1" s="1"/>
  <c r="U23" i="1" s="1"/>
  <c r="Y23" i="1" s="1"/>
  <c r="AC23" i="1" s="1"/>
  <c r="AC210" i="1" s="1"/>
  <c r="D23" i="1"/>
  <c r="G23" i="1" s="1"/>
  <c r="K23" i="1" s="1"/>
  <c r="O23" i="1" s="1"/>
  <c r="S23" i="1" s="1"/>
  <c r="W23" i="1" s="1"/>
  <c r="AA23" i="1" s="1"/>
  <c r="D213" i="1" l="1"/>
  <c r="G213" i="1" s="1"/>
  <c r="K213" i="1" s="1"/>
  <c r="O213" i="1" s="1"/>
  <c r="S213" i="1" s="1"/>
  <c r="W213" i="1" s="1"/>
  <c r="AA213" i="1" s="1"/>
  <c r="E213" i="1"/>
  <c r="I213" i="1" s="1"/>
  <c r="M213" i="1" s="1"/>
  <c r="Q213" i="1" s="1"/>
  <c r="U213" i="1" s="1"/>
  <c r="Y213" i="1" s="1"/>
  <c r="AC213" i="1" s="1"/>
  <c r="E76" i="1"/>
  <c r="I76" i="1" s="1"/>
  <c r="M76" i="1" s="1"/>
  <c r="Q76" i="1" s="1"/>
  <c r="U76" i="1" s="1"/>
  <c r="Y76" i="1" s="1"/>
  <c r="AC76" i="1" s="1"/>
  <c r="E77" i="1"/>
  <c r="I77" i="1" s="1"/>
  <c r="M77" i="1" s="1"/>
  <c r="Q77" i="1" s="1"/>
  <c r="U77" i="1" s="1"/>
  <c r="Y77" i="1" s="1"/>
  <c r="AC77" i="1" s="1"/>
  <c r="D77" i="1"/>
  <c r="G77" i="1" s="1"/>
  <c r="K77" i="1" s="1"/>
  <c r="O77" i="1" s="1"/>
  <c r="S77" i="1" s="1"/>
  <c r="W77" i="1" s="1"/>
  <c r="AA77" i="1" s="1"/>
  <c r="D76" i="1"/>
  <c r="G76" i="1" s="1"/>
  <c r="K76" i="1" s="1"/>
  <c r="O76" i="1" s="1"/>
  <c r="S76" i="1" s="1"/>
  <c r="W76" i="1" s="1"/>
  <c r="AA76" i="1" s="1"/>
  <c r="E102" i="1"/>
  <c r="I102" i="1" s="1"/>
  <c r="M102" i="1" s="1"/>
  <c r="Q102" i="1" s="1"/>
  <c r="U102" i="1" s="1"/>
  <c r="Y102" i="1" s="1"/>
  <c r="AC102" i="1" s="1"/>
  <c r="D102" i="1"/>
  <c r="G102" i="1" s="1"/>
  <c r="K102" i="1" s="1"/>
  <c r="O102" i="1" s="1"/>
  <c r="S102" i="1" s="1"/>
  <c r="W102" i="1" s="1"/>
  <c r="AA102" i="1" s="1"/>
  <c r="E99" i="1"/>
  <c r="I99" i="1" s="1"/>
  <c r="M99" i="1" s="1"/>
  <c r="Q99" i="1" s="1"/>
  <c r="U99" i="1" s="1"/>
  <c r="Y99" i="1" s="1"/>
  <c r="AC99" i="1" s="1"/>
  <c r="D99" i="1"/>
  <c r="G99" i="1" s="1"/>
  <c r="K99" i="1" s="1"/>
  <c r="O99" i="1" s="1"/>
  <c r="S99" i="1" s="1"/>
  <c r="W99" i="1" s="1"/>
  <c r="AA99" i="1" s="1"/>
  <c r="E93" i="1"/>
  <c r="I93" i="1" s="1"/>
  <c r="M93" i="1" s="1"/>
  <c r="Q93" i="1" s="1"/>
  <c r="U93" i="1" s="1"/>
  <c r="Y93" i="1" s="1"/>
  <c r="AC93" i="1" s="1"/>
  <c r="D93" i="1"/>
  <c r="G93" i="1" s="1"/>
  <c r="K93" i="1" s="1"/>
  <c r="O93" i="1" s="1"/>
  <c r="S93" i="1" s="1"/>
  <c r="W93" i="1" s="1"/>
  <c r="AA93" i="1" s="1"/>
  <c r="E214" i="1" l="1"/>
  <c r="I214" i="1" s="1"/>
  <c r="M214" i="1" s="1"/>
  <c r="Q214" i="1" s="1"/>
  <c r="U214" i="1" s="1"/>
  <c r="Y214" i="1" s="1"/>
  <c r="AC214" i="1" s="1"/>
  <c r="D214" i="1"/>
  <c r="G214" i="1" s="1"/>
  <c r="K214" i="1" s="1"/>
  <c r="O214" i="1" s="1"/>
  <c r="S214" i="1" s="1"/>
  <c r="W214" i="1" s="1"/>
  <c r="AA214" i="1" s="1"/>
  <c r="E74" i="1"/>
  <c r="I74" i="1" s="1"/>
  <c r="M74" i="1" s="1"/>
  <c r="Q74" i="1" s="1"/>
  <c r="U74" i="1" s="1"/>
  <c r="Y74" i="1" s="1"/>
  <c r="AC74" i="1" s="1"/>
  <c r="D74" i="1"/>
  <c r="G74" i="1" s="1"/>
  <c r="K74" i="1" s="1"/>
  <c r="O74" i="1" s="1"/>
  <c r="S74" i="1" s="1"/>
  <c r="W74" i="1" s="1"/>
  <c r="AA74" i="1" s="1"/>
  <c r="E200" i="1" l="1"/>
  <c r="I200" i="1" s="1"/>
  <c r="M200" i="1" s="1"/>
  <c r="Q200" i="1" s="1"/>
  <c r="U200" i="1" s="1"/>
  <c r="Y200" i="1" s="1"/>
  <c r="AC200" i="1" s="1"/>
  <c r="D200" i="1"/>
  <c r="G200" i="1" s="1"/>
  <c r="K200" i="1" s="1"/>
  <c r="O200" i="1" s="1"/>
  <c r="S200" i="1" s="1"/>
  <c r="W200" i="1" s="1"/>
  <c r="AA200" i="1" s="1"/>
  <c r="E190" i="1"/>
  <c r="I190" i="1" s="1"/>
  <c r="M190" i="1" s="1"/>
  <c r="Q190" i="1" s="1"/>
  <c r="U190" i="1" s="1"/>
  <c r="Y190" i="1" s="1"/>
  <c r="AC190" i="1" s="1"/>
  <c r="D207" i="1" l="1"/>
  <c r="G207" i="1" s="1"/>
  <c r="K207" i="1" s="1"/>
  <c r="O207" i="1" s="1"/>
  <c r="S207" i="1" s="1"/>
  <c r="W207" i="1" s="1"/>
  <c r="AA207" i="1" s="1"/>
  <c r="E161" i="1" l="1"/>
  <c r="I161" i="1" s="1"/>
  <c r="M161" i="1" s="1"/>
  <c r="Q161" i="1" s="1"/>
  <c r="U161" i="1" s="1"/>
  <c r="Y161" i="1" s="1"/>
  <c r="AC161" i="1" s="1"/>
  <c r="E169" i="1" l="1"/>
  <c r="I169" i="1" s="1"/>
  <c r="M169" i="1" s="1"/>
  <c r="Q169" i="1" s="1"/>
  <c r="U169" i="1" s="1"/>
  <c r="Y169" i="1" s="1"/>
  <c r="AC169" i="1" s="1"/>
  <c r="D169" i="1"/>
  <c r="G169" i="1" s="1"/>
  <c r="K169" i="1" s="1"/>
  <c r="O169" i="1" s="1"/>
  <c r="S169" i="1" s="1"/>
  <c r="W169" i="1" s="1"/>
  <c r="AA169" i="1" s="1"/>
  <c r="E165" i="1"/>
  <c r="I165" i="1" s="1"/>
  <c r="M165" i="1" s="1"/>
  <c r="Q165" i="1" s="1"/>
  <c r="U165" i="1" s="1"/>
  <c r="Y165" i="1" s="1"/>
  <c r="AC165" i="1" s="1"/>
  <c r="D165" i="1"/>
  <c r="G165" i="1" s="1"/>
  <c r="K165" i="1" s="1"/>
  <c r="O165" i="1" s="1"/>
  <c r="S165" i="1" s="1"/>
  <c r="W165" i="1" s="1"/>
  <c r="AA165" i="1" s="1"/>
  <c r="D161" i="1"/>
  <c r="G161" i="1" s="1"/>
  <c r="K161" i="1" s="1"/>
  <c r="O161" i="1" s="1"/>
  <c r="S161" i="1" s="1"/>
  <c r="W161" i="1" s="1"/>
  <c r="AA161" i="1" s="1"/>
  <c r="E157" i="1"/>
  <c r="I157" i="1" s="1"/>
  <c r="M157" i="1" s="1"/>
  <c r="Q157" i="1" s="1"/>
  <c r="U157" i="1" s="1"/>
  <c r="Y157" i="1" s="1"/>
  <c r="AC157" i="1" s="1"/>
  <c r="D157" i="1"/>
  <c r="G157" i="1" s="1"/>
  <c r="K157" i="1" s="1"/>
  <c r="O157" i="1" s="1"/>
  <c r="S157" i="1" s="1"/>
  <c r="W157" i="1" s="1"/>
  <c r="AA157" i="1" s="1"/>
  <c r="E153" i="1"/>
  <c r="I153" i="1" s="1"/>
  <c r="M153" i="1" s="1"/>
  <c r="Q153" i="1" s="1"/>
  <c r="U153" i="1" s="1"/>
  <c r="Y153" i="1" s="1"/>
  <c r="AC153" i="1" s="1"/>
  <c r="D153" i="1"/>
  <c r="G153" i="1" s="1"/>
  <c r="K153" i="1" s="1"/>
  <c r="O153" i="1" s="1"/>
  <c r="S153" i="1" s="1"/>
  <c r="W153" i="1" s="1"/>
  <c r="AA153" i="1" s="1"/>
  <c r="D149" i="1"/>
  <c r="G149" i="1" s="1"/>
  <c r="K149" i="1" s="1"/>
  <c r="O149" i="1" s="1"/>
  <c r="S149" i="1" s="1"/>
  <c r="W149" i="1" s="1"/>
  <c r="AA149" i="1" s="1"/>
  <c r="E149" i="1"/>
  <c r="I149" i="1" s="1"/>
  <c r="M149" i="1" s="1"/>
  <c r="Q149" i="1" s="1"/>
  <c r="U149" i="1" s="1"/>
  <c r="Y149" i="1" s="1"/>
  <c r="AC149" i="1" s="1"/>
  <c r="E145" i="1"/>
  <c r="I145" i="1" s="1"/>
  <c r="M145" i="1" s="1"/>
  <c r="Q145" i="1" s="1"/>
  <c r="U145" i="1" s="1"/>
  <c r="Y145" i="1" s="1"/>
  <c r="AC145" i="1" s="1"/>
  <c r="D145" i="1"/>
  <c r="G145" i="1" s="1"/>
  <c r="K145" i="1" s="1"/>
  <c r="O145" i="1" s="1"/>
  <c r="S145" i="1" s="1"/>
  <c r="W145" i="1" s="1"/>
  <c r="AA145" i="1" s="1"/>
  <c r="E141" i="1"/>
  <c r="I141" i="1" s="1"/>
  <c r="M141" i="1" s="1"/>
  <c r="Q141" i="1" s="1"/>
  <c r="U141" i="1" s="1"/>
  <c r="Y141" i="1" s="1"/>
  <c r="AC141" i="1" s="1"/>
  <c r="D141" i="1"/>
  <c r="G141" i="1" s="1"/>
  <c r="K141" i="1" s="1"/>
  <c r="O141" i="1" s="1"/>
  <c r="S141" i="1" s="1"/>
  <c r="W141" i="1" s="1"/>
  <c r="AA141" i="1" s="1"/>
  <c r="E137" i="1"/>
  <c r="I137" i="1" s="1"/>
  <c r="M137" i="1" s="1"/>
  <c r="Q137" i="1" s="1"/>
  <c r="U137" i="1" s="1"/>
  <c r="Y137" i="1" s="1"/>
  <c r="AC137" i="1" s="1"/>
  <c r="D137" i="1"/>
  <c r="G137" i="1" s="1"/>
  <c r="K137" i="1" s="1"/>
  <c r="O137" i="1" s="1"/>
  <c r="S137" i="1" s="1"/>
  <c r="W137" i="1" s="1"/>
  <c r="AA137" i="1" s="1"/>
  <c r="E133" i="1"/>
  <c r="I133" i="1" s="1"/>
  <c r="M133" i="1" s="1"/>
  <c r="Q133" i="1" s="1"/>
  <c r="U133" i="1" s="1"/>
  <c r="Y133" i="1" s="1"/>
  <c r="AC133" i="1" s="1"/>
  <c r="D133" i="1"/>
  <c r="G133" i="1" s="1"/>
  <c r="K133" i="1" s="1"/>
  <c r="O133" i="1" s="1"/>
  <c r="S133" i="1" s="1"/>
  <c r="W133" i="1" s="1"/>
  <c r="AA133" i="1" s="1"/>
  <c r="E129" i="1"/>
  <c r="I129" i="1" s="1"/>
  <c r="M129" i="1" s="1"/>
  <c r="Q129" i="1" s="1"/>
  <c r="U129" i="1" s="1"/>
  <c r="Y129" i="1" s="1"/>
  <c r="AC129" i="1" s="1"/>
  <c r="D129" i="1"/>
  <c r="G129" i="1" s="1"/>
  <c r="K129" i="1" s="1"/>
  <c r="O129" i="1" s="1"/>
  <c r="S129" i="1" s="1"/>
  <c r="W129" i="1" s="1"/>
  <c r="AA129" i="1" s="1"/>
  <c r="E118" i="1" l="1"/>
  <c r="I118" i="1" s="1"/>
  <c r="M118" i="1" s="1"/>
  <c r="Q118" i="1" s="1"/>
  <c r="U118" i="1" s="1"/>
  <c r="Y118" i="1" s="1"/>
  <c r="AC118" i="1" s="1"/>
  <c r="D118" i="1"/>
  <c r="G118" i="1" s="1"/>
  <c r="K118" i="1" s="1"/>
  <c r="O118" i="1" s="1"/>
  <c r="S118" i="1" s="1"/>
  <c r="W118" i="1" s="1"/>
  <c r="AA118" i="1" s="1"/>
  <c r="D112" i="1" l="1"/>
  <c r="G112" i="1" s="1"/>
  <c r="K112" i="1" s="1"/>
  <c r="O112" i="1" s="1"/>
  <c r="S112" i="1" s="1"/>
  <c r="W112" i="1" s="1"/>
  <c r="AA112" i="1" s="1"/>
  <c r="D215" i="1"/>
  <c r="G215" i="1" s="1"/>
  <c r="K215" i="1" s="1"/>
  <c r="O215" i="1" s="1"/>
  <c r="S215" i="1" s="1"/>
  <c r="W215" i="1" s="1"/>
  <c r="AA215" i="1" s="1"/>
  <c r="E112" i="1"/>
  <c r="I112" i="1" s="1"/>
  <c r="M112" i="1" s="1"/>
  <c r="Q112" i="1" s="1"/>
  <c r="U112" i="1" s="1"/>
  <c r="Y112" i="1" s="1"/>
  <c r="AC112" i="1" s="1"/>
  <c r="E215" i="1"/>
  <c r="I215" i="1" s="1"/>
  <c r="M215" i="1" s="1"/>
  <c r="Q215" i="1" s="1"/>
  <c r="U215" i="1" s="1"/>
  <c r="Y215" i="1" s="1"/>
  <c r="AC215" i="1" s="1"/>
  <c r="D190" i="1"/>
  <c r="G190" i="1" s="1"/>
  <c r="K190" i="1" s="1"/>
  <c r="O190" i="1" s="1"/>
  <c r="S190" i="1" s="1"/>
  <c r="W190" i="1" s="1"/>
  <c r="AA190" i="1" s="1"/>
  <c r="D208" i="1" l="1"/>
  <c r="G208" i="1" s="1"/>
  <c r="K208" i="1" s="1"/>
  <c r="O208" i="1" s="1"/>
  <c r="S208" i="1" s="1"/>
  <c r="W208" i="1" s="1"/>
  <c r="AA208" i="1" s="1"/>
  <c r="E207" i="1"/>
  <c r="I207" i="1" s="1"/>
  <c r="M207" i="1" s="1"/>
  <c r="Q207" i="1" s="1"/>
  <c r="U207" i="1" s="1"/>
  <c r="Y207" i="1" s="1"/>
  <c r="AC207" i="1" s="1"/>
  <c r="E18" i="1" l="1"/>
  <c r="I18" i="1" s="1"/>
  <c r="M18" i="1" s="1"/>
  <c r="Q18" i="1" s="1"/>
  <c r="U18" i="1" s="1"/>
  <c r="Y18" i="1" s="1"/>
  <c r="AC18" i="1" s="1"/>
  <c r="E125" i="1"/>
  <c r="I125" i="1" s="1"/>
  <c r="M125" i="1" s="1"/>
  <c r="Q125" i="1" s="1"/>
  <c r="U125" i="1" s="1"/>
  <c r="Y125" i="1" s="1"/>
  <c r="AC125" i="1" s="1"/>
  <c r="D125" i="1"/>
  <c r="G125" i="1" s="1"/>
  <c r="K125" i="1" s="1"/>
  <c r="O125" i="1" s="1"/>
  <c r="S125" i="1" s="1"/>
  <c r="W125" i="1" s="1"/>
  <c r="AA125" i="1" s="1"/>
  <c r="E208" i="1" l="1"/>
  <c r="I208" i="1" s="1"/>
  <c r="M208" i="1" s="1"/>
  <c r="Q208" i="1" s="1"/>
  <c r="U208" i="1" s="1"/>
  <c r="Y208" i="1" s="1"/>
  <c r="AC208" i="1" s="1"/>
  <c r="D18" i="1" l="1"/>
  <c r="G18" i="1" s="1"/>
  <c r="K18" i="1" s="1"/>
  <c r="O18" i="1" s="1"/>
  <c r="S18" i="1" s="1"/>
  <c r="W18" i="1" s="1"/>
  <c r="AA18" i="1" s="1"/>
  <c r="E203" i="1" l="1"/>
  <c r="D203" i="1"/>
  <c r="D205" i="1" l="1"/>
  <c r="G203" i="1"/>
  <c r="K203" i="1" s="1"/>
  <c r="O203" i="1" s="1"/>
  <c r="S203" i="1" s="1"/>
  <c r="W203" i="1" s="1"/>
  <c r="AA203" i="1" s="1"/>
  <c r="E205" i="1"/>
  <c r="I203" i="1"/>
  <c r="M203" i="1" s="1"/>
  <c r="Q203" i="1" s="1"/>
  <c r="U203" i="1" s="1"/>
  <c r="Y203" i="1" s="1"/>
  <c r="AC203" i="1" s="1"/>
  <c r="I205" i="1" l="1"/>
  <c r="M205" i="1" s="1"/>
  <c r="Q205" i="1" s="1"/>
  <c r="U205" i="1" s="1"/>
  <c r="Y205" i="1" s="1"/>
  <c r="AC205" i="1" s="1"/>
  <c r="G205" i="1"/>
  <c r="K205" i="1" s="1"/>
  <c r="O205" i="1" s="1"/>
  <c r="S205" i="1" s="1"/>
  <c r="W205" i="1" s="1"/>
  <c r="AA205" i="1" s="1"/>
</calcChain>
</file>

<file path=xl/sharedStrings.xml><?xml version="1.0" encoding="utf-8"?>
<sst xmlns="http://schemas.openxmlformats.org/spreadsheetml/2006/main" count="484" uniqueCount="252">
  <si>
    <t>№ п/п</t>
  </si>
  <si>
    <t>Исполнитель</t>
  </si>
  <si>
    <t>Образование</t>
  </si>
  <si>
    <t>Управление жилищных отношений</t>
  </si>
  <si>
    <t>Внешнее благоустройство</t>
  </si>
  <si>
    <t>Управление внешнего благоустройства</t>
  </si>
  <si>
    <t>Дорожное хозяйство</t>
  </si>
  <si>
    <t>в том числе:</t>
  </si>
  <si>
    <t>местный бюджет</t>
  </si>
  <si>
    <t>Физическая культура и спорт</t>
  </si>
  <si>
    <t>Всего:</t>
  </si>
  <si>
    <t>в том числе</t>
  </si>
  <si>
    <t>в разрезе исполнителей</t>
  </si>
  <si>
    <t>Департамент образования</t>
  </si>
  <si>
    <t>краевой бюджет</t>
  </si>
  <si>
    <t>Объект</t>
  </si>
  <si>
    <t xml:space="preserve">Управление капитального строительства </t>
  </si>
  <si>
    <t>Общественная безопасность</t>
  </si>
  <si>
    <t>тыс. руб.</t>
  </si>
  <si>
    <t>к решению</t>
  </si>
  <si>
    <t>Пермской городской Думы</t>
  </si>
  <si>
    <t>2020 год</t>
  </si>
  <si>
    <t>федеральный бюджет</t>
  </si>
  <si>
    <t>краевой дорожный фонд</t>
  </si>
  <si>
    <t>Санитарно-эпидемиологическое благополучие</t>
  </si>
  <si>
    <t>Культура и молодежная политика</t>
  </si>
  <si>
    <t>Жилищно-коммунальное хозяйство</t>
  </si>
  <si>
    <t>ПЕРЕЧЕНЬ</t>
  </si>
  <si>
    <t xml:space="preserve">Реконструкция ул. Героев Хасана от ул. Хлебозаводская до ул. Василия Васильева </t>
  </si>
  <si>
    <t>Реконструкция ул. Карпинского от ул. Архитектора Свиязева до ул. Советской Армии</t>
  </si>
  <si>
    <t>Строительство автомобильной дороги по ул. Журналиста Дементьева от ул. Лядовская до дома № 147 по ул. Журналиста Дементьева</t>
  </si>
  <si>
    <t xml:space="preserve">Реконструкция ул. Карпинского от ул. Мира до шоссе Космонавтов </t>
  </si>
  <si>
    <t xml:space="preserve">Строительство сквера по ул. Яблочкова </t>
  </si>
  <si>
    <t>Строительство (реконструкция) сетей наружного освещения</t>
  </si>
  <si>
    <t>1020143600,10201ST04A</t>
  </si>
  <si>
    <t>1020141500,10201ST04D</t>
  </si>
  <si>
    <t>10201ST04G</t>
  </si>
  <si>
    <t>1020141270,10201ST04J</t>
  </si>
  <si>
    <t>1020143610,10201ST04L</t>
  </si>
  <si>
    <t>1020143620,10201ST04N</t>
  </si>
  <si>
    <t>10201ST04Q</t>
  </si>
  <si>
    <t>1020143640,10201ST04V</t>
  </si>
  <si>
    <t>1020143650,10201ST04W</t>
  </si>
  <si>
    <t>10201ST04V</t>
  </si>
  <si>
    <t>Расширение и реконструкция (3 очередь) канализации города Перми</t>
  </si>
  <si>
    <t>Управление капитального строительства</t>
  </si>
  <si>
    <t>Строительство водопроводных сетей в микрорайоне «Висим» Мотовилихинского района города Перми</t>
  </si>
  <si>
    <t>Санация и строительство 2-й нитки водовода Гайва-Заозерье</t>
  </si>
  <si>
    <t>Строительство блокировочной сети водопровода по ул. Макаренко Мотовилихинского района города Перми</t>
  </si>
  <si>
    <t>Реконструкция системы водоснабжения в микрорайоне «Южный»</t>
  </si>
  <si>
    <t>Строительство блокировочной сети водопровода на пересечении ул. Красина - ул. Маяковского Дзержинского района города Перми</t>
  </si>
  <si>
    <t>Реконструкция сети водопровода по ул. Трамвайной Дзержинского района города Перми</t>
  </si>
  <si>
    <t>Реконструкция канализационной насосной станции «Речник» Дзержинского района города Перми</t>
  </si>
  <si>
    <t>Строительство второго напорного коллектора от канализационной насосной станции «Речник» Дзержинского района города Перми</t>
  </si>
  <si>
    <t>Строительство газопроводов в микрорайонах индивидуальной застройки города Перми</t>
  </si>
  <si>
    <t>Строительство блочной модульной котельной в микрорайоне «Южный»</t>
  </si>
  <si>
    <t>Реконструкция системы очистки сточных вод в микрорайоне «Крым» Кировского района города Перми</t>
  </si>
  <si>
    <t>Реконструкция здания МАУ «Дворец молодежи» г. Перми</t>
  </si>
  <si>
    <t>0410241910</t>
  </si>
  <si>
    <t>Реконструкция здания МАУК «Театр юного зрителя»</t>
  </si>
  <si>
    <t>0330242500</t>
  </si>
  <si>
    <t xml:space="preserve">Строительство источников противопожарного водоснабжения </t>
  </si>
  <si>
    <t>0230241020</t>
  </si>
  <si>
    <t>Строительство объектов недвижимого имущества и инженерной инфраструктуры на территории Экстрим-парка</t>
  </si>
  <si>
    <t>Строительство плавательного бассейна по адресу: ул. Гашкова, 20а</t>
  </si>
  <si>
    <t>Строительство физкультурно-спортивного центра по адресу: ул. Академика Веденеева, 25</t>
  </si>
  <si>
    <t>Приобретение жилых помещений для реализации мероприятий, связанных с переселением граждан из непригодного для проживания и аварийного жилищного фонда</t>
  </si>
  <si>
    <t>Строительство и приобретение жилых помещений для формирования специализированного жилищного фонда для обеспечения жилыми помещениями детей-сирот и детей, оставшихся без попечения родителей, лиц из числа детей-сирот и детей, оставшихся без попечения родителей, по договорам найма специализированных жилых помещений</t>
  </si>
  <si>
    <t xml:space="preserve"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</t>
  </si>
  <si>
    <t>153022С080</t>
  </si>
  <si>
    <t>15302R0820</t>
  </si>
  <si>
    <t>Реконструкция ул. Революции от ЦКР до ул. Сибирской с обустройством трамвайной линии. 1 этап</t>
  </si>
  <si>
    <t>2021 год</t>
  </si>
  <si>
    <t xml:space="preserve">краевой бюджет </t>
  </si>
  <si>
    <t>Строительство здания для размещения дошкольного образовательного учреждения по ул. Желябова, 16б</t>
  </si>
  <si>
    <t>0820141160</t>
  </si>
  <si>
    <t>Строительство здания общеобразовательного учреждения по ул. Юнг Прикамья, 3</t>
  </si>
  <si>
    <t>0820141720</t>
  </si>
  <si>
    <t>0820141300</t>
  </si>
  <si>
    <t>0820241760</t>
  </si>
  <si>
    <t>0820241960</t>
  </si>
  <si>
    <t>0820241970</t>
  </si>
  <si>
    <t>Реконструкция физкультурно-оздоровительного комплекса по адресу: ул. Рабочая, 9</t>
  </si>
  <si>
    <t xml:space="preserve">Строительство нового корпуса МАОУ «Гимназия № 3» г. Перми
</t>
  </si>
  <si>
    <t>Строительство спортивного зала МАОУ «СОШ № 81» г. Перми</t>
  </si>
  <si>
    <t>Строительство спортивного зала МАОУ «СОШ № 96» г. Перми</t>
  </si>
  <si>
    <t>0820243510</t>
  </si>
  <si>
    <t>0820243520</t>
  </si>
  <si>
    <t>1.</t>
  </si>
  <si>
    <t>5.</t>
  </si>
  <si>
    <t>7.</t>
  </si>
  <si>
    <t>4.</t>
  </si>
  <si>
    <t>2.</t>
  </si>
  <si>
    <t>6.</t>
  </si>
  <si>
    <t>8.</t>
  </si>
  <si>
    <t>3.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</si>
  <si>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</si>
  <si>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</si>
  <si>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</si>
  <si>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</si>
  <si>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</si>
  <si>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</si>
  <si>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</si>
  <si>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</si>
  <si>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</si>
  <si>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</si>
  <si>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</si>
  <si>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</si>
  <si>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</si>
  <si>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</si>
  <si>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</si>
  <si>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</si>
  <si>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</si>
  <si>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</si>
  <si>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</si>
  <si>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</si>
  <si>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</si>
  <si>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</si>
  <si>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</si>
  <si>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</si>
  <si>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</si>
  <si>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</si>
  <si>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</si>
  <si>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</si>
  <si>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</si>
  <si>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</si>
  <si>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</si>
  <si>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</si>
  <si>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</si>
  <si>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</si>
  <si>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</si>
  <si>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</si>
  <si>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</si>
  <si>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</si>
  <si>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</si>
  <si>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</si>
  <si>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</si>
  <si>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</si>
  <si>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</si>
  <si>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</si>
  <si>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</si>
  <si>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</si>
  <si>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</si>
  <si>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</si>
  <si>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объектов капитального строительства муниципальной собственности и объектов недвижимого имущества, приобретаемых в муниципальную собственность, на плановый период 2020 и 2021 годов</t>
  </si>
  <si>
    <t>10201SТ040</t>
  </si>
  <si>
    <t>08101SP040</t>
  </si>
  <si>
    <t>0510142130</t>
  </si>
  <si>
    <t xml:space="preserve">Строительство Архиерейского подворья </t>
  </si>
  <si>
    <t xml:space="preserve">Реконструкция сквера в 68 квартале, эспланада </t>
  </si>
  <si>
    <t>0510142140</t>
  </si>
  <si>
    <t>0510141490</t>
  </si>
  <si>
    <t>0510141470</t>
  </si>
  <si>
    <t>0510141430</t>
  </si>
  <si>
    <t>0510143660</t>
  </si>
  <si>
    <t>Строительство сетей водоснабжения в микрорайонах города Перми</t>
  </si>
  <si>
    <t>Строительство автомобильной дороги по ул. Маршала Жукова</t>
  </si>
  <si>
    <t>Строительство автомобильной дороги по ул. Углеуральской</t>
  </si>
  <si>
    <t>Реконструкция ул. Революции. Второй этап - площадь ЦКР, участок ул. Революции от площади ЦКР до ул. Куйбышева, участок ул. Куйбышева от ул. Революции до ул. Пушкина, ул. Пушкина от площади ЦКР до Комсомольского проспекта</t>
  </si>
  <si>
    <t xml:space="preserve">Реконструкция площади Восстания. 2 этап </t>
  </si>
  <si>
    <t xml:space="preserve">Строительство автомобильной дороги от площади Карла Маркса до ул. Чкалова </t>
  </si>
  <si>
    <t>Реконструкция ледовой арены МАУ ДО «ДЮЦ «Здоровье»</t>
  </si>
  <si>
    <t>Реконструкция здания МБОУ «Гимназия № 17» г. Перми (пристройка нового корпуса)</t>
  </si>
  <si>
    <t>Строительство спортивной площадки МАОУ «СОШ № 25» г. Перми</t>
  </si>
  <si>
    <t>Строительство спортивной площадки МАОУ «СОШ № 131» г. Перми</t>
  </si>
  <si>
    <t>Строительство спортивной площадки МАОУ «СОШ № 122» г. Перми</t>
  </si>
  <si>
    <t>Строительство приюта для содержания безнадзорных животных по ул. Верхне-Муллинской, 106а г. Перми</t>
  </si>
  <si>
    <t>Строительства спортивного комплекса с плавательным бассейном в микрорайоне Парковый</t>
  </si>
  <si>
    <t>Реконструкция объекта озеленения по ул. Петропавловской</t>
  </si>
  <si>
    <t>Строительство автомобильной дороги по ул. Крисанова от шоссе Космонавтов до ул. Пушкина</t>
  </si>
  <si>
    <t>48.</t>
  </si>
  <si>
    <t xml:space="preserve">Реконструкция кладбища  «Северное» </t>
  </si>
  <si>
    <t>Поправки</t>
  </si>
  <si>
    <t>Строительство водопроводных сетей в микрорайоне «Вышка-1» Мотовилихинского района города Перми</t>
  </si>
  <si>
    <t>Строительство скважин для обеспечения населения города Перми резервным водоснабжением, при возникновении чрезвычайных ситуаций</t>
  </si>
  <si>
    <t>1710141320</t>
  </si>
  <si>
    <t>1710142330</t>
  </si>
  <si>
    <t>1710142260</t>
  </si>
  <si>
    <t>1710142370</t>
  </si>
  <si>
    <t>Строительство кольцевой линии электроснабжения для обеспечения вторым независимым источником электроснабжения газовой котельной по ул. Железнодорожной, 22а города Перми</t>
  </si>
  <si>
    <t>1760142410</t>
  </si>
  <si>
    <t xml:space="preserve">Реконструкция стадиона «Юность» </t>
  </si>
  <si>
    <t>0820142110, 08201SP04D</t>
  </si>
  <si>
    <t>1710141220</t>
  </si>
  <si>
    <t>58.</t>
  </si>
  <si>
    <t>59.</t>
  </si>
  <si>
    <t>60.</t>
  </si>
  <si>
    <t xml:space="preserve">Реконструкция сквера у клуба С.М. Кирова </t>
  </si>
  <si>
    <t>08201SH070, 08201SР040</t>
  </si>
  <si>
    <t>08201SР040</t>
  </si>
  <si>
    <t>15101SЖ160, 1510142010, 1530100000, 1510121480</t>
  </si>
  <si>
    <t>1710442380</t>
  </si>
  <si>
    <t>9190041010</t>
  </si>
  <si>
    <t>Уточнение февраль</t>
  </si>
  <si>
    <t>Строительство здания для размещения дошкольного образовательного учреждения по ул. Евгения Пермяка, 8а</t>
  </si>
  <si>
    <t>Реконструкция здания под размещение общеобразовательной организации по ул. Целинной, 15</t>
  </si>
  <si>
    <t>Реконструкция сквера на нижней части набережной реки Кама</t>
  </si>
  <si>
    <t>1320243710</t>
  </si>
  <si>
    <t>61.</t>
  </si>
  <si>
    <t>от 18.12.2018 № 270</t>
  </si>
  <si>
    <t>ПРИЛОЖЕНИЕ 10</t>
  </si>
  <si>
    <t>Комитет</t>
  </si>
  <si>
    <t>Уточнение апрель</t>
  </si>
  <si>
    <t>Строительство здания для размещения дошкольного образовательного учреждения по ул. Байкальской, 26а</t>
  </si>
  <si>
    <t>Изъятие земельных участков и объектов недвижимости, имущества для реконструкции дорожных объектов города Перми</t>
  </si>
  <si>
    <t>10201ST200</t>
  </si>
  <si>
    <t>Реконструкция автомобильной дороги от ул. Героев Хасана до дома N 151а по ул. Героев Хасана с обустройством площадки для разворота общественного транспорта</t>
  </si>
  <si>
    <t>10201ST04I</t>
  </si>
  <si>
    <t>Реконструкция здания МАОУ "СОШ N 93" г. Перми (пристройка нового корпуса)</t>
  </si>
  <si>
    <t>08201SH071</t>
  </si>
  <si>
    <t>62.</t>
  </si>
  <si>
    <t>63.</t>
  </si>
  <si>
    <t>0810141600, 08101SР044, 081P252320</t>
  </si>
  <si>
    <t>081P252320</t>
  </si>
  <si>
    <t>08101SР040, 081P252320</t>
  </si>
  <si>
    <t>0810141610, 08101SР046, 081P252320</t>
  </si>
  <si>
    <t>08101SP040, 081P252320</t>
  </si>
  <si>
    <t>Строительство здания для размещения дошкольного образовательного учреждения по ул. Плеханова, 63</t>
  </si>
  <si>
    <t>0810141640, 081P252320</t>
  </si>
  <si>
    <t>0810141680, 08101SP041</t>
  </si>
  <si>
    <t>0820141720, 08201SH073, 08201SP045</t>
  </si>
  <si>
    <t>0820142120, 08201SН072, 08201SP042</t>
  </si>
  <si>
    <t>08201SP040</t>
  </si>
  <si>
    <t>0820142510</t>
  </si>
  <si>
    <t xml:space="preserve">Строительство нового корпуса МАОУ «Техно-школа имени лётчика космонавта СССР, дважды героя советского союза В.П. Савиных» г. Перми </t>
  </si>
  <si>
    <t>Комитет апрель</t>
  </si>
  <si>
    <t>Уточнение июнь</t>
  </si>
  <si>
    <t xml:space="preserve">Реконструкция здания по ул. Ижевская, 25 </t>
  </si>
  <si>
    <t>0220443720</t>
  </si>
  <si>
    <t>средства Фонда содействия реформированию жилищно-коммунального хозяйства</t>
  </si>
  <si>
    <t>151F309502</t>
  </si>
  <si>
    <t>Строительство надземного пешеходного перехода по ул. Соликамской в районе остановки общественного транспорта «Промкомбинат»</t>
  </si>
  <si>
    <t>1020341290</t>
  </si>
  <si>
    <t>Строительство места отвала снега «Голый мыс»</t>
  </si>
  <si>
    <t>1020442390</t>
  </si>
  <si>
    <t>0820142540</t>
  </si>
  <si>
    <t>0820142550</t>
  </si>
  <si>
    <t>1020143630,10201ST04U</t>
  </si>
  <si>
    <t>Реконструкция ул. Плеханова от шоссе Космонавтов до ул. Грузинская</t>
  </si>
  <si>
    <t>10201ST04X</t>
  </si>
  <si>
    <t>Реконструкция ул. Революции: 2 очередь моста через реку Егошиху</t>
  </si>
  <si>
    <t>10201ST04T</t>
  </si>
  <si>
    <t>64.</t>
  </si>
  <si>
    <t>65.</t>
  </si>
  <si>
    <t>66.</t>
  </si>
  <si>
    <t>67.</t>
  </si>
  <si>
    <t>68.</t>
  </si>
  <si>
    <t>69.</t>
  </si>
  <si>
    <t>Строительство здания общеобразовательного учреждения по ул. Карпинского, 77а</t>
  </si>
  <si>
    <t xml:space="preserve">Строительство здания общеобразовательного учреждения по ул. Холмогорской, 2з </t>
  </si>
  <si>
    <t>15101SЖ160, 151F309602</t>
  </si>
  <si>
    <t>от 25.06.2019 № 128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</si>
</sst>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#,##0.0"/>
  </numFmts>
  <fonts count="5" x14ac:knownFonts="1"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vertical="top" wrapText="1"/>
    </xf>
    <xf numFmtId="0" fontId="1" fillId="2" borderId="0" xfId="0" applyFont="1" applyFill="1"/>
    <xf numFmtId="164" fontId="1" fillId="2" borderId="1" xfId="0" applyNumberFormat="1" applyFont="1" applyFill="1" applyBorder="1" applyAlignment="1">
      <alignment vertical="top"/>
    </xf>
    <xf numFmtId="164" fontId="1" fillId="2" borderId="1" xfId="0" applyNumberFormat="1" applyFont="1" applyFill="1" applyBorder="1" applyAlignment="1">
      <alignment vertical="top" wrapText="1"/>
    </xf>
    <xf numFmtId="164" fontId="1" fillId="2" borderId="1" xfId="0" applyNumberFormat="1" applyFont="1" applyFill="1" applyBorder="1" applyAlignment="1">
      <alignment horizontal="left" vertical="center" wrapText="1"/>
    </xf>
    <xf numFmtId="165" fontId="1" fillId="2" borderId="0" xfId="0" applyNumberFormat="1" applyFont="1" applyFill="1"/>
    <xf numFmtId="164" fontId="1" fillId="2" borderId="4" xfId="0" applyNumberFormat="1" applyFont="1" applyFill="1" applyBorder="1" applyAlignment="1">
      <alignment horizontal="left" vertical="top" wrapText="1"/>
    </xf>
    <xf numFmtId="49" fontId="4" fillId="2" borderId="0" xfId="0" applyNumberFormat="1" applyFont="1" applyFill="1" applyAlignment="1">
      <alignment horizontal="left" vertical="center"/>
    </xf>
    <xf numFmtId="49" fontId="1" fillId="2" borderId="0" xfId="0" applyNumberFormat="1" applyFont="1" applyFill="1" applyAlignment="1">
      <alignment horizontal="left" vertical="center"/>
    </xf>
    <xf numFmtId="0" fontId="1" fillId="2" borderId="0" xfId="0" applyFont="1" applyFill="1" applyAlignment="1">
      <alignment horizontal="right" vertical="center"/>
    </xf>
    <xf numFmtId="164" fontId="1" fillId="2" borderId="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left" vertical="top" wrapText="1"/>
    </xf>
    <xf numFmtId="165" fontId="1" fillId="2" borderId="0" xfId="0" applyNumberFormat="1" applyFont="1" applyFill="1" applyAlignment="1">
      <alignment horizontal="right" vertical="center"/>
    </xf>
    <xf numFmtId="0" fontId="1" fillId="3" borderId="0" xfId="0" applyFont="1" applyFill="1" applyAlignment="1">
      <alignment horizontal="right" vertical="center"/>
    </xf>
    <xf numFmtId="165" fontId="1" fillId="3" borderId="0" xfId="0" applyNumberFormat="1" applyFont="1" applyFill="1" applyAlignment="1">
      <alignment horizontal="right" vertical="center"/>
    </xf>
    <xf numFmtId="49" fontId="1" fillId="2" borderId="0" xfId="0" applyNumberFormat="1" applyFont="1" applyFill="1"/>
    <xf numFmtId="164" fontId="1" fillId="4" borderId="5" xfId="0" applyNumberFormat="1" applyFont="1" applyFill="1" applyBorder="1" applyAlignment="1">
      <alignment horizontal="right" vertical="center"/>
    </xf>
    <xf numFmtId="164" fontId="1" fillId="4" borderId="1" xfId="0" applyNumberFormat="1" applyFont="1" applyFill="1" applyBorder="1" applyAlignment="1">
      <alignment horizontal="right" vertical="center"/>
    </xf>
    <xf numFmtId="164" fontId="1" fillId="2" borderId="5" xfId="0" applyNumberFormat="1" applyFont="1" applyFill="1" applyBorder="1" applyAlignment="1">
      <alignment horizontal="right" vertical="center"/>
    </xf>
    <xf numFmtId="164" fontId="1" fillId="3" borderId="1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>
      <alignment horizontal="right" vertical="center"/>
    </xf>
    <xf numFmtId="164" fontId="1" fillId="2" borderId="5" xfId="0" applyNumberFormat="1" applyFont="1" applyFill="1" applyBorder="1" applyAlignment="1">
      <alignment horizontal="right"/>
    </xf>
    <xf numFmtId="164" fontId="1" fillId="3" borderId="1" xfId="0" applyNumberFormat="1" applyFont="1" applyFill="1" applyBorder="1" applyAlignment="1">
      <alignment horizontal="right"/>
    </xf>
    <xf numFmtId="164" fontId="1" fillId="2" borderId="1" xfId="0" applyNumberFormat="1" applyFont="1" applyFill="1" applyBorder="1" applyAlignment="1">
      <alignment horizontal="right"/>
    </xf>
    <xf numFmtId="164" fontId="1" fillId="2" borderId="1" xfId="0" applyNumberFormat="1" applyFont="1" applyFill="1" applyBorder="1" applyAlignment="1">
      <alignment horizontal="left" vertical="top" wrapText="1"/>
    </xf>
    <xf numFmtId="164" fontId="1" fillId="2" borderId="1" xfId="0" applyNumberFormat="1" applyFont="1" applyFill="1" applyBorder="1" applyAlignment="1">
      <alignment horizontal="left" vertical="top" wrapText="1"/>
    </xf>
    <xf numFmtId="164" fontId="1" fillId="2" borderId="1" xfId="0" applyNumberFormat="1" applyFont="1" applyFill="1" applyBorder="1" applyAlignment="1">
      <alignment horizontal="left" vertical="top" wrapText="1"/>
    </xf>
    <xf numFmtId="164" fontId="1" fillId="2" borderId="1" xfId="0" applyNumberFormat="1" applyFont="1" applyFill="1" applyBorder="1" applyAlignment="1">
      <alignment horizontal="left" vertical="top" wrapText="1"/>
    </xf>
    <xf numFmtId="164" fontId="1" fillId="2" borderId="1" xfId="0" applyNumberFormat="1" applyFont="1" applyFill="1" applyBorder="1" applyAlignment="1">
      <alignment horizontal="left" vertical="top" wrapText="1"/>
    </xf>
    <xf numFmtId="164" fontId="1" fillId="2" borderId="4" xfId="0" applyNumberFormat="1" applyFont="1" applyFill="1" applyBorder="1" applyAlignment="1">
      <alignment horizontal="left" vertical="top"/>
    </xf>
    <xf numFmtId="0" fontId="1" fillId="2" borderId="4" xfId="0" applyFont="1" applyFill="1" applyBorder="1" applyAlignment="1">
      <alignment horizontal="center" vertical="top"/>
    </xf>
    <xf numFmtId="164" fontId="1" fillId="2" borderId="1" xfId="0" applyNumberFormat="1" applyFont="1" applyFill="1" applyBorder="1" applyAlignment="1">
      <alignment horizontal="left" vertical="top" wrapText="1"/>
    </xf>
    <xf numFmtId="0" fontId="0" fillId="2" borderId="0" xfId="0" applyFill="1" applyAlignment="1">
      <alignment horizontal="right" vertical="center" wrapText="1"/>
    </xf>
    <xf numFmtId="0" fontId="0" fillId="0" borderId="0" xfId="0" applyAlignment="1">
      <alignment vertical="center" wrapText="1"/>
    </xf>
    <xf numFmtId="0" fontId="0" fillId="2" borderId="0" xfId="0" applyFill="1" applyAlignment="1">
      <alignment vertical="center" wrapText="1"/>
    </xf>
    <xf numFmtId="0" fontId="1" fillId="0" borderId="0" xfId="0" applyFont="1" applyFill="1"/>
    <xf numFmtId="0" fontId="1" fillId="0" borderId="0" xfId="0" applyFont="1" applyFill="1" applyAlignment="1">
      <alignment horizontal="left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  <xf numFmtId="0" fontId="2" fillId="0" borderId="0" xfId="0" applyFont="1" applyFill="1" applyAlignment="1">
      <alignment horizontal="center" vertical="top" wrapText="1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right" vertical="center"/>
    </xf>
    <xf numFmtId="0" fontId="0" fillId="0" borderId="0" xfId="0" applyFill="1" applyAlignment="1">
      <alignment vertical="center" wrapText="1"/>
    </xf>
    <xf numFmtId="0" fontId="1" fillId="0" borderId="1" xfId="0" applyFont="1" applyFill="1" applyBorder="1" applyAlignment="1">
      <alignment horizontal="center" vertical="top"/>
    </xf>
    <xf numFmtId="164" fontId="1" fillId="0" borderId="1" xfId="0" applyNumberFormat="1" applyFont="1" applyFill="1" applyBorder="1" applyAlignment="1">
      <alignment horizontal="left" vertical="top"/>
    </xf>
    <xf numFmtId="164" fontId="1" fillId="0" borderId="1" xfId="0" applyNumberFormat="1" applyFont="1" applyFill="1" applyBorder="1" applyAlignment="1">
      <alignment horizontal="right" vertical="center"/>
    </xf>
    <xf numFmtId="164" fontId="1" fillId="0" borderId="1" xfId="0" applyNumberFormat="1" applyFont="1" applyFill="1" applyBorder="1" applyAlignment="1">
      <alignment horizontal="left" vertical="top" wrapText="1"/>
    </xf>
    <xf numFmtId="164" fontId="1" fillId="0" borderId="4" xfId="0" applyNumberFormat="1" applyFont="1" applyFill="1" applyBorder="1" applyAlignment="1">
      <alignment horizontal="left" vertical="top" wrapText="1"/>
    </xf>
    <xf numFmtId="164" fontId="3" fillId="0" borderId="4" xfId="0" applyNumberFormat="1" applyFont="1" applyFill="1" applyBorder="1" applyAlignment="1">
      <alignment horizontal="left" vertical="top" wrapText="1"/>
    </xf>
    <xf numFmtId="164" fontId="1" fillId="0" borderId="1" xfId="0" applyNumberFormat="1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center" vertical="top"/>
    </xf>
    <xf numFmtId="164" fontId="1" fillId="0" borderId="5" xfId="0" applyNumberFormat="1" applyFont="1" applyFill="1" applyBorder="1" applyAlignment="1">
      <alignment horizontal="left" vertical="center" wrapText="1"/>
    </xf>
    <xf numFmtId="164" fontId="1" fillId="0" borderId="5" xfId="0" applyNumberFormat="1" applyFont="1" applyFill="1" applyBorder="1" applyAlignment="1">
      <alignment horizontal="left" vertical="top" wrapText="1"/>
    </xf>
    <xf numFmtId="164" fontId="1" fillId="0" borderId="8" xfId="0" applyNumberFormat="1" applyFont="1" applyFill="1" applyBorder="1" applyAlignment="1">
      <alignment horizontal="left" vertical="top" wrapText="1"/>
    </xf>
    <xf numFmtId="164" fontId="1" fillId="0" borderId="8" xfId="0" applyNumberFormat="1" applyFont="1" applyFill="1" applyBorder="1" applyAlignment="1">
      <alignment horizontal="left" vertical="top"/>
    </xf>
    <xf numFmtId="164" fontId="1" fillId="0" borderId="4" xfId="0" applyNumberFormat="1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center"/>
    </xf>
    <xf numFmtId="164" fontId="1" fillId="0" borderId="6" xfId="0" applyNumberFormat="1" applyFont="1" applyFill="1" applyBorder="1" applyAlignment="1">
      <alignment horizontal="left" vertical="top" wrapText="1"/>
    </xf>
    <xf numFmtId="164" fontId="1" fillId="0" borderId="7" xfId="0" applyNumberFormat="1" applyFont="1" applyFill="1" applyBorder="1" applyAlignment="1">
      <alignment horizontal="left" vertical="top" wrapText="1"/>
    </xf>
    <xf numFmtId="165" fontId="1" fillId="0" borderId="0" xfId="0" applyNumberFormat="1" applyFont="1" applyFill="1" applyAlignment="1">
      <alignment horizontal="right" vertical="center"/>
    </xf>
    <xf numFmtId="0" fontId="1" fillId="0" borderId="0" xfId="0" applyFont="1" applyFill="1" applyAlignment="1">
      <alignment horizontal="right" vertical="center"/>
    </xf>
    <xf numFmtId="0" fontId="1" fillId="2" borderId="0" xfId="0" applyFont="1" applyFill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  <xf numFmtId="0" fontId="0" fillId="2" borderId="0" xfId="0" applyFill="1" applyAlignment="1">
      <alignment horizontal="right" vertical="center" wrapText="1"/>
    </xf>
    <xf numFmtId="0" fontId="0" fillId="0" borderId="0" xfId="0" applyAlignment="1">
      <alignment vertical="center" wrapText="1"/>
    </xf>
    <xf numFmtId="0" fontId="0" fillId="2" borderId="0" xfId="0" applyFill="1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164" fontId="1" fillId="0" borderId="6" xfId="0" applyNumberFormat="1" applyFont="1" applyFill="1" applyBorder="1" applyAlignment="1">
      <alignment horizontal="left" vertical="top" wrapText="1"/>
    </xf>
    <xf numFmtId="0" fontId="1" fillId="0" borderId="7" xfId="0" applyFont="1" applyFill="1" applyBorder="1" applyAlignment="1">
      <alignment horizontal="left" vertical="top" wrapText="1"/>
    </xf>
    <xf numFmtId="164" fontId="1" fillId="0" borderId="7" xfId="0" applyNumberFormat="1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center" vertical="top"/>
    </xf>
    <xf numFmtId="0" fontId="0" fillId="0" borderId="8" xfId="0" applyFill="1" applyBorder="1" applyAlignment="1">
      <alignment horizontal="center" vertical="top"/>
    </xf>
    <xf numFmtId="0" fontId="0" fillId="0" borderId="5" xfId="0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AQ327"/>
  <sheetViews>
    <sheetView tabSelected="1" topLeftCell="A190" zoomScale="70" zoomScaleNormal="70" workbookViewId="0">
      <selection activeCell="C23" sqref="C23"/>
    </sheetView>
  </sheetViews>
  <sheetFormatPr defaultColWidth="9.109375" defaultRowHeight="18" x14ac:dyDescent="0.35"/>
  <cols>
    <col min="1" max="1" width="5.5546875" style="38" customWidth="1"/>
    <col min="2" max="2" width="82.6640625" style="39" customWidth="1"/>
    <col min="3" max="3" width="21.33203125" style="39" customWidth="1"/>
    <col min="4" max="22" width="17.5546875" style="11" hidden="1" customWidth="1"/>
    <col min="23" max="23" width="21.109375" style="11" hidden="1" customWidth="1"/>
    <col min="24" max="24" width="21" style="11" hidden="1" customWidth="1"/>
    <col min="25" max="25" width="22.109375" style="11" hidden="1" customWidth="1"/>
    <col min="26" max="26" width="17.77734375" style="16" hidden="1" customWidth="1"/>
    <col min="27" max="27" width="17.44140625" style="44" customWidth="1"/>
    <col min="28" max="28" width="21.109375" style="16" hidden="1" customWidth="1"/>
    <col min="29" max="29" width="17.5546875" style="44" customWidth="1"/>
    <col min="30" max="30" width="28.33203125" style="10" hidden="1" customWidth="1"/>
    <col min="31" max="31" width="9.44140625" style="3" hidden="1" customWidth="1"/>
    <col min="32" max="32" width="9.109375" style="3" hidden="1" customWidth="1"/>
    <col min="33" max="33" width="9.109375" style="38" customWidth="1"/>
    <col min="34" max="16384" width="9.109375" style="38"/>
  </cols>
  <sheetData>
    <row r="1" spans="1:29" x14ac:dyDescent="0.35">
      <c r="AC1" s="44" t="s">
        <v>200</v>
      </c>
    </row>
    <row r="2" spans="1:29" x14ac:dyDescent="0.35">
      <c r="AC2" s="44" t="s">
        <v>19</v>
      </c>
    </row>
    <row r="3" spans="1:29" x14ac:dyDescent="0.35">
      <c r="AC3" s="44" t="s">
        <v>20</v>
      </c>
    </row>
    <row r="4" spans="1:29" x14ac:dyDescent="0.35">
      <c r="AA4" s="66" t="s">
        <v>251</v>
      </c>
      <c r="AB4" s="67"/>
      <c r="AC4" s="66"/>
    </row>
    <row r="6" spans="1:29" x14ac:dyDescent="0.35">
      <c r="AC6" s="44" t="s">
        <v>200</v>
      </c>
    </row>
    <row r="7" spans="1:29" x14ac:dyDescent="0.35">
      <c r="AC7" s="44" t="s">
        <v>19</v>
      </c>
    </row>
    <row r="8" spans="1:29" x14ac:dyDescent="0.35">
      <c r="AC8" s="44" t="s">
        <v>20</v>
      </c>
    </row>
    <row r="9" spans="1:29" x14ac:dyDescent="0.35">
      <c r="AC9" s="44" t="s">
        <v>199</v>
      </c>
    </row>
    <row r="11" spans="1:29" ht="15.75" customHeight="1" x14ac:dyDescent="0.35">
      <c r="A11" s="74" t="s">
        <v>27</v>
      </c>
      <c r="B11" s="75"/>
      <c r="C11" s="75"/>
      <c r="D11" s="76"/>
      <c r="E11" s="76"/>
      <c r="F11" s="77"/>
      <c r="G11" s="78"/>
      <c r="H11" s="77"/>
      <c r="I11" s="78"/>
      <c r="J11" s="77"/>
      <c r="K11" s="78"/>
      <c r="L11" s="77"/>
      <c r="M11" s="78"/>
      <c r="N11" s="77"/>
      <c r="O11" s="77"/>
      <c r="P11" s="77"/>
      <c r="Q11" s="77"/>
      <c r="R11" s="77"/>
      <c r="S11" s="78"/>
      <c r="T11" s="77"/>
      <c r="U11" s="78"/>
      <c r="V11" s="77"/>
      <c r="W11" s="77"/>
      <c r="X11" s="77"/>
      <c r="Y11" s="77"/>
      <c r="Z11" s="77"/>
      <c r="AA11" s="79"/>
      <c r="AB11" s="77"/>
      <c r="AC11" s="79"/>
    </row>
    <row r="12" spans="1:29" ht="19.5" customHeight="1" x14ac:dyDescent="0.35">
      <c r="A12" s="74" t="s">
        <v>144</v>
      </c>
      <c r="B12" s="75"/>
      <c r="C12" s="75"/>
      <c r="D12" s="76"/>
      <c r="E12" s="76"/>
      <c r="F12" s="77"/>
      <c r="G12" s="78"/>
      <c r="H12" s="77"/>
      <c r="I12" s="78"/>
      <c r="J12" s="77"/>
      <c r="K12" s="78"/>
      <c r="L12" s="77"/>
      <c r="M12" s="78"/>
      <c r="N12" s="77"/>
      <c r="O12" s="77"/>
      <c r="P12" s="77"/>
      <c r="Q12" s="77"/>
      <c r="R12" s="77"/>
      <c r="S12" s="78"/>
      <c r="T12" s="77"/>
      <c r="U12" s="78"/>
      <c r="V12" s="77"/>
      <c r="W12" s="77"/>
      <c r="X12" s="77"/>
      <c r="Y12" s="77"/>
      <c r="Z12" s="77"/>
      <c r="AA12" s="79"/>
      <c r="AB12" s="77"/>
      <c r="AC12" s="79"/>
    </row>
    <row r="13" spans="1:29" x14ac:dyDescent="0.35">
      <c r="A13" s="80"/>
      <c r="B13" s="75"/>
      <c r="C13" s="75"/>
      <c r="D13" s="76"/>
      <c r="E13" s="76"/>
      <c r="F13" s="77"/>
      <c r="G13" s="78"/>
      <c r="H13" s="77"/>
      <c r="I13" s="78"/>
      <c r="J13" s="77"/>
      <c r="K13" s="78"/>
      <c r="L13" s="77"/>
      <c r="M13" s="78"/>
      <c r="N13" s="77"/>
      <c r="O13" s="77"/>
      <c r="P13" s="77"/>
      <c r="Q13" s="77"/>
      <c r="R13" s="77"/>
      <c r="S13" s="78"/>
      <c r="T13" s="77"/>
      <c r="U13" s="78"/>
      <c r="V13" s="77"/>
      <c r="W13" s="77"/>
      <c r="X13" s="77"/>
      <c r="Y13" s="77"/>
      <c r="Z13" s="77"/>
      <c r="AA13" s="79"/>
      <c r="AB13" s="77"/>
      <c r="AC13" s="79"/>
    </row>
    <row r="14" spans="1:29" x14ac:dyDescent="0.35">
      <c r="A14" s="40"/>
      <c r="B14" s="41"/>
      <c r="C14" s="41"/>
      <c r="D14" s="35"/>
      <c r="E14" s="35"/>
      <c r="F14" s="36"/>
      <c r="G14" s="37"/>
      <c r="H14" s="36"/>
      <c r="I14" s="37"/>
      <c r="J14" s="36"/>
      <c r="K14" s="37"/>
      <c r="L14" s="36"/>
      <c r="M14" s="37"/>
      <c r="N14" s="36"/>
      <c r="O14" s="36"/>
      <c r="P14" s="36"/>
      <c r="Q14" s="36"/>
      <c r="R14" s="36"/>
      <c r="S14" s="37"/>
      <c r="T14" s="36"/>
      <c r="U14" s="37"/>
      <c r="V14" s="36"/>
      <c r="W14" s="36"/>
      <c r="X14" s="36"/>
      <c r="Y14" s="36"/>
      <c r="Z14" s="36"/>
      <c r="AA14" s="45"/>
      <c r="AB14" s="36"/>
      <c r="AC14" s="45"/>
    </row>
    <row r="15" spans="1:29" x14ac:dyDescent="0.35">
      <c r="A15" s="42"/>
      <c r="B15" s="43"/>
      <c r="C15" s="43"/>
      <c r="AC15" s="44" t="s">
        <v>18</v>
      </c>
    </row>
    <row r="16" spans="1:29" ht="40.200000000000003" customHeight="1" x14ac:dyDescent="0.35">
      <c r="A16" s="86" t="s">
        <v>0</v>
      </c>
      <c r="B16" s="86" t="s">
        <v>15</v>
      </c>
      <c r="C16" s="86" t="s">
        <v>1</v>
      </c>
      <c r="D16" s="82" t="s">
        <v>21</v>
      </c>
      <c r="E16" s="81" t="s">
        <v>72</v>
      </c>
      <c r="F16" s="81" t="s">
        <v>172</v>
      </c>
      <c r="G16" s="82" t="s">
        <v>21</v>
      </c>
      <c r="H16" s="81" t="s">
        <v>172</v>
      </c>
      <c r="I16" s="81" t="s">
        <v>72</v>
      </c>
      <c r="J16" s="81" t="s">
        <v>193</v>
      </c>
      <c r="K16" s="82" t="s">
        <v>21</v>
      </c>
      <c r="L16" s="81" t="s">
        <v>193</v>
      </c>
      <c r="M16" s="81" t="s">
        <v>72</v>
      </c>
      <c r="N16" s="81" t="s">
        <v>201</v>
      </c>
      <c r="O16" s="82" t="s">
        <v>21</v>
      </c>
      <c r="P16" s="81" t="s">
        <v>201</v>
      </c>
      <c r="Q16" s="81" t="s">
        <v>72</v>
      </c>
      <c r="R16" s="81" t="s">
        <v>202</v>
      </c>
      <c r="S16" s="82" t="s">
        <v>21</v>
      </c>
      <c r="T16" s="81" t="s">
        <v>202</v>
      </c>
      <c r="U16" s="81" t="s">
        <v>72</v>
      </c>
      <c r="V16" s="81" t="s">
        <v>225</v>
      </c>
      <c r="W16" s="82" t="s">
        <v>21</v>
      </c>
      <c r="X16" s="81" t="s">
        <v>225</v>
      </c>
      <c r="Y16" s="81" t="s">
        <v>72</v>
      </c>
      <c r="Z16" s="68" t="s">
        <v>226</v>
      </c>
      <c r="AA16" s="70" t="s">
        <v>21</v>
      </c>
      <c r="AB16" s="68" t="s">
        <v>226</v>
      </c>
      <c r="AC16" s="72" t="s">
        <v>72</v>
      </c>
    </row>
    <row r="17" spans="1:31" s="3" customFormat="1" hidden="1" x14ac:dyDescent="0.35">
      <c r="A17" s="87"/>
      <c r="B17" s="88"/>
      <c r="C17" s="87"/>
      <c r="D17" s="71"/>
      <c r="E17" s="73"/>
      <c r="F17" s="73"/>
      <c r="G17" s="71"/>
      <c r="H17" s="73"/>
      <c r="I17" s="73"/>
      <c r="J17" s="73"/>
      <c r="K17" s="71"/>
      <c r="L17" s="73"/>
      <c r="M17" s="73"/>
      <c r="N17" s="73"/>
      <c r="O17" s="71"/>
      <c r="P17" s="73"/>
      <c r="Q17" s="73"/>
      <c r="R17" s="73"/>
      <c r="S17" s="71"/>
      <c r="T17" s="73"/>
      <c r="U17" s="73"/>
      <c r="V17" s="73"/>
      <c r="W17" s="71"/>
      <c r="X17" s="73"/>
      <c r="Y17" s="73"/>
      <c r="Z17" s="69"/>
      <c r="AA17" s="71"/>
      <c r="AB17" s="69"/>
      <c r="AC17" s="73"/>
      <c r="AD17" s="10"/>
    </row>
    <row r="18" spans="1:31" x14ac:dyDescent="0.35">
      <c r="A18" s="46"/>
      <c r="B18" s="47" t="s">
        <v>2</v>
      </c>
      <c r="C18" s="47"/>
      <c r="D18" s="19">
        <f>D20+D21</f>
        <v>1114157.0999999999</v>
      </c>
      <c r="E18" s="19">
        <f>E20+E21</f>
        <v>1113060.5999999999</v>
      </c>
      <c r="F18" s="20">
        <f>F20+F21</f>
        <v>38619.200000000012</v>
      </c>
      <c r="G18" s="20">
        <f>D18+F18</f>
        <v>1152776.2999999998</v>
      </c>
      <c r="H18" s="20">
        <f>H20+H21</f>
        <v>20906.099999999977</v>
      </c>
      <c r="I18" s="20">
        <f>E18+H18</f>
        <v>1133966.6999999997</v>
      </c>
      <c r="J18" s="20">
        <f>J20+J21</f>
        <v>60684.112000000001</v>
      </c>
      <c r="K18" s="20">
        <f>G18+J18</f>
        <v>1213460.4119999998</v>
      </c>
      <c r="L18" s="20">
        <f>L20+L21</f>
        <v>11499.042000000001</v>
      </c>
      <c r="M18" s="20">
        <f>I18+L18</f>
        <v>1145465.7419999996</v>
      </c>
      <c r="N18" s="20">
        <f>N20+N21</f>
        <v>0</v>
      </c>
      <c r="O18" s="20">
        <f>K18+N18</f>
        <v>1213460.4119999998</v>
      </c>
      <c r="P18" s="20">
        <f>P20+P21</f>
        <v>0</v>
      </c>
      <c r="Q18" s="20">
        <f>M18+P18</f>
        <v>1145465.7419999996</v>
      </c>
      <c r="R18" s="20">
        <f>R20+R21+R22</f>
        <v>341865.1</v>
      </c>
      <c r="S18" s="20">
        <f>O18+R18</f>
        <v>1555325.5119999996</v>
      </c>
      <c r="T18" s="20">
        <f>T20+T21+T22</f>
        <v>103580.4</v>
      </c>
      <c r="U18" s="20">
        <f>Q18+T18</f>
        <v>1249046.1419999995</v>
      </c>
      <c r="V18" s="20">
        <f>V20+V21+V22</f>
        <v>0</v>
      </c>
      <c r="W18" s="20">
        <f>S18+V18</f>
        <v>1555325.5119999996</v>
      </c>
      <c r="X18" s="20">
        <f>X20+X21+X22</f>
        <v>0</v>
      </c>
      <c r="Y18" s="20">
        <f>U18+X18</f>
        <v>1249046.1419999995</v>
      </c>
      <c r="Z18" s="20">
        <f>Z20+Z21+Z22</f>
        <v>-6999.1489999999985</v>
      </c>
      <c r="AA18" s="48">
        <f>W18+Z18</f>
        <v>1548326.3629999997</v>
      </c>
      <c r="AB18" s="20">
        <f>AB20+AB21+AB22</f>
        <v>15000</v>
      </c>
      <c r="AC18" s="48">
        <f>Y18+AB18</f>
        <v>1264046.1419999995</v>
      </c>
    </row>
    <row r="19" spans="1:31" x14ac:dyDescent="0.35">
      <c r="A19" s="46"/>
      <c r="B19" s="47" t="s">
        <v>7</v>
      </c>
      <c r="C19" s="47"/>
      <c r="D19" s="21"/>
      <c r="E19" s="21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2"/>
      <c r="AA19" s="48"/>
      <c r="AB19" s="22"/>
      <c r="AC19" s="48"/>
    </row>
    <row r="20" spans="1:31" s="3" customFormat="1" hidden="1" x14ac:dyDescent="0.35">
      <c r="A20" s="1"/>
      <c r="B20" s="5" t="s">
        <v>8</v>
      </c>
      <c r="C20" s="4"/>
      <c r="D20" s="24">
        <f>D25+D30+D33+D38+D45+D47+D52+D53+D54+D41+D48+D55+D57</f>
        <v>651873.79999999981</v>
      </c>
      <c r="E20" s="24">
        <f>E25+E30+E33+E38+E45+E47+E52+E53+E54+E41+E48+E55+E57</f>
        <v>831129.29999999993</v>
      </c>
      <c r="F20" s="26">
        <f>F25+F30+F33+F38+F45+F47+F52+F53+F54+F41+F55+F57+F50</f>
        <v>0</v>
      </c>
      <c r="G20" s="23">
        <f t="shared" ref="G20:G120" si="0">D20+F20</f>
        <v>651873.79999999981</v>
      </c>
      <c r="H20" s="26">
        <f>H25+H30+H33+H38+H45+H47+H52+H53+H54+H41+H55+H57+H50</f>
        <v>-311602.7</v>
      </c>
      <c r="I20" s="23">
        <f t="shared" ref="I20:I120" si="1">E20+H20</f>
        <v>519526.59999999992</v>
      </c>
      <c r="J20" s="26">
        <f>J25+J30+J33+J38+J45+J47+J52+J53+J54+J41+J55+J57+J50</f>
        <v>60684.112000000001</v>
      </c>
      <c r="K20" s="23">
        <f t="shared" ref="K20:K108" si="2">G20+J20</f>
        <v>712557.91199999978</v>
      </c>
      <c r="L20" s="26">
        <f>L25+L30+L33+L38+L45+L47+L52+L53+L54+L41+L55+L57+L50</f>
        <v>11499.042000000001</v>
      </c>
      <c r="M20" s="23">
        <f t="shared" ref="M20:M23" si="3">I20+L20</f>
        <v>531025.64199999988</v>
      </c>
      <c r="N20" s="26">
        <f>N25+N30+N33+N38+N45+N47+N52+N53+N54+N41+N55+N57+N50</f>
        <v>0</v>
      </c>
      <c r="O20" s="23">
        <f t="shared" ref="O20:O23" si="4">K20+N20</f>
        <v>712557.91199999978</v>
      </c>
      <c r="P20" s="26">
        <f>P25+P30+P33+P38+P45+P47+P52+P53+P54+P41+P55+P57+P50</f>
        <v>0</v>
      </c>
      <c r="Q20" s="23">
        <f t="shared" ref="Q20:Q23" si="5">M20+P20</f>
        <v>531025.64199999988</v>
      </c>
      <c r="R20" s="26">
        <f>R25+R30+R38+R45+R47+R52+R53+R54+R41+R55+R57+R50+R35+R62+R65+R68+R71+R59</f>
        <v>-70933.39999999998</v>
      </c>
      <c r="S20" s="23">
        <f t="shared" ref="S20:S23" si="6">O20+R20</f>
        <v>641624.51199999976</v>
      </c>
      <c r="T20" s="26">
        <f>T25+T30+T38+T45+T47+T52+T53+T54+T41+T55+T57+T50+T35+T62+T65+T68+T71+T59</f>
        <v>-1.0913936421275139E-11</v>
      </c>
      <c r="U20" s="23">
        <f t="shared" ref="U20:U23" si="7">Q20+T20</f>
        <v>531025.64199999988</v>
      </c>
      <c r="V20" s="26">
        <f>V25+V30+V38+V45+V47+V52+V53+V54+V41+V55+V57+V50+V35+V62+V65+V68+V71+V59</f>
        <v>0</v>
      </c>
      <c r="W20" s="23">
        <f t="shared" ref="W20:W23" si="8">S20+V20</f>
        <v>641624.51199999976</v>
      </c>
      <c r="X20" s="26">
        <f>X25+X30+X38+X45+X47+X52+X53+X54+X41+X55+X57+X50+X35+X62+X65+X68+X71+X59</f>
        <v>0</v>
      </c>
      <c r="Y20" s="23">
        <f t="shared" ref="Y20:Y23" si="9">U20+X20</f>
        <v>531025.64199999988</v>
      </c>
      <c r="Z20" s="25">
        <f>Z25+Z30+Z38+Z45+Z47+Z52+Z53+Z54+Z41+Z55+Z57+Z50+Z35+Z62+Z65+Z68+Z71+Z59+Z56+Z58+Z72+Z73</f>
        <v>-6999.1489999999985</v>
      </c>
      <c r="AA20" s="23">
        <f t="shared" ref="AA20:AA23" si="10">W20+Z20</f>
        <v>634625.36299999978</v>
      </c>
      <c r="AB20" s="25">
        <f>AB25+AB30+AB38+AB45+AB47+AB52+AB53+AB54+AB41+AB55+AB57+AB50+AB35+AB62+AB65+AB68+AB71+AB59+AB56+AB58+AB72+AB73</f>
        <v>15000</v>
      </c>
      <c r="AC20" s="23">
        <f t="shared" ref="AC20:AC23" si="11">Y20+AB20</f>
        <v>546025.64199999988</v>
      </c>
      <c r="AD20" s="10"/>
      <c r="AE20" s="3">
        <v>0</v>
      </c>
    </row>
    <row r="21" spans="1:31" x14ac:dyDescent="0.35">
      <c r="A21" s="46"/>
      <c r="B21" s="49" t="s">
        <v>14</v>
      </c>
      <c r="C21" s="47"/>
      <c r="D21" s="21">
        <f>D26+D31+D46+D42</f>
        <v>462283.30000000005</v>
      </c>
      <c r="E21" s="21">
        <f>E26+E31+E46+E42</f>
        <v>281931.3</v>
      </c>
      <c r="F21" s="23">
        <f>F26+F31+F46+F42+F51</f>
        <v>38619.200000000012</v>
      </c>
      <c r="G21" s="23">
        <f t="shared" si="0"/>
        <v>500902.50000000006</v>
      </c>
      <c r="H21" s="23">
        <f>H26+H31+H46+H42+H51</f>
        <v>332508.79999999999</v>
      </c>
      <c r="I21" s="23">
        <f t="shared" si="1"/>
        <v>614440.1</v>
      </c>
      <c r="J21" s="23">
        <f>J26+J31+J46+J42+J51</f>
        <v>0</v>
      </c>
      <c r="K21" s="23">
        <f t="shared" si="2"/>
        <v>500902.50000000006</v>
      </c>
      <c r="L21" s="23">
        <f>L26+L31+L46+L42+L51</f>
        <v>0</v>
      </c>
      <c r="M21" s="23">
        <f t="shared" si="3"/>
        <v>614440.1</v>
      </c>
      <c r="N21" s="23">
        <f>N26+N31+N46+N42+N51</f>
        <v>0</v>
      </c>
      <c r="O21" s="23">
        <f t="shared" si="4"/>
        <v>500902.50000000006</v>
      </c>
      <c r="P21" s="23">
        <f>P26+P31+P46+P42+P51</f>
        <v>0</v>
      </c>
      <c r="Q21" s="23">
        <f t="shared" si="5"/>
        <v>614440.1</v>
      </c>
      <c r="R21" s="23">
        <f>R26+R31+R46+R42+R51+R36+R63+R69</f>
        <v>105494.49999999999</v>
      </c>
      <c r="S21" s="23">
        <f t="shared" si="6"/>
        <v>606397</v>
      </c>
      <c r="T21" s="23">
        <f>T26+T31+T46+T42+T51+T36+T63+T69</f>
        <v>103580.40000000001</v>
      </c>
      <c r="U21" s="23">
        <f t="shared" si="7"/>
        <v>718020.5</v>
      </c>
      <c r="V21" s="23">
        <f>V26+V31+V46+V42+V51+V36+V63+V69</f>
        <v>0</v>
      </c>
      <c r="W21" s="23">
        <f t="shared" si="8"/>
        <v>606397</v>
      </c>
      <c r="X21" s="23">
        <f>X26+X31+X46+X42+X51+X36+X63+X69</f>
        <v>0</v>
      </c>
      <c r="Y21" s="23">
        <f t="shared" si="9"/>
        <v>718020.5</v>
      </c>
      <c r="Z21" s="22">
        <f>Z26+Z31+Z46+Z42+Z51+Z36+Z63+Z69</f>
        <v>0</v>
      </c>
      <c r="AA21" s="48">
        <f t="shared" si="10"/>
        <v>606397</v>
      </c>
      <c r="AB21" s="22">
        <f>AB26+AB31+AB46+AB42+AB51+AB36+AB63+AB69</f>
        <v>0</v>
      </c>
      <c r="AC21" s="48">
        <f t="shared" si="11"/>
        <v>718020.5</v>
      </c>
    </row>
    <row r="22" spans="1:31" x14ac:dyDescent="0.35">
      <c r="A22" s="46"/>
      <c r="B22" s="50" t="s">
        <v>22</v>
      </c>
      <c r="C22" s="47"/>
      <c r="D22" s="21"/>
      <c r="E22" s="21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>
        <f>R27+R32+R37+R70</f>
        <v>307304</v>
      </c>
      <c r="S22" s="23">
        <f t="shared" si="6"/>
        <v>307304</v>
      </c>
      <c r="T22" s="23">
        <f>T27+T32+T37+T70</f>
        <v>0</v>
      </c>
      <c r="U22" s="23">
        <f t="shared" si="7"/>
        <v>0</v>
      </c>
      <c r="V22" s="23">
        <f>V27+V32+V37+V70</f>
        <v>0</v>
      </c>
      <c r="W22" s="23">
        <f t="shared" si="8"/>
        <v>307304</v>
      </c>
      <c r="X22" s="23">
        <f>X27+X32+X37+X70</f>
        <v>0</v>
      </c>
      <c r="Y22" s="23">
        <f t="shared" si="9"/>
        <v>0</v>
      </c>
      <c r="Z22" s="22">
        <f>Z27+Z32+Z37+Z70</f>
        <v>0</v>
      </c>
      <c r="AA22" s="48">
        <f t="shared" si="10"/>
        <v>307304</v>
      </c>
      <c r="AB22" s="22">
        <f>AB27+AB32+AB37+AB70</f>
        <v>0</v>
      </c>
      <c r="AC22" s="48">
        <f t="shared" si="11"/>
        <v>0</v>
      </c>
    </row>
    <row r="23" spans="1:31" ht="57.75" customHeight="1" x14ac:dyDescent="0.35">
      <c r="A23" s="46" t="s">
        <v>88</v>
      </c>
      <c r="B23" s="51" t="s">
        <v>194</v>
      </c>
      <c r="C23" s="52" t="s">
        <v>45</v>
      </c>
      <c r="D23" s="21">
        <f>D25+D26</f>
        <v>210122.80000000002</v>
      </c>
      <c r="E23" s="21">
        <f>E25+E26</f>
        <v>62382</v>
      </c>
      <c r="F23" s="23">
        <f>F25+F26</f>
        <v>0</v>
      </c>
      <c r="G23" s="23">
        <f t="shared" si="0"/>
        <v>210122.80000000002</v>
      </c>
      <c r="H23" s="23">
        <f>H25+H26</f>
        <v>-7359.3</v>
      </c>
      <c r="I23" s="23">
        <f t="shared" si="1"/>
        <v>55022.7</v>
      </c>
      <c r="J23" s="23">
        <f>J25+J26</f>
        <v>0</v>
      </c>
      <c r="K23" s="23">
        <f t="shared" si="2"/>
        <v>210122.80000000002</v>
      </c>
      <c r="L23" s="23">
        <f>L25+L26</f>
        <v>0</v>
      </c>
      <c r="M23" s="23">
        <f t="shared" si="3"/>
        <v>55022.7</v>
      </c>
      <c r="N23" s="23">
        <f>N25+N26</f>
        <v>0</v>
      </c>
      <c r="O23" s="23">
        <f t="shared" si="4"/>
        <v>210122.80000000002</v>
      </c>
      <c r="P23" s="23">
        <f>P25+P26</f>
        <v>0</v>
      </c>
      <c r="Q23" s="23">
        <f t="shared" si="5"/>
        <v>55022.7</v>
      </c>
      <c r="R23" s="23">
        <f>R25+R26+R27</f>
        <v>-27159.379999999976</v>
      </c>
      <c r="S23" s="23">
        <f t="shared" si="6"/>
        <v>182963.42000000004</v>
      </c>
      <c r="T23" s="23">
        <f>T25+T26+T27</f>
        <v>-55022.7</v>
      </c>
      <c r="U23" s="23">
        <f t="shared" si="7"/>
        <v>0</v>
      </c>
      <c r="V23" s="23">
        <f>V25+V26+V27</f>
        <v>0</v>
      </c>
      <c r="W23" s="23">
        <f t="shared" si="8"/>
        <v>182963.42000000004</v>
      </c>
      <c r="X23" s="23">
        <f>X25+X26+X27</f>
        <v>0</v>
      </c>
      <c r="Y23" s="23">
        <f t="shared" si="9"/>
        <v>0</v>
      </c>
      <c r="Z23" s="22">
        <f>Z25+Z26+Z27</f>
        <v>0</v>
      </c>
      <c r="AA23" s="48">
        <f t="shared" si="10"/>
        <v>182963.42000000004</v>
      </c>
      <c r="AB23" s="22">
        <f>AB25+AB26+AB27</f>
        <v>0</v>
      </c>
      <c r="AC23" s="48">
        <f t="shared" si="11"/>
        <v>0</v>
      </c>
    </row>
    <row r="24" spans="1:31" x14ac:dyDescent="0.35">
      <c r="A24" s="46"/>
      <c r="B24" s="49" t="s">
        <v>7</v>
      </c>
      <c r="C24" s="49"/>
      <c r="D24" s="21"/>
      <c r="E24" s="21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2"/>
      <c r="AA24" s="48"/>
      <c r="AB24" s="22"/>
      <c r="AC24" s="48"/>
    </row>
    <row r="25" spans="1:31" s="3" customFormat="1" hidden="1" x14ac:dyDescent="0.35">
      <c r="A25" s="1"/>
      <c r="B25" s="8" t="s">
        <v>8</v>
      </c>
      <c r="C25" s="12"/>
      <c r="D25" s="24">
        <v>55494.6</v>
      </c>
      <c r="E25" s="24">
        <v>62382</v>
      </c>
      <c r="F25" s="26"/>
      <c r="G25" s="23">
        <f t="shared" si="0"/>
        <v>55494.6</v>
      </c>
      <c r="H25" s="26">
        <v>-7359.3</v>
      </c>
      <c r="I25" s="23">
        <f t="shared" si="1"/>
        <v>55022.7</v>
      </c>
      <c r="J25" s="26"/>
      <c r="K25" s="23">
        <f t="shared" si="2"/>
        <v>55494.6</v>
      </c>
      <c r="L25" s="26"/>
      <c r="M25" s="23">
        <f t="shared" ref="M25:M28" si="12">I25+L25</f>
        <v>55022.7</v>
      </c>
      <c r="N25" s="26"/>
      <c r="O25" s="23">
        <f t="shared" ref="O25:O28" si="13">K25+N25</f>
        <v>55494.6</v>
      </c>
      <c r="P25" s="26"/>
      <c r="Q25" s="23">
        <f t="shared" ref="Q25:Q28" si="14">M25+P25</f>
        <v>55022.7</v>
      </c>
      <c r="R25" s="26">
        <f>12870.697-55494.6+169.923</f>
        <v>-42453.979999999996</v>
      </c>
      <c r="S25" s="23">
        <f t="shared" ref="S25:S28" si="15">O25+R25</f>
        <v>13040.620000000003</v>
      </c>
      <c r="T25" s="26">
        <v>-55022.7</v>
      </c>
      <c r="U25" s="23">
        <f t="shared" ref="U25:U28" si="16">Q25+T25</f>
        <v>0</v>
      </c>
      <c r="V25" s="26"/>
      <c r="W25" s="23">
        <f t="shared" ref="W25:W28" si="17">S25+V25</f>
        <v>13040.620000000003</v>
      </c>
      <c r="X25" s="26"/>
      <c r="Y25" s="23">
        <f t="shared" ref="Y25:Y28" si="18">U25+X25</f>
        <v>0</v>
      </c>
      <c r="Z25" s="25"/>
      <c r="AA25" s="23">
        <f t="shared" ref="AA25:AA28" si="19">W25+Z25</f>
        <v>13040.620000000003</v>
      </c>
      <c r="AB25" s="25"/>
      <c r="AC25" s="23">
        <f t="shared" ref="AC25:AC28" si="20">Y25+AB25</f>
        <v>0</v>
      </c>
      <c r="AD25" s="10" t="s">
        <v>212</v>
      </c>
      <c r="AE25" s="3">
        <v>0</v>
      </c>
    </row>
    <row r="26" spans="1:31" x14ac:dyDescent="0.35">
      <c r="A26" s="46"/>
      <c r="B26" s="50" t="s">
        <v>73</v>
      </c>
      <c r="C26" s="49"/>
      <c r="D26" s="21">
        <v>154628.20000000001</v>
      </c>
      <c r="E26" s="21">
        <v>0</v>
      </c>
      <c r="F26" s="23"/>
      <c r="G26" s="23">
        <f t="shared" si="0"/>
        <v>154628.20000000001</v>
      </c>
      <c r="H26" s="23">
        <v>0</v>
      </c>
      <c r="I26" s="23">
        <f t="shared" si="1"/>
        <v>0</v>
      </c>
      <c r="J26" s="23"/>
      <c r="K26" s="23">
        <f t="shared" si="2"/>
        <v>154628.20000000001</v>
      </c>
      <c r="L26" s="23">
        <v>0</v>
      </c>
      <c r="M26" s="23">
        <f t="shared" si="12"/>
        <v>0</v>
      </c>
      <c r="N26" s="23"/>
      <c r="O26" s="23">
        <f t="shared" si="13"/>
        <v>154628.20000000001</v>
      </c>
      <c r="P26" s="23">
        <v>0</v>
      </c>
      <c r="Q26" s="23">
        <f t="shared" si="14"/>
        <v>0</v>
      </c>
      <c r="R26" s="23">
        <f>-154628.2+8496.2</f>
        <v>-146132</v>
      </c>
      <c r="S26" s="23">
        <f t="shared" si="15"/>
        <v>8496.2000000000116</v>
      </c>
      <c r="T26" s="23"/>
      <c r="U26" s="23">
        <f t="shared" si="16"/>
        <v>0</v>
      </c>
      <c r="V26" s="23"/>
      <c r="W26" s="23">
        <f t="shared" si="17"/>
        <v>8496.2000000000116</v>
      </c>
      <c r="X26" s="23"/>
      <c r="Y26" s="23">
        <f t="shared" si="18"/>
        <v>0</v>
      </c>
      <c r="Z26" s="22"/>
      <c r="AA26" s="48">
        <f t="shared" si="19"/>
        <v>8496.2000000000116</v>
      </c>
      <c r="AB26" s="22"/>
      <c r="AC26" s="48">
        <f t="shared" si="20"/>
        <v>0</v>
      </c>
      <c r="AD26" s="10" t="s">
        <v>214</v>
      </c>
    </row>
    <row r="27" spans="1:31" x14ac:dyDescent="0.35">
      <c r="A27" s="46"/>
      <c r="B27" s="50" t="s">
        <v>22</v>
      </c>
      <c r="C27" s="49"/>
      <c r="D27" s="21"/>
      <c r="E27" s="21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>
        <v>161426.6</v>
      </c>
      <c r="S27" s="23">
        <f t="shared" si="15"/>
        <v>161426.6</v>
      </c>
      <c r="T27" s="23"/>
      <c r="U27" s="23">
        <f t="shared" si="16"/>
        <v>0</v>
      </c>
      <c r="V27" s="23"/>
      <c r="W27" s="23">
        <f t="shared" si="17"/>
        <v>161426.6</v>
      </c>
      <c r="X27" s="23"/>
      <c r="Y27" s="23">
        <f t="shared" si="18"/>
        <v>0</v>
      </c>
      <c r="Z27" s="22"/>
      <c r="AA27" s="48">
        <f t="shared" si="19"/>
        <v>161426.6</v>
      </c>
      <c r="AB27" s="22"/>
      <c r="AC27" s="48">
        <f t="shared" si="20"/>
        <v>0</v>
      </c>
      <c r="AD27" s="10" t="s">
        <v>213</v>
      </c>
    </row>
    <row r="28" spans="1:31" ht="54" x14ac:dyDescent="0.35">
      <c r="A28" s="46" t="s">
        <v>92</v>
      </c>
      <c r="B28" s="50" t="s">
        <v>74</v>
      </c>
      <c r="C28" s="52" t="s">
        <v>45</v>
      </c>
      <c r="D28" s="21">
        <f>D30+D31</f>
        <v>172009.5</v>
      </c>
      <c r="E28" s="21">
        <f>E30+E31</f>
        <v>112957.90000000001</v>
      </c>
      <c r="F28" s="23">
        <f>F30+F31</f>
        <v>0</v>
      </c>
      <c r="G28" s="23">
        <f t="shared" si="0"/>
        <v>172009.5</v>
      </c>
      <c r="H28" s="23">
        <f>H30+H31</f>
        <v>-6154.3</v>
      </c>
      <c r="I28" s="23">
        <f t="shared" si="1"/>
        <v>106803.6</v>
      </c>
      <c r="J28" s="23">
        <f>J30+J31</f>
        <v>0</v>
      </c>
      <c r="K28" s="23">
        <f t="shared" si="2"/>
        <v>172009.5</v>
      </c>
      <c r="L28" s="23">
        <f>L30+L31</f>
        <v>0</v>
      </c>
      <c r="M28" s="23">
        <f t="shared" si="12"/>
        <v>106803.6</v>
      </c>
      <c r="N28" s="23">
        <f>N30+N31</f>
        <v>0</v>
      </c>
      <c r="O28" s="23">
        <f t="shared" si="13"/>
        <v>172009.5</v>
      </c>
      <c r="P28" s="23">
        <f>P30+P31</f>
        <v>0</v>
      </c>
      <c r="Q28" s="23">
        <f t="shared" si="14"/>
        <v>106803.6</v>
      </c>
      <c r="R28" s="23">
        <f>R30+R31+R32</f>
        <v>67883.06</v>
      </c>
      <c r="S28" s="23">
        <f t="shared" si="15"/>
        <v>239892.56</v>
      </c>
      <c r="T28" s="23">
        <f>T30+T31+T32</f>
        <v>-106803.6</v>
      </c>
      <c r="U28" s="23">
        <f t="shared" si="16"/>
        <v>0</v>
      </c>
      <c r="V28" s="23">
        <f>V30+V31+V32</f>
        <v>0</v>
      </c>
      <c r="W28" s="23">
        <f t="shared" si="17"/>
        <v>239892.56</v>
      </c>
      <c r="X28" s="23">
        <f>X30+X31+X32</f>
        <v>0</v>
      </c>
      <c r="Y28" s="23">
        <f t="shared" si="18"/>
        <v>0</v>
      </c>
      <c r="Z28" s="22">
        <f>Z30+Z31+Z32</f>
        <v>0</v>
      </c>
      <c r="AA28" s="48">
        <f t="shared" si="19"/>
        <v>239892.56</v>
      </c>
      <c r="AB28" s="22">
        <f>AB30+AB31+AB32</f>
        <v>0</v>
      </c>
      <c r="AC28" s="48">
        <f t="shared" si="20"/>
        <v>0</v>
      </c>
    </row>
    <row r="29" spans="1:31" x14ac:dyDescent="0.35">
      <c r="A29" s="46"/>
      <c r="B29" s="49" t="s">
        <v>7</v>
      </c>
      <c r="C29" s="49"/>
      <c r="D29" s="21"/>
      <c r="E29" s="21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2"/>
      <c r="AA29" s="48"/>
      <c r="AB29" s="22"/>
      <c r="AC29" s="48"/>
    </row>
    <row r="30" spans="1:31" s="3" customFormat="1" hidden="1" x14ac:dyDescent="0.35">
      <c r="A30" s="1"/>
      <c r="B30" s="8" t="s">
        <v>8</v>
      </c>
      <c r="C30" s="12"/>
      <c r="D30" s="26">
        <v>44706.399999999994</v>
      </c>
      <c r="E30" s="26">
        <v>85570.1</v>
      </c>
      <c r="F30" s="26"/>
      <c r="G30" s="23">
        <f t="shared" si="0"/>
        <v>44706.399999999994</v>
      </c>
      <c r="H30" s="26">
        <v>-6154.3</v>
      </c>
      <c r="I30" s="23">
        <f t="shared" si="1"/>
        <v>79415.8</v>
      </c>
      <c r="J30" s="26"/>
      <c r="K30" s="23">
        <f t="shared" si="2"/>
        <v>44706.399999999994</v>
      </c>
      <c r="L30" s="26"/>
      <c r="M30" s="23">
        <f t="shared" ref="M30:M39" si="21">I30+L30</f>
        <v>79415.8</v>
      </c>
      <c r="N30" s="26"/>
      <c r="O30" s="23">
        <f t="shared" ref="O30:O39" si="22">K30+N30</f>
        <v>44706.399999999994</v>
      </c>
      <c r="P30" s="26"/>
      <c r="Q30" s="23">
        <f t="shared" ref="Q30:Q39" si="23">M30+P30</f>
        <v>79415.8</v>
      </c>
      <c r="R30" s="26">
        <f>24925.117-14087.867+99.21</f>
        <v>10936.459999999997</v>
      </c>
      <c r="S30" s="23">
        <f t="shared" ref="S30:S39" si="24">O30+R30</f>
        <v>55642.859999999993</v>
      </c>
      <c r="T30" s="26">
        <f>-70286.5-9129.3</f>
        <v>-79415.8</v>
      </c>
      <c r="U30" s="23">
        <f t="shared" ref="U30:U39" si="25">Q30+T30</f>
        <v>0</v>
      </c>
      <c r="V30" s="26"/>
      <c r="W30" s="23">
        <f t="shared" ref="W30:W33" si="26">S30+V30</f>
        <v>55642.859999999993</v>
      </c>
      <c r="X30" s="26"/>
      <c r="Y30" s="23">
        <f t="shared" ref="Y30:Y33" si="27">U30+X30</f>
        <v>0</v>
      </c>
      <c r="Z30" s="25"/>
      <c r="AA30" s="23">
        <f t="shared" ref="AA30:AA33" si="28">W30+Z30</f>
        <v>55642.859999999993</v>
      </c>
      <c r="AB30" s="25"/>
      <c r="AC30" s="23">
        <f t="shared" ref="AC30:AC33" si="29">Y30+AB30</f>
        <v>0</v>
      </c>
      <c r="AD30" s="10" t="s">
        <v>215</v>
      </c>
      <c r="AE30" s="3">
        <v>0</v>
      </c>
    </row>
    <row r="31" spans="1:31" x14ac:dyDescent="0.35">
      <c r="A31" s="46"/>
      <c r="B31" s="50" t="s">
        <v>14</v>
      </c>
      <c r="C31" s="49"/>
      <c r="D31" s="21">
        <v>127303.1</v>
      </c>
      <c r="E31" s="21">
        <v>27387.8</v>
      </c>
      <c r="F31" s="23"/>
      <c r="G31" s="23">
        <f t="shared" si="0"/>
        <v>127303.1</v>
      </c>
      <c r="H31" s="23"/>
      <c r="I31" s="23">
        <f t="shared" si="1"/>
        <v>27387.8</v>
      </c>
      <c r="J31" s="23"/>
      <c r="K31" s="23">
        <f t="shared" si="2"/>
        <v>127303.1</v>
      </c>
      <c r="L31" s="23"/>
      <c r="M31" s="23">
        <f t="shared" si="21"/>
        <v>27387.8</v>
      </c>
      <c r="N31" s="23"/>
      <c r="O31" s="23">
        <f t="shared" si="22"/>
        <v>127303.1</v>
      </c>
      <c r="P31" s="23"/>
      <c r="Q31" s="23">
        <f t="shared" si="23"/>
        <v>27387.8</v>
      </c>
      <c r="R31" s="23">
        <f>-42263.6+4960.5</f>
        <v>-37303.1</v>
      </c>
      <c r="S31" s="23">
        <f t="shared" si="24"/>
        <v>90000</v>
      </c>
      <c r="T31" s="23">
        <v>-27387.8</v>
      </c>
      <c r="U31" s="23">
        <f t="shared" si="25"/>
        <v>0</v>
      </c>
      <c r="V31" s="23"/>
      <c r="W31" s="23">
        <f t="shared" si="26"/>
        <v>90000</v>
      </c>
      <c r="X31" s="23"/>
      <c r="Y31" s="23">
        <f t="shared" si="27"/>
        <v>0</v>
      </c>
      <c r="Z31" s="22"/>
      <c r="AA31" s="48">
        <f t="shared" si="28"/>
        <v>90000</v>
      </c>
      <c r="AB31" s="22"/>
      <c r="AC31" s="48">
        <f t="shared" si="29"/>
        <v>0</v>
      </c>
      <c r="AD31" s="10" t="s">
        <v>216</v>
      </c>
    </row>
    <row r="32" spans="1:31" x14ac:dyDescent="0.35">
      <c r="A32" s="46"/>
      <c r="B32" s="50" t="s">
        <v>22</v>
      </c>
      <c r="C32" s="49"/>
      <c r="D32" s="21"/>
      <c r="E32" s="21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>
        <v>94249.7</v>
      </c>
      <c r="S32" s="23">
        <f t="shared" si="24"/>
        <v>94249.7</v>
      </c>
      <c r="T32" s="23"/>
      <c r="U32" s="23">
        <f t="shared" si="25"/>
        <v>0</v>
      </c>
      <c r="V32" s="23"/>
      <c r="W32" s="23">
        <f t="shared" si="26"/>
        <v>94249.7</v>
      </c>
      <c r="X32" s="23"/>
      <c r="Y32" s="23">
        <f t="shared" si="27"/>
        <v>0</v>
      </c>
      <c r="Z32" s="22"/>
      <c r="AA32" s="48">
        <f t="shared" si="28"/>
        <v>94249.7</v>
      </c>
      <c r="AB32" s="22"/>
      <c r="AC32" s="48">
        <f t="shared" si="29"/>
        <v>0</v>
      </c>
      <c r="AD32" s="10" t="s">
        <v>213</v>
      </c>
    </row>
    <row r="33" spans="1:31" ht="54" x14ac:dyDescent="0.35">
      <c r="A33" s="46" t="s">
        <v>95</v>
      </c>
      <c r="B33" s="50" t="s">
        <v>203</v>
      </c>
      <c r="C33" s="52" t="s">
        <v>45</v>
      </c>
      <c r="D33" s="21">
        <v>0</v>
      </c>
      <c r="E33" s="21">
        <v>6595.8</v>
      </c>
      <c r="F33" s="23">
        <v>0</v>
      </c>
      <c r="G33" s="23">
        <f t="shared" si="0"/>
        <v>0</v>
      </c>
      <c r="H33" s="23"/>
      <c r="I33" s="23">
        <f t="shared" si="1"/>
        <v>6595.8</v>
      </c>
      <c r="J33" s="23">
        <v>0</v>
      </c>
      <c r="K33" s="23">
        <f t="shared" si="2"/>
        <v>0</v>
      </c>
      <c r="L33" s="23"/>
      <c r="M33" s="23">
        <f t="shared" si="21"/>
        <v>6595.8</v>
      </c>
      <c r="N33" s="23">
        <v>0</v>
      </c>
      <c r="O33" s="23">
        <f t="shared" si="22"/>
        <v>0</v>
      </c>
      <c r="P33" s="23"/>
      <c r="Q33" s="23">
        <f t="shared" si="23"/>
        <v>6595.8</v>
      </c>
      <c r="R33" s="23">
        <f>R35+R36+R37</f>
        <v>146727.57</v>
      </c>
      <c r="S33" s="23">
        <f t="shared" si="24"/>
        <v>146727.57</v>
      </c>
      <c r="T33" s="23">
        <f>T35+T36+T37</f>
        <v>-6595.8</v>
      </c>
      <c r="U33" s="23">
        <f t="shared" si="25"/>
        <v>0</v>
      </c>
      <c r="V33" s="23">
        <f>V35+V36+V37</f>
        <v>0</v>
      </c>
      <c r="W33" s="23">
        <f t="shared" si="26"/>
        <v>146727.57</v>
      </c>
      <c r="X33" s="23">
        <f>X35+X36+X37</f>
        <v>0</v>
      </c>
      <c r="Y33" s="23">
        <f t="shared" si="27"/>
        <v>0</v>
      </c>
      <c r="Z33" s="22">
        <f>Z35+Z36+Z37</f>
        <v>0</v>
      </c>
      <c r="AA33" s="48">
        <f t="shared" si="28"/>
        <v>146727.57</v>
      </c>
      <c r="AB33" s="22">
        <f>AB35+AB36+AB37</f>
        <v>0</v>
      </c>
      <c r="AC33" s="48">
        <f t="shared" si="29"/>
        <v>0</v>
      </c>
    </row>
    <row r="34" spans="1:31" x14ac:dyDescent="0.35">
      <c r="A34" s="46"/>
      <c r="B34" s="49" t="s">
        <v>7</v>
      </c>
      <c r="C34" s="52"/>
      <c r="D34" s="21"/>
      <c r="E34" s="21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2"/>
      <c r="AA34" s="48"/>
      <c r="AB34" s="22"/>
      <c r="AC34" s="48"/>
    </row>
    <row r="35" spans="1:31" s="3" customFormat="1" hidden="1" x14ac:dyDescent="0.35">
      <c r="A35" s="1"/>
      <c r="B35" s="8" t="s">
        <v>8</v>
      </c>
      <c r="C35" s="6"/>
      <c r="D35" s="21"/>
      <c r="E35" s="21">
        <v>6595.8</v>
      </c>
      <c r="F35" s="23">
        <v>0</v>
      </c>
      <c r="G35" s="23">
        <f>D35+F35</f>
        <v>0</v>
      </c>
      <c r="H35" s="23"/>
      <c r="I35" s="23">
        <f t="shared" si="1"/>
        <v>6595.8</v>
      </c>
      <c r="J35" s="23"/>
      <c r="K35" s="23">
        <f t="shared" si="2"/>
        <v>0</v>
      </c>
      <c r="L35" s="23"/>
      <c r="M35" s="23">
        <f t="shared" si="21"/>
        <v>6595.8</v>
      </c>
      <c r="N35" s="23"/>
      <c r="O35" s="23">
        <f t="shared" si="22"/>
        <v>0</v>
      </c>
      <c r="P35" s="23"/>
      <c r="Q35" s="23">
        <f t="shared" si="23"/>
        <v>6595.8</v>
      </c>
      <c r="R35" s="23">
        <f>26727.57+30000</f>
        <v>56727.57</v>
      </c>
      <c r="S35" s="23">
        <f t="shared" si="24"/>
        <v>56727.57</v>
      </c>
      <c r="T35" s="23">
        <v>-6595.8</v>
      </c>
      <c r="U35" s="23">
        <f t="shared" si="25"/>
        <v>0</v>
      </c>
      <c r="V35" s="23"/>
      <c r="W35" s="23">
        <f t="shared" ref="W35:W39" si="30">S35+V35</f>
        <v>56727.57</v>
      </c>
      <c r="X35" s="23"/>
      <c r="Y35" s="23">
        <f t="shared" ref="Y35:Y39" si="31">U35+X35</f>
        <v>0</v>
      </c>
      <c r="Z35" s="22"/>
      <c r="AA35" s="23">
        <f t="shared" ref="AA35:AA39" si="32">W35+Z35</f>
        <v>56727.57</v>
      </c>
      <c r="AB35" s="22"/>
      <c r="AC35" s="23">
        <f t="shared" ref="AC35:AC39" si="33">Y35+AB35</f>
        <v>0</v>
      </c>
      <c r="AD35" s="10" t="s">
        <v>219</v>
      </c>
      <c r="AE35" s="3">
        <v>0</v>
      </c>
    </row>
    <row r="36" spans="1:31" x14ac:dyDescent="0.35">
      <c r="A36" s="46"/>
      <c r="B36" s="50" t="s">
        <v>14</v>
      </c>
      <c r="C36" s="52"/>
      <c r="D36" s="21"/>
      <c r="E36" s="21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>
        <v>90000</v>
      </c>
      <c r="S36" s="23">
        <f t="shared" si="24"/>
        <v>90000</v>
      </c>
      <c r="T36" s="23"/>
      <c r="U36" s="23">
        <f t="shared" si="25"/>
        <v>0</v>
      </c>
      <c r="V36" s="23"/>
      <c r="W36" s="23">
        <f t="shared" si="30"/>
        <v>90000</v>
      </c>
      <c r="X36" s="23"/>
      <c r="Y36" s="23">
        <f t="shared" si="31"/>
        <v>0</v>
      </c>
      <c r="Z36" s="22"/>
      <c r="AA36" s="48">
        <f t="shared" si="32"/>
        <v>90000</v>
      </c>
      <c r="AB36" s="22"/>
      <c r="AC36" s="48">
        <f t="shared" si="33"/>
        <v>0</v>
      </c>
      <c r="AD36" s="10" t="s">
        <v>146</v>
      </c>
    </row>
    <row r="37" spans="1:31" s="3" customFormat="1" hidden="1" x14ac:dyDescent="0.35">
      <c r="A37" s="1"/>
      <c r="B37" s="8" t="s">
        <v>22</v>
      </c>
      <c r="C37" s="6"/>
      <c r="D37" s="21"/>
      <c r="E37" s="21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>
        <f t="shared" si="24"/>
        <v>0</v>
      </c>
      <c r="T37" s="23"/>
      <c r="U37" s="23">
        <f t="shared" si="25"/>
        <v>0</v>
      </c>
      <c r="V37" s="23"/>
      <c r="W37" s="23">
        <f t="shared" si="30"/>
        <v>0</v>
      </c>
      <c r="X37" s="23"/>
      <c r="Y37" s="23">
        <f t="shared" si="31"/>
        <v>0</v>
      </c>
      <c r="Z37" s="22"/>
      <c r="AA37" s="23">
        <f t="shared" si="32"/>
        <v>0</v>
      </c>
      <c r="AB37" s="22"/>
      <c r="AC37" s="23">
        <f t="shared" si="33"/>
        <v>0</v>
      </c>
      <c r="AD37" s="10"/>
      <c r="AE37" s="3">
        <v>0</v>
      </c>
    </row>
    <row r="38" spans="1:31" ht="54" x14ac:dyDescent="0.35">
      <c r="A38" s="46" t="s">
        <v>91</v>
      </c>
      <c r="B38" s="50" t="s">
        <v>195</v>
      </c>
      <c r="C38" s="52" t="s">
        <v>45</v>
      </c>
      <c r="D38" s="21">
        <v>115746.8</v>
      </c>
      <c r="E38" s="21">
        <v>0</v>
      </c>
      <c r="F38" s="23"/>
      <c r="G38" s="23">
        <f t="shared" si="0"/>
        <v>115746.8</v>
      </c>
      <c r="H38" s="23">
        <v>0</v>
      </c>
      <c r="I38" s="23">
        <f t="shared" si="1"/>
        <v>0</v>
      </c>
      <c r="J38" s="23">
        <v>60684.112000000001</v>
      </c>
      <c r="K38" s="23">
        <f t="shared" si="2"/>
        <v>176430.91200000001</v>
      </c>
      <c r="L38" s="23">
        <v>0</v>
      </c>
      <c r="M38" s="23">
        <f t="shared" si="21"/>
        <v>0</v>
      </c>
      <c r="N38" s="23"/>
      <c r="O38" s="23">
        <f t="shared" si="22"/>
        <v>176430.91200000001</v>
      </c>
      <c r="P38" s="23">
        <v>0</v>
      </c>
      <c r="Q38" s="23">
        <f t="shared" si="23"/>
        <v>0</v>
      </c>
      <c r="R38" s="23"/>
      <c r="S38" s="23">
        <f t="shared" si="24"/>
        <v>176430.91200000001</v>
      </c>
      <c r="T38" s="23">
        <v>0</v>
      </c>
      <c r="U38" s="23">
        <f t="shared" si="25"/>
        <v>0</v>
      </c>
      <c r="V38" s="23"/>
      <c r="W38" s="23">
        <f t="shared" si="30"/>
        <v>176430.91200000001</v>
      </c>
      <c r="X38" s="23">
        <v>0</v>
      </c>
      <c r="Y38" s="23">
        <f t="shared" si="31"/>
        <v>0</v>
      </c>
      <c r="Z38" s="22"/>
      <c r="AA38" s="48">
        <f t="shared" si="32"/>
        <v>176430.91200000001</v>
      </c>
      <c r="AB38" s="22">
        <v>0</v>
      </c>
      <c r="AC38" s="48">
        <f t="shared" si="33"/>
        <v>0</v>
      </c>
      <c r="AD38" s="10" t="s">
        <v>75</v>
      </c>
    </row>
    <row r="39" spans="1:31" ht="54" x14ac:dyDescent="0.35">
      <c r="A39" s="46" t="s">
        <v>89</v>
      </c>
      <c r="B39" s="50" t="s">
        <v>83</v>
      </c>
      <c r="C39" s="52" t="s">
        <v>45</v>
      </c>
      <c r="D39" s="21">
        <f>D41+D42</f>
        <v>75899.600000000006</v>
      </c>
      <c r="E39" s="21">
        <f>E41+E42</f>
        <v>222501.9</v>
      </c>
      <c r="F39" s="23">
        <f>F41+F42</f>
        <v>218971.2</v>
      </c>
      <c r="G39" s="23">
        <f t="shared" si="0"/>
        <v>294870.80000000005</v>
      </c>
      <c r="H39" s="23">
        <f>H41+H42</f>
        <v>0</v>
      </c>
      <c r="I39" s="23">
        <f t="shared" si="1"/>
        <v>222501.9</v>
      </c>
      <c r="J39" s="23">
        <f>J41+J42</f>
        <v>0</v>
      </c>
      <c r="K39" s="23">
        <f t="shared" si="2"/>
        <v>294870.80000000005</v>
      </c>
      <c r="L39" s="23">
        <f>L41+L42</f>
        <v>0</v>
      </c>
      <c r="M39" s="23">
        <f t="shared" si="21"/>
        <v>222501.9</v>
      </c>
      <c r="N39" s="23">
        <f>N41+N42</f>
        <v>0</v>
      </c>
      <c r="O39" s="23">
        <f t="shared" si="22"/>
        <v>294870.80000000005</v>
      </c>
      <c r="P39" s="23">
        <f>P41+P42</f>
        <v>0</v>
      </c>
      <c r="Q39" s="23">
        <f t="shared" si="23"/>
        <v>222501.9</v>
      </c>
      <c r="R39" s="23">
        <f>R41+R42</f>
        <v>-51244.936000000009</v>
      </c>
      <c r="S39" s="23">
        <f t="shared" si="24"/>
        <v>243625.86400000003</v>
      </c>
      <c r="T39" s="23">
        <f>T41+T42</f>
        <v>201553.37000000002</v>
      </c>
      <c r="U39" s="23">
        <f t="shared" si="25"/>
        <v>424055.27</v>
      </c>
      <c r="V39" s="23">
        <f>V41+V42</f>
        <v>0</v>
      </c>
      <c r="W39" s="23">
        <f t="shared" si="30"/>
        <v>243625.86400000003</v>
      </c>
      <c r="X39" s="23">
        <f>X41+X42</f>
        <v>0</v>
      </c>
      <c r="Y39" s="23">
        <f t="shared" si="31"/>
        <v>424055.27</v>
      </c>
      <c r="Z39" s="22">
        <f>Z41+Z42</f>
        <v>0</v>
      </c>
      <c r="AA39" s="48">
        <f t="shared" si="32"/>
        <v>243625.86400000003</v>
      </c>
      <c r="AB39" s="22">
        <f>AB41+AB42</f>
        <v>0</v>
      </c>
      <c r="AC39" s="48">
        <f t="shared" si="33"/>
        <v>424055.27</v>
      </c>
      <c r="AD39" s="10" t="s">
        <v>77</v>
      </c>
    </row>
    <row r="40" spans="1:31" x14ac:dyDescent="0.35">
      <c r="A40" s="46"/>
      <c r="B40" s="47" t="s">
        <v>7</v>
      </c>
      <c r="C40" s="52"/>
      <c r="D40" s="21"/>
      <c r="E40" s="21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2"/>
      <c r="AA40" s="48"/>
      <c r="AB40" s="22"/>
      <c r="AC40" s="48"/>
    </row>
    <row r="41" spans="1:31" s="3" customFormat="1" hidden="1" x14ac:dyDescent="0.35">
      <c r="A41" s="1"/>
      <c r="B41" s="12" t="s">
        <v>8</v>
      </c>
      <c r="C41" s="6"/>
      <c r="D41" s="21">
        <v>75899.600000000006</v>
      </c>
      <c r="E41" s="21">
        <v>222501.9</v>
      </c>
      <c r="F41" s="23">
        <f>-75899.6+75899.6</f>
        <v>0</v>
      </c>
      <c r="G41" s="23">
        <f t="shared" si="0"/>
        <v>75899.600000000006</v>
      </c>
      <c r="H41" s="23">
        <v>-100000</v>
      </c>
      <c r="I41" s="23">
        <f t="shared" si="1"/>
        <v>122501.9</v>
      </c>
      <c r="J41" s="23"/>
      <c r="K41" s="23">
        <f t="shared" si="2"/>
        <v>75899.600000000006</v>
      </c>
      <c r="L41" s="23"/>
      <c r="M41" s="23">
        <f t="shared" ref="M41:M43" si="34">I41+L41</f>
        <v>122501.9</v>
      </c>
      <c r="N41" s="23"/>
      <c r="O41" s="23">
        <f t="shared" ref="O41:O43" si="35">K41+N41</f>
        <v>75899.600000000006</v>
      </c>
      <c r="P41" s="23"/>
      <c r="Q41" s="23">
        <f t="shared" ref="Q41:Q43" si="36">M41+P41</f>
        <v>122501.9</v>
      </c>
      <c r="R41" s="23">
        <f>-75899.6+16450.764</f>
        <v>-59448.83600000001</v>
      </c>
      <c r="S41" s="23">
        <f t="shared" ref="S41:S43" si="37">O41+R41</f>
        <v>16450.763999999996</v>
      </c>
      <c r="T41" s="23">
        <f>-122501.9+142029.503+6835.067</f>
        <v>26362.670000000002</v>
      </c>
      <c r="U41" s="23">
        <f t="shared" ref="U41:U43" si="38">Q41+T41</f>
        <v>148864.57</v>
      </c>
      <c r="V41" s="23"/>
      <c r="W41" s="23">
        <f t="shared" ref="W41:W43" si="39">S41+V41</f>
        <v>16450.763999999996</v>
      </c>
      <c r="X41" s="23"/>
      <c r="Y41" s="23">
        <f t="shared" ref="Y41:Y43" si="40">U41+X41</f>
        <v>148864.57</v>
      </c>
      <c r="Z41" s="22"/>
      <c r="AA41" s="23">
        <f t="shared" ref="AA41:AA43" si="41">W41+Z41</f>
        <v>16450.763999999996</v>
      </c>
      <c r="AB41" s="22"/>
      <c r="AC41" s="23">
        <f t="shared" ref="AC41:AC43" si="42">Y41+AB41</f>
        <v>148864.57</v>
      </c>
      <c r="AD41" s="10" t="s">
        <v>220</v>
      </c>
      <c r="AE41" s="3">
        <v>0</v>
      </c>
    </row>
    <row r="42" spans="1:31" x14ac:dyDescent="0.35">
      <c r="A42" s="46"/>
      <c r="B42" s="49" t="s">
        <v>14</v>
      </c>
      <c r="C42" s="52"/>
      <c r="D42" s="21">
        <v>0</v>
      </c>
      <c r="E42" s="21">
        <v>0</v>
      </c>
      <c r="F42" s="23">
        <v>218971.2</v>
      </c>
      <c r="G42" s="23">
        <f t="shared" si="0"/>
        <v>218971.2</v>
      </c>
      <c r="H42" s="23">
        <v>100000</v>
      </c>
      <c r="I42" s="23">
        <f t="shared" si="1"/>
        <v>100000</v>
      </c>
      <c r="J42" s="23"/>
      <c r="K42" s="23">
        <f t="shared" si="2"/>
        <v>218971.2</v>
      </c>
      <c r="L42" s="23"/>
      <c r="M42" s="23">
        <f t="shared" si="34"/>
        <v>100000</v>
      </c>
      <c r="N42" s="23"/>
      <c r="O42" s="23">
        <f t="shared" si="35"/>
        <v>218971.2</v>
      </c>
      <c r="P42" s="23"/>
      <c r="Q42" s="23">
        <f t="shared" si="36"/>
        <v>100000</v>
      </c>
      <c r="R42" s="23">
        <f>49351.8-41147.9</f>
        <v>8203.9000000000015</v>
      </c>
      <c r="S42" s="23">
        <f t="shared" si="37"/>
        <v>227175.1</v>
      </c>
      <c r="T42" s="23">
        <f>20505.2+154685.5</f>
        <v>175190.7</v>
      </c>
      <c r="U42" s="23">
        <f t="shared" si="38"/>
        <v>275190.7</v>
      </c>
      <c r="V42" s="23"/>
      <c r="W42" s="23">
        <f t="shared" si="39"/>
        <v>227175.1</v>
      </c>
      <c r="X42" s="23"/>
      <c r="Y42" s="23">
        <f t="shared" si="40"/>
        <v>275190.7</v>
      </c>
      <c r="Z42" s="22"/>
      <c r="AA42" s="48">
        <f t="shared" si="41"/>
        <v>227175.1</v>
      </c>
      <c r="AB42" s="22"/>
      <c r="AC42" s="48">
        <f t="shared" si="42"/>
        <v>275190.7</v>
      </c>
      <c r="AD42" s="10" t="s">
        <v>188</v>
      </c>
    </row>
    <row r="43" spans="1:31" ht="54" x14ac:dyDescent="0.35">
      <c r="A43" s="46" t="s">
        <v>93</v>
      </c>
      <c r="B43" s="50" t="s">
        <v>76</v>
      </c>
      <c r="C43" s="52" t="s">
        <v>45</v>
      </c>
      <c r="D43" s="21">
        <f>D45+D46</f>
        <v>368065.3</v>
      </c>
      <c r="E43" s="21">
        <f>E45+E46</f>
        <v>339391.4</v>
      </c>
      <c r="F43" s="23">
        <f>F45+F46</f>
        <v>-180352</v>
      </c>
      <c r="G43" s="23">
        <f t="shared" si="0"/>
        <v>187713.3</v>
      </c>
      <c r="H43" s="23">
        <f>H45+H46</f>
        <v>34419.699999999997</v>
      </c>
      <c r="I43" s="23">
        <f t="shared" si="1"/>
        <v>373811.10000000003</v>
      </c>
      <c r="J43" s="23">
        <f>J45+J46</f>
        <v>0</v>
      </c>
      <c r="K43" s="23">
        <f t="shared" si="2"/>
        <v>187713.3</v>
      </c>
      <c r="L43" s="23">
        <f>L45+L46</f>
        <v>-14483.197</v>
      </c>
      <c r="M43" s="23">
        <f t="shared" si="34"/>
        <v>359327.90300000005</v>
      </c>
      <c r="N43" s="23">
        <f>N45+N46</f>
        <v>0</v>
      </c>
      <c r="O43" s="23">
        <f t="shared" si="35"/>
        <v>187713.3</v>
      </c>
      <c r="P43" s="23">
        <f>P45+P46</f>
        <v>0</v>
      </c>
      <c r="Q43" s="23">
        <f t="shared" si="36"/>
        <v>359327.90300000005</v>
      </c>
      <c r="R43" s="23">
        <f>R45+R46</f>
        <v>-32724.954999999994</v>
      </c>
      <c r="S43" s="23">
        <f t="shared" si="37"/>
        <v>154988.345</v>
      </c>
      <c r="T43" s="23">
        <f>T45+T46</f>
        <v>34813.463999999993</v>
      </c>
      <c r="U43" s="23">
        <f t="shared" si="38"/>
        <v>394141.36700000003</v>
      </c>
      <c r="V43" s="23">
        <f>V45+V46</f>
        <v>0</v>
      </c>
      <c r="W43" s="23">
        <f t="shared" si="39"/>
        <v>154988.345</v>
      </c>
      <c r="X43" s="23">
        <f>X45+X46</f>
        <v>0</v>
      </c>
      <c r="Y43" s="23">
        <f t="shared" si="40"/>
        <v>394141.36700000003</v>
      </c>
      <c r="Z43" s="22">
        <f>Z45+Z46</f>
        <v>0</v>
      </c>
      <c r="AA43" s="48">
        <f t="shared" si="41"/>
        <v>154988.345</v>
      </c>
      <c r="AB43" s="22">
        <f>AB45+AB46</f>
        <v>0</v>
      </c>
      <c r="AC43" s="48">
        <f t="shared" si="42"/>
        <v>394141.36700000003</v>
      </c>
    </row>
    <row r="44" spans="1:31" x14ac:dyDescent="0.35">
      <c r="A44" s="46"/>
      <c r="B44" s="49" t="s">
        <v>7</v>
      </c>
      <c r="C44" s="52"/>
      <c r="D44" s="21"/>
      <c r="E44" s="21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2"/>
      <c r="AA44" s="48"/>
      <c r="AB44" s="22"/>
      <c r="AC44" s="48"/>
    </row>
    <row r="45" spans="1:31" s="3" customFormat="1" hidden="1" x14ac:dyDescent="0.35">
      <c r="A45" s="1"/>
      <c r="B45" s="8" t="s">
        <v>8</v>
      </c>
      <c r="C45" s="6"/>
      <c r="D45" s="21">
        <v>187713.3</v>
      </c>
      <c r="E45" s="21">
        <v>84847.9</v>
      </c>
      <c r="F45" s="23"/>
      <c r="G45" s="23">
        <f t="shared" si="0"/>
        <v>187713.3</v>
      </c>
      <c r="H45" s="23">
        <f>-84847.9+34419.7</f>
        <v>-50428.2</v>
      </c>
      <c r="I45" s="23">
        <f t="shared" si="1"/>
        <v>34419.699999999997</v>
      </c>
      <c r="J45" s="23"/>
      <c r="K45" s="23">
        <f t="shared" si="2"/>
        <v>187713.3</v>
      </c>
      <c r="L45" s="23">
        <v>-14483.197</v>
      </c>
      <c r="M45" s="23">
        <f t="shared" ref="M45:M48" si="43">I45+L45</f>
        <v>19936.502999999997</v>
      </c>
      <c r="N45" s="23"/>
      <c r="O45" s="23">
        <f t="shared" ref="O45:O48" si="44">K45+N45</f>
        <v>187713.3</v>
      </c>
      <c r="P45" s="23"/>
      <c r="Q45" s="23">
        <f t="shared" ref="Q45:Q48" si="45">M45+P45</f>
        <v>19936.502999999997</v>
      </c>
      <c r="R45" s="23">
        <v>-83830.054999999993</v>
      </c>
      <c r="S45" s="23">
        <f t="shared" ref="S45:S48" si="46">O45+R45</f>
        <v>103883.245</v>
      </c>
      <c r="T45" s="23">
        <f>-19936.503+4588.4+78384.067+16000</f>
        <v>79035.963999999993</v>
      </c>
      <c r="U45" s="23">
        <f t="shared" ref="U45:U48" si="47">Q45+T45</f>
        <v>98972.46699999999</v>
      </c>
      <c r="V45" s="23"/>
      <c r="W45" s="23">
        <f t="shared" ref="W45:W48" si="48">S45+V45</f>
        <v>103883.245</v>
      </c>
      <c r="X45" s="23"/>
      <c r="Y45" s="23">
        <f t="shared" ref="Y45:Y48" si="49">U45+X45</f>
        <v>98972.46699999999</v>
      </c>
      <c r="Z45" s="22"/>
      <c r="AA45" s="23">
        <f t="shared" ref="AA45:AA48" si="50">W45+Z45</f>
        <v>103883.245</v>
      </c>
      <c r="AB45" s="22"/>
      <c r="AC45" s="23">
        <f t="shared" ref="AC45:AC48" si="51">Y45+AB45</f>
        <v>98972.46699999999</v>
      </c>
      <c r="AD45" s="10" t="s">
        <v>221</v>
      </c>
      <c r="AE45" s="3">
        <v>0</v>
      </c>
    </row>
    <row r="46" spans="1:31" x14ac:dyDescent="0.35">
      <c r="A46" s="46"/>
      <c r="B46" s="50" t="s">
        <v>73</v>
      </c>
      <c r="C46" s="52"/>
      <c r="D46" s="21">
        <v>180352</v>
      </c>
      <c r="E46" s="21">
        <v>254543.5</v>
      </c>
      <c r="F46" s="23">
        <v>-180352</v>
      </c>
      <c r="G46" s="23">
        <f t="shared" si="0"/>
        <v>0</v>
      </c>
      <c r="H46" s="23">
        <f>-247660.9+332508.8</f>
        <v>84847.9</v>
      </c>
      <c r="I46" s="23">
        <f t="shared" si="1"/>
        <v>339391.4</v>
      </c>
      <c r="J46" s="23"/>
      <c r="K46" s="23">
        <f t="shared" si="2"/>
        <v>0</v>
      </c>
      <c r="L46" s="23"/>
      <c r="M46" s="23">
        <f t="shared" si="43"/>
        <v>339391.4</v>
      </c>
      <c r="N46" s="23"/>
      <c r="O46" s="23">
        <f t="shared" si="44"/>
        <v>0</v>
      </c>
      <c r="P46" s="23"/>
      <c r="Q46" s="23">
        <f t="shared" si="45"/>
        <v>339391.4</v>
      </c>
      <c r="R46" s="23">
        <v>51105.1</v>
      </c>
      <c r="S46" s="23">
        <f t="shared" si="46"/>
        <v>51105.1</v>
      </c>
      <c r="T46" s="23">
        <f>6882.6-51105.1</f>
        <v>-44222.5</v>
      </c>
      <c r="U46" s="23">
        <f t="shared" si="47"/>
        <v>295168.90000000002</v>
      </c>
      <c r="V46" s="23"/>
      <c r="W46" s="23">
        <f t="shared" si="48"/>
        <v>51105.1</v>
      </c>
      <c r="X46" s="23"/>
      <c r="Y46" s="23">
        <f t="shared" si="49"/>
        <v>295168.90000000002</v>
      </c>
      <c r="Z46" s="22"/>
      <c r="AA46" s="48">
        <f t="shared" si="50"/>
        <v>51105.1</v>
      </c>
      <c r="AB46" s="22"/>
      <c r="AC46" s="48">
        <f t="shared" si="51"/>
        <v>295168.90000000002</v>
      </c>
      <c r="AD46" s="10" t="s">
        <v>188</v>
      </c>
    </row>
    <row r="47" spans="1:31" ht="54" x14ac:dyDescent="0.35">
      <c r="A47" s="46" t="s">
        <v>90</v>
      </c>
      <c r="B47" s="50" t="s">
        <v>161</v>
      </c>
      <c r="C47" s="52" t="s">
        <v>45</v>
      </c>
      <c r="D47" s="21">
        <v>0</v>
      </c>
      <c r="E47" s="21">
        <v>52840.6</v>
      </c>
      <c r="F47" s="23">
        <v>0</v>
      </c>
      <c r="G47" s="23">
        <f t="shared" si="0"/>
        <v>0</v>
      </c>
      <c r="H47" s="23"/>
      <c r="I47" s="23">
        <f t="shared" si="1"/>
        <v>52840.6</v>
      </c>
      <c r="J47" s="23">
        <v>0</v>
      </c>
      <c r="K47" s="23">
        <f t="shared" si="2"/>
        <v>0</v>
      </c>
      <c r="L47" s="23"/>
      <c r="M47" s="23">
        <f t="shared" si="43"/>
        <v>52840.6</v>
      </c>
      <c r="N47" s="23">
        <v>0</v>
      </c>
      <c r="O47" s="23">
        <f t="shared" si="44"/>
        <v>0</v>
      </c>
      <c r="P47" s="23"/>
      <c r="Q47" s="23">
        <f t="shared" si="45"/>
        <v>52840.6</v>
      </c>
      <c r="R47" s="23">
        <v>0</v>
      </c>
      <c r="S47" s="23">
        <f t="shared" si="46"/>
        <v>0</v>
      </c>
      <c r="T47" s="23"/>
      <c r="U47" s="23">
        <f t="shared" si="47"/>
        <v>52840.6</v>
      </c>
      <c r="V47" s="23">
        <v>0</v>
      </c>
      <c r="W47" s="23">
        <f t="shared" si="48"/>
        <v>0</v>
      </c>
      <c r="X47" s="23"/>
      <c r="Y47" s="23">
        <f t="shared" si="49"/>
        <v>52840.6</v>
      </c>
      <c r="Z47" s="22">
        <v>0</v>
      </c>
      <c r="AA47" s="48">
        <f t="shared" si="50"/>
        <v>0</v>
      </c>
      <c r="AB47" s="22"/>
      <c r="AC47" s="48">
        <f t="shared" si="51"/>
        <v>52840.6</v>
      </c>
      <c r="AD47" s="10" t="s">
        <v>78</v>
      </c>
    </row>
    <row r="48" spans="1:31" ht="54" x14ac:dyDescent="0.35">
      <c r="A48" s="46" t="s">
        <v>94</v>
      </c>
      <c r="B48" s="50" t="s">
        <v>162</v>
      </c>
      <c r="C48" s="52" t="s">
        <v>45</v>
      </c>
      <c r="D48" s="21">
        <f>D50</f>
        <v>150804.70000000001</v>
      </c>
      <c r="E48" s="21">
        <f>E50</f>
        <v>284391</v>
      </c>
      <c r="F48" s="23">
        <f>F50+F51</f>
        <v>0</v>
      </c>
      <c r="G48" s="23">
        <f t="shared" si="0"/>
        <v>150804.70000000001</v>
      </c>
      <c r="H48" s="23">
        <f>H50+H51</f>
        <v>0</v>
      </c>
      <c r="I48" s="23">
        <f t="shared" si="1"/>
        <v>284391</v>
      </c>
      <c r="J48" s="23">
        <f>J50+J51</f>
        <v>0</v>
      </c>
      <c r="K48" s="23">
        <f t="shared" si="2"/>
        <v>150804.70000000001</v>
      </c>
      <c r="L48" s="23">
        <f>L50+L51</f>
        <v>25982.239000000001</v>
      </c>
      <c r="M48" s="23">
        <f t="shared" si="43"/>
        <v>310373.239</v>
      </c>
      <c r="N48" s="23">
        <f>N50+N51</f>
        <v>0</v>
      </c>
      <c r="O48" s="23">
        <f t="shared" si="44"/>
        <v>150804.70000000001</v>
      </c>
      <c r="P48" s="23">
        <f>P50+P51</f>
        <v>0</v>
      </c>
      <c r="Q48" s="23">
        <f t="shared" si="45"/>
        <v>310373.239</v>
      </c>
      <c r="R48" s="23">
        <f>R50+R51</f>
        <v>-23836.166000000001</v>
      </c>
      <c r="S48" s="23">
        <f t="shared" si="46"/>
        <v>126968.53400000001</v>
      </c>
      <c r="T48" s="23">
        <f>T50+T51</f>
        <v>23836.065999999999</v>
      </c>
      <c r="U48" s="23">
        <f t="shared" si="47"/>
        <v>334209.30499999999</v>
      </c>
      <c r="V48" s="23">
        <f>V50+V51</f>
        <v>0</v>
      </c>
      <c r="W48" s="23">
        <f t="shared" si="48"/>
        <v>126968.53400000001</v>
      </c>
      <c r="X48" s="23">
        <f>X50+X51</f>
        <v>0</v>
      </c>
      <c r="Y48" s="23">
        <f t="shared" si="49"/>
        <v>334209.30499999999</v>
      </c>
      <c r="Z48" s="22">
        <f>Z50+Z51</f>
        <v>0</v>
      </c>
      <c r="AA48" s="48">
        <f t="shared" si="50"/>
        <v>126968.53400000001</v>
      </c>
      <c r="AB48" s="22">
        <f>AB50+AB51</f>
        <v>0</v>
      </c>
      <c r="AC48" s="48">
        <f t="shared" si="51"/>
        <v>334209.30499999999</v>
      </c>
    </row>
    <row r="49" spans="1:31" x14ac:dyDescent="0.35">
      <c r="A49" s="46"/>
      <c r="B49" s="49" t="s">
        <v>7</v>
      </c>
      <c r="C49" s="52"/>
      <c r="D49" s="21"/>
      <c r="E49" s="21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2"/>
      <c r="AA49" s="48"/>
      <c r="AB49" s="22"/>
      <c r="AC49" s="48"/>
    </row>
    <row r="50" spans="1:31" s="3" customFormat="1" hidden="1" x14ac:dyDescent="0.35">
      <c r="A50" s="1"/>
      <c r="B50" s="8" t="s">
        <v>8</v>
      </c>
      <c r="C50" s="6"/>
      <c r="D50" s="21">
        <v>150804.70000000001</v>
      </c>
      <c r="E50" s="21">
        <v>284391</v>
      </c>
      <c r="F50" s="23"/>
      <c r="G50" s="23">
        <f t="shared" si="0"/>
        <v>150804.70000000001</v>
      </c>
      <c r="H50" s="23">
        <f>-196881.2+49220.3</f>
        <v>-147660.90000000002</v>
      </c>
      <c r="I50" s="23">
        <f t="shared" si="1"/>
        <v>136730.09999999998</v>
      </c>
      <c r="J50" s="23"/>
      <c r="K50" s="23">
        <f t="shared" si="2"/>
        <v>150804.70000000001</v>
      </c>
      <c r="L50" s="23">
        <v>25982.239000000001</v>
      </c>
      <c r="M50" s="23">
        <f t="shared" ref="M50:M74" si="52">I50+L50</f>
        <v>162712.33899999998</v>
      </c>
      <c r="N50" s="23"/>
      <c r="O50" s="23">
        <f t="shared" ref="O50:O74" si="53">K50+N50</f>
        <v>150804.70000000001</v>
      </c>
      <c r="P50" s="23"/>
      <c r="Q50" s="23">
        <f t="shared" ref="Q50:Q74" si="54">M50+P50</f>
        <v>162712.33899999998</v>
      </c>
      <c r="R50" s="23">
        <v>-23836.166000000001</v>
      </c>
      <c r="S50" s="23">
        <f t="shared" ref="S50:S74" si="55">O50+R50</f>
        <v>126968.53400000001</v>
      </c>
      <c r="T50" s="23">
        <v>23836.065999999999</v>
      </c>
      <c r="U50" s="23">
        <f t="shared" ref="U50:U74" si="56">Q50+T50</f>
        <v>186548.40499999997</v>
      </c>
      <c r="V50" s="23"/>
      <c r="W50" s="23">
        <f t="shared" ref="W50:W60" si="57">S50+V50</f>
        <v>126968.53400000001</v>
      </c>
      <c r="X50" s="23"/>
      <c r="Y50" s="23">
        <f t="shared" ref="Y50:Y60" si="58">U50+X50</f>
        <v>186548.40499999997</v>
      </c>
      <c r="Z50" s="22"/>
      <c r="AA50" s="23">
        <f t="shared" ref="AA50:AA60" si="59">W50+Z50</f>
        <v>126968.53400000001</v>
      </c>
      <c r="AB50" s="22"/>
      <c r="AC50" s="23">
        <f t="shared" ref="AC50:AC60" si="60">Y50+AB50</f>
        <v>186548.40499999997</v>
      </c>
      <c r="AD50" s="10" t="s">
        <v>182</v>
      </c>
      <c r="AE50" s="3">
        <v>0</v>
      </c>
    </row>
    <row r="51" spans="1:31" x14ac:dyDescent="0.35">
      <c r="A51" s="46"/>
      <c r="B51" s="50" t="s">
        <v>73</v>
      </c>
      <c r="C51" s="52"/>
      <c r="D51" s="21"/>
      <c r="E51" s="21"/>
      <c r="F51" s="23"/>
      <c r="G51" s="23">
        <f t="shared" si="0"/>
        <v>0</v>
      </c>
      <c r="H51" s="23">
        <v>147660.9</v>
      </c>
      <c r="I51" s="23">
        <f t="shared" si="1"/>
        <v>147660.9</v>
      </c>
      <c r="J51" s="23"/>
      <c r="K51" s="23">
        <f t="shared" si="2"/>
        <v>0</v>
      </c>
      <c r="L51" s="23"/>
      <c r="M51" s="23">
        <f t="shared" si="52"/>
        <v>147660.9</v>
      </c>
      <c r="N51" s="23"/>
      <c r="O51" s="23">
        <f t="shared" si="53"/>
        <v>0</v>
      </c>
      <c r="P51" s="23"/>
      <c r="Q51" s="23">
        <f t="shared" si="54"/>
        <v>147660.9</v>
      </c>
      <c r="R51" s="23"/>
      <c r="S51" s="23">
        <f t="shared" si="55"/>
        <v>0</v>
      </c>
      <c r="T51" s="23"/>
      <c r="U51" s="23">
        <f t="shared" si="56"/>
        <v>147660.9</v>
      </c>
      <c r="V51" s="23"/>
      <c r="W51" s="23">
        <f t="shared" si="57"/>
        <v>0</v>
      </c>
      <c r="X51" s="23"/>
      <c r="Y51" s="23">
        <f t="shared" si="58"/>
        <v>147660.9</v>
      </c>
      <c r="Z51" s="22"/>
      <c r="AA51" s="48">
        <f t="shared" si="59"/>
        <v>0</v>
      </c>
      <c r="AB51" s="22"/>
      <c r="AC51" s="48">
        <f t="shared" si="60"/>
        <v>147660.9</v>
      </c>
      <c r="AD51" s="10" t="s">
        <v>189</v>
      </c>
    </row>
    <row r="52" spans="1:31" ht="36" x14ac:dyDescent="0.35">
      <c r="A52" s="46" t="s">
        <v>96</v>
      </c>
      <c r="B52" s="50" t="s">
        <v>163</v>
      </c>
      <c r="C52" s="49" t="s">
        <v>13</v>
      </c>
      <c r="D52" s="21">
        <v>16000</v>
      </c>
      <c r="E52" s="21">
        <v>0</v>
      </c>
      <c r="F52" s="23"/>
      <c r="G52" s="23">
        <f t="shared" si="0"/>
        <v>16000</v>
      </c>
      <c r="H52" s="23">
        <v>0</v>
      </c>
      <c r="I52" s="23">
        <f t="shared" si="1"/>
        <v>0</v>
      </c>
      <c r="J52" s="23"/>
      <c r="K52" s="23">
        <f t="shared" si="2"/>
        <v>16000</v>
      </c>
      <c r="L52" s="23">
        <v>0</v>
      </c>
      <c r="M52" s="23">
        <f t="shared" si="52"/>
        <v>0</v>
      </c>
      <c r="N52" s="23"/>
      <c r="O52" s="23">
        <f t="shared" si="53"/>
        <v>16000</v>
      </c>
      <c r="P52" s="23">
        <v>0</v>
      </c>
      <c r="Q52" s="23">
        <f t="shared" si="54"/>
        <v>0</v>
      </c>
      <c r="R52" s="23"/>
      <c r="S52" s="23">
        <f t="shared" si="55"/>
        <v>16000</v>
      </c>
      <c r="T52" s="23">
        <v>0</v>
      </c>
      <c r="U52" s="23">
        <f t="shared" si="56"/>
        <v>0</v>
      </c>
      <c r="V52" s="23"/>
      <c r="W52" s="23">
        <f t="shared" si="57"/>
        <v>16000</v>
      </c>
      <c r="X52" s="23">
        <v>0</v>
      </c>
      <c r="Y52" s="23">
        <f t="shared" si="58"/>
        <v>0</v>
      </c>
      <c r="Z52" s="22"/>
      <c r="AA52" s="48">
        <f t="shared" si="59"/>
        <v>16000</v>
      </c>
      <c r="AB52" s="22">
        <v>0</v>
      </c>
      <c r="AC52" s="48">
        <f t="shared" si="60"/>
        <v>0</v>
      </c>
      <c r="AD52" s="10" t="s">
        <v>79</v>
      </c>
    </row>
    <row r="53" spans="1:31" ht="36" x14ac:dyDescent="0.35">
      <c r="A53" s="46" t="s">
        <v>97</v>
      </c>
      <c r="B53" s="49" t="s">
        <v>164</v>
      </c>
      <c r="C53" s="49" t="s">
        <v>13</v>
      </c>
      <c r="D53" s="21">
        <v>0</v>
      </c>
      <c r="E53" s="21">
        <v>16000</v>
      </c>
      <c r="F53" s="23">
        <v>0</v>
      </c>
      <c r="G53" s="23">
        <f t="shared" si="0"/>
        <v>0</v>
      </c>
      <c r="H53" s="23"/>
      <c r="I53" s="23">
        <f t="shared" si="1"/>
        <v>16000</v>
      </c>
      <c r="J53" s="23">
        <v>0</v>
      </c>
      <c r="K53" s="23">
        <f t="shared" si="2"/>
        <v>0</v>
      </c>
      <c r="L53" s="23"/>
      <c r="M53" s="23">
        <f t="shared" si="52"/>
        <v>16000</v>
      </c>
      <c r="N53" s="23">
        <v>0</v>
      </c>
      <c r="O53" s="23">
        <f t="shared" si="53"/>
        <v>0</v>
      </c>
      <c r="P53" s="23"/>
      <c r="Q53" s="23">
        <f t="shared" si="54"/>
        <v>16000</v>
      </c>
      <c r="R53" s="23">
        <v>0</v>
      </c>
      <c r="S53" s="23">
        <f t="shared" si="55"/>
        <v>0</v>
      </c>
      <c r="T53" s="23"/>
      <c r="U53" s="23">
        <f t="shared" si="56"/>
        <v>16000</v>
      </c>
      <c r="V53" s="23">
        <v>0</v>
      </c>
      <c r="W53" s="23">
        <f t="shared" si="57"/>
        <v>0</v>
      </c>
      <c r="X53" s="23"/>
      <c r="Y53" s="23">
        <f t="shared" si="58"/>
        <v>16000</v>
      </c>
      <c r="Z53" s="22">
        <v>0</v>
      </c>
      <c r="AA53" s="48">
        <f t="shared" si="59"/>
        <v>0</v>
      </c>
      <c r="AB53" s="22"/>
      <c r="AC53" s="48">
        <f t="shared" si="60"/>
        <v>16000</v>
      </c>
      <c r="AD53" s="10" t="s">
        <v>80</v>
      </c>
    </row>
    <row r="54" spans="1:31" s="3" customFormat="1" ht="36" hidden="1" x14ac:dyDescent="0.35">
      <c r="A54" s="1" t="s">
        <v>98</v>
      </c>
      <c r="B54" s="8" t="s">
        <v>165</v>
      </c>
      <c r="C54" s="28" t="s">
        <v>13</v>
      </c>
      <c r="D54" s="21">
        <v>0</v>
      </c>
      <c r="E54" s="21">
        <v>16000</v>
      </c>
      <c r="F54" s="23">
        <v>0</v>
      </c>
      <c r="G54" s="23">
        <f t="shared" si="0"/>
        <v>0</v>
      </c>
      <c r="H54" s="23"/>
      <c r="I54" s="23">
        <f t="shared" si="1"/>
        <v>16000</v>
      </c>
      <c r="J54" s="23">
        <v>0</v>
      </c>
      <c r="K54" s="23">
        <f t="shared" si="2"/>
        <v>0</v>
      </c>
      <c r="L54" s="23"/>
      <c r="M54" s="23">
        <f t="shared" si="52"/>
        <v>16000</v>
      </c>
      <c r="N54" s="23">
        <v>0</v>
      </c>
      <c r="O54" s="23">
        <f t="shared" si="53"/>
        <v>0</v>
      </c>
      <c r="P54" s="23"/>
      <c r="Q54" s="23">
        <f t="shared" si="54"/>
        <v>16000</v>
      </c>
      <c r="R54" s="23">
        <v>0</v>
      </c>
      <c r="S54" s="23">
        <f t="shared" si="55"/>
        <v>0</v>
      </c>
      <c r="T54" s="23">
        <v>-16000</v>
      </c>
      <c r="U54" s="23">
        <f t="shared" si="56"/>
        <v>0</v>
      </c>
      <c r="V54" s="23">
        <v>0</v>
      </c>
      <c r="W54" s="23">
        <f t="shared" si="57"/>
        <v>0</v>
      </c>
      <c r="X54" s="23"/>
      <c r="Y54" s="23">
        <f t="shared" si="58"/>
        <v>0</v>
      </c>
      <c r="Z54" s="22">
        <v>0</v>
      </c>
      <c r="AA54" s="23">
        <f t="shared" si="59"/>
        <v>0</v>
      </c>
      <c r="AB54" s="22"/>
      <c r="AC54" s="23">
        <f t="shared" si="60"/>
        <v>0</v>
      </c>
      <c r="AD54" s="10" t="s">
        <v>81</v>
      </c>
      <c r="AE54" s="3">
        <v>0</v>
      </c>
    </row>
    <row r="55" spans="1:31" s="3" customFormat="1" ht="36" hidden="1" x14ac:dyDescent="0.35">
      <c r="A55" s="1" t="s">
        <v>98</v>
      </c>
      <c r="B55" s="8" t="s">
        <v>84</v>
      </c>
      <c r="C55" s="31" t="s">
        <v>13</v>
      </c>
      <c r="D55" s="21">
        <v>2754.2</v>
      </c>
      <c r="E55" s="21">
        <v>0</v>
      </c>
      <c r="F55" s="23"/>
      <c r="G55" s="23">
        <f t="shared" si="0"/>
        <v>2754.2</v>
      </c>
      <c r="H55" s="23">
        <v>0</v>
      </c>
      <c r="I55" s="23">
        <f t="shared" si="1"/>
        <v>0</v>
      </c>
      <c r="J55" s="23"/>
      <c r="K55" s="23">
        <f t="shared" si="2"/>
        <v>2754.2</v>
      </c>
      <c r="L55" s="23">
        <v>0</v>
      </c>
      <c r="M55" s="23">
        <f t="shared" si="52"/>
        <v>0</v>
      </c>
      <c r="N55" s="23"/>
      <c r="O55" s="23">
        <f t="shared" si="53"/>
        <v>2754.2</v>
      </c>
      <c r="P55" s="23">
        <v>0</v>
      </c>
      <c r="Q55" s="23">
        <f t="shared" si="54"/>
        <v>0</v>
      </c>
      <c r="R55" s="23"/>
      <c r="S55" s="23">
        <f t="shared" si="55"/>
        <v>2754.2</v>
      </c>
      <c r="T55" s="23">
        <v>0</v>
      </c>
      <c r="U55" s="23">
        <f t="shared" si="56"/>
        <v>0</v>
      </c>
      <c r="V55" s="23"/>
      <c r="W55" s="23">
        <f t="shared" si="57"/>
        <v>2754.2</v>
      </c>
      <c r="X55" s="23">
        <v>0</v>
      </c>
      <c r="Y55" s="23">
        <f t="shared" si="58"/>
        <v>0</v>
      </c>
      <c r="Z55" s="22">
        <v>-2754.2</v>
      </c>
      <c r="AA55" s="23">
        <f t="shared" si="59"/>
        <v>0</v>
      </c>
      <c r="AB55" s="22">
        <v>0</v>
      </c>
      <c r="AC55" s="23">
        <f t="shared" si="60"/>
        <v>0</v>
      </c>
      <c r="AD55" s="10" t="s">
        <v>86</v>
      </c>
      <c r="AE55" s="3">
        <v>0</v>
      </c>
    </row>
    <row r="56" spans="1:31" ht="54" x14ac:dyDescent="0.35">
      <c r="A56" s="53" t="s">
        <v>98</v>
      </c>
      <c r="B56" s="50" t="s">
        <v>84</v>
      </c>
      <c r="C56" s="54" t="s">
        <v>45</v>
      </c>
      <c r="D56" s="21"/>
      <c r="E56" s="21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2">
        <v>2754.2</v>
      </c>
      <c r="AA56" s="48">
        <f t="shared" si="59"/>
        <v>2754.2</v>
      </c>
      <c r="AB56" s="22"/>
      <c r="AC56" s="48">
        <f t="shared" si="60"/>
        <v>0</v>
      </c>
      <c r="AD56" s="10" t="s">
        <v>86</v>
      </c>
    </row>
    <row r="57" spans="1:31" s="3" customFormat="1" ht="36" hidden="1" x14ac:dyDescent="0.35">
      <c r="A57" s="33" t="s">
        <v>99</v>
      </c>
      <c r="B57" s="8" t="s">
        <v>85</v>
      </c>
      <c r="C57" s="31" t="s">
        <v>13</v>
      </c>
      <c r="D57" s="21">
        <v>2754.2</v>
      </c>
      <c r="E57" s="21">
        <v>0</v>
      </c>
      <c r="F57" s="23"/>
      <c r="G57" s="23">
        <f t="shared" si="0"/>
        <v>2754.2</v>
      </c>
      <c r="H57" s="23">
        <v>0</v>
      </c>
      <c r="I57" s="23">
        <f t="shared" si="1"/>
        <v>0</v>
      </c>
      <c r="J57" s="23"/>
      <c r="K57" s="23">
        <f t="shared" si="2"/>
        <v>2754.2</v>
      </c>
      <c r="L57" s="23">
        <v>0</v>
      </c>
      <c r="M57" s="23">
        <f t="shared" si="52"/>
        <v>0</v>
      </c>
      <c r="N57" s="23"/>
      <c r="O57" s="23">
        <f t="shared" si="53"/>
        <v>2754.2</v>
      </c>
      <c r="P57" s="23">
        <v>0</v>
      </c>
      <c r="Q57" s="23">
        <f t="shared" si="54"/>
        <v>0</v>
      </c>
      <c r="R57" s="23"/>
      <c r="S57" s="23">
        <f t="shared" si="55"/>
        <v>2754.2</v>
      </c>
      <c r="T57" s="23">
        <v>0</v>
      </c>
      <c r="U57" s="23">
        <f t="shared" si="56"/>
        <v>0</v>
      </c>
      <c r="V57" s="23"/>
      <c r="W57" s="23">
        <f t="shared" si="57"/>
        <v>2754.2</v>
      </c>
      <c r="X57" s="23">
        <v>0</v>
      </c>
      <c r="Y57" s="23">
        <f t="shared" si="58"/>
        <v>0</v>
      </c>
      <c r="Z57" s="22">
        <v>-2754.2</v>
      </c>
      <c r="AA57" s="23">
        <f t="shared" si="59"/>
        <v>0</v>
      </c>
      <c r="AB57" s="22">
        <v>0</v>
      </c>
      <c r="AC57" s="23">
        <f t="shared" si="60"/>
        <v>0</v>
      </c>
      <c r="AD57" s="10" t="s">
        <v>87</v>
      </c>
      <c r="AE57" s="3">
        <v>0</v>
      </c>
    </row>
    <row r="58" spans="1:31" ht="54" x14ac:dyDescent="0.35">
      <c r="A58" s="53" t="s">
        <v>99</v>
      </c>
      <c r="B58" s="50" t="s">
        <v>85</v>
      </c>
      <c r="C58" s="54" t="s">
        <v>45</v>
      </c>
      <c r="D58" s="21"/>
      <c r="E58" s="21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2">
        <v>2754.2</v>
      </c>
      <c r="AA58" s="48">
        <f t="shared" si="59"/>
        <v>2754.2</v>
      </c>
      <c r="AB58" s="22"/>
      <c r="AC58" s="48">
        <f t="shared" si="60"/>
        <v>0</v>
      </c>
      <c r="AD58" s="10" t="s">
        <v>87</v>
      </c>
    </row>
    <row r="59" spans="1:31" ht="36" x14ac:dyDescent="0.35">
      <c r="A59" s="93" t="s">
        <v>100</v>
      </c>
      <c r="B59" s="50" t="s">
        <v>208</v>
      </c>
      <c r="C59" s="55" t="s">
        <v>13</v>
      </c>
      <c r="D59" s="21"/>
      <c r="E59" s="21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>
        <v>20807.867999999999</v>
      </c>
      <c r="S59" s="23">
        <f t="shared" si="55"/>
        <v>20807.867999999999</v>
      </c>
      <c r="T59" s="23"/>
      <c r="U59" s="23">
        <f t="shared" si="56"/>
        <v>0</v>
      </c>
      <c r="V59" s="23"/>
      <c r="W59" s="23">
        <f t="shared" si="57"/>
        <v>20807.867999999999</v>
      </c>
      <c r="X59" s="23"/>
      <c r="Y59" s="23">
        <f t="shared" si="58"/>
        <v>0</v>
      </c>
      <c r="Z59" s="22"/>
      <c r="AA59" s="48">
        <f t="shared" si="59"/>
        <v>20807.867999999999</v>
      </c>
      <c r="AB59" s="22"/>
      <c r="AC59" s="48">
        <f t="shared" si="60"/>
        <v>0</v>
      </c>
      <c r="AD59" s="10" t="s">
        <v>209</v>
      </c>
    </row>
    <row r="60" spans="1:31" ht="54" x14ac:dyDescent="0.35">
      <c r="A60" s="94"/>
      <c r="B60" s="56"/>
      <c r="C60" s="54" t="s">
        <v>45</v>
      </c>
      <c r="D60" s="21"/>
      <c r="E60" s="21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>
        <f>R62+R63+R64</f>
        <v>180013.64499999999</v>
      </c>
      <c r="S60" s="23">
        <f t="shared" si="55"/>
        <v>180013.64499999999</v>
      </c>
      <c r="T60" s="23">
        <f>T62+T63+T64</f>
        <v>0</v>
      </c>
      <c r="U60" s="23">
        <f t="shared" si="56"/>
        <v>0</v>
      </c>
      <c r="V60" s="23">
        <f>V62+V63+V64</f>
        <v>0</v>
      </c>
      <c r="W60" s="23">
        <f t="shared" si="57"/>
        <v>180013.64499999999</v>
      </c>
      <c r="X60" s="23">
        <f>X62+X63+X64</f>
        <v>0</v>
      </c>
      <c r="Y60" s="23">
        <f t="shared" si="58"/>
        <v>0</v>
      </c>
      <c r="Z60" s="22">
        <f>Z62+Z63+Z64</f>
        <v>0</v>
      </c>
      <c r="AA60" s="48">
        <f t="shared" si="59"/>
        <v>180013.64499999999</v>
      </c>
      <c r="AB60" s="22">
        <f>AB62+AB63+AB64</f>
        <v>0</v>
      </c>
      <c r="AC60" s="48">
        <f t="shared" si="60"/>
        <v>0</v>
      </c>
    </row>
    <row r="61" spans="1:31" x14ac:dyDescent="0.35">
      <c r="A61" s="46"/>
      <c r="B61" s="57" t="s">
        <v>7</v>
      </c>
      <c r="C61" s="49"/>
      <c r="D61" s="21"/>
      <c r="E61" s="21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2"/>
      <c r="AA61" s="48"/>
      <c r="AB61" s="22"/>
      <c r="AC61" s="48"/>
    </row>
    <row r="62" spans="1:31" s="3" customFormat="1" hidden="1" x14ac:dyDescent="0.35">
      <c r="A62" s="1"/>
      <c r="B62" s="31" t="s">
        <v>8</v>
      </c>
      <c r="C62" s="31"/>
      <c r="D62" s="21"/>
      <c r="E62" s="21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>
        <f>13788.767+29321.478</f>
        <v>43110.244999999995</v>
      </c>
      <c r="S62" s="23">
        <f t="shared" si="55"/>
        <v>43110.244999999995</v>
      </c>
      <c r="T62" s="23"/>
      <c r="U62" s="23">
        <f t="shared" si="56"/>
        <v>0</v>
      </c>
      <c r="V62" s="23"/>
      <c r="W62" s="23">
        <f t="shared" ref="W62:W66" si="61">S62+V62</f>
        <v>43110.244999999995</v>
      </c>
      <c r="X62" s="23"/>
      <c r="Y62" s="23">
        <f t="shared" ref="Y62:Y66" si="62">U62+X62</f>
        <v>0</v>
      </c>
      <c r="Z62" s="22"/>
      <c r="AA62" s="23">
        <f t="shared" ref="AA62:AA66" si="63">W62+Z62</f>
        <v>43110.244999999995</v>
      </c>
      <c r="AB62" s="22"/>
      <c r="AC62" s="23">
        <f t="shared" ref="AC62:AC66" si="64">Y62+AB62</f>
        <v>0</v>
      </c>
      <c r="AD62" s="10" t="s">
        <v>209</v>
      </c>
      <c r="AE62" s="3">
        <v>0</v>
      </c>
    </row>
    <row r="63" spans="1:31" x14ac:dyDescent="0.35">
      <c r="A63" s="46"/>
      <c r="B63" s="49" t="s">
        <v>14</v>
      </c>
      <c r="C63" s="49"/>
      <c r="D63" s="21"/>
      <c r="E63" s="21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>
        <f>41366.1+95537.3</f>
        <v>136903.4</v>
      </c>
      <c r="S63" s="23">
        <f t="shared" si="55"/>
        <v>136903.4</v>
      </c>
      <c r="T63" s="23"/>
      <c r="U63" s="23">
        <f t="shared" si="56"/>
        <v>0</v>
      </c>
      <c r="V63" s="23"/>
      <c r="W63" s="23">
        <f t="shared" si="61"/>
        <v>136903.4</v>
      </c>
      <c r="X63" s="23"/>
      <c r="Y63" s="23">
        <f t="shared" si="62"/>
        <v>0</v>
      </c>
      <c r="Z63" s="22"/>
      <c r="AA63" s="48">
        <f t="shared" si="63"/>
        <v>136903.4</v>
      </c>
      <c r="AB63" s="22"/>
      <c r="AC63" s="48">
        <f t="shared" si="64"/>
        <v>0</v>
      </c>
      <c r="AD63" s="10" t="s">
        <v>222</v>
      </c>
    </row>
    <row r="64" spans="1:31" s="3" customFormat="1" hidden="1" x14ac:dyDescent="0.35">
      <c r="A64" s="1"/>
      <c r="B64" s="32" t="s">
        <v>22</v>
      </c>
      <c r="C64" s="31"/>
      <c r="D64" s="21"/>
      <c r="E64" s="21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>
        <f t="shared" si="55"/>
        <v>0</v>
      </c>
      <c r="T64" s="23"/>
      <c r="U64" s="23">
        <f t="shared" si="56"/>
        <v>0</v>
      </c>
      <c r="V64" s="23"/>
      <c r="W64" s="23">
        <f t="shared" si="61"/>
        <v>0</v>
      </c>
      <c r="X64" s="23"/>
      <c r="Y64" s="23">
        <f t="shared" si="62"/>
        <v>0</v>
      </c>
      <c r="Z64" s="22"/>
      <c r="AA64" s="23">
        <f t="shared" si="63"/>
        <v>0</v>
      </c>
      <c r="AB64" s="22"/>
      <c r="AC64" s="23">
        <f t="shared" si="64"/>
        <v>0</v>
      </c>
      <c r="AD64" s="10"/>
      <c r="AE64" s="3">
        <v>0</v>
      </c>
    </row>
    <row r="65" spans="1:31" s="3" customFormat="1" ht="36" hidden="1" x14ac:dyDescent="0.35">
      <c r="A65" s="1"/>
      <c r="B65" s="8" t="s">
        <v>208</v>
      </c>
      <c r="C65" s="31" t="s">
        <v>13</v>
      </c>
      <c r="D65" s="21"/>
      <c r="E65" s="21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>
        <f t="shared" si="55"/>
        <v>0</v>
      </c>
      <c r="T65" s="23"/>
      <c r="U65" s="23">
        <f t="shared" si="56"/>
        <v>0</v>
      </c>
      <c r="V65" s="23"/>
      <c r="W65" s="23">
        <f t="shared" si="61"/>
        <v>0</v>
      </c>
      <c r="X65" s="23"/>
      <c r="Y65" s="23">
        <f t="shared" si="62"/>
        <v>0</v>
      </c>
      <c r="Z65" s="22"/>
      <c r="AA65" s="23">
        <f t="shared" si="63"/>
        <v>0</v>
      </c>
      <c r="AB65" s="22"/>
      <c r="AC65" s="23">
        <f t="shared" si="64"/>
        <v>0</v>
      </c>
      <c r="AD65" s="10" t="s">
        <v>209</v>
      </c>
      <c r="AE65" s="3">
        <v>0</v>
      </c>
    </row>
    <row r="66" spans="1:31" ht="54" x14ac:dyDescent="0.35">
      <c r="A66" s="46" t="s">
        <v>101</v>
      </c>
      <c r="B66" s="50" t="s">
        <v>217</v>
      </c>
      <c r="C66" s="52" t="s">
        <v>45</v>
      </c>
      <c r="D66" s="21"/>
      <c r="E66" s="21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>
        <f>R68+R69+R70</f>
        <v>61398.394</v>
      </c>
      <c r="S66" s="23">
        <f t="shared" si="55"/>
        <v>61398.394</v>
      </c>
      <c r="T66" s="23">
        <f>T68+T69+T70</f>
        <v>0</v>
      </c>
      <c r="U66" s="23">
        <f t="shared" si="56"/>
        <v>0</v>
      </c>
      <c r="V66" s="23">
        <f>V68+V69+V70</f>
        <v>0</v>
      </c>
      <c r="W66" s="23">
        <f t="shared" si="61"/>
        <v>61398.394</v>
      </c>
      <c r="X66" s="23">
        <f>X68+X69+X70</f>
        <v>0</v>
      </c>
      <c r="Y66" s="23">
        <f t="shared" si="62"/>
        <v>0</v>
      </c>
      <c r="Z66" s="22">
        <f>Z68+Z69+Z70</f>
        <v>-6999.1490000000003</v>
      </c>
      <c r="AA66" s="48">
        <f t="shared" si="63"/>
        <v>54399.245000000003</v>
      </c>
      <c r="AB66" s="22">
        <f>AB68+AB69+AB70</f>
        <v>0</v>
      </c>
      <c r="AC66" s="48">
        <f t="shared" si="64"/>
        <v>0</v>
      </c>
    </row>
    <row r="67" spans="1:31" x14ac:dyDescent="0.35">
      <c r="A67" s="46"/>
      <c r="B67" s="47" t="s">
        <v>7</v>
      </c>
      <c r="C67" s="49"/>
      <c r="D67" s="21"/>
      <c r="E67" s="21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2"/>
      <c r="AA67" s="48"/>
      <c r="AB67" s="22"/>
      <c r="AC67" s="48"/>
    </row>
    <row r="68" spans="1:31" s="3" customFormat="1" hidden="1" x14ac:dyDescent="0.35">
      <c r="A68" s="1"/>
      <c r="B68" s="31" t="s">
        <v>8</v>
      </c>
      <c r="C68" s="31"/>
      <c r="D68" s="21"/>
      <c r="E68" s="21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>
        <f>6999.149+54.345</f>
        <v>7053.4940000000006</v>
      </c>
      <c r="S68" s="23">
        <f t="shared" si="55"/>
        <v>7053.4940000000006</v>
      </c>
      <c r="T68" s="23"/>
      <c r="U68" s="23">
        <f t="shared" si="56"/>
        <v>0</v>
      </c>
      <c r="V68" s="23"/>
      <c r="W68" s="23">
        <f t="shared" ref="W68:W74" si="65">S68+V68</f>
        <v>7053.4940000000006</v>
      </c>
      <c r="X68" s="23"/>
      <c r="Y68" s="23">
        <f t="shared" ref="Y68:Y74" si="66">U68+X68</f>
        <v>0</v>
      </c>
      <c r="Z68" s="22">
        <v>-6999.1490000000003</v>
      </c>
      <c r="AA68" s="23">
        <f t="shared" ref="AA68:AA74" si="67">W68+Z68</f>
        <v>54.345000000000255</v>
      </c>
      <c r="AB68" s="22"/>
      <c r="AC68" s="23">
        <f t="shared" ref="AC68:AC74" si="68">Y68+AB68</f>
        <v>0</v>
      </c>
      <c r="AD68" s="10" t="s">
        <v>218</v>
      </c>
      <c r="AE68" s="3">
        <v>0</v>
      </c>
    </row>
    <row r="69" spans="1:31" x14ac:dyDescent="0.35">
      <c r="A69" s="46"/>
      <c r="B69" s="49" t="s">
        <v>14</v>
      </c>
      <c r="C69" s="49"/>
      <c r="D69" s="21"/>
      <c r="E69" s="21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>
        <v>2717.2</v>
      </c>
      <c r="S69" s="23">
        <f t="shared" si="55"/>
        <v>2717.2</v>
      </c>
      <c r="T69" s="23"/>
      <c r="U69" s="23">
        <f t="shared" si="56"/>
        <v>0</v>
      </c>
      <c r="V69" s="23"/>
      <c r="W69" s="23">
        <f t="shared" si="65"/>
        <v>2717.2</v>
      </c>
      <c r="X69" s="23"/>
      <c r="Y69" s="23">
        <f t="shared" si="66"/>
        <v>0</v>
      </c>
      <c r="Z69" s="22"/>
      <c r="AA69" s="48">
        <f t="shared" si="67"/>
        <v>2717.2</v>
      </c>
      <c r="AB69" s="22"/>
      <c r="AC69" s="48">
        <f t="shared" si="68"/>
        <v>0</v>
      </c>
      <c r="AD69" s="10" t="s">
        <v>213</v>
      </c>
    </row>
    <row r="70" spans="1:31" x14ac:dyDescent="0.35">
      <c r="A70" s="46"/>
      <c r="B70" s="58" t="s">
        <v>22</v>
      </c>
      <c r="C70" s="49"/>
      <c r="D70" s="21"/>
      <c r="E70" s="21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>
        <v>51627.7</v>
      </c>
      <c r="S70" s="23">
        <f t="shared" si="55"/>
        <v>51627.7</v>
      </c>
      <c r="T70" s="23"/>
      <c r="U70" s="23">
        <f t="shared" si="56"/>
        <v>0</v>
      </c>
      <c r="V70" s="23"/>
      <c r="W70" s="23">
        <f t="shared" si="65"/>
        <v>51627.7</v>
      </c>
      <c r="X70" s="23"/>
      <c r="Y70" s="23">
        <f t="shared" si="66"/>
        <v>0</v>
      </c>
      <c r="Z70" s="22"/>
      <c r="AA70" s="48">
        <f t="shared" si="67"/>
        <v>51627.7</v>
      </c>
      <c r="AB70" s="22"/>
      <c r="AC70" s="48">
        <f t="shared" si="68"/>
        <v>0</v>
      </c>
      <c r="AD70" s="10" t="s">
        <v>213</v>
      </c>
    </row>
    <row r="71" spans="1:31" ht="54" x14ac:dyDescent="0.35">
      <c r="A71" s="46" t="s">
        <v>102</v>
      </c>
      <c r="B71" s="50" t="s">
        <v>224</v>
      </c>
      <c r="C71" s="52" t="s">
        <v>45</v>
      </c>
      <c r="D71" s="21"/>
      <c r="E71" s="21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>
        <f t="shared" si="55"/>
        <v>0</v>
      </c>
      <c r="T71" s="23">
        <v>27799.599999999999</v>
      </c>
      <c r="U71" s="23">
        <f t="shared" si="56"/>
        <v>27799.599999999999</v>
      </c>
      <c r="V71" s="23"/>
      <c r="W71" s="23">
        <f t="shared" si="65"/>
        <v>0</v>
      </c>
      <c r="X71" s="23"/>
      <c r="Y71" s="23">
        <f t="shared" si="66"/>
        <v>27799.599999999999</v>
      </c>
      <c r="Z71" s="22"/>
      <c r="AA71" s="48">
        <f t="shared" si="67"/>
        <v>0</v>
      </c>
      <c r="AB71" s="22"/>
      <c r="AC71" s="48">
        <f t="shared" si="68"/>
        <v>27799.599999999999</v>
      </c>
      <c r="AD71" s="10" t="s">
        <v>223</v>
      </c>
    </row>
    <row r="72" spans="1:31" ht="54" x14ac:dyDescent="0.35">
      <c r="A72" s="46" t="s">
        <v>103</v>
      </c>
      <c r="B72" s="50" t="s">
        <v>249</v>
      </c>
      <c r="C72" s="52" t="s">
        <v>45</v>
      </c>
      <c r="D72" s="21"/>
      <c r="E72" s="21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2"/>
      <c r="X72" s="23"/>
      <c r="Y72" s="22"/>
      <c r="Z72" s="22"/>
      <c r="AA72" s="48">
        <f t="shared" si="67"/>
        <v>0</v>
      </c>
      <c r="AB72" s="22">
        <f>33913.4-26413.4</f>
        <v>7500</v>
      </c>
      <c r="AC72" s="48">
        <f t="shared" si="68"/>
        <v>7500</v>
      </c>
      <c r="AD72" s="10" t="s">
        <v>235</v>
      </c>
    </row>
    <row r="73" spans="1:31" ht="54" x14ac:dyDescent="0.35">
      <c r="A73" s="46" t="s">
        <v>104</v>
      </c>
      <c r="B73" s="50" t="s">
        <v>248</v>
      </c>
      <c r="C73" s="52" t="s">
        <v>45</v>
      </c>
      <c r="D73" s="21"/>
      <c r="E73" s="21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2"/>
      <c r="X73" s="23"/>
      <c r="Y73" s="22"/>
      <c r="Z73" s="22"/>
      <c r="AA73" s="48">
        <f t="shared" si="67"/>
        <v>0</v>
      </c>
      <c r="AB73" s="22">
        <f>33913.4-26413.4</f>
        <v>7500</v>
      </c>
      <c r="AC73" s="48">
        <f t="shared" si="68"/>
        <v>7500</v>
      </c>
      <c r="AD73" s="10" t="s">
        <v>236</v>
      </c>
    </row>
    <row r="74" spans="1:31" x14ac:dyDescent="0.35">
      <c r="A74" s="46"/>
      <c r="B74" s="49" t="s">
        <v>26</v>
      </c>
      <c r="C74" s="49"/>
      <c r="D74" s="20">
        <f>D76+D77</f>
        <v>1648691.2</v>
      </c>
      <c r="E74" s="20">
        <f>E76+E77</f>
        <v>718582.2</v>
      </c>
      <c r="F74" s="20">
        <f>F76+F77+F78</f>
        <v>42143.399999999994</v>
      </c>
      <c r="G74" s="20">
        <f t="shared" si="0"/>
        <v>1690834.5999999999</v>
      </c>
      <c r="H74" s="20">
        <f>H76+H77+H78</f>
        <v>359968.4</v>
      </c>
      <c r="I74" s="20">
        <f t="shared" si="1"/>
        <v>1078550.6000000001</v>
      </c>
      <c r="J74" s="20">
        <f>J76+J77+J78</f>
        <v>14395.203</v>
      </c>
      <c r="K74" s="20">
        <f t="shared" si="2"/>
        <v>1705229.8029999998</v>
      </c>
      <c r="L74" s="20">
        <f>L76+L77+L78</f>
        <v>39449.546999999999</v>
      </c>
      <c r="M74" s="20">
        <f t="shared" si="52"/>
        <v>1118000.1470000001</v>
      </c>
      <c r="N74" s="20">
        <f>N76+N77+N78</f>
        <v>0</v>
      </c>
      <c r="O74" s="20">
        <f t="shared" si="53"/>
        <v>1705229.8029999998</v>
      </c>
      <c r="P74" s="20">
        <f>P76+P77+P78</f>
        <v>-39449.546999999999</v>
      </c>
      <c r="Q74" s="20">
        <f t="shared" si="54"/>
        <v>1078550.6000000001</v>
      </c>
      <c r="R74" s="20">
        <f>R76+R77+R78</f>
        <v>-31539.026000000002</v>
      </c>
      <c r="S74" s="20">
        <f t="shared" si="55"/>
        <v>1673690.7769999998</v>
      </c>
      <c r="T74" s="20">
        <f>T76+T77+T78</f>
        <v>0</v>
      </c>
      <c r="U74" s="20">
        <f t="shared" si="56"/>
        <v>1078550.6000000001</v>
      </c>
      <c r="V74" s="20">
        <f>V76+V77+V78</f>
        <v>23185.34</v>
      </c>
      <c r="W74" s="20">
        <f t="shared" si="65"/>
        <v>1696876.1169999999</v>
      </c>
      <c r="X74" s="20">
        <f>X76+X77+X78</f>
        <v>0</v>
      </c>
      <c r="Y74" s="20">
        <f t="shared" si="66"/>
        <v>1078550.6000000001</v>
      </c>
      <c r="Z74" s="20">
        <f>Z76+Z77+Z78+Z79</f>
        <v>202654.14</v>
      </c>
      <c r="AA74" s="48">
        <f t="shared" si="67"/>
        <v>1899530.2569999998</v>
      </c>
      <c r="AB74" s="20">
        <f>AB76+AB77+AB78+AB79</f>
        <v>458995.10799999995</v>
      </c>
      <c r="AC74" s="48">
        <f t="shared" si="68"/>
        <v>1537545.7080000001</v>
      </c>
    </row>
    <row r="75" spans="1:31" x14ac:dyDescent="0.35">
      <c r="A75" s="46"/>
      <c r="B75" s="47" t="s">
        <v>7</v>
      </c>
      <c r="C75" s="49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2"/>
      <c r="AA75" s="48"/>
      <c r="AB75" s="22"/>
      <c r="AC75" s="48"/>
    </row>
    <row r="76" spans="1:31" s="3" customFormat="1" hidden="1" x14ac:dyDescent="0.35">
      <c r="A76" s="1"/>
      <c r="B76" s="5" t="s">
        <v>8</v>
      </c>
      <c r="C76" s="5"/>
      <c r="D76" s="26">
        <f>D80+D81+D82+D83+D84+D85+D86+D87+D88+D89+D90+D91+D92+D95</f>
        <v>1085446.3999999999</v>
      </c>
      <c r="E76" s="26">
        <f>E80+E81+E82+E83+E84+E85+E86+E87+E88+E89+E90+E91+E92+E95</f>
        <v>563781.69999999995</v>
      </c>
      <c r="F76" s="26">
        <f>F80+F81+F82+F83+F84+F85+F86+F87+F88+F89+F90+F91+F92+F95+F106+F107+F108+F109+F110+F111</f>
        <v>-94000.000000000015</v>
      </c>
      <c r="G76" s="23">
        <f t="shared" si="0"/>
        <v>991446.39999999991</v>
      </c>
      <c r="H76" s="26">
        <f>H80+H81+H82+H83+H84+H85+H86+H87+H88+H89+H90+H91+H92+H95+H106+H107+H108+H109+H110+H111</f>
        <v>223825</v>
      </c>
      <c r="I76" s="23">
        <f t="shared" si="1"/>
        <v>787606.7</v>
      </c>
      <c r="J76" s="26">
        <f>J80+J81+J82+J83+J84+J85+J86+J87+J88+J89+J90+J91+J92+J95+J106+J107+J108+J109+J110+J111</f>
        <v>14395.203</v>
      </c>
      <c r="K76" s="23">
        <f t="shared" si="2"/>
        <v>1005841.6029999999</v>
      </c>
      <c r="L76" s="26">
        <f>L80+L81+L82+L83+L84+L85+L86+L87+L88+L89+L90+L91+L92+L95+L106+L107+L108+L109+L110+L111</f>
        <v>39449.546999999999</v>
      </c>
      <c r="M76" s="23">
        <f t="shared" ref="M76:M93" si="69">I76+L76</f>
        <v>827056.24699999997</v>
      </c>
      <c r="N76" s="26">
        <f>N80+N81+N82+N83+N84+N85+N86+N87+N88+N89+N90+N91+N92+N95+N106+N107+N108+N109+N110+N111</f>
        <v>0</v>
      </c>
      <c r="O76" s="23">
        <f t="shared" ref="O76:O93" si="70">K76+N76</f>
        <v>1005841.6029999999</v>
      </c>
      <c r="P76" s="26">
        <f>P80+P81+P82+P83+P84+P85+P86+P87+P88+P89+P90+P91+P92+P95+P106+P107+P108+P109+P110+P111</f>
        <v>-39449.546999999999</v>
      </c>
      <c r="Q76" s="23">
        <f t="shared" ref="Q76:Q93" si="71">M76+P76</f>
        <v>787606.7</v>
      </c>
      <c r="R76" s="26">
        <f>R80+R81+R82+R83+R84+R85+R86+R87+R88+R89+R90+R91+R92+R95+R106+R107+R108+R109+R110+R111</f>
        <v>-31539.026000000002</v>
      </c>
      <c r="S76" s="23">
        <f t="shared" ref="S76:S93" si="72">O76+R76</f>
        <v>974302.57699999993</v>
      </c>
      <c r="T76" s="26">
        <f>T80+T81+T82+T83+T84+T85+T86+T87+T88+T89+T90+T91+T92+T95+T106+T107+T108+T109+T110+T111</f>
        <v>0</v>
      </c>
      <c r="U76" s="23">
        <f t="shared" ref="U76:U93" si="73">Q76+T76</f>
        <v>787606.7</v>
      </c>
      <c r="V76" s="26">
        <f>V80+V81+V82+V83+V84+V85+V86+V87+V88+V89+V90+V91+V92+V95+V106+V107+V108+V109+V110+V111</f>
        <v>23185.34</v>
      </c>
      <c r="W76" s="23">
        <f t="shared" ref="W76:W93" si="74">S76+V76</f>
        <v>997487.9169999999</v>
      </c>
      <c r="X76" s="26">
        <f>X80+X81+X82+X83+X84+X85+X86+X87+X88+X89+X90+X91+X92+X95+X106+X107+X108+X109+X110+X111</f>
        <v>0</v>
      </c>
      <c r="Y76" s="23">
        <f t="shared" ref="Y76:Y93" si="75">U76+X76</f>
        <v>787606.7</v>
      </c>
      <c r="Z76" s="25">
        <f>Z80+Z81+Z82+Z83+Z84+Z85+Z86+Z87+Z88+Z89+Z90+Z91+Z92+Z95+Z106+Z107+Z108+Z109+Z110+Z111</f>
        <v>-357413.30499999999</v>
      </c>
      <c r="AA76" s="23">
        <f t="shared" ref="AA76:AA93" si="76">W76+Z76</f>
        <v>640074.61199999996</v>
      </c>
      <c r="AB76" s="25">
        <f>AB80+AB81+AB82+AB83+AB84+AB85+AB86+AB87+AB88+AB89+AB90+AB91+AB92+AB95+AB106+AB107+AB108+AB109+AB110+AB111</f>
        <v>-394000</v>
      </c>
      <c r="AC76" s="23">
        <f t="shared" ref="AC76:AC93" si="77">Y76+AB76</f>
        <v>393606.69999999995</v>
      </c>
      <c r="AD76" s="10"/>
      <c r="AE76" s="3">
        <v>0</v>
      </c>
    </row>
    <row r="77" spans="1:31" x14ac:dyDescent="0.35">
      <c r="A77" s="46"/>
      <c r="B77" s="49" t="s">
        <v>14</v>
      </c>
      <c r="C77" s="49"/>
      <c r="D77" s="23">
        <f>D96+D101+D104</f>
        <v>563244.80000000005</v>
      </c>
      <c r="E77" s="23">
        <f>E96+E101+E104</f>
        <v>154800.5</v>
      </c>
      <c r="F77" s="23">
        <f>F96+F101+F104</f>
        <v>-710.7</v>
      </c>
      <c r="G77" s="23">
        <f t="shared" si="0"/>
        <v>562534.10000000009</v>
      </c>
      <c r="H77" s="23">
        <f>H96+H101+H104</f>
        <v>-710.7</v>
      </c>
      <c r="I77" s="23">
        <f t="shared" si="1"/>
        <v>154089.79999999999</v>
      </c>
      <c r="J77" s="23">
        <f>J96+J101+J104</f>
        <v>0</v>
      </c>
      <c r="K77" s="23">
        <f t="shared" si="2"/>
        <v>562534.10000000009</v>
      </c>
      <c r="L77" s="23">
        <f>L96+L101+L104</f>
        <v>0</v>
      </c>
      <c r="M77" s="23">
        <f t="shared" si="69"/>
        <v>154089.79999999999</v>
      </c>
      <c r="N77" s="23">
        <f>N96+N101+N104</f>
        <v>0</v>
      </c>
      <c r="O77" s="23">
        <f t="shared" si="70"/>
        <v>562534.10000000009</v>
      </c>
      <c r="P77" s="23">
        <f>P96+P101+P104</f>
        <v>0</v>
      </c>
      <c r="Q77" s="23">
        <f t="shared" si="71"/>
        <v>154089.79999999999</v>
      </c>
      <c r="R77" s="23">
        <f>R96+R101+R104</f>
        <v>0</v>
      </c>
      <c r="S77" s="23">
        <f t="shared" si="72"/>
        <v>562534.10000000009</v>
      </c>
      <c r="T77" s="23">
        <f>T96+T101+T104</f>
        <v>0</v>
      </c>
      <c r="U77" s="23">
        <f t="shared" si="73"/>
        <v>154089.79999999999</v>
      </c>
      <c r="V77" s="23">
        <f>V96+V101+V104</f>
        <v>0</v>
      </c>
      <c r="W77" s="23">
        <f t="shared" si="74"/>
        <v>562534.10000000009</v>
      </c>
      <c r="X77" s="23">
        <f>X96+X101+X104</f>
        <v>0</v>
      </c>
      <c r="Y77" s="23">
        <f t="shared" si="75"/>
        <v>154089.79999999999</v>
      </c>
      <c r="Z77" s="22">
        <f>Z96+Z101+Z104</f>
        <v>-249341.21899999998</v>
      </c>
      <c r="AA77" s="48">
        <f t="shared" si="76"/>
        <v>313192.88100000011</v>
      </c>
      <c r="AB77" s="22">
        <f>AB96+AB101+AB104</f>
        <v>42649.756000000001</v>
      </c>
      <c r="AC77" s="48">
        <f t="shared" si="77"/>
        <v>196739.55599999998</v>
      </c>
    </row>
    <row r="78" spans="1:31" x14ac:dyDescent="0.35">
      <c r="A78" s="46"/>
      <c r="B78" s="49" t="s">
        <v>22</v>
      </c>
      <c r="C78" s="49"/>
      <c r="D78" s="23"/>
      <c r="E78" s="23"/>
      <c r="F78" s="23">
        <f>F97+F105</f>
        <v>136854.1</v>
      </c>
      <c r="G78" s="23">
        <f t="shared" si="0"/>
        <v>136854.1</v>
      </c>
      <c r="H78" s="23">
        <f>H97+H105</f>
        <v>136854.1</v>
      </c>
      <c r="I78" s="23">
        <f t="shared" si="1"/>
        <v>136854.1</v>
      </c>
      <c r="J78" s="23">
        <f>J97+J105</f>
        <v>0</v>
      </c>
      <c r="K78" s="23">
        <f t="shared" si="2"/>
        <v>136854.1</v>
      </c>
      <c r="L78" s="23">
        <f>L97+L105</f>
        <v>0</v>
      </c>
      <c r="M78" s="23">
        <f t="shared" si="69"/>
        <v>136854.1</v>
      </c>
      <c r="N78" s="23">
        <f>N97+N105</f>
        <v>0</v>
      </c>
      <c r="O78" s="23">
        <f t="shared" si="70"/>
        <v>136854.1</v>
      </c>
      <c r="P78" s="23">
        <f>P97+P105</f>
        <v>0</v>
      </c>
      <c r="Q78" s="23">
        <f t="shared" si="71"/>
        <v>136854.1</v>
      </c>
      <c r="R78" s="23">
        <f>R97+R105</f>
        <v>0</v>
      </c>
      <c r="S78" s="23">
        <f t="shared" si="72"/>
        <v>136854.1</v>
      </c>
      <c r="T78" s="23">
        <f>T97+T105</f>
        <v>0</v>
      </c>
      <c r="U78" s="23">
        <f t="shared" si="73"/>
        <v>136854.1</v>
      </c>
      <c r="V78" s="23">
        <f>V97+V105</f>
        <v>0</v>
      </c>
      <c r="W78" s="23">
        <f t="shared" si="74"/>
        <v>136854.1</v>
      </c>
      <c r="X78" s="23">
        <f>X97+X105</f>
        <v>0</v>
      </c>
      <c r="Y78" s="23">
        <f t="shared" si="75"/>
        <v>136854.1</v>
      </c>
      <c r="Z78" s="22">
        <f>Z97+Z105</f>
        <v>0</v>
      </c>
      <c r="AA78" s="48">
        <f t="shared" si="76"/>
        <v>136854.1</v>
      </c>
      <c r="AB78" s="22">
        <f>AB97+AB105</f>
        <v>0</v>
      </c>
      <c r="AC78" s="48">
        <f t="shared" si="77"/>
        <v>136854.1</v>
      </c>
    </row>
    <row r="79" spans="1:31" ht="36" x14ac:dyDescent="0.35">
      <c r="A79" s="46"/>
      <c r="B79" s="49" t="s">
        <v>229</v>
      </c>
      <c r="C79" s="49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2">
        <f>Z98</f>
        <v>809408.66399999999</v>
      </c>
      <c r="AA79" s="48">
        <f t="shared" si="76"/>
        <v>809408.66399999999</v>
      </c>
      <c r="AB79" s="22">
        <f>AB98</f>
        <v>810345.35199999996</v>
      </c>
      <c r="AC79" s="48">
        <f t="shared" si="77"/>
        <v>810345.35199999996</v>
      </c>
    </row>
    <row r="80" spans="1:31" ht="54" x14ac:dyDescent="0.35">
      <c r="A80" s="46" t="s">
        <v>105</v>
      </c>
      <c r="B80" s="49" t="s">
        <v>56</v>
      </c>
      <c r="C80" s="52" t="s">
        <v>45</v>
      </c>
      <c r="D80" s="23">
        <v>34448</v>
      </c>
      <c r="E80" s="23">
        <v>0</v>
      </c>
      <c r="F80" s="23"/>
      <c r="G80" s="23">
        <f t="shared" si="0"/>
        <v>34448</v>
      </c>
      <c r="H80" s="23">
        <v>0</v>
      </c>
      <c r="I80" s="23">
        <f t="shared" si="1"/>
        <v>0</v>
      </c>
      <c r="J80" s="23"/>
      <c r="K80" s="23">
        <f t="shared" si="2"/>
        <v>34448</v>
      </c>
      <c r="L80" s="23">
        <v>39449.546999999999</v>
      </c>
      <c r="M80" s="23">
        <f t="shared" si="69"/>
        <v>39449.546999999999</v>
      </c>
      <c r="N80" s="23"/>
      <c r="O80" s="23">
        <f t="shared" si="70"/>
        <v>34448</v>
      </c>
      <c r="P80" s="23">
        <v>-39449.546999999999</v>
      </c>
      <c r="Q80" s="23">
        <f t="shared" si="71"/>
        <v>0</v>
      </c>
      <c r="R80" s="23"/>
      <c r="S80" s="23">
        <f t="shared" si="72"/>
        <v>34448</v>
      </c>
      <c r="T80" s="23"/>
      <c r="U80" s="23">
        <f t="shared" si="73"/>
        <v>0</v>
      </c>
      <c r="V80" s="23"/>
      <c r="W80" s="23">
        <f t="shared" si="74"/>
        <v>34448</v>
      </c>
      <c r="X80" s="23"/>
      <c r="Y80" s="23">
        <f t="shared" si="75"/>
        <v>0</v>
      </c>
      <c r="Z80" s="22"/>
      <c r="AA80" s="48">
        <f t="shared" si="76"/>
        <v>34448</v>
      </c>
      <c r="AB80" s="22"/>
      <c r="AC80" s="48">
        <f t="shared" si="77"/>
        <v>0</v>
      </c>
      <c r="AD80" s="10">
        <v>1710141090</v>
      </c>
    </row>
    <row r="81" spans="1:32" ht="54" x14ac:dyDescent="0.35">
      <c r="A81" s="46" t="s">
        <v>106</v>
      </c>
      <c r="B81" s="49" t="s">
        <v>44</v>
      </c>
      <c r="C81" s="52" t="s">
        <v>45</v>
      </c>
      <c r="D81" s="23">
        <v>108206.8</v>
      </c>
      <c r="E81" s="23">
        <v>50000</v>
      </c>
      <c r="F81" s="23"/>
      <c r="G81" s="23">
        <f t="shared" si="0"/>
        <v>108206.8</v>
      </c>
      <c r="H81" s="23">
        <v>49000</v>
      </c>
      <c r="I81" s="23">
        <f t="shared" si="1"/>
        <v>99000</v>
      </c>
      <c r="J81" s="23"/>
      <c r="K81" s="23">
        <f t="shared" si="2"/>
        <v>108206.8</v>
      </c>
      <c r="L81" s="23"/>
      <c r="M81" s="23">
        <f t="shared" si="69"/>
        <v>99000</v>
      </c>
      <c r="N81" s="23"/>
      <c r="O81" s="23">
        <f t="shared" si="70"/>
        <v>108206.8</v>
      </c>
      <c r="P81" s="23"/>
      <c r="Q81" s="23">
        <f t="shared" si="71"/>
        <v>99000</v>
      </c>
      <c r="R81" s="23">
        <v>-31539.026000000002</v>
      </c>
      <c r="S81" s="23">
        <f t="shared" si="72"/>
        <v>76667.774000000005</v>
      </c>
      <c r="T81" s="23"/>
      <c r="U81" s="23">
        <f t="shared" si="73"/>
        <v>99000</v>
      </c>
      <c r="V81" s="23">
        <v>23185.34</v>
      </c>
      <c r="W81" s="23">
        <f t="shared" si="74"/>
        <v>99853.114000000001</v>
      </c>
      <c r="X81" s="23"/>
      <c r="Y81" s="23">
        <f t="shared" si="75"/>
        <v>99000</v>
      </c>
      <c r="Z81" s="22"/>
      <c r="AA81" s="48">
        <f t="shared" si="76"/>
        <v>99853.114000000001</v>
      </c>
      <c r="AB81" s="22"/>
      <c r="AC81" s="48">
        <f t="shared" si="77"/>
        <v>99000</v>
      </c>
      <c r="AD81" s="10">
        <v>1710141130</v>
      </c>
    </row>
    <row r="82" spans="1:32" ht="54" x14ac:dyDescent="0.35">
      <c r="A82" s="46" t="s">
        <v>107</v>
      </c>
      <c r="B82" s="49" t="s">
        <v>46</v>
      </c>
      <c r="C82" s="52" t="s">
        <v>45</v>
      </c>
      <c r="D82" s="23">
        <v>30419.7</v>
      </c>
      <c r="E82" s="23">
        <v>0</v>
      </c>
      <c r="F82" s="23"/>
      <c r="G82" s="23">
        <f t="shared" si="0"/>
        <v>30419.7</v>
      </c>
      <c r="H82" s="23"/>
      <c r="I82" s="23">
        <f t="shared" si="1"/>
        <v>0</v>
      </c>
      <c r="J82" s="23"/>
      <c r="K82" s="23">
        <f t="shared" si="2"/>
        <v>30419.7</v>
      </c>
      <c r="L82" s="23"/>
      <c r="M82" s="23">
        <f t="shared" si="69"/>
        <v>0</v>
      </c>
      <c r="N82" s="23"/>
      <c r="O82" s="23">
        <f t="shared" si="70"/>
        <v>30419.7</v>
      </c>
      <c r="P82" s="23"/>
      <c r="Q82" s="23">
        <f t="shared" si="71"/>
        <v>0</v>
      </c>
      <c r="R82" s="23"/>
      <c r="S82" s="23">
        <f t="shared" si="72"/>
        <v>30419.7</v>
      </c>
      <c r="T82" s="23"/>
      <c r="U82" s="23">
        <f t="shared" si="73"/>
        <v>0</v>
      </c>
      <c r="V82" s="23"/>
      <c r="W82" s="23">
        <f t="shared" si="74"/>
        <v>30419.7</v>
      </c>
      <c r="X82" s="23"/>
      <c r="Y82" s="23">
        <f t="shared" si="75"/>
        <v>0</v>
      </c>
      <c r="Z82" s="22"/>
      <c r="AA82" s="48">
        <f t="shared" si="76"/>
        <v>30419.7</v>
      </c>
      <c r="AB82" s="22"/>
      <c r="AC82" s="48">
        <f t="shared" si="77"/>
        <v>0</v>
      </c>
      <c r="AD82" s="10">
        <v>1710141210</v>
      </c>
    </row>
    <row r="83" spans="1:32" ht="54" x14ac:dyDescent="0.35">
      <c r="A83" s="46" t="s">
        <v>108</v>
      </c>
      <c r="B83" s="49" t="s">
        <v>47</v>
      </c>
      <c r="C83" s="52" t="s">
        <v>45</v>
      </c>
      <c r="D83" s="21">
        <v>52469</v>
      </c>
      <c r="E83" s="21">
        <v>20765</v>
      </c>
      <c r="F83" s="23"/>
      <c r="G83" s="23">
        <f t="shared" si="0"/>
        <v>52469</v>
      </c>
      <c r="H83" s="23">
        <v>37555.4</v>
      </c>
      <c r="I83" s="23">
        <f t="shared" si="1"/>
        <v>58320.4</v>
      </c>
      <c r="J83" s="23"/>
      <c r="K83" s="23">
        <f t="shared" si="2"/>
        <v>52469</v>
      </c>
      <c r="L83" s="23"/>
      <c r="M83" s="23">
        <f t="shared" si="69"/>
        <v>58320.4</v>
      </c>
      <c r="N83" s="23"/>
      <c r="O83" s="23">
        <f t="shared" si="70"/>
        <v>52469</v>
      </c>
      <c r="P83" s="23"/>
      <c r="Q83" s="23">
        <f t="shared" si="71"/>
        <v>58320.4</v>
      </c>
      <c r="R83" s="23"/>
      <c r="S83" s="23">
        <f t="shared" si="72"/>
        <v>52469</v>
      </c>
      <c r="T83" s="23"/>
      <c r="U83" s="23">
        <f t="shared" si="73"/>
        <v>58320.4</v>
      </c>
      <c r="V83" s="23"/>
      <c r="W83" s="23">
        <f t="shared" si="74"/>
        <v>52469</v>
      </c>
      <c r="X83" s="23"/>
      <c r="Y83" s="23">
        <f t="shared" si="75"/>
        <v>58320.4</v>
      </c>
      <c r="Z83" s="22"/>
      <c r="AA83" s="48">
        <f t="shared" si="76"/>
        <v>52469</v>
      </c>
      <c r="AB83" s="22"/>
      <c r="AC83" s="48">
        <f t="shared" si="77"/>
        <v>58320.4</v>
      </c>
      <c r="AD83" s="10">
        <v>1710142260</v>
      </c>
    </row>
    <row r="84" spans="1:32" ht="54" x14ac:dyDescent="0.35">
      <c r="A84" s="46" t="s">
        <v>109</v>
      </c>
      <c r="B84" s="49" t="s">
        <v>48</v>
      </c>
      <c r="C84" s="52" t="s">
        <v>45</v>
      </c>
      <c r="D84" s="21">
        <v>40000</v>
      </c>
      <c r="E84" s="21">
        <v>70000</v>
      </c>
      <c r="F84" s="23">
        <v>-20000</v>
      </c>
      <c r="G84" s="23">
        <f t="shared" si="0"/>
        <v>20000</v>
      </c>
      <c r="H84" s="23">
        <v>20000</v>
      </c>
      <c r="I84" s="23">
        <f t="shared" si="1"/>
        <v>90000</v>
      </c>
      <c r="J84" s="23"/>
      <c r="K84" s="23">
        <f t="shared" si="2"/>
        <v>20000</v>
      </c>
      <c r="L84" s="23"/>
      <c r="M84" s="23">
        <f t="shared" si="69"/>
        <v>90000</v>
      </c>
      <c r="N84" s="23"/>
      <c r="O84" s="23">
        <f t="shared" si="70"/>
        <v>20000</v>
      </c>
      <c r="P84" s="23"/>
      <c r="Q84" s="23">
        <f t="shared" si="71"/>
        <v>90000</v>
      </c>
      <c r="R84" s="23"/>
      <c r="S84" s="23">
        <f t="shared" si="72"/>
        <v>20000</v>
      </c>
      <c r="T84" s="23"/>
      <c r="U84" s="23">
        <f t="shared" si="73"/>
        <v>90000</v>
      </c>
      <c r="V84" s="23"/>
      <c r="W84" s="23">
        <f t="shared" si="74"/>
        <v>20000</v>
      </c>
      <c r="X84" s="23"/>
      <c r="Y84" s="23">
        <f t="shared" si="75"/>
        <v>90000</v>
      </c>
      <c r="Z84" s="22"/>
      <c r="AA84" s="48">
        <f t="shared" si="76"/>
        <v>20000</v>
      </c>
      <c r="AB84" s="22"/>
      <c r="AC84" s="48">
        <f t="shared" si="77"/>
        <v>90000</v>
      </c>
      <c r="AD84" s="10">
        <v>1710142180</v>
      </c>
    </row>
    <row r="85" spans="1:32" ht="54" x14ac:dyDescent="0.35">
      <c r="A85" s="46" t="s">
        <v>110</v>
      </c>
      <c r="B85" s="49" t="s">
        <v>49</v>
      </c>
      <c r="C85" s="52" t="s">
        <v>45</v>
      </c>
      <c r="D85" s="21">
        <v>25565.1</v>
      </c>
      <c r="E85" s="21">
        <v>0</v>
      </c>
      <c r="F85" s="23">
        <v>2840</v>
      </c>
      <c r="G85" s="23">
        <f t="shared" si="0"/>
        <v>28405.1</v>
      </c>
      <c r="H85" s="23"/>
      <c r="I85" s="23">
        <f t="shared" si="1"/>
        <v>0</v>
      </c>
      <c r="J85" s="23"/>
      <c r="K85" s="23">
        <f t="shared" si="2"/>
        <v>28405.1</v>
      </c>
      <c r="L85" s="23"/>
      <c r="M85" s="23">
        <f t="shared" si="69"/>
        <v>0</v>
      </c>
      <c r="N85" s="23"/>
      <c r="O85" s="23">
        <f t="shared" si="70"/>
        <v>28405.1</v>
      </c>
      <c r="P85" s="23"/>
      <c r="Q85" s="23">
        <f t="shared" si="71"/>
        <v>0</v>
      </c>
      <c r="R85" s="23"/>
      <c r="S85" s="23">
        <f t="shared" si="72"/>
        <v>28405.1</v>
      </c>
      <c r="T85" s="23"/>
      <c r="U85" s="23">
        <f t="shared" si="73"/>
        <v>0</v>
      </c>
      <c r="V85" s="23"/>
      <c r="W85" s="23">
        <f t="shared" si="74"/>
        <v>28405.1</v>
      </c>
      <c r="X85" s="23"/>
      <c r="Y85" s="23">
        <f t="shared" si="75"/>
        <v>0</v>
      </c>
      <c r="Z85" s="22"/>
      <c r="AA85" s="48">
        <f t="shared" si="76"/>
        <v>28405.1</v>
      </c>
      <c r="AB85" s="22"/>
      <c r="AC85" s="48">
        <f t="shared" si="77"/>
        <v>0</v>
      </c>
      <c r="AD85" s="10">
        <v>1710142330</v>
      </c>
    </row>
    <row r="86" spans="1:32" ht="54" x14ac:dyDescent="0.35">
      <c r="A86" s="46" t="s">
        <v>111</v>
      </c>
      <c r="B86" s="49" t="s">
        <v>50</v>
      </c>
      <c r="C86" s="52" t="s">
        <v>45</v>
      </c>
      <c r="D86" s="21">
        <v>522</v>
      </c>
      <c r="E86" s="21">
        <v>0</v>
      </c>
      <c r="F86" s="23"/>
      <c r="G86" s="23">
        <f t="shared" si="0"/>
        <v>522</v>
      </c>
      <c r="H86" s="23"/>
      <c r="I86" s="23">
        <f t="shared" si="1"/>
        <v>0</v>
      </c>
      <c r="J86" s="23"/>
      <c r="K86" s="23">
        <f t="shared" si="2"/>
        <v>522</v>
      </c>
      <c r="L86" s="23"/>
      <c r="M86" s="23">
        <f t="shared" si="69"/>
        <v>0</v>
      </c>
      <c r="N86" s="23"/>
      <c r="O86" s="23">
        <f t="shared" si="70"/>
        <v>522</v>
      </c>
      <c r="P86" s="23"/>
      <c r="Q86" s="23">
        <f t="shared" si="71"/>
        <v>0</v>
      </c>
      <c r="R86" s="23"/>
      <c r="S86" s="23">
        <f t="shared" si="72"/>
        <v>522</v>
      </c>
      <c r="T86" s="23"/>
      <c r="U86" s="23">
        <f t="shared" si="73"/>
        <v>0</v>
      </c>
      <c r="V86" s="23"/>
      <c r="W86" s="23">
        <f t="shared" si="74"/>
        <v>522</v>
      </c>
      <c r="X86" s="23"/>
      <c r="Y86" s="23">
        <f t="shared" si="75"/>
        <v>0</v>
      </c>
      <c r="Z86" s="22"/>
      <c r="AA86" s="48">
        <f t="shared" si="76"/>
        <v>522</v>
      </c>
      <c r="AB86" s="22"/>
      <c r="AC86" s="48">
        <f t="shared" si="77"/>
        <v>0</v>
      </c>
      <c r="AD86" s="10">
        <v>1710142340</v>
      </c>
    </row>
    <row r="87" spans="1:32" ht="54" x14ac:dyDescent="0.35">
      <c r="A87" s="46" t="s">
        <v>112</v>
      </c>
      <c r="B87" s="49" t="s">
        <v>51</v>
      </c>
      <c r="C87" s="52" t="s">
        <v>45</v>
      </c>
      <c r="D87" s="21">
        <v>3897</v>
      </c>
      <c r="E87" s="21">
        <v>0</v>
      </c>
      <c r="F87" s="23"/>
      <c r="G87" s="23">
        <f t="shared" si="0"/>
        <v>3897</v>
      </c>
      <c r="H87" s="23"/>
      <c r="I87" s="23">
        <f t="shared" si="1"/>
        <v>0</v>
      </c>
      <c r="J87" s="23"/>
      <c r="K87" s="23">
        <f t="shared" si="2"/>
        <v>3897</v>
      </c>
      <c r="L87" s="23"/>
      <c r="M87" s="23">
        <f t="shared" si="69"/>
        <v>0</v>
      </c>
      <c r="N87" s="23"/>
      <c r="O87" s="23">
        <f t="shared" si="70"/>
        <v>3897</v>
      </c>
      <c r="P87" s="23"/>
      <c r="Q87" s="23">
        <f t="shared" si="71"/>
        <v>0</v>
      </c>
      <c r="R87" s="23"/>
      <c r="S87" s="23">
        <f t="shared" si="72"/>
        <v>3897</v>
      </c>
      <c r="T87" s="23"/>
      <c r="U87" s="23">
        <f t="shared" si="73"/>
        <v>0</v>
      </c>
      <c r="V87" s="23"/>
      <c r="W87" s="23">
        <f t="shared" si="74"/>
        <v>3897</v>
      </c>
      <c r="X87" s="23"/>
      <c r="Y87" s="23">
        <f t="shared" si="75"/>
        <v>0</v>
      </c>
      <c r="Z87" s="22"/>
      <c r="AA87" s="48">
        <f t="shared" si="76"/>
        <v>3897</v>
      </c>
      <c r="AB87" s="22"/>
      <c r="AC87" s="48">
        <f t="shared" si="77"/>
        <v>0</v>
      </c>
      <c r="AD87" s="10">
        <v>1710142350</v>
      </c>
    </row>
    <row r="88" spans="1:32" ht="54" x14ac:dyDescent="0.35">
      <c r="A88" s="46" t="s">
        <v>113</v>
      </c>
      <c r="B88" s="49" t="s">
        <v>52</v>
      </c>
      <c r="C88" s="52" t="s">
        <v>45</v>
      </c>
      <c r="D88" s="21">
        <v>22500</v>
      </c>
      <c r="E88" s="21">
        <v>0</v>
      </c>
      <c r="F88" s="23">
        <v>2500</v>
      </c>
      <c r="G88" s="23">
        <f t="shared" si="0"/>
        <v>25000</v>
      </c>
      <c r="H88" s="23"/>
      <c r="I88" s="23">
        <f t="shared" si="1"/>
        <v>0</v>
      </c>
      <c r="J88" s="23"/>
      <c r="K88" s="23">
        <f t="shared" si="2"/>
        <v>25000</v>
      </c>
      <c r="L88" s="23"/>
      <c r="M88" s="23">
        <f t="shared" si="69"/>
        <v>0</v>
      </c>
      <c r="N88" s="23"/>
      <c r="O88" s="23">
        <f t="shared" si="70"/>
        <v>25000</v>
      </c>
      <c r="P88" s="23"/>
      <c r="Q88" s="23">
        <f t="shared" si="71"/>
        <v>0</v>
      </c>
      <c r="R88" s="23"/>
      <c r="S88" s="23">
        <f t="shared" si="72"/>
        <v>25000</v>
      </c>
      <c r="T88" s="23"/>
      <c r="U88" s="23">
        <f t="shared" si="73"/>
        <v>0</v>
      </c>
      <c r="V88" s="23"/>
      <c r="W88" s="23">
        <f t="shared" si="74"/>
        <v>25000</v>
      </c>
      <c r="X88" s="23"/>
      <c r="Y88" s="23">
        <f t="shared" si="75"/>
        <v>0</v>
      </c>
      <c r="Z88" s="22"/>
      <c r="AA88" s="48">
        <f t="shared" si="76"/>
        <v>25000</v>
      </c>
      <c r="AB88" s="22"/>
      <c r="AC88" s="48">
        <f t="shared" si="77"/>
        <v>0</v>
      </c>
      <c r="AD88" s="10">
        <v>1710142360</v>
      </c>
    </row>
    <row r="89" spans="1:32" ht="54" x14ac:dyDescent="0.35">
      <c r="A89" s="46" t="s">
        <v>114</v>
      </c>
      <c r="B89" s="49" t="s">
        <v>53</v>
      </c>
      <c r="C89" s="52" t="s">
        <v>45</v>
      </c>
      <c r="D89" s="21">
        <v>61227</v>
      </c>
      <c r="E89" s="21">
        <v>0</v>
      </c>
      <c r="F89" s="23">
        <f>6803-23269.6</f>
        <v>-16466.599999999999</v>
      </c>
      <c r="G89" s="23">
        <f t="shared" si="0"/>
        <v>44760.4</v>
      </c>
      <c r="H89" s="23">
        <v>23269.599999999999</v>
      </c>
      <c r="I89" s="23">
        <f t="shared" si="1"/>
        <v>23269.599999999999</v>
      </c>
      <c r="J89" s="23"/>
      <c r="K89" s="23">
        <f t="shared" si="2"/>
        <v>44760.4</v>
      </c>
      <c r="L89" s="23"/>
      <c r="M89" s="23">
        <f t="shared" si="69"/>
        <v>23269.599999999999</v>
      </c>
      <c r="N89" s="23"/>
      <c r="O89" s="23">
        <f t="shared" si="70"/>
        <v>44760.4</v>
      </c>
      <c r="P89" s="23"/>
      <c r="Q89" s="23">
        <f t="shared" si="71"/>
        <v>23269.599999999999</v>
      </c>
      <c r="R89" s="23"/>
      <c r="S89" s="23">
        <f t="shared" si="72"/>
        <v>44760.4</v>
      </c>
      <c r="T89" s="23"/>
      <c r="U89" s="23">
        <f t="shared" si="73"/>
        <v>23269.599999999999</v>
      </c>
      <c r="V89" s="23"/>
      <c r="W89" s="23">
        <f t="shared" si="74"/>
        <v>44760.4</v>
      </c>
      <c r="X89" s="23"/>
      <c r="Y89" s="23">
        <f t="shared" si="75"/>
        <v>23269.599999999999</v>
      </c>
      <c r="Z89" s="22"/>
      <c r="AA89" s="48">
        <f t="shared" si="76"/>
        <v>44760.4</v>
      </c>
      <c r="AB89" s="22"/>
      <c r="AC89" s="48">
        <f t="shared" si="77"/>
        <v>23269.599999999999</v>
      </c>
      <c r="AD89" s="10">
        <v>1710142370</v>
      </c>
    </row>
    <row r="90" spans="1:32" ht="54" x14ac:dyDescent="0.35">
      <c r="A90" s="46" t="s">
        <v>115</v>
      </c>
      <c r="B90" s="49" t="s">
        <v>54</v>
      </c>
      <c r="C90" s="52" t="s">
        <v>45</v>
      </c>
      <c r="D90" s="21">
        <v>26760.3</v>
      </c>
      <c r="E90" s="21">
        <v>8016.7</v>
      </c>
      <c r="F90" s="23"/>
      <c r="G90" s="23">
        <f t="shared" si="0"/>
        <v>26760.3</v>
      </c>
      <c r="H90" s="23"/>
      <c r="I90" s="23">
        <f t="shared" si="1"/>
        <v>8016.7</v>
      </c>
      <c r="J90" s="23"/>
      <c r="K90" s="23">
        <f t="shared" si="2"/>
        <v>26760.3</v>
      </c>
      <c r="L90" s="23"/>
      <c r="M90" s="23">
        <f t="shared" si="69"/>
        <v>8016.7</v>
      </c>
      <c r="N90" s="23"/>
      <c r="O90" s="23">
        <f t="shared" si="70"/>
        <v>26760.3</v>
      </c>
      <c r="P90" s="23"/>
      <c r="Q90" s="23">
        <f t="shared" si="71"/>
        <v>8016.7</v>
      </c>
      <c r="R90" s="23"/>
      <c r="S90" s="23">
        <f t="shared" si="72"/>
        <v>26760.3</v>
      </c>
      <c r="T90" s="23"/>
      <c r="U90" s="23">
        <f t="shared" si="73"/>
        <v>8016.7</v>
      </c>
      <c r="V90" s="23"/>
      <c r="W90" s="23">
        <f t="shared" si="74"/>
        <v>26760.3</v>
      </c>
      <c r="X90" s="23"/>
      <c r="Y90" s="23">
        <f t="shared" si="75"/>
        <v>8016.7</v>
      </c>
      <c r="Z90" s="22"/>
      <c r="AA90" s="48">
        <f t="shared" si="76"/>
        <v>26760.3</v>
      </c>
      <c r="AB90" s="22"/>
      <c r="AC90" s="48">
        <f t="shared" si="77"/>
        <v>8016.7</v>
      </c>
      <c r="AD90" s="10">
        <v>1710241100</v>
      </c>
    </row>
    <row r="91" spans="1:32" ht="54" x14ac:dyDescent="0.35">
      <c r="A91" s="46" t="s">
        <v>116</v>
      </c>
      <c r="B91" s="49" t="s">
        <v>55</v>
      </c>
      <c r="C91" s="52" t="s">
        <v>45</v>
      </c>
      <c r="D91" s="21">
        <v>8000</v>
      </c>
      <c r="E91" s="21">
        <v>0</v>
      </c>
      <c r="F91" s="23"/>
      <c r="G91" s="23">
        <f t="shared" si="0"/>
        <v>8000</v>
      </c>
      <c r="H91" s="23"/>
      <c r="I91" s="23">
        <f t="shared" si="1"/>
        <v>0</v>
      </c>
      <c r="J91" s="23">
        <v>14395.203</v>
      </c>
      <c r="K91" s="23">
        <f t="shared" si="2"/>
        <v>22395.203000000001</v>
      </c>
      <c r="L91" s="23"/>
      <c r="M91" s="23">
        <f t="shared" si="69"/>
        <v>0</v>
      </c>
      <c r="N91" s="23"/>
      <c r="O91" s="23">
        <f t="shared" si="70"/>
        <v>22395.203000000001</v>
      </c>
      <c r="P91" s="23"/>
      <c r="Q91" s="23">
        <f t="shared" si="71"/>
        <v>0</v>
      </c>
      <c r="R91" s="23"/>
      <c r="S91" s="23">
        <f t="shared" si="72"/>
        <v>22395.203000000001</v>
      </c>
      <c r="T91" s="23"/>
      <c r="U91" s="23">
        <f t="shared" si="73"/>
        <v>0</v>
      </c>
      <c r="V91" s="23"/>
      <c r="W91" s="23">
        <f t="shared" si="74"/>
        <v>22395.203000000001</v>
      </c>
      <c r="X91" s="23"/>
      <c r="Y91" s="23">
        <f t="shared" si="75"/>
        <v>0</v>
      </c>
      <c r="Z91" s="22"/>
      <c r="AA91" s="48">
        <f t="shared" si="76"/>
        <v>22395.203000000001</v>
      </c>
      <c r="AB91" s="22"/>
      <c r="AC91" s="48">
        <f t="shared" si="77"/>
        <v>0</v>
      </c>
      <c r="AD91" s="10">
        <v>1710441240</v>
      </c>
    </row>
    <row r="92" spans="1:32" ht="54" x14ac:dyDescent="0.35">
      <c r="A92" s="46" t="s">
        <v>117</v>
      </c>
      <c r="B92" s="49" t="s">
        <v>155</v>
      </c>
      <c r="C92" s="52" t="s">
        <v>45</v>
      </c>
      <c r="D92" s="21">
        <v>7000</v>
      </c>
      <c r="E92" s="21">
        <v>15000</v>
      </c>
      <c r="F92" s="23">
        <v>5000</v>
      </c>
      <c r="G92" s="23">
        <f t="shared" si="0"/>
        <v>12000</v>
      </c>
      <c r="H92" s="23"/>
      <c r="I92" s="23">
        <f t="shared" si="1"/>
        <v>15000</v>
      </c>
      <c r="J92" s="23"/>
      <c r="K92" s="23">
        <f t="shared" si="2"/>
        <v>12000</v>
      </c>
      <c r="L92" s="23"/>
      <c r="M92" s="23">
        <f t="shared" si="69"/>
        <v>15000</v>
      </c>
      <c r="N92" s="23"/>
      <c r="O92" s="23">
        <f t="shared" si="70"/>
        <v>12000</v>
      </c>
      <c r="P92" s="23"/>
      <c r="Q92" s="23">
        <f t="shared" si="71"/>
        <v>15000</v>
      </c>
      <c r="R92" s="23"/>
      <c r="S92" s="23">
        <f t="shared" si="72"/>
        <v>12000</v>
      </c>
      <c r="T92" s="23"/>
      <c r="U92" s="23">
        <f t="shared" si="73"/>
        <v>15000</v>
      </c>
      <c r="V92" s="23"/>
      <c r="W92" s="23">
        <f t="shared" si="74"/>
        <v>12000</v>
      </c>
      <c r="X92" s="23"/>
      <c r="Y92" s="23">
        <f t="shared" si="75"/>
        <v>15000</v>
      </c>
      <c r="Z92" s="22"/>
      <c r="AA92" s="48">
        <f t="shared" si="76"/>
        <v>12000</v>
      </c>
      <c r="AB92" s="22"/>
      <c r="AC92" s="48">
        <f t="shared" si="77"/>
        <v>15000</v>
      </c>
      <c r="AD92" s="18" t="s">
        <v>180</v>
      </c>
      <c r="AF92" s="18"/>
    </row>
    <row r="93" spans="1:32" ht="54" x14ac:dyDescent="0.35">
      <c r="A93" s="46" t="s">
        <v>118</v>
      </c>
      <c r="B93" s="49" t="s">
        <v>66</v>
      </c>
      <c r="C93" s="52" t="s">
        <v>3</v>
      </c>
      <c r="D93" s="21">
        <f>D95+D96</f>
        <v>1069391.5</v>
      </c>
      <c r="E93" s="21">
        <f>E95+E96</f>
        <v>400000</v>
      </c>
      <c r="F93" s="23">
        <f>F95+F96+F97</f>
        <v>-94000</v>
      </c>
      <c r="G93" s="23">
        <f t="shared" si="0"/>
        <v>975391.5</v>
      </c>
      <c r="H93" s="23">
        <f>H95+H96+H97</f>
        <v>94000</v>
      </c>
      <c r="I93" s="23">
        <f t="shared" si="1"/>
        <v>494000</v>
      </c>
      <c r="J93" s="23">
        <f>J95+J96+J97</f>
        <v>0</v>
      </c>
      <c r="K93" s="23">
        <f t="shared" si="2"/>
        <v>975391.5</v>
      </c>
      <c r="L93" s="23">
        <f>L95+L96+L97</f>
        <v>0</v>
      </c>
      <c r="M93" s="23">
        <f t="shared" si="69"/>
        <v>494000</v>
      </c>
      <c r="N93" s="23">
        <f>N95+N96+N97</f>
        <v>0</v>
      </c>
      <c r="O93" s="23">
        <f t="shared" si="70"/>
        <v>975391.5</v>
      </c>
      <c r="P93" s="23">
        <f>P95+P96+P97</f>
        <v>0</v>
      </c>
      <c r="Q93" s="23">
        <f t="shared" si="71"/>
        <v>494000</v>
      </c>
      <c r="R93" s="23">
        <f>R95+R96+R97</f>
        <v>0</v>
      </c>
      <c r="S93" s="23">
        <f t="shared" si="72"/>
        <v>975391.5</v>
      </c>
      <c r="T93" s="23">
        <f>T95+T96+T97</f>
        <v>0</v>
      </c>
      <c r="U93" s="23">
        <f t="shared" si="73"/>
        <v>494000</v>
      </c>
      <c r="V93" s="23">
        <f>V95+V96+V97</f>
        <v>0</v>
      </c>
      <c r="W93" s="23">
        <f t="shared" si="74"/>
        <v>975391.5</v>
      </c>
      <c r="X93" s="23">
        <f>X95+X96+X97</f>
        <v>0</v>
      </c>
      <c r="Y93" s="23">
        <f t="shared" si="75"/>
        <v>494000</v>
      </c>
      <c r="Z93" s="22">
        <f>Z95+Z96+Z97+Z98</f>
        <v>202654.14</v>
      </c>
      <c r="AA93" s="48">
        <f t="shared" si="76"/>
        <v>1178045.6400000001</v>
      </c>
      <c r="AB93" s="22">
        <f>AB95+AB96+AB97+AB98</f>
        <v>458995.10799999995</v>
      </c>
      <c r="AC93" s="48">
        <f t="shared" si="77"/>
        <v>952995.10800000001</v>
      </c>
    </row>
    <row r="94" spans="1:32" x14ac:dyDescent="0.35">
      <c r="A94" s="46"/>
      <c r="B94" s="49" t="s">
        <v>7</v>
      </c>
      <c r="C94" s="52"/>
      <c r="D94" s="21"/>
      <c r="E94" s="21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3"/>
      <c r="Z94" s="22"/>
      <c r="AA94" s="48"/>
      <c r="AB94" s="22"/>
      <c r="AC94" s="48"/>
    </row>
    <row r="95" spans="1:32" s="3" customFormat="1" hidden="1" x14ac:dyDescent="0.35">
      <c r="A95" s="1"/>
      <c r="B95" s="12" t="s">
        <v>8</v>
      </c>
      <c r="C95" s="6"/>
      <c r="D95" s="21">
        <v>664431.5</v>
      </c>
      <c r="E95" s="21">
        <v>400000</v>
      </c>
      <c r="F95" s="23">
        <v>-94000</v>
      </c>
      <c r="G95" s="23">
        <f t="shared" si="0"/>
        <v>570431.5</v>
      </c>
      <c r="H95" s="23">
        <v>94000</v>
      </c>
      <c r="I95" s="23">
        <f t="shared" si="1"/>
        <v>494000</v>
      </c>
      <c r="J95" s="23"/>
      <c r="K95" s="23">
        <f t="shared" si="2"/>
        <v>570431.5</v>
      </c>
      <c r="L95" s="23"/>
      <c r="M95" s="23">
        <f t="shared" ref="M95:M99" si="78">I95+L95</f>
        <v>494000</v>
      </c>
      <c r="N95" s="23"/>
      <c r="O95" s="23">
        <f t="shared" ref="O95:O99" si="79">K95+N95</f>
        <v>570431.5</v>
      </c>
      <c r="P95" s="23"/>
      <c r="Q95" s="23">
        <f t="shared" ref="Q95:Q99" si="80">M95+P95</f>
        <v>494000</v>
      </c>
      <c r="R95" s="23"/>
      <c r="S95" s="23">
        <f t="shared" ref="S95:S99" si="81">O95+R95</f>
        <v>570431.5</v>
      </c>
      <c r="T95" s="23"/>
      <c r="U95" s="23">
        <f t="shared" ref="U95:U99" si="82">Q95+T95</f>
        <v>494000</v>
      </c>
      <c r="V95" s="23"/>
      <c r="W95" s="23">
        <f t="shared" ref="W95:W99" si="83">S95+V95</f>
        <v>570431.5</v>
      </c>
      <c r="X95" s="23"/>
      <c r="Y95" s="23">
        <f t="shared" ref="Y95:Y99" si="84">U95+X95</f>
        <v>494000</v>
      </c>
      <c r="Z95" s="22">
        <f>100000-100304.3-159167.2-197941.805</f>
        <v>-357413.30499999999</v>
      </c>
      <c r="AA95" s="23">
        <f t="shared" ref="AA95:AA99" si="85">W95+Z95</f>
        <v>213018.19500000001</v>
      </c>
      <c r="AB95" s="22">
        <f>100000-400000-94000</f>
        <v>-394000</v>
      </c>
      <c r="AC95" s="23">
        <f t="shared" ref="AC95:AC99" si="86">Y95+AB95</f>
        <v>100000</v>
      </c>
      <c r="AD95" s="10" t="s">
        <v>190</v>
      </c>
      <c r="AE95" s="3">
        <v>0</v>
      </c>
    </row>
    <row r="96" spans="1:32" x14ac:dyDescent="0.35">
      <c r="A96" s="46"/>
      <c r="B96" s="49" t="s">
        <v>14</v>
      </c>
      <c r="C96" s="52"/>
      <c r="D96" s="21">
        <v>404960</v>
      </c>
      <c r="E96" s="21">
        <v>0</v>
      </c>
      <c r="F96" s="23"/>
      <c r="G96" s="23">
        <f t="shared" si="0"/>
        <v>404960</v>
      </c>
      <c r="H96" s="23">
        <v>0</v>
      </c>
      <c r="I96" s="23">
        <f t="shared" si="1"/>
        <v>0</v>
      </c>
      <c r="J96" s="23"/>
      <c r="K96" s="23">
        <f t="shared" si="2"/>
        <v>404960</v>
      </c>
      <c r="L96" s="23">
        <v>0</v>
      </c>
      <c r="M96" s="23">
        <f t="shared" si="78"/>
        <v>0</v>
      </c>
      <c r="N96" s="23"/>
      <c r="O96" s="23">
        <f t="shared" si="79"/>
        <v>404960</v>
      </c>
      <c r="P96" s="23">
        <v>0</v>
      </c>
      <c r="Q96" s="23">
        <f t="shared" si="80"/>
        <v>0</v>
      </c>
      <c r="R96" s="23"/>
      <c r="S96" s="23">
        <f t="shared" si="81"/>
        <v>404960</v>
      </c>
      <c r="T96" s="23">
        <v>0</v>
      </c>
      <c r="U96" s="23">
        <f t="shared" si="82"/>
        <v>0</v>
      </c>
      <c r="V96" s="23"/>
      <c r="W96" s="23">
        <f t="shared" si="83"/>
        <v>404960</v>
      </c>
      <c r="X96" s="23">
        <v>0</v>
      </c>
      <c r="Y96" s="23">
        <f t="shared" si="84"/>
        <v>0</v>
      </c>
      <c r="Z96" s="22">
        <f>-291941.805+42600.586</f>
        <v>-249341.21899999998</v>
      </c>
      <c r="AA96" s="48">
        <f t="shared" si="85"/>
        <v>155618.78100000002</v>
      </c>
      <c r="AB96" s="22">
        <v>42649.756000000001</v>
      </c>
      <c r="AC96" s="48">
        <f t="shared" si="86"/>
        <v>42649.756000000001</v>
      </c>
      <c r="AD96" s="10" t="s">
        <v>250</v>
      </c>
    </row>
    <row r="97" spans="1:31" s="3" customFormat="1" hidden="1" x14ac:dyDescent="0.35">
      <c r="A97" s="1"/>
      <c r="B97" s="27" t="s">
        <v>22</v>
      </c>
      <c r="C97" s="6"/>
      <c r="D97" s="21"/>
      <c r="E97" s="21"/>
      <c r="F97" s="23"/>
      <c r="G97" s="23">
        <f t="shared" si="0"/>
        <v>0</v>
      </c>
      <c r="H97" s="23">
        <v>0</v>
      </c>
      <c r="I97" s="23">
        <f t="shared" si="1"/>
        <v>0</v>
      </c>
      <c r="J97" s="23"/>
      <c r="K97" s="23">
        <f t="shared" si="2"/>
        <v>0</v>
      </c>
      <c r="L97" s="23">
        <v>0</v>
      </c>
      <c r="M97" s="23">
        <f t="shared" si="78"/>
        <v>0</v>
      </c>
      <c r="N97" s="23"/>
      <c r="O97" s="23">
        <f t="shared" si="79"/>
        <v>0</v>
      </c>
      <c r="P97" s="23">
        <v>0</v>
      </c>
      <c r="Q97" s="23">
        <f t="shared" si="80"/>
        <v>0</v>
      </c>
      <c r="R97" s="23"/>
      <c r="S97" s="23">
        <f t="shared" si="81"/>
        <v>0</v>
      </c>
      <c r="T97" s="23">
        <v>0</v>
      </c>
      <c r="U97" s="23">
        <f t="shared" si="82"/>
        <v>0</v>
      </c>
      <c r="V97" s="23"/>
      <c r="W97" s="23">
        <f t="shared" si="83"/>
        <v>0</v>
      </c>
      <c r="X97" s="23">
        <v>0</v>
      </c>
      <c r="Y97" s="23">
        <f t="shared" si="84"/>
        <v>0</v>
      </c>
      <c r="Z97" s="22"/>
      <c r="AA97" s="23">
        <f t="shared" si="85"/>
        <v>0</v>
      </c>
      <c r="AB97" s="22">
        <v>0</v>
      </c>
      <c r="AC97" s="23">
        <f t="shared" si="86"/>
        <v>0</v>
      </c>
      <c r="AD97" s="10"/>
      <c r="AE97" s="3">
        <v>0</v>
      </c>
    </row>
    <row r="98" spans="1:31" ht="36" x14ac:dyDescent="0.35">
      <c r="A98" s="46"/>
      <c r="B98" s="49" t="s">
        <v>229</v>
      </c>
      <c r="C98" s="52"/>
      <c r="D98" s="21"/>
      <c r="E98" s="21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2">
        <v>809408.66399999999</v>
      </c>
      <c r="AA98" s="48">
        <f t="shared" si="85"/>
        <v>809408.66399999999</v>
      </c>
      <c r="AB98" s="22">
        <v>810345.35199999996</v>
      </c>
      <c r="AC98" s="48">
        <f t="shared" si="86"/>
        <v>810345.35199999996</v>
      </c>
      <c r="AD98" s="9" t="s">
        <v>230</v>
      </c>
    </row>
    <row r="99" spans="1:31" ht="90" x14ac:dyDescent="0.35">
      <c r="A99" s="46" t="s">
        <v>119</v>
      </c>
      <c r="B99" s="49" t="s">
        <v>67</v>
      </c>
      <c r="C99" s="52" t="s">
        <v>3</v>
      </c>
      <c r="D99" s="21">
        <f>D101</f>
        <v>107930.5</v>
      </c>
      <c r="E99" s="21">
        <f>E101</f>
        <v>104446.2</v>
      </c>
      <c r="F99" s="23">
        <f>F101</f>
        <v>-973.6</v>
      </c>
      <c r="G99" s="23">
        <f t="shared" si="0"/>
        <v>106956.9</v>
      </c>
      <c r="H99" s="23">
        <f>H101</f>
        <v>-973.6</v>
      </c>
      <c r="I99" s="23">
        <f t="shared" si="1"/>
        <v>103472.59999999999</v>
      </c>
      <c r="J99" s="23">
        <f>J101</f>
        <v>0</v>
      </c>
      <c r="K99" s="23">
        <f t="shared" si="2"/>
        <v>106956.9</v>
      </c>
      <c r="L99" s="23">
        <f>L101</f>
        <v>0</v>
      </c>
      <c r="M99" s="23">
        <f t="shared" si="78"/>
        <v>103472.59999999999</v>
      </c>
      <c r="N99" s="23">
        <f>N101</f>
        <v>0</v>
      </c>
      <c r="O99" s="23">
        <f t="shared" si="79"/>
        <v>106956.9</v>
      </c>
      <c r="P99" s="23">
        <f>P101</f>
        <v>0</v>
      </c>
      <c r="Q99" s="23">
        <f t="shared" si="80"/>
        <v>103472.59999999999</v>
      </c>
      <c r="R99" s="23">
        <f>R101</f>
        <v>0</v>
      </c>
      <c r="S99" s="23">
        <f t="shared" si="81"/>
        <v>106956.9</v>
      </c>
      <c r="T99" s="23">
        <f>T101</f>
        <v>0</v>
      </c>
      <c r="U99" s="23">
        <f t="shared" si="82"/>
        <v>103472.59999999999</v>
      </c>
      <c r="V99" s="23">
        <f>V101</f>
        <v>0</v>
      </c>
      <c r="W99" s="23">
        <f t="shared" si="83"/>
        <v>106956.9</v>
      </c>
      <c r="X99" s="23">
        <f>X101</f>
        <v>0</v>
      </c>
      <c r="Y99" s="23">
        <f t="shared" si="84"/>
        <v>103472.59999999999</v>
      </c>
      <c r="Z99" s="22">
        <f>Z101</f>
        <v>0</v>
      </c>
      <c r="AA99" s="48">
        <f t="shared" si="85"/>
        <v>106956.9</v>
      </c>
      <c r="AB99" s="22">
        <f>AB101</f>
        <v>0</v>
      </c>
      <c r="AC99" s="48">
        <f t="shared" si="86"/>
        <v>103472.59999999999</v>
      </c>
    </row>
    <row r="100" spans="1:31" x14ac:dyDescent="0.35">
      <c r="A100" s="46"/>
      <c r="B100" s="49" t="s">
        <v>7</v>
      </c>
      <c r="C100" s="52"/>
      <c r="D100" s="21"/>
      <c r="E100" s="21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  <c r="Z100" s="22"/>
      <c r="AA100" s="48"/>
      <c r="AB100" s="22"/>
      <c r="AC100" s="48"/>
    </row>
    <row r="101" spans="1:31" x14ac:dyDescent="0.35">
      <c r="A101" s="46"/>
      <c r="B101" s="49" t="s">
        <v>14</v>
      </c>
      <c r="C101" s="52"/>
      <c r="D101" s="21">
        <v>107930.5</v>
      </c>
      <c r="E101" s="21">
        <v>104446.2</v>
      </c>
      <c r="F101" s="23">
        <v>-973.6</v>
      </c>
      <c r="G101" s="23">
        <f t="shared" si="0"/>
        <v>106956.9</v>
      </c>
      <c r="H101" s="23">
        <v>-973.6</v>
      </c>
      <c r="I101" s="23">
        <f t="shared" si="1"/>
        <v>103472.59999999999</v>
      </c>
      <c r="J101" s="23"/>
      <c r="K101" s="23">
        <f t="shared" si="2"/>
        <v>106956.9</v>
      </c>
      <c r="L101" s="23"/>
      <c r="M101" s="23">
        <f t="shared" ref="M101:M102" si="87">I101+L101</f>
        <v>103472.59999999999</v>
      </c>
      <c r="N101" s="23"/>
      <c r="O101" s="23">
        <f t="shared" ref="O101:O102" si="88">K101+N101</f>
        <v>106956.9</v>
      </c>
      <c r="P101" s="23"/>
      <c r="Q101" s="23">
        <f t="shared" ref="Q101:Q102" si="89">M101+P101</f>
        <v>103472.59999999999</v>
      </c>
      <c r="R101" s="23"/>
      <c r="S101" s="23">
        <f t="shared" ref="S101:S102" si="90">O101+R101</f>
        <v>106956.9</v>
      </c>
      <c r="T101" s="23"/>
      <c r="U101" s="23">
        <f t="shared" ref="U101:U102" si="91">Q101+T101</f>
        <v>103472.59999999999</v>
      </c>
      <c r="V101" s="23"/>
      <c r="W101" s="23">
        <f t="shared" ref="W101:W102" si="92">S101+V101</f>
        <v>106956.9</v>
      </c>
      <c r="X101" s="23"/>
      <c r="Y101" s="23">
        <f t="shared" ref="Y101:Y102" si="93">U101+X101</f>
        <v>103472.59999999999</v>
      </c>
      <c r="Z101" s="22"/>
      <c r="AA101" s="48">
        <f t="shared" ref="AA101:AA102" si="94">W101+Z101</f>
        <v>106956.9</v>
      </c>
      <c r="AB101" s="22"/>
      <c r="AC101" s="48">
        <f t="shared" ref="AC101:AC102" si="95">Y101+AB101</f>
        <v>103472.59999999999</v>
      </c>
      <c r="AD101" s="10" t="s">
        <v>69</v>
      </c>
    </row>
    <row r="102" spans="1:31" ht="54" x14ac:dyDescent="0.35">
      <c r="A102" s="46" t="s">
        <v>120</v>
      </c>
      <c r="B102" s="49" t="s">
        <v>68</v>
      </c>
      <c r="C102" s="52" t="s">
        <v>3</v>
      </c>
      <c r="D102" s="21">
        <f>D104</f>
        <v>50354.3</v>
      </c>
      <c r="E102" s="21">
        <f>E104</f>
        <v>50354.3</v>
      </c>
      <c r="F102" s="23">
        <f>F104+F105</f>
        <v>137117</v>
      </c>
      <c r="G102" s="23">
        <f t="shared" si="0"/>
        <v>187471.3</v>
      </c>
      <c r="H102" s="23">
        <f>H104+H105</f>
        <v>137117</v>
      </c>
      <c r="I102" s="23">
        <f t="shared" si="1"/>
        <v>187471.3</v>
      </c>
      <c r="J102" s="23">
        <f>J104+J105</f>
        <v>0</v>
      </c>
      <c r="K102" s="23">
        <f t="shared" si="2"/>
        <v>187471.3</v>
      </c>
      <c r="L102" s="23">
        <f>L104+L105</f>
        <v>0</v>
      </c>
      <c r="M102" s="23">
        <f t="shared" si="87"/>
        <v>187471.3</v>
      </c>
      <c r="N102" s="23">
        <f>N104+N105</f>
        <v>0</v>
      </c>
      <c r="O102" s="23">
        <f t="shared" si="88"/>
        <v>187471.3</v>
      </c>
      <c r="P102" s="23">
        <f>P104+P105</f>
        <v>0</v>
      </c>
      <c r="Q102" s="23">
        <f t="shared" si="89"/>
        <v>187471.3</v>
      </c>
      <c r="R102" s="23">
        <f>R104+R105</f>
        <v>0</v>
      </c>
      <c r="S102" s="23">
        <f t="shared" si="90"/>
        <v>187471.3</v>
      </c>
      <c r="T102" s="23">
        <f>T104+T105</f>
        <v>0</v>
      </c>
      <c r="U102" s="23">
        <f t="shared" si="91"/>
        <v>187471.3</v>
      </c>
      <c r="V102" s="23">
        <f>V104+V105</f>
        <v>0</v>
      </c>
      <c r="W102" s="23">
        <f t="shared" si="92"/>
        <v>187471.3</v>
      </c>
      <c r="X102" s="23">
        <f>X104+X105</f>
        <v>0</v>
      </c>
      <c r="Y102" s="23">
        <f t="shared" si="93"/>
        <v>187471.3</v>
      </c>
      <c r="Z102" s="22">
        <f>Z104+Z105</f>
        <v>0</v>
      </c>
      <c r="AA102" s="48">
        <f t="shared" si="94"/>
        <v>187471.3</v>
      </c>
      <c r="AB102" s="22">
        <f>AB104+AB105</f>
        <v>0</v>
      </c>
      <c r="AC102" s="48">
        <f t="shared" si="95"/>
        <v>187471.3</v>
      </c>
    </row>
    <row r="103" spans="1:31" x14ac:dyDescent="0.35">
      <c r="A103" s="46"/>
      <c r="B103" s="49" t="s">
        <v>7</v>
      </c>
      <c r="C103" s="52"/>
      <c r="D103" s="21"/>
      <c r="E103" s="21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2"/>
      <c r="AA103" s="48"/>
      <c r="AB103" s="22"/>
      <c r="AC103" s="48"/>
    </row>
    <row r="104" spans="1:31" x14ac:dyDescent="0.35">
      <c r="A104" s="46"/>
      <c r="B104" s="49" t="s">
        <v>14</v>
      </c>
      <c r="C104" s="52"/>
      <c r="D104" s="21">
        <v>50354.3</v>
      </c>
      <c r="E104" s="21">
        <v>50354.3</v>
      </c>
      <c r="F104" s="23">
        <v>262.89999999999998</v>
      </c>
      <c r="G104" s="23">
        <f t="shared" si="0"/>
        <v>50617.200000000004</v>
      </c>
      <c r="H104" s="23">
        <v>262.89999999999998</v>
      </c>
      <c r="I104" s="23">
        <f t="shared" si="1"/>
        <v>50617.200000000004</v>
      </c>
      <c r="J104" s="23"/>
      <c r="K104" s="23">
        <f t="shared" si="2"/>
        <v>50617.200000000004</v>
      </c>
      <c r="L104" s="23"/>
      <c r="M104" s="23">
        <f t="shared" ref="M104:M118" si="96">I104+L104</f>
        <v>50617.200000000004</v>
      </c>
      <c r="N104" s="23"/>
      <c r="O104" s="23">
        <f t="shared" ref="O104:O118" si="97">K104+N104</f>
        <v>50617.200000000004</v>
      </c>
      <c r="P104" s="23"/>
      <c r="Q104" s="23">
        <f t="shared" ref="Q104:Q118" si="98">M104+P104</f>
        <v>50617.200000000004</v>
      </c>
      <c r="R104" s="23"/>
      <c r="S104" s="23">
        <f t="shared" ref="S104:S118" si="99">O104+R104</f>
        <v>50617.200000000004</v>
      </c>
      <c r="T104" s="23"/>
      <c r="U104" s="23">
        <f t="shared" ref="U104:U118" si="100">Q104+T104</f>
        <v>50617.200000000004</v>
      </c>
      <c r="V104" s="23"/>
      <c r="W104" s="23">
        <f t="shared" ref="W104:W118" si="101">S104+V104</f>
        <v>50617.200000000004</v>
      </c>
      <c r="X104" s="23"/>
      <c r="Y104" s="23">
        <f t="shared" ref="Y104:Y118" si="102">U104+X104</f>
        <v>50617.200000000004</v>
      </c>
      <c r="Z104" s="22"/>
      <c r="AA104" s="48">
        <f t="shared" ref="AA104:AA118" si="103">W104+Z104</f>
        <v>50617.200000000004</v>
      </c>
      <c r="AB104" s="22"/>
      <c r="AC104" s="48">
        <f t="shared" ref="AC104:AC118" si="104">Y104+AB104</f>
        <v>50617.200000000004</v>
      </c>
      <c r="AD104" s="10" t="s">
        <v>70</v>
      </c>
    </row>
    <row r="105" spans="1:31" x14ac:dyDescent="0.35">
      <c r="A105" s="46"/>
      <c r="B105" s="49" t="s">
        <v>22</v>
      </c>
      <c r="C105" s="52"/>
      <c r="D105" s="21"/>
      <c r="E105" s="21"/>
      <c r="F105" s="23">
        <v>136854.1</v>
      </c>
      <c r="G105" s="23">
        <f t="shared" si="0"/>
        <v>136854.1</v>
      </c>
      <c r="H105" s="23">
        <v>136854.1</v>
      </c>
      <c r="I105" s="23">
        <f t="shared" si="1"/>
        <v>136854.1</v>
      </c>
      <c r="J105" s="23"/>
      <c r="K105" s="23">
        <f t="shared" si="2"/>
        <v>136854.1</v>
      </c>
      <c r="L105" s="23"/>
      <c r="M105" s="23">
        <f t="shared" si="96"/>
        <v>136854.1</v>
      </c>
      <c r="N105" s="23"/>
      <c r="O105" s="23">
        <f t="shared" si="97"/>
        <v>136854.1</v>
      </c>
      <c r="P105" s="23"/>
      <c r="Q105" s="23">
        <f t="shared" si="98"/>
        <v>136854.1</v>
      </c>
      <c r="R105" s="23"/>
      <c r="S105" s="23">
        <f t="shared" si="99"/>
        <v>136854.1</v>
      </c>
      <c r="T105" s="23"/>
      <c r="U105" s="23">
        <f t="shared" si="100"/>
        <v>136854.1</v>
      </c>
      <c r="V105" s="23"/>
      <c r="W105" s="23">
        <f t="shared" si="101"/>
        <v>136854.1</v>
      </c>
      <c r="X105" s="23"/>
      <c r="Y105" s="23">
        <f t="shared" si="102"/>
        <v>136854.1</v>
      </c>
      <c r="Z105" s="22"/>
      <c r="AA105" s="48">
        <f t="shared" si="103"/>
        <v>136854.1</v>
      </c>
      <c r="AB105" s="22"/>
      <c r="AC105" s="48">
        <f t="shared" si="104"/>
        <v>136854.1</v>
      </c>
      <c r="AD105" s="10" t="s">
        <v>70</v>
      </c>
    </row>
    <row r="106" spans="1:31" ht="54" x14ac:dyDescent="0.35">
      <c r="A106" s="46" t="s">
        <v>121</v>
      </c>
      <c r="B106" s="49" t="s">
        <v>173</v>
      </c>
      <c r="C106" s="52" t="s">
        <v>45</v>
      </c>
      <c r="D106" s="21"/>
      <c r="E106" s="21"/>
      <c r="F106" s="23">
        <v>13479.7</v>
      </c>
      <c r="G106" s="23">
        <f t="shared" si="0"/>
        <v>13479.7</v>
      </c>
      <c r="H106" s="23"/>
      <c r="I106" s="23">
        <f t="shared" si="1"/>
        <v>0</v>
      </c>
      <c r="J106" s="23"/>
      <c r="K106" s="23">
        <f t="shared" si="2"/>
        <v>13479.7</v>
      </c>
      <c r="L106" s="23"/>
      <c r="M106" s="23">
        <f t="shared" si="96"/>
        <v>0</v>
      </c>
      <c r="N106" s="23"/>
      <c r="O106" s="23">
        <f t="shared" si="97"/>
        <v>13479.7</v>
      </c>
      <c r="P106" s="23"/>
      <c r="Q106" s="23">
        <f t="shared" si="98"/>
        <v>0</v>
      </c>
      <c r="R106" s="23"/>
      <c r="S106" s="23">
        <f t="shared" si="99"/>
        <v>13479.7</v>
      </c>
      <c r="T106" s="23"/>
      <c r="U106" s="23">
        <f t="shared" si="100"/>
        <v>0</v>
      </c>
      <c r="V106" s="23"/>
      <c r="W106" s="23">
        <f t="shared" si="101"/>
        <v>13479.7</v>
      </c>
      <c r="X106" s="23"/>
      <c r="Y106" s="23">
        <f t="shared" si="102"/>
        <v>0</v>
      </c>
      <c r="Z106" s="22"/>
      <c r="AA106" s="48">
        <f t="shared" si="103"/>
        <v>13479.7</v>
      </c>
      <c r="AB106" s="22"/>
      <c r="AC106" s="48">
        <f t="shared" si="104"/>
        <v>0</v>
      </c>
      <c r="AD106" s="10" t="s">
        <v>183</v>
      </c>
    </row>
    <row r="107" spans="1:31" ht="54" x14ac:dyDescent="0.35">
      <c r="A107" s="46" t="s">
        <v>122</v>
      </c>
      <c r="B107" s="49" t="s">
        <v>174</v>
      </c>
      <c r="C107" s="52" t="s">
        <v>45</v>
      </c>
      <c r="D107" s="21"/>
      <c r="E107" s="21"/>
      <c r="F107" s="23">
        <v>9847.7000000000007</v>
      </c>
      <c r="G107" s="23">
        <f t="shared" si="0"/>
        <v>9847.7000000000007</v>
      </c>
      <c r="H107" s="23"/>
      <c r="I107" s="23">
        <f t="shared" si="1"/>
        <v>0</v>
      </c>
      <c r="J107" s="23"/>
      <c r="K107" s="23">
        <f t="shared" si="2"/>
        <v>9847.7000000000007</v>
      </c>
      <c r="L107" s="23"/>
      <c r="M107" s="23">
        <f t="shared" si="96"/>
        <v>0</v>
      </c>
      <c r="N107" s="23"/>
      <c r="O107" s="23">
        <f t="shared" si="97"/>
        <v>9847.7000000000007</v>
      </c>
      <c r="P107" s="23"/>
      <c r="Q107" s="23">
        <f t="shared" si="98"/>
        <v>0</v>
      </c>
      <c r="R107" s="23"/>
      <c r="S107" s="23">
        <f t="shared" si="99"/>
        <v>9847.7000000000007</v>
      </c>
      <c r="T107" s="23"/>
      <c r="U107" s="23">
        <f t="shared" si="100"/>
        <v>0</v>
      </c>
      <c r="V107" s="23"/>
      <c r="W107" s="23">
        <f t="shared" si="101"/>
        <v>9847.7000000000007</v>
      </c>
      <c r="X107" s="23"/>
      <c r="Y107" s="23">
        <f t="shared" si="102"/>
        <v>0</v>
      </c>
      <c r="Z107" s="22"/>
      <c r="AA107" s="48">
        <f t="shared" si="103"/>
        <v>9847.7000000000007</v>
      </c>
      <c r="AB107" s="22"/>
      <c r="AC107" s="48">
        <f t="shared" si="104"/>
        <v>0</v>
      </c>
      <c r="AD107" s="10" t="s">
        <v>175</v>
      </c>
    </row>
    <row r="108" spans="1:31" s="3" customFormat="1" ht="54" hidden="1" x14ac:dyDescent="0.35">
      <c r="A108" s="1" t="s">
        <v>119</v>
      </c>
      <c r="B108" s="14" t="s">
        <v>49</v>
      </c>
      <c r="C108" s="6" t="s">
        <v>45</v>
      </c>
      <c r="D108" s="21"/>
      <c r="E108" s="21"/>
      <c r="F108" s="23">
        <v>0</v>
      </c>
      <c r="G108" s="23">
        <f t="shared" si="0"/>
        <v>0</v>
      </c>
      <c r="H108" s="23"/>
      <c r="I108" s="23">
        <f t="shared" si="1"/>
        <v>0</v>
      </c>
      <c r="J108" s="23">
        <v>0</v>
      </c>
      <c r="K108" s="23">
        <f t="shared" si="2"/>
        <v>0</v>
      </c>
      <c r="L108" s="23"/>
      <c r="M108" s="23">
        <f t="shared" si="96"/>
        <v>0</v>
      </c>
      <c r="N108" s="23">
        <v>0</v>
      </c>
      <c r="O108" s="23">
        <f t="shared" si="97"/>
        <v>0</v>
      </c>
      <c r="P108" s="23"/>
      <c r="Q108" s="23">
        <f t="shared" si="98"/>
        <v>0</v>
      </c>
      <c r="R108" s="23">
        <v>0</v>
      </c>
      <c r="S108" s="23">
        <f t="shared" si="99"/>
        <v>0</v>
      </c>
      <c r="T108" s="23"/>
      <c r="U108" s="23">
        <f t="shared" si="100"/>
        <v>0</v>
      </c>
      <c r="V108" s="23">
        <v>0</v>
      </c>
      <c r="W108" s="23">
        <f t="shared" si="101"/>
        <v>0</v>
      </c>
      <c r="X108" s="23"/>
      <c r="Y108" s="23">
        <f t="shared" si="102"/>
        <v>0</v>
      </c>
      <c r="Z108" s="22">
        <v>0</v>
      </c>
      <c r="AA108" s="23">
        <f t="shared" si="103"/>
        <v>0</v>
      </c>
      <c r="AB108" s="22"/>
      <c r="AC108" s="23">
        <f t="shared" si="104"/>
        <v>0</v>
      </c>
      <c r="AD108" s="10" t="s">
        <v>176</v>
      </c>
      <c r="AE108" s="3">
        <v>0</v>
      </c>
    </row>
    <row r="109" spans="1:31" s="3" customFormat="1" ht="54" hidden="1" x14ac:dyDescent="0.35">
      <c r="A109" s="1"/>
      <c r="B109" s="14" t="s">
        <v>47</v>
      </c>
      <c r="C109" s="6" t="s">
        <v>45</v>
      </c>
      <c r="D109" s="21"/>
      <c r="E109" s="21"/>
      <c r="F109" s="23"/>
      <c r="G109" s="23">
        <f t="shared" si="0"/>
        <v>0</v>
      </c>
      <c r="H109" s="23"/>
      <c r="I109" s="23">
        <f t="shared" si="1"/>
        <v>0</v>
      </c>
      <c r="J109" s="23"/>
      <c r="K109" s="23">
        <f t="shared" ref="K109:K191" si="105">G109+J109</f>
        <v>0</v>
      </c>
      <c r="L109" s="23"/>
      <c r="M109" s="23">
        <f t="shared" si="96"/>
        <v>0</v>
      </c>
      <c r="N109" s="23"/>
      <c r="O109" s="23">
        <f t="shared" si="97"/>
        <v>0</v>
      </c>
      <c r="P109" s="23"/>
      <c r="Q109" s="23">
        <f t="shared" si="98"/>
        <v>0</v>
      </c>
      <c r="R109" s="23"/>
      <c r="S109" s="23">
        <f t="shared" si="99"/>
        <v>0</v>
      </c>
      <c r="T109" s="23"/>
      <c r="U109" s="23">
        <f t="shared" si="100"/>
        <v>0</v>
      </c>
      <c r="V109" s="23"/>
      <c r="W109" s="23">
        <f t="shared" si="101"/>
        <v>0</v>
      </c>
      <c r="X109" s="23"/>
      <c r="Y109" s="23">
        <f t="shared" si="102"/>
        <v>0</v>
      </c>
      <c r="Z109" s="22"/>
      <c r="AA109" s="23">
        <f t="shared" si="103"/>
        <v>0</v>
      </c>
      <c r="AB109" s="22"/>
      <c r="AC109" s="23">
        <f t="shared" si="104"/>
        <v>0</v>
      </c>
      <c r="AD109" s="10" t="s">
        <v>177</v>
      </c>
      <c r="AE109" s="3">
        <v>0</v>
      </c>
    </row>
    <row r="110" spans="1:31" ht="54" x14ac:dyDescent="0.35">
      <c r="A110" s="46" t="s">
        <v>123</v>
      </c>
      <c r="B110" s="49" t="s">
        <v>179</v>
      </c>
      <c r="C110" s="52" t="s">
        <v>45</v>
      </c>
      <c r="D110" s="21"/>
      <c r="E110" s="21"/>
      <c r="F110" s="23">
        <v>2799.2</v>
      </c>
      <c r="G110" s="23">
        <f t="shared" si="0"/>
        <v>2799.2</v>
      </c>
      <c r="H110" s="23"/>
      <c r="I110" s="23">
        <f t="shared" si="1"/>
        <v>0</v>
      </c>
      <c r="J110" s="23"/>
      <c r="K110" s="23">
        <f t="shared" si="105"/>
        <v>2799.2</v>
      </c>
      <c r="L110" s="23"/>
      <c r="M110" s="23">
        <f t="shared" si="96"/>
        <v>0</v>
      </c>
      <c r="N110" s="23"/>
      <c r="O110" s="23">
        <f t="shared" si="97"/>
        <v>2799.2</v>
      </c>
      <c r="P110" s="23"/>
      <c r="Q110" s="23">
        <f t="shared" si="98"/>
        <v>0</v>
      </c>
      <c r="R110" s="23"/>
      <c r="S110" s="23">
        <f t="shared" si="99"/>
        <v>2799.2</v>
      </c>
      <c r="T110" s="23"/>
      <c r="U110" s="23">
        <f t="shared" si="100"/>
        <v>0</v>
      </c>
      <c r="V110" s="23"/>
      <c r="W110" s="23">
        <f t="shared" si="101"/>
        <v>2799.2</v>
      </c>
      <c r="X110" s="23"/>
      <c r="Y110" s="23">
        <f t="shared" si="102"/>
        <v>0</v>
      </c>
      <c r="Z110" s="22"/>
      <c r="AA110" s="48">
        <f t="shared" si="103"/>
        <v>2799.2</v>
      </c>
      <c r="AB110" s="22"/>
      <c r="AC110" s="48">
        <f t="shared" si="104"/>
        <v>0</v>
      </c>
      <c r="AD110" s="10" t="s">
        <v>191</v>
      </c>
    </row>
    <row r="111" spans="1:31" s="3" customFormat="1" ht="54" hidden="1" x14ac:dyDescent="0.35">
      <c r="A111" s="1"/>
      <c r="B111" s="14" t="s">
        <v>53</v>
      </c>
      <c r="C111" s="6" t="s">
        <v>45</v>
      </c>
      <c r="D111" s="21"/>
      <c r="E111" s="21"/>
      <c r="F111" s="23"/>
      <c r="G111" s="23">
        <f t="shared" si="0"/>
        <v>0</v>
      </c>
      <c r="H111" s="23"/>
      <c r="I111" s="23">
        <f t="shared" si="1"/>
        <v>0</v>
      </c>
      <c r="J111" s="23"/>
      <c r="K111" s="23">
        <f t="shared" si="105"/>
        <v>0</v>
      </c>
      <c r="L111" s="23"/>
      <c r="M111" s="23">
        <f t="shared" si="96"/>
        <v>0</v>
      </c>
      <c r="N111" s="23"/>
      <c r="O111" s="23">
        <f t="shared" si="97"/>
        <v>0</v>
      </c>
      <c r="P111" s="23"/>
      <c r="Q111" s="23">
        <f t="shared" si="98"/>
        <v>0</v>
      </c>
      <c r="R111" s="23"/>
      <c r="S111" s="23">
        <f t="shared" si="99"/>
        <v>0</v>
      </c>
      <c r="T111" s="23"/>
      <c r="U111" s="23">
        <f t="shared" si="100"/>
        <v>0</v>
      </c>
      <c r="V111" s="23"/>
      <c r="W111" s="23">
        <f t="shared" si="101"/>
        <v>0</v>
      </c>
      <c r="X111" s="23"/>
      <c r="Y111" s="23">
        <f t="shared" si="102"/>
        <v>0</v>
      </c>
      <c r="Z111" s="22"/>
      <c r="AA111" s="23">
        <f t="shared" si="103"/>
        <v>0</v>
      </c>
      <c r="AB111" s="22"/>
      <c r="AC111" s="23">
        <f t="shared" si="104"/>
        <v>0</v>
      </c>
      <c r="AD111" s="10" t="s">
        <v>178</v>
      </c>
      <c r="AE111" s="3">
        <v>0</v>
      </c>
    </row>
    <row r="112" spans="1:31" x14ac:dyDescent="0.35">
      <c r="A112" s="46"/>
      <c r="B112" s="49" t="s">
        <v>4</v>
      </c>
      <c r="C112" s="49"/>
      <c r="D112" s="20">
        <f>D115+D113+D114+D116+D117+D118+D122</f>
        <v>190500</v>
      </c>
      <c r="E112" s="20">
        <f>E115+E113+E114+E116+E117+E118+E122</f>
        <v>138786.90000000002</v>
      </c>
      <c r="F112" s="20">
        <f>F115+F113+F114+F116+F117+F118+F122</f>
        <v>0</v>
      </c>
      <c r="G112" s="20">
        <f t="shared" si="0"/>
        <v>190500</v>
      </c>
      <c r="H112" s="20">
        <f>H115+H113+H114+H116+H117+H118+H122</f>
        <v>0</v>
      </c>
      <c r="I112" s="20">
        <f t="shared" si="1"/>
        <v>138786.90000000002</v>
      </c>
      <c r="J112" s="20">
        <f>J115+J113+J114+J116+J117+J118+J122+J123</f>
        <v>32968.798999999999</v>
      </c>
      <c r="K112" s="20">
        <f t="shared" si="105"/>
        <v>223468.799</v>
      </c>
      <c r="L112" s="20">
        <f>L115+L113+L114+L116+L117+L118+L122+L123</f>
        <v>0</v>
      </c>
      <c r="M112" s="20">
        <f t="shared" si="96"/>
        <v>138786.90000000002</v>
      </c>
      <c r="N112" s="20">
        <f>N115+N113+N114+N116+N117+N118+N122+N123</f>
        <v>0</v>
      </c>
      <c r="O112" s="20">
        <f t="shared" si="97"/>
        <v>223468.799</v>
      </c>
      <c r="P112" s="20">
        <f>P115+P113+P114+P116+P117+P118+P122+P123</f>
        <v>0</v>
      </c>
      <c r="Q112" s="20">
        <f t="shared" si="98"/>
        <v>138786.90000000002</v>
      </c>
      <c r="R112" s="20">
        <f>R115+R113+R114+R116+R117+R118+R122+R123</f>
        <v>467.96</v>
      </c>
      <c r="S112" s="20">
        <f t="shared" si="99"/>
        <v>223936.75899999999</v>
      </c>
      <c r="T112" s="20">
        <f>T115+T113+T114+T116+T117+T118+T122+T123</f>
        <v>0</v>
      </c>
      <c r="U112" s="20">
        <f t="shared" si="100"/>
        <v>138786.90000000002</v>
      </c>
      <c r="V112" s="20">
        <f>V115+V113+V114+V116+V117+V118+V122+V123</f>
        <v>0</v>
      </c>
      <c r="W112" s="20">
        <f t="shared" si="101"/>
        <v>223936.75899999999</v>
      </c>
      <c r="X112" s="20">
        <f>X115+X113+X114+X116+X117+X118+X122+X123</f>
        <v>0</v>
      </c>
      <c r="Y112" s="20">
        <f t="shared" si="102"/>
        <v>138786.90000000002</v>
      </c>
      <c r="Z112" s="20">
        <f>Z115+Z113+Z114+Z116+Z117+Z118+Z122+Z123+Z124</f>
        <v>140250.79699999999</v>
      </c>
      <c r="AA112" s="48">
        <f t="shared" si="103"/>
        <v>364187.55599999998</v>
      </c>
      <c r="AB112" s="20">
        <f>AB115+AB113+AB114+AB116+AB117+AB118+AB122+AB123+AB124</f>
        <v>0</v>
      </c>
      <c r="AC112" s="48">
        <f t="shared" si="104"/>
        <v>138786.90000000002</v>
      </c>
    </row>
    <row r="113" spans="1:31" ht="54" x14ac:dyDescent="0.35">
      <c r="A113" s="46" t="s">
        <v>124</v>
      </c>
      <c r="B113" s="49" t="s">
        <v>33</v>
      </c>
      <c r="C113" s="49" t="s">
        <v>5</v>
      </c>
      <c r="D113" s="21">
        <v>60500</v>
      </c>
      <c r="E113" s="21">
        <v>60500</v>
      </c>
      <c r="F113" s="23"/>
      <c r="G113" s="23">
        <f t="shared" si="0"/>
        <v>60500</v>
      </c>
      <c r="H113" s="23"/>
      <c r="I113" s="23">
        <f t="shared" si="1"/>
        <v>60500</v>
      </c>
      <c r="J113" s="23"/>
      <c r="K113" s="23">
        <f t="shared" si="105"/>
        <v>60500</v>
      </c>
      <c r="L113" s="23"/>
      <c r="M113" s="23">
        <f t="shared" si="96"/>
        <v>60500</v>
      </c>
      <c r="N113" s="23"/>
      <c r="O113" s="23">
        <f t="shared" si="97"/>
        <v>60500</v>
      </c>
      <c r="P113" s="23"/>
      <c r="Q113" s="23">
        <f t="shared" si="98"/>
        <v>60500</v>
      </c>
      <c r="R113" s="23"/>
      <c r="S113" s="23">
        <f t="shared" si="99"/>
        <v>60500</v>
      </c>
      <c r="T113" s="23"/>
      <c r="U113" s="23">
        <f t="shared" si="100"/>
        <v>60500</v>
      </c>
      <c r="V113" s="23"/>
      <c r="W113" s="23">
        <f t="shared" si="101"/>
        <v>60500</v>
      </c>
      <c r="X113" s="23"/>
      <c r="Y113" s="23">
        <f t="shared" si="102"/>
        <v>60500</v>
      </c>
      <c r="Z113" s="22"/>
      <c r="AA113" s="48">
        <f t="shared" si="103"/>
        <v>60500</v>
      </c>
      <c r="AB113" s="22"/>
      <c r="AC113" s="48">
        <f t="shared" si="104"/>
        <v>60500</v>
      </c>
      <c r="AD113" s="10">
        <v>1020200000</v>
      </c>
    </row>
    <row r="114" spans="1:31" ht="54" x14ac:dyDescent="0.35">
      <c r="A114" s="46" t="s">
        <v>125</v>
      </c>
      <c r="B114" s="49" t="s">
        <v>32</v>
      </c>
      <c r="C114" s="49" t="s">
        <v>5</v>
      </c>
      <c r="D114" s="21">
        <v>0</v>
      </c>
      <c r="E114" s="21">
        <v>726.6</v>
      </c>
      <c r="F114" s="23">
        <v>0</v>
      </c>
      <c r="G114" s="23">
        <f t="shared" si="0"/>
        <v>0</v>
      </c>
      <c r="H114" s="23"/>
      <c r="I114" s="23">
        <f t="shared" si="1"/>
        <v>726.6</v>
      </c>
      <c r="J114" s="23">
        <v>0</v>
      </c>
      <c r="K114" s="23">
        <f t="shared" si="105"/>
        <v>0</v>
      </c>
      <c r="L114" s="23"/>
      <c r="M114" s="23">
        <f t="shared" si="96"/>
        <v>726.6</v>
      </c>
      <c r="N114" s="23">
        <v>0</v>
      </c>
      <c r="O114" s="23">
        <f t="shared" si="97"/>
        <v>0</v>
      </c>
      <c r="P114" s="23"/>
      <c r="Q114" s="23">
        <f t="shared" si="98"/>
        <v>726.6</v>
      </c>
      <c r="R114" s="23">
        <v>0</v>
      </c>
      <c r="S114" s="23">
        <f t="shared" si="99"/>
        <v>0</v>
      </c>
      <c r="T114" s="23"/>
      <c r="U114" s="23">
        <f t="shared" si="100"/>
        <v>726.6</v>
      </c>
      <c r="V114" s="23">
        <v>0</v>
      </c>
      <c r="W114" s="23">
        <f t="shared" si="101"/>
        <v>0</v>
      </c>
      <c r="X114" s="23"/>
      <c r="Y114" s="23">
        <f t="shared" si="102"/>
        <v>726.6</v>
      </c>
      <c r="Z114" s="22">
        <v>0</v>
      </c>
      <c r="AA114" s="48">
        <f t="shared" si="103"/>
        <v>0</v>
      </c>
      <c r="AB114" s="22"/>
      <c r="AC114" s="48">
        <f t="shared" si="104"/>
        <v>726.6</v>
      </c>
      <c r="AD114" s="10">
        <v>1110542270</v>
      </c>
    </row>
    <row r="115" spans="1:31" ht="54" x14ac:dyDescent="0.35">
      <c r="A115" s="46" t="s">
        <v>126</v>
      </c>
      <c r="B115" s="49" t="s">
        <v>187</v>
      </c>
      <c r="C115" s="49" t="s">
        <v>5</v>
      </c>
      <c r="D115" s="21">
        <v>0</v>
      </c>
      <c r="E115" s="21">
        <v>9282.2999999999993</v>
      </c>
      <c r="F115" s="23">
        <v>0</v>
      </c>
      <c r="G115" s="23">
        <f t="shared" si="0"/>
        <v>0</v>
      </c>
      <c r="H115" s="23"/>
      <c r="I115" s="23">
        <f t="shared" si="1"/>
        <v>9282.2999999999993</v>
      </c>
      <c r="J115" s="23">
        <v>0</v>
      </c>
      <c r="K115" s="23">
        <f t="shared" si="105"/>
        <v>0</v>
      </c>
      <c r="L115" s="23"/>
      <c r="M115" s="23">
        <f t="shared" si="96"/>
        <v>9282.2999999999993</v>
      </c>
      <c r="N115" s="23">
        <v>0</v>
      </c>
      <c r="O115" s="23">
        <f t="shared" si="97"/>
        <v>0</v>
      </c>
      <c r="P115" s="23"/>
      <c r="Q115" s="23">
        <f t="shared" si="98"/>
        <v>9282.2999999999993</v>
      </c>
      <c r="R115" s="23">
        <v>0</v>
      </c>
      <c r="S115" s="23">
        <f t="shared" si="99"/>
        <v>0</v>
      </c>
      <c r="T115" s="23"/>
      <c r="U115" s="23">
        <f t="shared" si="100"/>
        <v>9282.2999999999993</v>
      </c>
      <c r="V115" s="23">
        <v>0</v>
      </c>
      <c r="W115" s="23">
        <f t="shared" si="101"/>
        <v>0</v>
      </c>
      <c r="X115" s="23"/>
      <c r="Y115" s="23">
        <f t="shared" si="102"/>
        <v>9282.2999999999993</v>
      </c>
      <c r="Z115" s="22">
        <v>0</v>
      </c>
      <c r="AA115" s="48">
        <f t="shared" si="103"/>
        <v>0</v>
      </c>
      <c r="AB115" s="22"/>
      <c r="AC115" s="48">
        <f t="shared" si="104"/>
        <v>9282.2999999999993</v>
      </c>
      <c r="AD115" s="10">
        <v>1110542280</v>
      </c>
    </row>
    <row r="116" spans="1:31" ht="54" x14ac:dyDescent="0.35">
      <c r="A116" s="46" t="s">
        <v>127</v>
      </c>
      <c r="B116" s="49" t="s">
        <v>148</v>
      </c>
      <c r="C116" s="49" t="s">
        <v>5</v>
      </c>
      <c r="D116" s="21">
        <v>0</v>
      </c>
      <c r="E116" s="21">
        <v>43253</v>
      </c>
      <c r="F116" s="23">
        <v>0</v>
      </c>
      <c r="G116" s="23">
        <f t="shared" si="0"/>
        <v>0</v>
      </c>
      <c r="H116" s="23"/>
      <c r="I116" s="23">
        <f t="shared" si="1"/>
        <v>43253</v>
      </c>
      <c r="J116" s="23">
        <v>0</v>
      </c>
      <c r="K116" s="23">
        <f t="shared" si="105"/>
        <v>0</v>
      </c>
      <c r="L116" s="23"/>
      <c r="M116" s="23">
        <f t="shared" si="96"/>
        <v>43253</v>
      </c>
      <c r="N116" s="23">
        <v>0</v>
      </c>
      <c r="O116" s="23">
        <f t="shared" si="97"/>
        <v>0</v>
      </c>
      <c r="P116" s="23"/>
      <c r="Q116" s="23">
        <f t="shared" si="98"/>
        <v>43253</v>
      </c>
      <c r="R116" s="23">
        <v>0</v>
      </c>
      <c r="S116" s="23">
        <f t="shared" si="99"/>
        <v>0</v>
      </c>
      <c r="T116" s="23"/>
      <c r="U116" s="23">
        <f t="shared" si="100"/>
        <v>43253</v>
      </c>
      <c r="V116" s="23">
        <v>0</v>
      </c>
      <c r="W116" s="23">
        <f t="shared" si="101"/>
        <v>0</v>
      </c>
      <c r="X116" s="23"/>
      <c r="Y116" s="23">
        <f t="shared" si="102"/>
        <v>43253</v>
      </c>
      <c r="Z116" s="22">
        <v>0</v>
      </c>
      <c r="AA116" s="48">
        <f t="shared" si="103"/>
        <v>0</v>
      </c>
      <c r="AB116" s="22"/>
      <c r="AC116" s="48">
        <f t="shared" si="104"/>
        <v>43253</v>
      </c>
      <c r="AD116" s="10">
        <v>1110542290</v>
      </c>
    </row>
    <row r="117" spans="1:31" ht="54" x14ac:dyDescent="0.35">
      <c r="A117" s="46" t="s">
        <v>128</v>
      </c>
      <c r="B117" s="49" t="s">
        <v>168</v>
      </c>
      <c r="C117" s="49" t="s">
        <v>5</v>
      </c>
      <c r="D117" s="21">
        <v>0</v>
      </c>
      <c r="E117" s="21">
        <v>25025</v>
      </c>
      <c r="F117" s="23">
        <v>0</v>
      </c>
      <c r="G117" s="23">
        <f t="shared" si="0"/>
        <v>0</v>
      </c>
      <c r="H117" s="23"/>
      <c r="I117" s="23">
        <f t="shared" si="1"/>
        <v>25025</v>
      </c>
      <c r="J117" s="23">
        <v>0</v>
      </c>
      <c r="K117" s="23">
        <f t="shared" si="105"/>
        <v>0</v>
      </c>
      <c r="L117" s="23"/>
      <c r="M117" s="23">
        <f t="shared" si="96"/>
        <v>25025</v>
      </c>
      <c r="N117" s="23">
        <v>0</v>
      </c>
      <c r="O117" s="23">
        <f t="shared" si="97"/>
        <v>0</v>
      </c>
      <c r="P117" s="23"/>
      <c r="Q117" s="23">
        <f t="shared" si="98"/>
        <v>25025</v>
      </c>
      <c r="R117" s="23">
        <v>0</v>
      </c>
      <c r="S117" s="23">
        <f t="shared" si="99"/>
        <v>0</v>
      </c>
      <c r="T117" s="23"/>
      <c r="U117" s="23">
        <f t="shared" si="100"/>
        <v>25025</v>
      </c>
      <c r="V117" s="23">
        <v>0</v>
      </c>
      <c r="W117" s="23">
        <f t="shared" si="101"/>
        <v>0</v>
      </c>
      <c r="X117" s="23"/>
      <c r="Y117" s="23">
        <f t="shared" si="102"/>
        <v>25025</v>
      </c>
      <c r="Z117" s="22">
        <v>0</v>
      </c>
      <c r="AA117" s="48">
        <f t="shared" si="103"/>
        <v>0</v>
      </c>
      <c r="AB117" s="22"/>
      <c r="AC117" s="48">
        <f t="shared" si="104"/>
        <v>25025</v>
      </c>
      <c r="AD117" s="9">
        <v>1110542300</v>
      </c>
    </row>
    <row r="118" spans="1:31" ht="54" x14ac:dyDescent="0.35">
      <c r="A118" s="46" t="s">
        <v>129</v>
      </c>
      <c r="B118" s="49" t="s">
        <v>149</v>
      </c>
      <c r="C118" s="49" t="s">
        <v>5</v>
      </c>
      <c r="D118" s="21">
        <f>D120+D121</f>
        <v>100000</v>
      </c>
      <c r="E118" s="21">
        <f>E120+E121</f>
        <v>0</v>
      </c>
      <c r="F118" s="23">
        <f>F120+F121</f>
        <v>0</v>
      </c>
      <c r="G118" s="23">
        <f t="shared" si="0"/>
        <v>100000</v>
      </c>
      <c r="H118" s="23">
        <f>H120+H121</f>
        <v>0</v>
      </c>
      <c r="I118" s="23">
        <f t="shared" si="1"/>
        <v>0</v>
      </c>
      <c r="J118" s="23">
        <f>J120+J121</f>
        <v>0</v>
      </c>
      <c r="K118" s="23">
        <f t="shared" si="105"/>
        <v>100000</v>
      </c>
      <c r="L118" s="23">
        <f>L120+L121</f>
        <v>0</v>
      </c>
      <c r="M118" s="23">
        <f t="shared" si="96"/>
        <v>0</v>
      </c>
      <c r="N118" s="23">
        <f>N120+N121</f>
        <v>0</v>
      </c>
      <c r="O118" s="23">
        <f t="shared" si="97"/>
        <v>100000</v>
      </c>
      <c r="P118" s="23">
        <f>P120+P121</f>
        <v>0</v>
      </c>
      <c r="Q118" s="23">
        <f t="shared" si="98"/>
        <v>0</v>
      </c>
      <c r="R118" s="23">
        <f>R120+R121</f>
        <v>0</v>
      </c>
      <c r="S118" s="23">
        <f t="shared" si="99"/>
        <v>100000</v>
      </c>
      <c r="T118" s="23">
        <f>T120+T121</f>
        <v>0</v>
      </c>
      <c r="U118" s="23">
        <f t="shared" si="100"/>
        <v>0</v>
      </c>
      <c r="V118" s="23">
        <f>V120+V121</f>
        <v>0</v>
      </c>
      <c r="W118" s="23">
        <f t="shared" si="101"/>
        <v>100000</v>
      </c>
      <c r="X118" s="23">
        <f>X120+X121</f>
        <v>0</v>
      </c>
      <c r="Y118" s="23">
        <f t="shared" si="102"/>
        <v>0</v>
      </c>
      <c r="Z118" s="22">
        <f>Z120+Z121</f>
        <v>123223.927</v>
      </c>
      <c r="AA118" s="48">
        <f t="shared" si="103"/>
        <v>223223.927</v>
      </c>
      <c r="AB118" s="22">
        <f>AB120+AB121</f>
        <v>0</v>
      </c>
      <c r="AC118" s="48">
        <f t="shared" si="104"/>
        <v>0</v>
      </c>
      <c r="AD118" s="9"/>
    </row>
    <row r="119" spans="1:31" s="3" customFormat="1" hidden="1" x14ac:dyDescent="0.35">
      <c r="A119" s="1"/>
      <c r="B119" s="12" t="s">
        <v>7</v>
      </c>
      <c r="C119" s="13"/>
      <c r="D119" s="21"/>
      <c r="E119" s="21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23"/>
      <c r="Q119" s="23"/>
      <c r="R119" s="23"/>
      <c r="S119" s="23"/>
      <c r="T119" s="23"/>
      <c r="U119" s="23"/>
      <c r="V119" s="23"/>
      <c r="W119" s="23"/>
      <c r="X119" s="23"/>
      <c r="Y119" s="23"/>
      <c r="Z119" s="22"/>
      <c r="AA119" s="23"/>
      <c r="AB119" s="22"/>
      <c r="AC119" s="23"/>
      <c r="AD119" s="9"/>
      <c r="AE119" s="3">
        <v>0</v>
      </c>
    </row>
    <row r="120" spans="1:31" s="3" customFormat="1" hidden="1" x14ac:dyDescent="0.35">
      <c r="A120" s="1"/>
      <c r="B120" s="12" t="s">
        <v>8</v>
      </c>
      <c r="C120" s="13"/>
      <c r="D120" s="21">
        <v>100000</v>
      </c>
      <c r="E120" s="21">
        <v>0</v>
      </c>
      <c r="F120" s="23"/>
      <c r="G120" s="23">
        <f t="shared" si="0"/>
        <v>100000</v>
      </c>
      <c r="H120" s="23">
        <v>0</v>
      </c>
      <c r="I120" s="23">
        <f t="shared" si="1"/>
        <v>0</v>
      </c>
      <c r="J120" s="23"/>
      <c r="K120" s="23">
        <f t="shared" si="105"/>
        <v>100000</v>
      </c>
      <c r="L120" s="23">
        <v>0</v>
      </c>
      <c r="M120" s="23">
        <f t="shared" ref="M120:M125" si="106">I120+L120</f>
        <v>0</v>
      </c>
      <c r="N120" s="23"/>
      <c r="O120" s="23">
        <f t="shared" ref="O120:O125" si="107">K120+N120</f>
        <v>100000</v>
      </c>
      <c r="P120" s="23">
        <v>0</v>
      </c>
      <c r="Q120" s="23">
        <f t="shared" ref="Q120:Q125" si="108">M120+P120</f>
        <v>0</v>
      </c>
      <c r="R120" s="23"/>
      <c r="S120" s="23">
        <f t="shared" ref="S120:S125" si="109">O120+R120</f>
        <v>100000</v>
      </c>
      <c r="T120" s="23">
        <v>0</v>
      </c>
      <c r="U120" s="23">
        <f t="shared" ref="U120:U125" si="110">Q120+T120</f>
        <v>0</v>
      </c>
      <c r="V120" s="23"/>
      <c r="W120" s="23">
        <f t="shared" ref="W120:W125" si="111">S120+V120</f>
        <v>100000</v>
      </c>
      <c r="X120" s="23">
        <v>0</v>
      </c>
      <c r="Y120" s="23">
        <f t="shared" ref="Y120:Y125" si="112">U120+X120</f>
        <v>0</v>
      </c>
      <c r="Z120" s="22">
        <v>123223.927</v>
      </c>
      <c r="AA120" s="23">
        <f t="shared" ref="AA120:AA125" si="113">W120+Z120</f>
        <v>223223.927</v>
      </c>
      <c r="AB120" s="22">
        <v>0</v>
      </c>
      <c r="AC120" s="23">
        <f t="shared" ref="AC120:AC125" si="114">Y120+AB120</f>
        <v>0</v>
      </c>
      <c r="AD120" s="9">
        <v>1320242020</v>
      </c>
      <c r="AE120" s="3">
        <v>0</v>
      </c>
    </row>
    <row r="121" spans="1:31" s="3" customFormat="1" hidden="1" x14ac:dyDescent="0.35">
      <c r="A121" s="1"/>
      <c r="B121" s="12" t="s">
        <v>14</v>
      </c>
      <c r="C121" s="13"/>
      <c r="D121" s="21"/>
      <c r="E121" s="21"/>
      <c r="F121" s="23"/>
      <c r="G121" s="23">
        <f t="shared" ref="G121:G204" si="115">D121+F121</f>
        <v>0</v>
      </c>
      <c r="H121" s="23"/>
      <c r="I121" s="23">
        <f t="shared" ref="I121:I204" si="116">E121+H121</f>
        <v>0</v>
      </c>
      <c r="J121" s="23"/>
      <c r="K121" s="23">
        <f t="shared" si="105"/>
        <v>0</v>
      </c>
      <c r="L121" s="23"/>
      <c r="M121" s="23">
        <f t="shared" si="106"/>
        <v>0</v>
      </c>
      <c r="N121" s="23"/>
      <c r="O121" s="23">
        <f t="shared" si="107"/>
        <v>0</v>
      </c>
      <c r="P121" s="23"/>
      <c r="Q121" s="23">
        <f t="shared" si="108"/>
        <v>0</v>
      </c>
      <c r="R121" s="23"/>
      <c r="S121" s="23">
        <f t="shared" si="109"/>
        <v>0</v>
      </c>
      <c r="T121" s="23"/>
      <c r="U121" s="23">
        <f t="shared" si="110"/>
        <v>0</v>
      </c>
      <c r="V121" s="23"/>
      <c r="W121" s="23">
        <f t="shared" si="111"/>
        <v>0</v>
      </c>
      <c r="X121" s="23"/>
      <c r="Y121" s="23">
        <f t="shared" si="112"/>
        <v>0</v>
      </c>
      <c r="Z121" s="22"/>
      <c r="AA121" s="23">
        <f t="shared" si="113"/>
        <v>0</v>
      </c>
      <c r="AB121" s="22"/>
      <c r="AC121" s="23">
        <f t="shared" si="114"/>
        <v>0</v>
      </c>
      <c r="AD121" s="9"/>
      <c r="AE121" s="3">
        <v>0</v>
      </c>
    </row>
    <row r="122" spans="1:31" ht="54" x14ac:dyDescent="0.35">
      <c r="A122" s="46" t="s">
        <v>130</v>
      </c>
      <c r="B122" s="49" t="s">
        <v>171</v>
      </c>
      <c r="C122" s="49" t="s">
        <v>5</v>
      </c>
      <c r="D122" s="21">
        <v>30000</v>
      </c>
      <c r="E122" s="21">
        <v>0</v>
      </c>
      <c r="F122" s="23"/>
      <c r="G122" s="23">
        <f t="shared" si="115"/>
        <v>30000</v>
      </c>
      <c r="H122" s="23">
        <v>0</v>
      </c>
      <c r="I122" s="23">
        <f t="shared" si="116"/>
        <v>0</v>
      </c>
      <c r="J122" s="23"/>
      <c r="K122" s="23">
        <f t="shared" si="105"/>
        <v>30000</v>
      </c>
      <c r="L122" s="23">
        <v>0</v>
      </c>
      <c r="M122" s="23">
        <f t="shared" si="106"/>
        <v>0</v>
      </c>
      <c r="N122" s="23"/>
      <c r="O122" s="23">
        <f t="shared" si="107"/>
        <v>30000</v>
      </c>
      <c r="P122" s="23">
        <v>0</v>
      </c>
      <c r="Q122" s="23">
        <f t="shared" si="108"/>
        <v>0</v>
      </c>
      <c r="R122" s="23"/>
      <c r="S122" s="23">
        <f t="shared" si="109"/>
        <v>30000</v>
      </c>
      <c r="T122" s="23">
        <v>0</v>
      </c>
      <c r="U122" s="23">
        <f t="shared" si="110"/>
        <v>0</v>
      </c>
      <c r="V122" s="23"/>
      <c r="W122" s="23">
        <f t="shared" si="111"/>
        <v>30000</v>
      </c>
      <c r="X122" s="23">
        <v>0</v>
      </c>
      <c r="Y122" s="23">
        <f t="shared" si="112"/>
        <v>0</v>
      </c>
      <c r="Z122" s="22"/>
      <c r="AA122" s="48">
        <f t="shared" si="113"/>
        <v>30000</v>
      </c>
      <c r="AB122" s="22">
        <v>0</v>
      </c>
      <c r="AC122" s="48">
        <f t="shared" si="114"/>
        <v>0</v>
      </c>
      <c r="AD122" s="9">
        <v>1120441540</v>
      </c>
    </row>
    <row r="123" spans="1:31" ht="54" x14ac:dyDescent="0.35">
      <c r="A123" s="46" t="s">
        <v>131</v>
      </c>
      <c r="B123" s="49" t="s">
        <v>196</v>
      </c>
      <c r="C123" s="49" t="s">
        <v>5</v>
      </c>
      <c r="D123" s="21"/>
      <c r="E123" s="21"/>
      <c r="F123" s="23"/>
      <c r="G123" s="23"/>
      <c r="H123" s="23"/>
      <c r="I123" s="23"/>
      <c r="J123" s="23">
        <v>32968.798999999999</v>
      </c>
      <c r="K123" s="23">
        <f t="shared" si="105"/>
        <v>32968.798999999999</v>
      </c>
      <c r="L123" s="23"/>
      <c r="M123" s="23">
        <f t="shared" si="106"/>
        <v>0</v>
      </c>
      <c r="N123" s="23"/>
      <c r="O123" s="23">
        <f t="shared" si="107"/>
        <v>32968.798999999999</v>
      </c>
      <c r="P123" s="23"/>
      <c r="Q123" s="23">
        <f t="shared" si="108"/>
        <v>0</v>
      </c>
      <c r="R123" s="23">
        <v>467.96</v>
      </c>
      <c r="S123" s="23">
        <f t="shared" si="109"/>
        <v>33436.758999999998</v>
      </c>
      <c r="T123" s="23"/>
      <c r="U123" s="23">
        <f t="shared" si="110"/>
        <v>0</v>
      </c>
      <c r="V123" s="23"/>
      <c r="W123" s="23">
        <f t="shared" si="111"/>
        <v>33436.758999999998</v>
      </c>
      <c r="X123" s="23"/>
      <c r="Y123" s="23">
        <f t="shared" si="112"/>
        <v>0</v>
      </c>
      <c r="Z123" s="22"/>
      <c r="AA123" s="48">
        <f t="shared" si="113"/>
        <v>33436.758999999998</v>
      </c>
      <c r="AB123" s="22"/>
      <c r="AC123" s="48">
        <f t="shared" si="114"/>
        <v>0</v>
      </c>
      <c r="AD123" s="9" t="s">
        <v>197</v>
      </c>
    </row>
    <row r="124" spans="1:31" ht="54" x14ac:dyDescent="0.35">
      <c r="A124" s="46" t="s">
        <v>132</v>
      </c>
      <c r="B124" s="49" t="s">
        <v>233</v>
      </c>
      <c r="C124" s="49" t="s">
        <v>5</v>
      </c>
      <c r="D124" s="21"/>
      <c r="E124" s="21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23"/>
      <c r="Q124" s="23"/>
      <c r="R124" s="23"/>
      <c r="S124" s="23"/>
      <c r="T124" s="23"/>
      <c r="U124" s="23"/>
      <c r="V124" s="23"/>
      <c r="W124" s="23"/>
      <c r="X124" s="23"/>
      <c r="Y124" s="23"/>
      <c r="Z124" s="22">
        <v>17026.87</v>
      </c>
      <c r="AA124" s="48">
        <f t="shared" si="113"/>
        <v>17026.87</v>
      </c>
      <c r="AB124" s="22"/>
      <c r="AC124" s="48">
        <f t="shared" si="114"/>
        <v>0</v>
      </c>
      <c r="AD124" s="9" t="s">
        <v>234</v>
      </c>
    </row>
    <row r="125" spans="1:31" x14ac:dyDescent="0.35">
      <c r="A125" s="46"/>
      <c r="B125" s="49" t="s">
        <v>6</v>
      </c>
      <c r="C125" s="49"/>
      <c r="D125" s="20">
        <f>D127+D128</f>
        <v>1940540.4</v>
      </c>
      <c r="E125" s="20">
        <f>E127+E128</f>
        <v>1512660</v>
      </c>
      <c r="F125" s="20">
        <f>F127+F128</f>
        <v>0</v>
      </c>
      <c r="G125" s="20">
        <f t="shared" si="115"/>
        <v>1940540.4</v>
      </c>
      <c r="H125" s="20">
        <f>H127+H128</f>
        <v>0</v>
      </c>
      <c r="I125" s="20">
        <f t="shared" si="116"/>
        <v>1512660</v>
      </c>
      <c r="J125" s="20">
        <f>J127+J128</f>
        <v>0</v>
      </c>
      <c r="K125" s="20">
        <f t="shared" si="105"/>
        <v>1940540.4</v>
      </c>
      <c r="L125" s="20">
        <f>L127+L128</f>
        <v>0</v>
      </c>
      <c r="M125" s="20">
        <f t="shared" si="106"/>
        <v>1512660</v>
      </c>
      <c r="N125" s="20">
        <f>N127+N128</f>
        <v>0</v>
      </c>
      <c r="O125" s="20">
        <f t="shared" si="107"/>
        <v>1940540.4</v>
      </c>
      <c r="P125" s="20">
        <f>P127+P128</f>
        <v>0</v>
      </c>
      <c r="Q125" s="20">
        <f t="shared" si="108"/>
        <v>1512660</v>
      </c>
      <c r="R125" s="20">
        <f>R127+R128</f>
        <v>403701.8</v>
      </c>
      <c r="S125" s="20">
        <f t="shared" si="109"/>
        <v>2344242.1999999997</v>
      </c>
      <c r="T125" s="20">
        <f>T127+T128</f>
        <v>0</v>
      </c>
      <c r="U125" s="20">
        <f t="shared" si="110"/>
        <v>1512660</v>
      </c>
      <c r="V125" s="20">
        <f>V127+V128</f>
        <v>0</v>
      </c>
      <c r="W125" s="20">
        <f t="shared" si="111"/>
        <v>2344242.1999999997</v>
      </c>
      <c r="X125" s="20">
        <f>X127+X128</f>
        <v>0</v>
      </c>
      <c r="Y125" s="20">
        <f t="shared" si="112"/>
        <v>1512660</v>
      </c>
      <c r="Z125" s="20">
        <f>Z127+Z128</f>
        <v>-180622.80000000002</v>
      </c>
      <c r="AA125" s="48">
        <f t="shared" si="113"/>
        <v>2163619.4</v>
      </c>
      <c r="AB125" s="20">
        <f>AB127+AB128</f>
        <v>583602.64500000002</v>
      </c>
      <c r="AC125" s="48">
        <f t="shared" si="114"/>
        <v>2096262.645</v>
      </c>
    </row>
    <row r="126" spans="1:31" x14ac:dyDescent="0.35">
      <c r="A126" s="46"/>
      <c r="B126" s="47" t="s">
        <v>7</v>
      </c>
      <c r="C126" s="59"/>
      <c r="D126" s="21"/>
      <c r="E126" s="21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23"/>
      <c r="Q126" s="23"/>
      <c r="R126" s="23"/>
      <c r="S126" s="23"/>
      <c r="T126" s="23"/>
      <c r="U126" s="23"/>
      <c r="V126" s="23"/>
      <c r="W126" s="23"/>
      <c r="X126" s="23"/>
      <c r="Y126" s="23"/>
      <c r="Z126" s="22"/>
      <c r="AA126" s="48"/>
      <c r="AB126" s="22"/>
      <c r="AC126" s="48"/>
    </row>
    <row r="127" spans="1:31" s="3" customFormat="1" hidden="1" x14ac:dyDescent="0.35">
      <c r="A127" s="1"/>
      <c r="B127" s="5" t="s">
        <v>8</v>
      </c>
      <c r="C127" s="2"/>
      <c r="D127" s="24">
        <f t="shared" ref="D127:F128" si="117">D131+D135+D139+D143+D147+D151+D155+D159+D163+D167+D171</f>
        <v>485135.6</v>
      </c>
      <c r="E127" s="24">
        <f t="shared" si="117"/>
        <v>407082.6</v>
      </c>
      <c r="F127" s="26">
        <f t="shared" si="117"/>
        <v>0</v>
      </c>
      <c r="G127" s="23">
        <f t="shared" si="115"/>
        <v>485135.6</v>
      </c>
      <c r="H127" s="26">
        <f>H131+H135+H139+H143+H147+H151+H155+H159+H163+H167+H171</f>
        <v>0</v>
      </c>
      <c r="I127" s="23">
        <f t="shared" si="116"/>
        <v>407082.6</v>
      </c>
      <c r="J127" s="26">
        <f t="shared" ref="J127" si="118">J131+J135+J139+J143+J147+J151+J155+J159+J163+J167+J171</f>
        <v>0</v>
      </c>
      <c r="K127" s="23">
        <f t="shared" si="105"/>
        <v>485135.6</v>
      </c>
      <c r="L127" s="26">
        <f>L131+L135+L139+L143+L147+L151+L155+L159+L163+L167+L171</f>
        <v>0</v>
      </c>
      <c r="M127" s="23">
        <f t="shared" ref="M127:M129" si="119">I127+L127</f>
        <v>407082.6</v>
      </c>
      <c r="N127" s="26">
        <f t="shared" ref="N127:N128" si="120">N131+N135+N139+N143+N147+N151+N155+N159+N163+N167+N171</f>
        <v>0</v>
      </c>
      <c r="O127" s="23">
        <f t="shared" ref="O127:O129" si="121">K127+N127</f>
        <v>485135.6</v>
      </c>
      <c r="P127" s="26">
        <f>P131+P135+P139+P143+P147+P151+P155+P159+P163+P167+P171</f>
        <v>0</v>
      </c>
      <c r="Q127" s="23">
        <f t="shared" ref="Q127:Q129" si="122">M127+P127</f>
        <v>407082.6</v>
      </c>
      <c r="R127" s="26">
        <f>R131+R135+R139+R143+R147+R151+R155+R159+R163+R167+R171+R175+R179</f>
        <v>83372.299999999988</v>
      </c>
      <c r="S127" s="23">
        <f t="shared" ref="S127:S129" si="123">O127+R127</f>
        <v>568507.89999999991</v>
      </c>
      <c r="T127" s="26">
        <f>T131+T135+T139+T143+T147+T151+T155+T159+T163+T167+T171+T175+T179</f>
        <v>0</v>
      </c>
      <c r="U127" s="23">
        <f t="shared" ref="U127:U129" si="124">Q127+T127</f>
        <v>407082.6</v>
      </c>
      <c r="V127" s="26">
        <f>V131+V135+V139+V143+V147+V151+V155+V159+V163+V167+V171+V175+V179</f>
        <v>0</v>
      </c>
      <c r="W127" s="23">
        <f t="shared" ref="W127:W129" si="125">S127+V127</f>
        <v>568507.89999999991</v>
      </c>
      <c r="X127" s="26">
        <f>X131+X135+X139+X143+X147+X151+X155+X159+X163+X167+X171+X175+X179</f>
        <v>0</v>
      </c>
      <c r="Y127" s="23">
        <f t="shared" ref="Y127:Y129" si="126">U127+X127</f>
        <v>407082.6</v>
      </c>
      <c r="Z127" s="25">
        <f>Z131+Z135+Z139+Z143+Z147+Z151+Z155+Z159+Z163+Z167+Z171+Z175+Z179+Z181+Z184+Z188</f>
        <v>-49679.80000000001</v>
      </c>
      <c r="AA127" s="23">
        <f t="shared" ref="AA127:AA129" si="127">W127+Z127</f>
        <v>518828.09999999992</v>
      </c>
      <c r="AB127" s="25">
        <f>AB131+AB135+AB139+AB143+AB147+AB151+AB155+AB159+AB163+AB167+AB171+AB175+AB179+AB181+AB184+AB188</f>
        <v>175806.14500000002</v>
      </c>
      <c r="AC127" s="23">
        <f t="shared" ref="AC127:AC129" si="128">Y127+AB127</f>
        <v>582888.745</v>
      </c>
      <c r="AD127" s="10"/>
      <c r="AE127" s="3">
        <v>0</v>
      </c>
    </row>
    <row r="128" spans="1:31" x14ac:dyDescent="0.35">
      <c r="A128" s="46"/>
      <c r="B128" s="49" t="s">
        <v>23</v>
      </c>
      <c r="C128" s="59"/>
      <c r="D128" s="21">
        <f t="shared" si="117"/>
        <v>1455404.7999999998</v>
      </c>
      <c r="E128" s="21">
        <f t="shared" si="117"/>
        <v>1105577.3999999999</v>
      </c>
      <c r="F128" s="23">
        <f t="shared" si="117"/>
        <v>0</v>
      </c>
      <c r="G128" s="23">
        <f t="shared" si="115"/>
        <v>1455404.7999999998</v>
      </c>
      <c r="H128" s="23">
        <f>H132+H136+H140+H144+H148+H152+H156+H160+H164+H168+H172</f>
        <v>0</v>
      </c>
      <c r="I128" s="23">
        <f t="shared" si="116"/>
        <v>1105577.3999999999</v>
      </c>
      <c r="J128" s="23">
        <f t="shared" ref="J128" si="129">J132+J136+J140+J144+J148+J152+J156+J160+J164+J168+J172</f>
        <v>0</v>
      </c>
      <c r="K128" s="23">
        <f t="shared" si="105"/>
        <v>1455404.7999999998</v>
      </c>
      <c r="L128" s="23">
        <f>L132+L136+L140+L144+L148+L152+L156+L160+L164+L168+L172</f>
        <v>0</v>
      </c>
      <c r="M128" s="23">
        <f t="shared" si="119"/>
        <v>1105577.3999999999</v>
      </c>
      <c r="N128" s="23">
        <f t="shared" si="120"/>
        <v>0</v>
      </c>
      <c r="O128" s="23">
        <f t="shared" si="121"/>
        <v>1455404.7999999998</v>
      </c>
      <c r="P128" s="23">
        <f>P132+P136+P140+P144+P148+P152+P156+P160+P164+P168+P172</f>
        <v>0</v>
      </c>
      <c r="Q128" s="23">
        <f t="shared" si="122"/>
        <v>1105577.3999999999</v>
      </c>
      <c r="R128" s="23">
        <f>R132+R136+R140+R144+R148+R152+R156+R160+R164+R168+R172+R176+R180</f>
        <v>320329.5</v>
      </c>
      <c r="S128" s="23">
        <f t="shared" si="123"/>
        <v>1775734.2999999998</v>
      </c>
      <c r="T128" s="23">
        <f>T132+T136+T140+T144+T148+T152+T156+T160+T164+T168+T172+T176+T180</f>
        <v>0</v>
      </c>
      <c r="U128" s="23">
        <f t="shared" si="124"/>
        <v>1105577.3999999999</v>
      </c>
      <c r="V128" s="23">
        <f>V132+V136+V140+V144+V148+V152+V156+V160+V164+V168+V172+V176+V180</f>
        <v>0</v>
      </c>
      <c r="W128" s="23">
        <f t="shared" si="125"/>
        <v>1775734.2999999998</v>
      </c>
      <c r="X128" s="23">
        <f>X132+X136+X140+X144+X148+X152+X156+X160+X164+X168+X172+X176+X180</f>
        <v>0</v>
      </c>
      <c r="Y128" s="23">
        <f t="shared" si="126"/>
        <v>1105577.3999999999</v>
      </c>
      <c r="Z128" s="22">
        <f>Z132+Z136+Z140+Z144+Z148+Z152+Z156+Z160+Z164+Z168+Z172+Z176+Z180+Z185+Z189</f>
        <v>-130943</v>
      </c>
      <c r="AA128" s="48">
        <f t="shared" si="127"/>
        <v>1644791.2999999998</v>
      </c>
      <c r="AB128" s="22">
        <f>AB132+AB136+AB140+AB144+AB148+AB152+AB156+AB160+AB164+AB168+AB172+AB176+AB180+AB185+AB189</f>
        <v>407796.5</v>
      </c>
      <c r="AC128" s="48">
        <f t="shared" si="128"/>
        <v>1513373.9</v>
      </c>
    </row>
    <row r="129" spans="1:31" ht="54" x14ac:dyDescent="0.35">
      <c r="A129" s="46" t="s">
        <v>133</v>
      </c>
      <c r="B129" s="49" t="s">
        <v>28</v>
      </c>
      <c r="C129" s="49" t="s">
        <v>5</v>
      </c>
      <c r="D129" s="21">
        <f>D131+D132</f>
        <v>613115.4</v>
      </c>
      <c r="E129" s="21">
        <f>E131+E132</f>
        <v>263903.8</v>
      </c>
      <c r="F129" s="23">
        <f>F131+F132</f>
        <v>0</v>
      </c>
      <c r="G129" s="23">
        <f t="shared" si="115"/>
        <v>613115.4</v>
      </c>
      <c r="H129" s="23">
        <f>H131+H132</f>
        <v>0</v>
      </c>
      <c r="I129" s="23">
        <f t="shared" si="116"/>
        <v>263903.8</v>
      </c>
      <c r="J129" s="23">
        <f>J131+J132</f>
        <v>0</v>
      </c>
      <c r="K129" s="23">
        <f t="shared" si="105"/>
        <v>613115.4</v>
      </c>
      <c r="L129" s="23">
        <f>L131+L132</f>
        <v>0</v>
      </c>
      <c r="M129" s="23">
        <f t="shared" si="119"/>
        <v>263903.8</v>
      </c>
      <c r="N129" s="23">
        <f>N131+N132</f>
        <v>0</v>
      </c>
      <c r="O129" s="23">
        <f t="shared" si="121"/>
        <v>613115.4</v>
      </c>
      <c r="P129" s="23">
        <f>P131+P132</f>
        <v>0</v>
      </c>
      <c r="Q129" s="23">
        <f t="shared" si="122"/>
        <v>263903.8</v>
      </c>
      <c r="R129" s="23">
        <f>R131+R132</f>
        <v>34936.1</v>
      </c>
      <c r="S129" s="23">
        <f t="shared" si="123"/>
        <v>648051.5</v>
      </c>
      <c r="T129" s="23">
        <f>T131+T132</f>
        <v>0</v>
      </c>
      <c r="U129" s="23">
        <f t="shared" si="124"/>
        <v>263903.8</v>
      </c>
      <c r="V129" s="23">
        <f>V131+V132</f>
        <v>0</v>
      </c>
      <c r="W129" s="23">
        <f t="shared" si="125"/>
        <v>648051.5</v>
      </c>
      <c r="X129" s="23">
        <f>X131+X132</f>
        <v>0</v>
      </c>
      <c r="Y129" s="23">
        <f t="shared" si="126"/>
        <v>263903.8</v>
      </c>
      <c r="Z129" s="22">
        <f>Z131+Z132</f>
        <v>-29533.5</v>
      </c>
      <c r="AA129" s="48">
        <f t="shared" si="127"/>
        <v>618518</v>
      </c>
      <c r="AB129" s="22">
        <f>AB131+AB132</f>
        <v>-25952.9</v>
      </c>
      <c r="AC129" s="48">
        <f t="shared" si="128"/>
        <v>237950.9</v>
      </c>
    </row>
    <row r="130" spans="1:31" x14ac:dyDescent="0.35">
      <c r="A130" s="46"/>
      <c r="B130" s="49" t="s">
        <v>7</v>
      </c>
      <c r="C130" s="59"/>
      <c r="D130" s="21"/>
      <c r="E130" s="21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23"/>
      <c r="Q130" s="23"/>
      <c r="R130" s="23"/>
      <c r="S130" s="23"/>
      <c r="T130" s="23"/>
      <c r="U130" s="23"/>
      <c r="V130" s="23"/>
      <c r="W130" s="23"/>
      <c r="X130" s="23"/>
      <c r="Y130" s="23"/>
      <c r="Z130" s="22"/>
      <c r="AA130" s="48"/>
      <c r="AB130" s="22"/>
      <c r="AC130" s="48"/>
    </row>
    <row r="131" spans="1:31" s="3" customFormat="1" hidden="1" x14ac:dyDescent="0.35">
      <c r="A131" s="1"/>
      <c r="B131" s="12" t="s">
        <v>8</v>
      </c>
      <c r="C131" s="2"/>
      <c r="D131" s="24">
        <v>153278.9</v>
      </c>
      <c r="E131" s="24">
        <v>65976</v>
      </c>
      <c r="F131" s="26"/>
      <c r="G131" s="23">
        <f t="shared" si="115"/>
        <v>153278.9</v>
      </c>
      <c r="H131" s="26"/>
      <c r="I131" s="23">
        <f t="shared" si="116"/>
        <v>65976</v>
      </c>
      <c r="J131" s="26"/>
      <c r="K131" s="23">
        <f t="shared" si="105"/>
        <v>153278.9</v>
      </c>
      <c r="L131" s="26"/>
      <c r="M131" s="23">
        <f t="shared" ref="M131:M133" si="130">I131+L131</f>
        <v>65976</v>
      </c>
      <c r="N131" s="26"/>
      <c r="O131" s="23">
        <f t="shared" ref="O131:O133" si="131">K131+N131</f>
        <v>153278.9</v>
      </c>
      <c r="P131" s="26"/>
      <c r="Q131" s="23">
        <f t="shared" ref="Q131:Q133" si="132">M131+P131</f>
        <v>65976</v>
      </c>
      <c r="R131" s="26">
        <v>-8819.4</v>
      </c>
      <c r="S131" s="23">
        <f t="shared" ref="S131:S133" si="133">O131+R131</f>
        <v>144459.5</v>
      </c>
      <c r="T131" s="26"/>
      <c r="U131" s="23">
        <f t="shared" ref="U131:U133" si="134">Q131+T131</f>
        <v>65976</v>
      </c>
      <c r="V131" s="26"/>
      <c r="W131" s="23">
        <f t="shared" ref="W131:W133" si="135">S131+V131</f>
        <v>144459.5</v>
      </c>
      <c r="X131" s="26"/>
      <c r="Y131" s="23">
        <f t="shared" ref="Y131:Y133" si="136">U131+X131</f>
        <v>65976</v>
      </c>
      <c r="Z131" s="25">
        <v>-14388.9</v>
      </c>
      <c r="AA131" s="23">
        <f t="shared" ref="AA131:AA133" si="137">W131+Z131</f>
        <v>130070.6</v>
      </c>
      <c r="AB131" s="25">
        <v>517.29999999999995</v>
      </c>
      <c r="AC131" s="23">
        <f t="shared" ref="AC131:AC133" si="138">Y131+AB131</f>
        <v>66493.3</v>
      </c>
      <c r="AD131" s="10" t="s">
        <v>34</v>
      </c>
      <c r="AE131" s="3">
        <v>0</v>
      </c>
    </row>
    <row r="132" spans="1:31" x14ac:dyDescent="0.35">
      <c r="A132" s="46"/>
      <c r="B132" s="49" t="s">
        <v>23</v>
      </c>
      <c r="C132" s="59"/>
      <c r="D132" s="21">
        <v>459836.5</v>
      </c>
      <c r="E132" s="21">
        <v>197927.8</v>
      </c>
      <c r="F132" s="23"/>
      <c r="G132" s="23">
        <f t="shared" si="115"/>
        <v>459836.5</v>
      </c>
      <c r="H132" s="23"/>
      <c r="I132" s="23">
        <f t="shared" si="116"/>
        <v>197927.8</v>
      </c>
      <c r="J132" s="23"/>
      <c r="K132" s="23">
        <f t="shared" si="105"/>
        <v>459836.5</v>
      </c>
      <c r="L132" s="23"/>
      <c r="M132" s="23">
        <f t="shared" si="130"/>
        <v>197927.8</v>
      </c>
      <c r="N132" s="23"/>
      <c r="O132" s="23">
        <f t="shared" si="131"/>
        <v>459836.5</v>
      </c>
      <c r="P132" s="23"/>
      <c r="Q132" s="23">
        <f t="shared" si="132"/>
        <v>197927.8</v>
      </c>
      <c r="R132" s="23">
        <v>43755.5</v>
      </c>
      <c r="S132" s="23">
        <f t="shared" si="133"/>
        <v>503592</v>
      </c>
      <c r="T132" s="23"/>
      <c r="U132" s="23">
        <f t="shared" si="134"/>
        <v>197927.8</v>
      </c>
      <c r="V132" s="23"/>
      <c r="W132" s="23">
        <f t="shared" si="135"/>
        <v>503592</v>
      </c>
      <c r="X132" s="23"/>
      <c r="Y132" s="23">
        <f t="shared" si="136"/>
        <v>197927.8</v>
      </c>
      <c r="Z132" s="22">
        <v>-15144.6</v>
      </c>
      <c r="AA132" s="48">
        <f t="shared" si="137"/>
        <v>488447.4</v>
      </c>
      <c r="AB132" s="22">
        <v>-26470.2</v>
      </c>
      <c r="AC132" s="48">
        <f t="shared" si="138"/>
        <v>171457.59999999998</v>
      </c>
      <c r="AD132" s="10" t="s">
        <v>145</v>
      </c>
      <c r="AE132" s="7"/>
    </row>
    <row r="133" spans="1:31" ht="54" x14ac:dyDescent="0.35">
      <c r="A133" s="46" t="s">
        <v>134</v>
      </c>
      <c r="B133" s="49" t="s">
        <v>71</v>
      </c>
      <c r="C133" s="49" t="s">
        <v>5</v>
      </c>
      <c r="D133" s="21">
        <f>D135+D136</f>
        <v>200000</v>
      </c>
      <c r="E133" s="21">
        <f>E135+E136</f>
        <v>10000</v>
      </c>
      <c r="F133" s="23">
        <f>F135+F136</f>
        <v>0</v>
      </c>
      <c r="G133" s="23">
        <f t="shared" si="115"/>
        <v>200000</v>
      </c>
      <c r="H133" s="23">
        <f>H135+H136</f>
        <v>0</v>
      </c>
      <c r="I133" s="23">
        <f t="shared" si="116"/>
        <v>10000</v>
      </c>
      <c r="J133" s="23">
        <f>J135+J136</f>
        <v>45367</v>
      </c>
      <c r="K133" s="23">
        <f t="shared" si="105"/>
        <v>245367</v>
      </c>
      <c r="L133" s="23">
        <f>L135+L136</f>
        <v>0</v>
      </c>
      <c r="M133" s="23">
        <f t="shared" si="130"/>
        <v>10000</v>
      </c>
      <c r="N133" s="23">
        <f>N135+N136</f>
        <v>0</v>
      </c>
      <c r="O133" s="23">
        <f t="shared" si="131"/>
        <v>245367</v>
      </c>
      <c r="P133" s="23">
        <f>P135+P136</f>
        <v>0</v>
      </c>
      <c r="Q133" s="23">
        <f t="shared" si="132"/>
        <v>10000</v>
      </c>
      <c r="R133" s="23">
        <f>R135+R136</f>
        <v>0</v>
      </c>
      <c r="S133" s="23">
        <f t="shared" si="133"/>
        <v>245367</v>
      </c>
      <c r="T133" s="23">
        <f>T135+T136</f>
        <v>0</v>
      </c>
      <c r="U133" s="23">
        <f t="shared" si="134"/>
        <v>10000</v>
      </c>
      <c r="V133" s="23">
        <f>V135+V136</f>
        <v>0</v>
      </c>
      <c r="W133" s="23">
        <f t="shared" si="135"/>
        <v>245367</v>
      </c>
      <c r="X133" s="23">
        <f>X135+X136</f>
        <v>0</v>
      </c>
      <c r="Y133" s="23">
        <f t="shared" si="136"/>
        <v>10000</v>
      </c>
      <c r="Z133" s="22">
        <f>Z135+Z136</f>
        <v>-62725.599999999999</v>
      </c>
      <c r="AA133" s="48">
        <f t="shared" si="137"/>
        <v>182641.4</v>
      </c>
      <c r="AB133" s="22">
        <f>AB135+AB136</f>
        <v>-10000</v>
      </c>
      <c r="AC133" s="48">
        <f t="shared" si="138"/>
        <v>0</v>
      </c>
    </row>
    <row r="134" spans="1:31" x14ac:dyDescent="0.35">
      <c r="A134" s="46"/>
      <c r="B134" s="49" t="s">
        <v>7</v>
      </c>
      <c r="C134" s="60"/>
      <c r="D134" s="21"/>
      <c r="E134" s="21"/>
      <c r="F134" s="23"/>
      <c r="G134" s="23"/>
      <c r="H134" s="23"/>
      <c r="I134" s="23"/>
      <c r="J134" s="23"/>
      <c r="K134" s="23"/>
      <c r="L134" s="23"/>
      <c r="M134" s="23"/>
      <c r="N134" s="23"/>
      <c r="O134" s="23"/>
      <c r="P134" s="23"/>
      <c r="Q134" s="23"/>
      <c r="R134" s="23"/>
      <c r="S134" s="23"/>
      <c r="T134" s="23"/>
      <c r="U134" s="23"/>
      <c r="V134" s="23"/>
      <c r="W134" s="23"/>
      <c r="X134" s="23"/>
      <c r="Y134" s="23"/>
      <c r="Z134" s="22"/>
      <c r="AA134" s="48"/>
      <c r="AB134" s="22"/>
      <c r="AC134" s="48"/>
    </row>
    <row r="135" spans="1:31" s="3" customFormat="1" hidden="1" x14ac:dyDescent="0.35">
      <c r="A135" s="1"/>
      <c r="B135" s="12" t="s">
        <v>8</v>
      </c>
      <c r="C135" s="13"/>
      <c r="D135" s="21">
        <v>50000</v>
      </c>
      <c r="E135" s="21">
        <v>2500</v>
      </c>
      <c r="F135" s="23"/>
      <c r="G135" s="23">
        <f t="shared" si="115"/>
        <v>50000</v>
      </c>
      <c r="H135" s="23"/>
      <c r="I135" s="23">
        <f t="shared" si="116"/>
        <v>2500</v>
      </c>
      <c r="J135" s="23">
        <v>11341.8</v>
      </c>
      <c r="K135" s="23">
        <f t="shared" si="105"/>
        <v>61341.8</v>
      </c>
      <c r="L135" s="23"/>
      <c r="M135" s="23">
        <f t="shared" ref="M135:M137" si="139">I135+L135</f>
        <v>2500</v>
      </c>
      <c r="N135" s="23"/>
      <c r="O135" s="23">
        <f t="shared" ref="O135:O137" si="140">K135+N135</f>
        <v>61341.8</v>
      </c>
      <c r="P135" s="23"/>
      <c r="Q135" s="23">
        <f t="shared" ref="Q135:Q137" si="141">M135+P135</f>
        <v>2500</v>
      </c>
      <c r="R135" s="23"/>
      <c r="S135" s="23">
        <f t="shared" ref="S135:S137" si="142">O135+R135</f>
        <v>61341.8</v>
      </c>
      <c r="T135" s="23"/>
      <c r="U135" s="23">
        <f t="shared" ref="U135:U137" si="143">Q135+T135</f>
        <v>2500</v>
      </c>
      <c r="V135" s="23"/>
      <c r="W135" s="23">
        <f t="shared" ref="W135:W137" si="144">S135+V135</f>
        <v>61341.8</v>
      </c>
      <c r="X135" s="23"/>
      <c r="Y135" s="23">
        <f t="shared" ref="Y135:Y137" si="145">U135+X135</f>
        <v>2500</v>
      </c>
      <c r="Z135" s="22">
        <v>-26205.4</v>
      </c>
      <c r="AA135" s="23">
        <f t="shared" ref="AA135:AA137" si="146">W135+Z135</f>
        <v>35136.400000000001</v>
      </c>
      <c r="AB135" s="22">
        <v>-2500</v>
      </c>
      <c r="AC135" s="23">
        <f t="shared" ref="AC135:AC137" si="147">Y135+AB135</f>
        <v>0</v>
      </c>
      <c r="AD135" s="10" t="s">
        <v>35</v>
      </c>
      <c r="AE135" s="3">
        <v>0</v>
      </c>
    </row>
    <row r="136" spans="1:31" x14ac:dyDescent="0.35">
      <c r="A136" s="46"/>
      <c r="B136" s="49" t="s">
        <v>23</v>
      </c>
      <c r="C136" s="60"/>
      <c r="D136" s="21">
        <v>150000</v>
      </c>
      <c r="E136" s="21">
        <v>7500</v>
      </c>
      <c r="F136" s="23"/>
      <c r="G136" s="23">
        <f t="shared" si="115"/>
        <v>150000</v>
      </c>
      <c r="H136" s="23"/>
      <c r="I136" s="23">
        <f t="shared" si="116"/>
        <v>7500</v>
      </c>
      <c r="J136" s="23">
        <v>34025.199999999997</v>
      </c>
      <c r="K136" s="23">
        <f t="shared" si="105"/>
        <v>184025.2</v>
      </c>
      <c r="L136" s="23"/>
      <c r="M136" s="23">
        <f t="shared" si="139"/>
        <v>7500</v>
      </c>
      <c r="N136" s="23"/>
      <c r="O136" s="23">
        <f t="shared" si="140"/>
        <v>184025.2</v>
      </c>
      <c r="P136" s="23"/>
      <c r="Q136" s="23">
        <f t="shared" si="141"/>
        <v>7500</v>
      </c>
      <c r="R136" s="23"/>
      <c r="S136" s="23">
        <f t="shared" si="142"/>
        <v>184025.2</v>
      </c>
      <c r="T136" s="23"/>
      <c r="U136" s="23">
        <f t="shared" si="143"/>
        <v>7500</v>
      </c>
      <c r="V136" s="23"/>
      <c r="W136" s="23">
        <f t="shared" si="144"/>
        <v>184025.2</v>
      </c>
      <c r="X136" s="23"/>
      <c r="Y136" s="23">
        <f t="shared" si="145"/>
        <v>7500</v>
      </c>
      <c r="Z136" s="22">
        <v>-36520.199999999997</v>
      </c>
      <c r="AA136" s="48">
        <f t="shared" si="146"/>
        <v>147505</v>
      </c>
      <c r="AB136" s="22">
        <v>-7500</v>
      </c>
      <c r="AC136" s="48">
        <f t="shared" si="147"/>
        <v>0</v>
      </c>
      <c r="AD136" s="10" t="s">
        <v>145</v>
      </c>
    </row>
    <row r="137" spans="1:31" ht="54" x14ac:dyDescent="0.35">
      <c r="A137" s="46" t="s">
        <v>170</v>
      </c>
      <c r="B137" s="49" t="s">
        <v>29</v>
      </c>
      <c r="C137" s="49" t="s">
        <v>5</v>
      </c>
      <c r="D137" s="21">
        <f>D139+D140</f>
        <v>120000</v>
      </c>
      <c r="E137" s="21">
        <f>E139+E140</f>
        <v>0</v>
      </c>
      <c r="F137" s="23">
        <f>F139+F140</f>
        <v>0</v>
      </c>
      <c r="G137" s="23">
        <f t="shared" si="115"/>
        <v>120000</v>
      </c>
      <c r="H137" s="23">
        <f>H139+H140</f>
        <v>0</v>
      </c>
      <c r="I137" s="23">
        <f t="shared" si="116"/>
        <v>0</v>
      </c>
      <c r="J137" s="23">
        <f>J139+J140</f>
        <v>0</v>
      </c>
      <c r="K137" s="23">
        <f t="shared" si="105"/>
        <v>120000</v>
      </c>
      <c r="L137" s="23">
        <f>L139+L140</f>
        <v>0</v>
      </c>
      <c r="M137" s="23">
        <f t="shared" si="139"/>
        <v>0</v>
      </c>
      <c r="N137" s="23">
        <f>N139+N140</f>
        <v>0</v>
      </c>
      <c r="O137" s="23">
        <f t="shared" si="140"/>
        <v>120000</v>
      </c>
      <c r="P137" s="23">
        <f>P139+P140</f>
        <v>0</v>
      </c>
      <c r="Q137" s="23">
        <f t="shared" si="141"/>
        <v>0</v>
      </c>
      <c r="R137" s="23">
        <f>R139+R140</f>
        <v>0</v>
      </c>
      <c r="S137" s="23">
        <f t="shared" si="142"/>
        <v>120000</v>
      </c>
      <c r="T137" s="23">
        <f>T139+T140</f>
        <v>0</v>
      </c>
      <c r="U137" s="23">
        <f t="shared" si="143"/>
        <v>0</v>
      </c>
      <c r="V137" s="23">
        <f>V139+V140</f>
        <v>0</v>
      </c>
      <c r="W137" s="23">
        <f t="shared" si="144"/>
        <v>120000</v>
      </c>
      <c r="X137" s="23">
        <f>X139+X140</f>
        <v>0</v>
      </c>
      <c r="Y137" s="23">
        <f t="shared" si="145"/>
        <v>0</v>
      </c>
      <c r="Z137" s="22">
        <f>Z139+Z140</f>
        <v>103255.29999999999</v>
      </c>
      <c r="AA137" s="48">
        <f t="shared" si="146"/>
        <v>223255.3</v>
      </c>
      <c r="AB137" s="22">
        <f>AB139+AB140</f>
        <v>255000</v>
      </c>
      <c r="AC137" s="48">
        <f t="shared" si="147"/>
        <v>255000</v>
      </c>
    </row>
    <row r="138" spans="1:31" x14ac:dyDescent="0.35">
      <c r="A138" s="46"/>
      <c r="B138" s="49" t="s">
        <v>7</v>
      </c>
      <c r="C138" s="60"/>
      <c r="D138" s="21"/>
      <c r="E138" s="21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23"/>
      <c r="Q138" s="23"/>
      <c r="R138" s="23"/>
      <c r="S138" s="23"/>
      <c r="T138" s="23"/>
      <c r="U138" s="23"/>
      <c r="V138" s="23"/>
      <c r="W138" s="23"/>
      <c r="X138" s="23"/>
      <c r="Y138" s="23"/>
      <c r="Z138" s="22"/>
      <c r="AA138" s="48"/>
      <c r="AB138" s="22"/>
      <c r="AC138" s="48"/>
    </row>
    <row r="139" spans="1:31" s="3" customFormat="1" hidden="1" x14ac:dyDescent="0.35">
      <c r="A139" s="1"/>
      <c r="B139" s="12" t="s">
        <v>8</v>
      </c>
      <c r="C139" s="13"/>
      <c r="D139" s="21">
        <v>30000</v>
      </c>
      <c r="E139" s="21">
        <v>0</v>
      </c>
      <c r="F139" s="23"/>
      <c r="G139" s="23">
        <f t="shared" si="115"/>
        <v>30000</v>
      </c>
      <c r="H139" s="23">
        <v>0</v>
      </c>
      <c r="I139" s="23">
        <f t="shared" si="116"/>
        <v>0</v>
      </c>
      <c r="J139" s="23"/>
      <c r="K139" s="23">
        <f t="shared" si="105"/>
        <v>30000</v>
      </c>
      <c r="L139" s="23">
        <v>0</v>
      </c>
      <c r="M139" s="23">
        <f t="shared" ref="M139:M141" si="148">I139+L139</f>
        <v>0</v>
      </c>
      <c r="N139" s="23"/>
      <c r="O139" s="23">
        <f t="shared" ref="O139:O141" si="149">K139+N139</f>
        <v>30000</v>
      </c>
      <c r="P139" s="23">
        <v>0</v>
      </c>
      <c r="Q139" s="23">
        <f t="shared" ref="Q139:Q141" si="150">M139+P139</f>
        <v>0</v>
      </c>
      <c r="R139" s="23"/>
      <c r="S139" s="23">
        <f t="shared" ref="S139:S141" si="151">O139+R139</f>
        <v>30000</v>
      </c>
      <c r="T139" s="23">
        <v>0</v>
      </c>
      <c r="U139" s="23">
        <f t="shared" ref="U139:U141" si="152">Q139+T139</f>
        <v>0</v>
      </c>
      <c r="V139" s="23"/>
      <c r="W139" s="23">
        <f t="shared" ref="W139:W141" si="153">S139+V139</f>
        <v>30000</v>
      </c>
      <c r="X139" s="23">
        <v>0</v>
      </c>
      <c r="Y139" s="23">
        <f t="shared" ref="Y139:Y141" si="154">U139+X139</f>
        <v>0</v>
      </c>
      <c r="Z139" s="22">
        <v>25813.9</v>
      </c>
      <c r="AA139" s="23">
        <f t="shared" ref="AA139:AA141" si="155">W139+Z139</f>
        <v>55813.9</v>
      </c>
      <c r="AB139" s="22">
        <v>63750</v>
      </c>
      <c r="AC139" s="23">
        <f t="shared" ref="AC139:AC141" si="156">Y139+AB139</f>
        <v>63750</v>
      </c>
      <c r="AD139" s="10" t="s">
        <v>36</v>
      </c>
      <c r="AE139" s="3">
        <v>0</v>
      </c>
    </row>
    <row r="140" spans="1:31" x14ac:dyDescent="0.35">
      <c r="A140" s="46"/>
      <c r="B140" s="49" t="s">
        <v>23</v>
      </c>
      <c r="C140" s="60"/>
      <c r="D140" s="21">
        <v>90000</v>
      </c>
      <c r="E140" s="21">
        <v>0</v>
      </c>
      <c r="F140" s="23"/>
      <c r="G140" s="23">
        <f t="shared" si="115"/>
        <v>90000</v>
      </c>
      <c r="H140" s="23">
        <v>0</v>
      </c>
      <c r="I140" s="23">
        <f t="shared" si="116"/>
        <v>0</v>
      </c>
      <c r="J140" s="23"/>
      <c r="K140" s="23">
        <f t="shared" si="105"/>
        <v>90000</v>
      </c>
      <c r="L140" s="23">
        <v>0</v>
      </c>
      <c r="M140" s="23">
        <f t="shared" si="148"/>
        <v>0</v>
      </c>
      <c r="N140" s="23"/>
      <c r="O140" s="23">
        <f t="shared" si="149"/>
        <v>90000</v>
      </c>
      <c r="P140" s="23">
        <v>0</v>
      </c>
      <c r="Q140" s="23">
        <f t="shared" si="150"/>
        <v>0</v>
      </c>
      <c r="R140" s="23"/>
      <c r="S140" s="23">
        <f t="shared" si="151"/>
        <v>90000</v>
      </c>
      <c r="T140" s="23">
        <v>0</v>
      </c>
      <c r="U140" s="23">
        <f t="shared" si="152"/>
        <v>0</v>
      </c>
      <c r="V140" s="23"/>
      <c r="W140" s="23">
        <f t="shared" si="153"/>
        <v>90000</v>
      </c>
      <c r="X140" s="23">
        <v>0</v>
      </c>
      <c r="Y140" s="23">
        <f t="shared" si="154"/>
        <v>0</v>
      </c>
      <c r="Z140" s="22">
        <v>77441.399999999994</v>
      </c>
      <c r="AA140" s="48">
        <f t="shared" si="155"/>
        <v>167441.4</v>
      </c>
      <c r="AB140" s="22">
        <v>191250</v>
      </c>
      <c r="AC140" s="48">
        <f t="shared" si="156"/>
        <v>191250</v>
      </c>
      <c r="AD140" s="10" t="s">
        <v>145</v>
      </c>
    </row>
    <row r="141" spans="1:31" ht="54" x14ac:dyDescent="0.35">
      <c r="A141" s="46" t="s">
        <v>135</v>
      </c>
      <c r="B141" s="49" t="s">
        <v>30</v>
      </c>
      <c r="C141" s="49" t="s">
        <v>5</v>
      </c>
      <c r="D141" s="21">
        <f>D143+D144</f>
        <v>72334</v>
      </c>
      <c r="E141" s="21">
        <f>E143+E144</f>
        <v>0</v>
      </c>
      <c r="F141" s="23">
        <f>F143+F144</f>
        <v>0</v>
      </c>
      <c r="G141" s="23">
        <f t="shared" si="115"/>
        <v>72334</v>
      </c>
      <c r="H141" s="23">
        <f>H143+H144</f>
        <v>0</v>
      </c>
      <c r="I141" s="23">
        <f t="shared" si="116"/>
        <v>0</v>
      </c>
      <c r="J141" s="23">
        <f>J143+J144</f>
        <v>0</v>
      </c>
      <c r="K141" s="23">
        <f t="shared" si="105"/>
        <v>72334</v>
      </c>
      <c r="L141" s="23">
        <f>L143+L144</f>
        <v>0</v>
      </c>
      <c r="M141" s="23">
        <f t="shared" si="148"/>
        <v>0</v>
      </c>
      <c r="N141" s="23">
        <f>N143+N144</f>
        <v>0</v>
      </c>
      <c r="O141" s="23">
        <f t="shared" si="149"/>
        <v>72334</v>
      </c>
      <c r="P141" s="23">
        <f>P143+P144</f>
        <v>0</v>
      </c>
      <c r="Q141" s="23">
        <f t="shared" si="150"/>
        <v>0</v>
      </c>
      <c r="R141" s="23">
        <f>R143+R144</f>
        <v>0</v>
      </c>
      <c r="S141" s="23">
        <f t="shared" si="151"/>
        <v>72334</v>
      </c>
      <c r="T141" s="23">
        <f>T143+T144</f>
        <v>0</v>
      </c>
      <c r="U141" s="23">
        <f t="shared" si="152"/>
        <v>0</v>
      </c>
      <c r="V141" s="23">
        <f>V143+V144</f>
        <v>0</v>
      </c>
      <c r="W141" s="23">
        <f t="shared" si="153"/>
        <v>72334</v>
      </c>
      <c r="X141" s="23">
        <f>X143+X144</f>
        <v>0</v>
      </c>
      <c r="Y141" s="23">
        <f t="shared" si="154"/>
        <v>0</v>
      </c>
      <c r="Z141" s="22">
        <f>Z143+Z144</f>
        <v>0</v>
      </c>
      <c r="AA141" s="48">
        <f t="shared" si="155"/>
        <v>72334</v>
      </c>
      <c r="AB141" s="22">
        <f>AB143+AB144</f>
        <v>111425.1</v>
      </c>
      <c r="AC141" s="48">
        <f t="shared" si="156"/>
        <v>111425.1</v>
      </c>
    </row>
    <row r="142" spans="1:31" x14ac:dyDescent="0.35">
      <c r="A142" s="46"/>
      <c r="B142" s="49" t="s">
        <v>7</v>
      </c>
      <c r="C142" s="60"/>
      <c r="D142" s="21"/>
      <c r="E142" s="21"/>
      <c r="F142" s="23"/>
      <c r="G142" s="23"/>
      <c r="H142" s="23"/>
      <c r="I142" s="23"/>
      <c r="J142" s="23"/>
      <c r="K142" s="23"/>
      <c r="L142" s="23"/>
      <c r="M142" s="23"/>
      <c r="N142" s="23"/>
      <c r="O142" s="23"/>
      <c r="P142" s="23"/>
      <c r="Q142" s="23"/>
      <c r="R142" s="23"/>
      <c r="S142" s="23"/>
      <c r="T142" s="23"/>
      <c r="U142" s="23"/>
      <c r="V142" s="23"/>
      <c r="W142" s="23"/>
      <c r="X142" s="23"/>
      <c r="Y142" s="23"/>
      <c r="Z142" s="22"/>
      <c r="AA142" s="48"/>
      <c r="AB142" s="22"/>
      <c r="AC142" s="48"/>
    </row>
    <row r="143" spans="1:31" s="3" customFormat="1" hidden="1" x14ac:dyDescent="0.35">
      <c r="A143" s="1"/>
      <c r="B143" s="12" t="s">
        <v>8</v>
      </c>
      <c r="C143" s="13"/>
      <c r="D143" s="21">
        <v>18083.5</v>
      </c>
      <c r="E143" s="21">
        <v>0</v>
      </c>
      <c r="F143" s="23"/>
      <c r="G143" s="23">
        <f t="shared" si="115"/>
        <v>18083.5</v>
      </c>
      <c r="H143" s="23"/>
      <c r="I143" s="23">
        <f t="shared" si="116"/>
        <v>0</v>
      </c>
      <c r="J143" s="23"/>
      <c r="K143" s="23">
        <f t="shared" si="105"/>
        <v>18083.5</v>
      </c>
      <c r="L143" s="23"/>
      <c r="M143" s="23">
        <f t="shared" ref="M143:M145" si="157">I143+L143</f>
        <v>0</v>
      </c>
      <c r="N143" s="23"/>
      <c r="O143" s="23">
        <f t="shared" ref="O143:O145" si="158">K143+N143</f>
        <v>18083.5</v>
      </c>
      <c r="P143" s="23"/>
      <c r="Q143" s="23">
        <f t="shared" ref="Q143:Q145" si="159">M143+P143</f>
        <v>0</v>
      </c>
      <c r="R143" s="23"/>
      <c r="S143" s="23">
        <f t="shared" ref="S143:S145" si="160">O143+R143</f>
        <v>18083.5</v>
      </c>
      <c r="T143" s="23"/>
      <c r="U143" s="23">
        <f t="shared" ref="U143:U145" si="161">Q143+T143</f>
        <v>0</v>
      </c>
      <c r="V143" s="23"/>
      <c r="W143" s="23">
        <f t="shared" ref="W143:W145" si="162">S143+V143</f>
        <v>18083.5</v>
      </c>
      <c r="X143" s="23"/>
      <c r="Y143" s="23">
        <f t="shared" ref="Y143:Y145" si="163">U143+X143</f>
        <v>0</v>
      </c>
      <c r="Z143" s="22"/>
      <c r="AA143" s="23">
        <f t="shared" ref="AA143:AA145" si="164">W143+Z143</f>
        <v>18083.5</v>
      </c>
      <c r="AB143" s="22">
        <v>27856.3</v>
      </c>
      <c r="AC143" s="23">
        <f t="shared" ref="AC143:AC145" si="165">Y143+AB143</f>
        <v>27856.3</v>
      </c>
      <c r="AD143" s="10" t="s">
        <v>37</v>
      </c>
      <c r="AE143" s="3">
        <v>0</v>
      </c>
    </row>
    <row r="144" spans="1:31" x14ac:dyDescent="0.35">
      <c r="A144" s="46"/>
      <c r="B144" s="49" t="s">
        <v>23</v>
      </c>
      <c r="C144" s="60"/>
      <c r="D144" s="21">
        <v>54250.5</v>
      </c>
      <c r="E144" s="21">
        <v>0</v>
      </c>
      <c r="F144" s="23"/>
      <c r="G144" s="23">
        <f t="shared" si="115"/>
        <v>54250.5</v>
      </c>
      <c r="H144" s="23"/>
      <c r="I144" s="23">
        <f t="shared" si="116"/>
        <v>0</v>
      </c>
      <c r="J144" s="23"/>
      <c r="K144" s="23">
        <f t="shared" si="105"/>
        <v>54250.5</v>
      </c>
      <c r="L144" s="23"/>
      <c r="M144" s="23">
        <f t="shared" si="157"/>
        <v>0</v>
      </c>
      <c r="N144" s="23"/>
      <c r="O144" s="23">
        <f t="shared" si="158"/>
        <v>54250.5</v>
      </c>
      <c r="P144" s="23"/>
      <c r="Q144" s="23">
        <f t="shared" si="159"/>
        <v>0</v>
      </c>
      <c r="R144" s="23"/>
      <c r="S144" s="23">
        <f t="shared" si="160"/>
        <v>54250.5</v>
      </c>
      <c r="T144" s="23"/>
      <c r="U144" s="23">
        <f t="shared" si="161"/>
        <v>0</v>
      </c>
      <c r="V144" s="23"/>
      <c r="W144" s="23">
        <f t="shared" si="162"/>
        <v>54250.5</v>
      </c>
      <c r="X144" s="23"/>
      <c r="Y144" s="23">
        <f t="shared" si="163"/>
        <v>0</v>
      </c>
      <c r="Z144" s="22"/>
      <c r="AA144" s="48">
        <f t="shared" si="164"/>
        <v>54250.5</v>
      </c>
      <c r="AB144" s="22">
        <v>83568.800000000003</v>
      </c>
      <c r="AC144" s="48">
        <f t="shared" si="165"/>
        <v>83568.800000000003</v>
      </c>
      <c r="AD144" s="10" t="s">
        <v>145</v>
      </c>
    </row>
    <row r="145" spans="1:31" ht="54" x14ac:dyDescent="0.35">
      <c r="A145" s="46" t="s">
        <v>136</v>
      </c>
      <c r="B145" s="49" t="s">
        <v>169</v>
      </c>
      <c r="C145" s="49" t="s">
        <v>5</v>
      </c>
      <c r="D145" s="21">
        <f>D147+D148</f>
        <v>192621.69999999998</v>
      </c>
      <c r="E145" s="21">
        <f>E147+E148</f>
        <v>520019.19999999995</v>
      </c>
      <c r="F145" s="23">
        <f>F147+F148</f>
        <v>0</v>
      </c>
      <c r="G145" s="23">
        <f t="shared" si="115"/>
        <v>192621.69999999998</v>
      </c>
      <c r="H145" s="23">
        <f>H147+H148</f>
        <v>0</v>
      </c>
      <c r="I145" s="23">
        <f t="shared" si="116"/>
        <v>520019.19999999995</v>
      </c>
      <c r="J145" s="23">
        <f>J147+J148</f>
        <v>0</v>
      </c>
      <c r="K145" s="23">
        <f t="shared" si="105"/>
        <v>192621.69999999998</v>
      </c>
      <c r="L145" s="23">
        <f>L147+L148</f>
        <v>0</v>
      </c>
      <c r="M145" s="23">
        <f t="shared" si="157"/>
        <v>520019.19999999995</v>
      </c>
      <c r="N145" s="23">
        <f>N147+N148</f>
        <v>0</v>
      </c>
      <c r="O145" s="23">
        <f t="shared" si="158"/>
        <v>192621.69999999998</v>
      </c>
      <c r="P145" s="23">
        <f>P147+P148</f>
        <v>0</v>
      </c>
      <c r="Q145" s="23">
        <f t="shared" si="159"/>
        <v>520019.19999999995</v>
      </c>
      <c r="R145" s="23">
        <f>R147+R148</f>
        <v>0</v>
      </c>
      <c r="S145" s="23">
        <f t="shared" si="160"/>
        <v>192621.69999999998</v>
      </c>
      <c r="T145" s="23">
        <f>T147+T148</f>
        <v>0</v>
      </c>
      <c r="U145" s="23">
        <f t="shared" si="161"/>
        <v>520019.19999999995</v>
      </c>
      <c r="V145" s="23">
        <f>V147+V148</f>
        <v>0</v>
      </c>
      <c r="W145" s="23">
        <f t="shared" si="162"/>
        <v>192621.69999999998</v>
      </c>
      <c r="X145" s="23">
        <f>X147+X148</f>
        <v>0</v>
      </c>
      <c r="Y145" s="23">
        <f t="shared" si="163"/>
        <v>520019.19999999995</v>
      </c>
      <c r="Z145" s="22">
        <f>Z147+Z148</f>
        <v>-28022.3</v>
      </c>
      <c r="AA145" s="48">
        <f t="shared" si="164"/>
        <v>164599.4</v>
      </c>
      <c r="AB145" s="22">
        <f>AB147+AB148</f>
        <v>106045.6</v>
      </c>
      <c r="AC145" s="48">
        <f t="shared" si="165"/>
        <v>626064.79999999993</v>
      </c>
    </row>
    <row r="146" spans="1:31" x14ac:dyDescent="0.35">
      <c r="A146" s="46"/>
      <c r="B146" s="49" t="s">
        <v>7</v>
      </c>
      <c r="C146" s="59"/>
      <c r="D146" s="21"/>
      <c r="E146" s="21"/>
      <c r="F146" s="23"/>
      <c r="G146" s="23"/>
      <c r="H146" s="23"/>
      <c r="I146" s="23"/>
      <c r="J146" s="23"/>
      <c r="K146" s="23"/>
      <c r="L146" s="23"/>
      <c r="M146" s="23"/>
      <c r="N146" s="23"/>
      <c r="O146" s="23"/>
      <c r="P146" s="23"/>
      <c r="Q146" s="23"/>
      <c r="R146" s="23"/>
      <c r="S146" s="23"/>
      <c r="T146" s="23"/>
      <c r="U146" s="23"/>
      <c r="V146" s="23"/>
      <c r="W146" s="23"/>
      <c r="X146" s="23"/>
      <c r="Y146" s="23"/>
      <c r="Z146" s="22"/>
      <c r="AA146" s="48"/>
      <c r="AB146" s="22"/>
      <c r="AC146" s="48"/>
    </row>
    <row r="147" spans="1:31" s="3" customFormat="1" hidden="1" x14ac:dyDescent="0.35">
      <c r="A147" s="1"/>
      <c r="B147" s="12" t="s">
        <v>8</v>
      </c>
      <c r="C147" s="2"/>
      <c r="D147" s="24">
        <v>48155.4</v>
      </c>
      <c r="E147" s="24">
        <v>155837.6</v>
      </c>
      <c r="F147" s="26"/>
      <c r="G147" s="23">
        <f t="shared" si="115"/>
        <v>48155.4</v>
      </c>
      <c r="H147" s="26"/>
      <c r="I147" s="23">
        <f t="shared" si="116"/>
        <v>155837.6</v>
      </c>
      <c r="J147" s="26"/>
      <c r="K147" s="23">
        <f t="shared" si="105"/>
        <v>48155.4</v>
      </c>
      <c r="L147" s="26"/>
      <c r="M147" s="23">
        <f t="shared" ref="M147:M149" si="166">I147+L147</f>
        <v>155837.6</v>
      </c>
      <c r="N147" s="26"/>
      <c r="O147" s="23">
        <f t="shared" ref="O147:O149" si="167">K147+N147</f>
        <v>48155.4</v>
      </c>
      <c r="P147" s="26"/>
      <c r="Q147" s="23">
        <f t="shared" ref="Q147:Q149" si="168">M147+P147</f>
        <v>155837.6</v>
      </c>
      <c r="R147" s="26">
        <v>0.1</v>
      </c>
      <c r="S147" s="23">
        <f t="shared" ref="S147:S149" si="169">O147+R147</f>
        <v>48155.5</v>
      </c>
      <c r="T147" s="26"/>
      <c r="U147" s="23">
        <f t="shared" ref="U147:U149" si="170">Q147+T147</f>
        <v>155837.6</v>
      </c>
      <c r="V147" s="26"/>
      <c r="W147" s="23">
        <f t="shared" ref="W147:W149" si="171">S147+V147</f>
        <v>48155.5</v>
      </c>
      <c r="X147" s="26"/>
      <c r="Y147" s="23">
        <f t="shared" ref="Y147:Y149" si="172">U147+X147</f>
        <v>155837.6</v>
      </c>
      <c r="Z147" s="25"/>
      <c r="AA147" s="23">
        <f t="shared" ref="AA147:AA149" si="173">W147+Z147</f>
        <v>48155.5</v>
      </c>
      <c r="AB147" s="25">
        <v>26511.3</v>
      </c>
      <c r="AC147" s="23">
        <f t="shared" ref="AC147:AC149" si="174">Y147+AB147</f>
        <v>182348.9</v>
      </c>
      <c r="AD147" s="9" t="s">
        <v>38</v>
      </c>
      <c r="AE147" s="3">
        <v>0</v>
      </c>
    </row>
    <row r="148" spans="1:31" x14ac:dyDescent="0.35">
      <c r="A148" s="46"/>
      <c r="B148" s="49" t="s">
        <v>23</v>
      </c>
      <c r="C148" s="59"/>
      <c r="D148" s="21">
        <v>144466.29999999999</v>
      </c>
      <c r="E148" s="21">
        <v>364181.6</v>
      </c>
      <c r="F148" s="23"/>
      <c r="G148" s="23">
        <f t="shared" si="115"/>
        <v>144466.29999999999</v>
      </c>
      <c r="H148" s="23"/>
      <c r="I148" s="23">
        <f t="shared" si="116"/>
        <v>364181.6</v>
      </c>
      <c r="J148" s="23"/>
      <c r="K148" s="23">
        <f t="shared" si="105"/>
        <v>144466.29999999999</v>
      </c>
      <c r="L148" s="23"/>
      <c r="M148" s="23">
        <f t="shared" si="166"/>
        <v>364181.6</v>
      </c>
      <c r="N148" s="23"/>
      <c r="O148" s="23">
        <f t="shared" si="167"/>
        <v>144466.29999999999</v>
      </c>
      <c r="P148" s="23"/>
      <c r="Q148" s="23">
        <f t="shared" si="168"/>
        <v>364181.6</v>
      </c>
      <c r="R148" s="23">
        <v>-0.1</v>
      </c>
      <c r="S148" s="23">
        <f t="shared" si="169"/>
        <v>144466.19999999998</v>
      </c>
      <c r="T148" s="23"/>
      <c r="U148" s="23">
        <f t="shared" si="170"/>
        <v>364181.6</v>
      </c>
      <c r="V148" s="23"/>
      <c r="W148" s="23">
        <f t="shared" si="171"/>
        <v>144466.19999999998</v>
      </c>
      <c r="X148" s="23"/>
      <c r="Y148" s="23">
        <f t="shared" si="172"/>
        <v>364181.6</v>
      </c>
      <c r="Z148" s="22">
        <v>-28022.3</v>
      </c>
      <c r="AA148" s="48">
        <f t="shared" si="173"/>
        <v>116443.89999999998</v>
      </c>
      <c r="AB148" s="22">
        <v>79534.3</v>
      </c>
      <c r="AC148" s="48">
        <f t="shared" si="174"/>
        <v>443715.89999999997</v>
      </c>
      <c r="AD148" s="9" t="s">
        <v>145</v>
      </c>
    </row>
    <row r="149" spans="1:31" ht="54" x14ac:dyDescent="0.35">
      <c r="A149" s="46" t="s">
        <v>137</v>
      </c>
      <c r="B149" s="49" t="s">
        <v>31</v>
      </c>
      <c r="C149" s="49" t="s">
        <v>5</v>
      </c>
      <c r="D149" s="21">
        <f>D151+D152</f>
        <v>0</v>
      </c>
      <c r="E149" s="21">
        <f>E151+E152</f>
        <v>200000</v>
      </c>
      <c r="F149" s="23">
        <f>F151+F152</f>
        <v>0</v>
      </c>
      <c r="G149" s="23">
        <f t="shared" si="115"/>
        <v>0</v>
      </c>
      <c r="H149" s="23">
        <f>H151+H152</f>
        <v>0</v>
      </c>
      <c r="I149" s="23">
        <f t="shared" si="116"/>
        <v>200000</v>
      </c>
      <c r="J149" s="23">
        <f>J151+J152</f>
        <v>0</v>
      </c>
      <c r="K149" s="23">
        <f t="shared" si="105"/>
        <v>0</v>
      </c>
      <c r="L149" s="23">
        <f>L151+L152</f>
        <v>0</v>
      </c>
      <c r="M149" s="23">
        <f t="shared" si="166"/>
        <v>200000</v>
      </c>
      <c r="N149" s="23">
        <f>N151+N152</f>
        <v>0</v>
      </c>
      <c r="O149" s="23">
        <f t="shared" si="167"/>
        <v>0</v>
      </c>
      <c r="P149" s="23">
        <f>P151+P152</f>
        <v>0</v>
      </c>
      <c r="Q149" s="23">
        <f t="shared" si="168"/>
        <v>200000</v>
      </c>
      <c r="R149" s="23">
        <f>R151+R152</f>
        <v>0</v>
      </c>
      <c r="S149" s="23">
        <f t="shared" si="169"/>
        <v>0</v>
      </c>
      <c r="T149" s="23">
        <f>T151+T152</f>
        <v>0</v>
      </c>
      <c r="U149" s="23">
        <f t="shared" si="170"/>
        <v>200000</v>
      </c>
      <c r="V149" s="23">
        <f>V151+V152</f>
        <v>0</v>
      </c>
      <c r="W149" s="23">
        <f t="shared" si="171"/>
        <v>0</v>
      </c>
      <c r="X149" s="23">
        <f>X151+X152</f>
        <v>0</v>
      </c>
      <c r="Y149" s="23">
        <f t="shared" si="172"/>
        <v>200000</v>
      </c>
      <c r="Z149" s="22">
        <f>Z151+Z152</f>
        <v>21220</v>
      </c>
      <c r="AA149" s="48">
        <f t="shared" si="173"/>
        <v>21220</v>
      </c>
      <c r="AB149" s="22">
        <f>AB151+AB152</f>
        <v>363256.69999999995</v>
      </c>
      <c r="AC149" s="48">
        <f t="shared" si="174"/>
        <v>563256.69999999995</v>
      </c>
    </row>
    <row r="150" spans="1:31" x14ac:dyDescent="0.35">
      <c r="A150" s="46"/>
      <c r="B150" s="49" t="s">
        <v>7</v>
      </c>
      <c r="C150" s="59"/>
      <c r="D150" s="21"/>
      <c r="E150" s="21"/>
      <c r="F150" s="23"/>
      <c r="G150" s="23"/>
      <c r="H150" s="23"/>
      <c r="I150" s="23"/>
      <c r="J150" s="23"/>
      <c r="K150" s="23"/>
      <c r="L150" s="23"/>
      <c r="M150" s="23"/>
      <c r="N150" s="23"/>
      <c r="O150" s="23"/>
      <c r="P150" s="23"/>
      <c r="Q150" s="23"/>
      <c r="R150" s="23"/>
      <c r="S150" s="23"/>
      <c r="T150" s="23"/>
      <c r="U150" s="23"/>
      <c r="V150" s="23"/>
      <c r="W150" s="23"/>
      <c r="X150" s="23"/>
      <c r="Y150" s="23"/>
      <c r="Z150" s="22"/>
      <c r="AA150" s="48"/>
      <c r="AB150" s="22"/>
      <c r="AC150" s="48"/>
    </row>
    <row r="151" spans="1:31" s="3" customFormat="1" hidden="1" x14ac:dyDescent="0.35">
      <c r="A151" s="1"/>
      <c r="B151" s="12" t="s">
        <v>8</v>
      </c>
      <c r="C151" s="2"/>
      <c r="D151" s="24">
        <v>0</v>
      </c>
      <c r="E151" s="24">
        <v>51080</v>
      </c>
      <c r="F151" s="26">
        <v>0</v>
      </c>
      <c r="G151" s="23">
        <f t="shared" si="115"/>
        <v>0</v>
      </c>
      <c r="H151" s="26"/>
      <c r="I151" s="23">
        <f t="shared" si="116"/>
        <v>51080</v>
      </c>
      <c r="J151" s="26">
        <v>0</v>
      </c>
      <c r="K151" s="23">
        <f t="shared" si="105"/>
        <v>0</v>
      </c>
      <c r="L151" s="26"/>
      <c r="M151" s="23">
        <f t="shared" ref="M151:M153" si="175">I151+L151</f>
        <v>51080</v>
      </c>
      <c r="N151" s="26">
        <v>0</v>
      </c>
      <c r="O151" s="23">
        <f t="shared" ref="O151:O153" si="176">K151+N151</f>
        <v>0</v>
      </c>
      <c r="P151" s="26"/>
      <c r="Q151" s="23">
        <f t="shared" ref="Q151:Q153" si="177">M151+P151</f>
        <v>51080</v>
      </c>
      <c r="R151" s="26">
        <v>0</v>
      </c>
      <c r="S151" s="23">
        <f t="shared" ref="S151:S153" si="178">O151+R151</f>
        <v>0</v>
      </c>
      <c r="T151" s="26"/>
      <c r="U151" s="23">
        <f t="shared" ref="U151:U153" si="179">Q151+T151</f>
        <v>51080</v>
      </c>
      <c r="V151" s="26">
        <v>0</v>
      </c>
      <c r="W151" s="23">
        <f t="shared" ref="W151:W153" si="180">S151+V151</f>
        <v>0</v>
      </c>
      <c r="X151" s="26"/>
      <c r="Y151" s="23">
        <f t="shared" ref="Y151:Y153" si="181">U151+X151</f>
        <v>51080</v>
      </c>
      <c r="Z151" s="25">
        <v>5305</v>
      </c>
      <c r="AA151" s="23">
        <f t="shared" ref="AA151:AA153" si="182">W151+Z151</f>
        <v>5305</v>
      </c>
      <c r="AB151" s="25">
        <v>85813.6</v>
      </c>
      <c r="AC151" s="23">
        <f t="shared" ref="AC151:AC153" si="183">Y151+AB151</f>
        <v>136893.6</v>
      </c>
      <c r="AD151" s="9" t="s">
        <v>39</v>
      </c>
      <c r="AE151" s="3">
        <v>0</v>
      </c>
    </row>
    <row r="152" spans="1:31" x14ac:dyDescent="0.35">
      <c r="A152" s="46"/>
      <c r="B152" s="49" t="s">
        <v>23</v>
      </c>
      <c r="C152" s="59"/>
      <c r="D152" s="21">
        <v>0</v>
      </c>
      <c r="E152" s="21">
        <v>148920</v>
      </c>
      <c r="F152" s="23">
        <v>0</v>
      </c>
      <c r="G152" s="23">
        <f t="shared" si="115"/>
        <v>0</v>
      </c>
      <c r="H152" s="23"/>
      <c r="I152" s="23">
        <f t="shared" si="116"/>
        <v>148920</v>
      </c>
      <c r="J152" s="23">
        <v>0</v>
      </c>
      <c r="K152" s="23">
        <f t="shared" si="105"/>
        <v>0</v>
      </c>
      <c r="L152" s="23"/>
      <c r="M152" s="23">
        <f t="shared" si="175"/>
        <v>148920</v>
      </c>
      <c r="N152" s="23">
        <v>0</v>
      </c>
      <c r="O152" s="23">
        <f t="shared" si="176"/>
        <v>0</v>
      </c>
      <c r="P152" s="23"/>
      <c r="Q152" s="23">
        <f t="shared" si="177"/>
        <v>148920</v>
      </c>
      <c r="R152" s="23">
        <v>0</v>
      </c>
      <c r="S152" s="23">
        <f t="shared" si="178"/>
        <v>0</v>
      </c>
      <c r="T152" s="23"/>
      <c r="U152" s="23">
        <f t="shared" si="179"/>
        <v>148920</v>
      </c>
      <c r="V152" s="23">
        <v>0</v>
      </c>
      <c r="W152" s="23">
        <f t="shared" si="180"/>
        <v>0</v>
      </c>
      <c r="X152" s="23"/>
      <c r="Y152" s="23">
        <f t="shared" si="181"/>
        <v>148920</v>
      </c>
      <c r="Z152" s="22">
        <v>15915</v>
      </c>
      <c r="AA152" s="48">
        <f t="shared" si="182"/>
        <v>15915</v>
      </c>
      <c r="AB152" s="22">
        <v>277443.09999999998</v>
      </c>
      <c r="AC152" s="48">
        <f t="shared" si="183"/>
        <v>426363.1</v>
      </c>
      <c r="AD152" s="9" t="s">
        <v>145</v>
      </c>
    </row>
    <row r="153" spans="1:31" ht="54" x14ac:dyDescent="0.35">
      <c r="A153" s="46" t="s">
        <v>138</v>
      </c>
      <c r="B153" s="49" t="s">
        <v>156</v>
      </c>
      <c r="C153" s="49" t="s">
        <v>5</v>
      </c>
      <c r="D153" s="21">
        <f>D155+D156</f>
        <v>348812</v>
      </c>
      <c r="E153" s="21">
        <f>E155+E156</f>
        <v>148812</v>
      </c>
      <c r="F153" s="23">
        <f>F155+F156</f>
        <v>0</v>
      </c>
      <c r="G153" s="23">
        <f t="shared" si="115"/>
        <v>348812</v>
      </c>
      <c r="H153" s="23">
        <f>H155+H156</f>
        <v>0</v>
      </c>
      <c r="I153" s="23">
        <f t="shared" si="116"/>
        <v>148812</v>
      </c>
      <c r="J153" s="23">
        <f>J155+J156</f>
        <v>-45367</v>
      </c>
      <c r="K153" s="23">
        <f t="shared" si="105"/>
        <v>303445</v>
      </c>
      <c r="L153" s="23">
        <f>L155+L156</f>
        <v>0</v>
      </c>
      <c r="M153" s="23">
        <f t="shared" si="175"/>
        <v>148812</v>
      </c>
      <c r="N153" s="23">
        <f>N155+N156</f>
        <v>0</v>
      </c>
      <c r="O153" s="23">
        <f t="shared" si="176"/>
        <v>303445</v>
      </c>
      <c r="P153" s="23">
        <f>P155+P156</f>
        <v>0</v>
      </c>
      <c r="Q153" s="23">
        <f t="shared" si="177"/>
        <v>148812</v>
      </c>
      <c r="R153" s="23">
        <f>R155+R156</f>
        <v>0</v>
      </c>
      <c r="S153" s="23">
        <f t="shared" si="178"/>
        <v>303445</v>
      </c>
      <c r="T153" s="23">
        <f>T155+T156</f>
        <v>0</v>
      </c>
      <c r="U153" s="23">
        <f t="shared" si="179"/>
        <v>148812</v>
      </c>
      <c r="V153" s="23">
        <f>V155+V156</f>
        <v>0</v>
      </c>
      <c r="W153" s="23">
        <f t="shared" si="180"/>
        <v>303445</v>
      </c>
      <c r="X153" s="23">
        <f>X155+X156</f>
        <v>0</v>
      </c>
      <c r="Y153" s="23">
        <f t="shared" si="181"/>
        <v>148812</v>
      </c>
      <c r="Z153" s="22">
        <f>Z155+Z156</f>
        <v>80075</v>
      </c>
      <c r="AA153" s="48">
        <f t="shared" si="182"/>
        <v>383520</v>
      </c>
      <c r="AB153" s="22">
        <f>AB155+AB156</f>
        <v>-80075</v>
      </c>
      <c r="AC153" s="48">
        <f t="shared" si="183"/>
        <v>68737</v>
      </c>
      <c r="AE153" s="7"/>
    </row>
    <row r="154" spans="1:31" x14ac:dyDescent="0.35">
      <c r="A154" s="46"/>
      <c r="B154" s="49" t="s">
        <v>7</v>
      </c>
      <c r="C154" s="59"/>
      <c r="D154" s="21"/>
      <c r="E154" s="21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23"/>
      <c r="Q154" s="23"/>
      <c r="R154" s="23"/>
      <c r="S154" s="23"/>
      <c r="T154" s="23"/>
      <c r="U154" s="23"/>
      <c r="V154" s="23"/>
      <c r="W154" s="23"/>
      <c r="X154" s="23"/>
      <c r="Y154" s="23"/>
      <c r="Z154" s="22"/>
      <c r="AA154" s="48"/>
      <c r="AB154" s="22"/>
      <c r="AC154" s="48"/>
    </row>
    <row r="155" spans="1:31" s="3" customFormat="1" hidden="1" x14ac:dyDescent="0.35">
      <c r="A155" s="1"/>
      <c r="B155" s="12" t="s">
        <v>8</v>
      </c>
      <c r="C155" s="2"/>
      <c r="D155" s="24">
        <v>87203</v>
      </c>
      <c r="E155" s="24">
        <v>37203</v>
      </c>
      <c r="F155" s="26"/>
      <c r="G155" s="23">
        <f t="shared" si="115"/>
        <v>87203</v>
      </c>
      <c r="H155" s="26"/>
      <c r="I155" s="23">
        <f t="shared" si="116"/>
        <v>37203</v>
      </c>
      <c r="J155" s="26">
        <v>-11341.8</v>
      </c>
      <c r="K155" s="23">
        <f t="shared" si="105"/>
        <v>75861.2</v>
      </c>
      <c r="L155" s="26"/>
      <c r="M155" s="23">
        <f t="shared" ref="M155:M157" si="184">I155+L155</f>
        <v>37203</v>
      </c>
      <c r="N155" s="26"/>
      <c r="O155" s="23">
        <f t="shared" ref="O155:O157" si="185">K155+N155</f>
        <v>75861.2</v>
      </c>
      <c r="P155" s="26"/>
      <c r="Q155" s="23">
        <f t="shared" ref="Q155:Q157" si="186">M155+P155</f>
        <v>37203</v>
      </c>
      <c r="R155" s="26">
        <v>0.1</v>
      </c>
      <c r="S155" s="23">
        <f t="shared" ref="S155:S157" si="187">O155+R155</f>
        <v>75861.3</v>
      </c>
      <c r="T155" s="26"/>
      <c r="U155" s="23">
        <f t="shared" ref="U155:U157" si="188">Q155+T155</f>
        <v>37203</v>
      </c>
      <c r="V155" s="26"/>
      <c r="W155" s="23">
        <f t="shared" ref="W155:W157" si="189">S155+V155</f>
        <v>75861.3</v>
      </c>
      <c r="X155" s="26"/>
      <c r="Y155" s="23">
        <f t="shared" ref="Y155:Y157" si="190">U155+X155</f>
        <v>37203</v>
      </c>
      <c r="Z155" s="25">
        <v>20018.8</v>
      </c>
      <c r="AA155" s="23">
        <f t="shared" ref="AA155:AA157" si="191">W155+Z155</f>
        <v>95880.1</v>
      </c>
      <c r="AB155" s="25">
        <v>-20018.8</v>
      </c>
      <c r="AC155" s="23">
        <f t="shared" ref="AC155:AC157" si="192">Y155+AB155</f>
        <v>17184.2</v>
      </c>
      <c r="AD155" s="9" t="s">
        <v>40</v>
      </c>
      <c r="AE155" s="3">
        <v>0</v>
      </c>
    </row>
    <row r="156" spans="1:31" x14ac:dyDescent="0.35">
      <c r="A156" s="46"/>
      <c r="B156" s="49" t="s">
        <v>23</v>
      </c>
      <c r="C156" s="59"/>
      <c r="D156" s="21">
        <v>261609</v>
      </c>
      <c r="E156" s="21">
        <v>111609</v>
      </c>
      <c r="F156" s="23"/>
      <c r="G156" s="23">
        <f t="shared" si="115"/>
        <v>261609</v>
      </c>
      <c r="H156" s="23"/>
      <c r="I156" s="23">
        <f t="shared" si="116"/>
        <v>111609</v>
      </c>
      <c r="J156" s="23">
        <v>-34025.199999999997</v>
      </c>
      <c r="K156" s="23">
        <f t="shared" si="105"/>
        <v>227583.8</v>
      </c>
      <c r="L156" s="23"/>
      <c r="M156" s="23">
        <f t="shared" si="184"/>
        <v>111609</v>
      </c>
      <c r="N156" s="23"/>
      <c r="O156" s="23">
        <f t="shared" si="185"/>
        <v>227583.8</v>
      </c>
      <c r="P156" s="23"/>
      <c r="Q156" s="23">
        <f t="shared" si="186"/>
        <v>111609</v>
      </c>
      <c r="R156" s="23">
        <v>-0.1</v>
      </c>
      <c r="S156" s="23">
        <f t="shared" si="187"/>
        <v>227583.69999999998</v>
      </c>
      <c r="T156" s="23"/>
      <c r="U156" s="23">
        <f t="shared" si="188"/>
        <v>111609</v>
      </c>
      <c r="V156" s="23"/>
      <c r="W156" s="23">
        <f t="shared" si="189"/>
        <v>227583.69999999998</v>
      </c>
      <c r="X156" s="23"/>
      <c r="Y156" s="23">
        <f t="shared" si="190"/>
        <v>111609</v>
      </c>
      <c r="Z156" s="22">
        <v>60056.2</v>
      </c>
      <c r="AA156" s="48">
        <f t="shared" si="191"/>
        <v>287639.89999999997</v>
      </c>
      <c r="AB156" s="22">
        <v>-60056.2</v>
      </c>
      <c r="AC156" s="48">
        <f t="shared" si="192"/>
        <v>51552.800000000003</v>
      </c>
      <c r="AD156" s="9" t="s">
        <v>145</v>
      </c>
    </row>
    <row r="157" spans="1:31" ht="54" x14ac:dyDescent="0.35">
      <c r="A157" s="46" t="s">
        <v>139</v>
      </c>
      <c r="B157" s="49" t="s">
        <v>157</v>
      </c>
      <c r="C157" s="49" t="s">
        <v>5</v>
      </c>
      <c r="D157" s="21">
        <f>D159+D160</f>
        <v>88427.4</v>
      </c>
      <c r="E157" s="21">
        <f>E159+E160</f>
        <v>0</v>
      </c>
      <c r="F157" s="23">
        <f>F159+F160</f>
        <v>0</v>
      </c>
      <c r="G157" s="23">
        <f t="shared" si="115"/>
        <v>88427.4</v>
      </c>
      <c r="H157" s="23">
        <f>H159+H160</f>
        <v>0</v>
      </c>
      <c r="I157" s="23">
        <f t="shared" si="116"/>
        <v>0</v>
      </c>
      <c r="J157" s="23">
        <f>J159+J160</f>
        <v>0</v>
      </c>
      <c r="K157" s="23">
        <f t="shared" si="105"/>
        <v>88427.4</v>
      </c>
      <c r="L157" s="23">
        <f>L159+L160</f>
        <v>0</v>
      </c>
      <c r="M157" s="23">
        <f t="shared" si="184"/>
        <v>0</v>
      </c>
      <c r="N157" s="23">
        <f>N159+N160</f>
        <v>0</v>
      </c>
      <c r="O157" s="23">
        <f t="shared" si="185"/>
        <v>88427.4</v>
      </c>
      <c r="P157" s="23">
        <f>P159+P160</f>
        <v>0</v>
      </c>
      <c r="Q157" s="23">
        <f t="shared" si="186"/>
        <v>0</v>
      </c>
      <c r="R157" s="23">
        <f>R159+R160</f>
        <v>0</v>
      </c>
      <c r="S157" s="23">
        <f t="shared" si="187"/>
        <v>88427.4</v>
      </c>
      <c r="T157" s="23">
        <f>T159+T160</f>
        <v>0</v>
      </c>
      <c r="U157" s="23">
        <f t="shared" si="188"/>
        <v>0</v>
      </c>
      <c r="V157" s="23">
        <f>V159+V160</f>
        <v>0</v>
      </c>
      <c r="W157" s="23">
        <f t="shared" si="189"/>
        <v>88427.4</v>
      </c>
      <c r="X157" s="23">
        <f>X159+X160</f>
        <v>0</v>
      </c>
      <c r="Y157" s="23">
        <f t="shared" si="190"/>
        <v>0</v>
      </c>
      <c r="Z157" s="22">
        <f>Z159+Z160</f>
        <v>-88427.4</v>
      </c>
      <c r="AA157" s="48">
        <f t="shared" si="191"/>
        <v>0</v>
      </c>
      <c r="AB157" s="22">
        <f>AB159+AB160</f>
        <v>93954.4</v>
      </c>
      <c r="AC157" s="48">
        <f t="shared" si="192"/>
        <v>93954.4</v>
      </c>
    </row>
    <row r="158" spans="1:31" x14ac:dyDescent="0.35">
      <c r="A158" s="46"/>
      <c r="B158" s="49" t="s">
        <v>7</v>
      </c>
      <c r="C158" s="49"/>
      <c r="D158" s="21"/>
      <c r="E158" s="21"/>
      <c r="F158" s="23"/>
      <c r="G158" s="23"/>
      <c r="H158" s="23"/>
      <c r="I158" s="23"/>
      <c r="J158" s="23"/>
      <c r="K158" s="23"/>
      <c r="L158" s="23"/>
      <c r="M158" s="23"/>
      <c r="N158" s="23"/>
      <c r="O158" s="23"/>
      <c r="P158" s="23"/>
      <c r="Q158" s="23"/>
      <c r="R158" s="23"/>
      <c r="S158" s="23"/>
      <c r="T158" s="23"/>
      <c r="U158" s="23"/>
      <c r="V158" s="23"/>
      <c r="W158" s="23"/>
      <c r="X158" s="23"/>
      <c r="Y158" s="23"/>
      <c r="Z158" s="22"/>
      <c r="AA158" s="48"/>
      <c r="AB158" s="22"/>
      <c r="AC158" s="48"/>
    </row>
    <row r="159" spans="1:31" s="3" customFormat="1" hidden="1" x14ac:dyDescent="0.35">
      <c r="A159" s="1"/>
      <c r="B159" s="12" t="s">
        <v>8</v>
      </c>
      <c r="C159" s="12"/>
      <c r="D159" s="21">
        <v>22107</v>
      </c>
      <c r="E159" s="21">
        <v>0</v>
      </c>
      <c r="F159" s="23"/>
      <c r="G159" s="23">
        <f t="shared" si="115"/>
        <v>22107</v>
      </c>
      <c r="H159" s="23"/>
      <c r="I159" s="23">
        <f t="shared" si="116"/>
        <v>0</v>
      </c>
      <c r="J159" s="23"/>
      <c r="K159" s="23">
        <f t="shared" si="105"/>
        <v>22107</v>
      </c>
      <c r="L159" s="23"/>
      <c r="M159" s="23">
        <f t="shared" ref="M159:M161" si="193">I159+L159</f>
        <v>0</v>
      </c>
      <c r="N159" s="23"/>
      <c r="O159" s="23">
        <f t="shared" ref="O159:O161" si="194">K159+N159</f>
        <v>22107</v>
      </c>
      <c r="P159" s="23"/>
      <c r="Q159" s="23">
        <f t="shared" ref="Q159:Q161" si="195">M159+P159</f>
        <v>0</v>
      </c>
      <c r="R159" s="23"/>
      <c r="S159" s="23">
        <f t="shared" ref="S159:S161" si="196">O159+R159</f>
        <v>22107</v>
      </c>
      <c r="T159" s="23"/>
      <c r="U159" s="23">
        <f t="shared" ref="U159:U161" si="197">Q159+T159</f>
        <v>0</v>
      </c>
      <c r="V159" s="23"/>
      <c r="W159" s="23">
        <f t="shared" ref="W159:W161" si="198">S159+V159</f>
        <v>22107</v>
      </c>
      <c r="X159" s="23"/>
      <c r="Y159" s="23">
        <f t="shared" ref="Y159:Y161" si="199">U159+X159</f>
        <v>0</v>
      </c>
      <c r="Z159" s="22">
        <v>-22107</v>
      </c>
      <c r="AA159" s="23">
        <f t="shared" ref="AA159:AA161" si="200">W159+Z159</f>
        <v>0</v>
      </c>
      <c r="AB159" s="22">
        <v>23488.7</v>
      </c>
      <c r="AC159" s="23">
        <f t="shared" ref="AC159:AC161" si="201">Y159+AB159</f>
        <v>23488.7</v>
      </c>
      <c r="AD159" s="10" t="s">
        <v>237</v>
      </c>
      <c r="AE159" s="3">
        <v>0</v>
      </c>
    </row>
    <row r="160" spans="1:31" x14ac:dyDescent="0.35">
      <c r="A160" s="46"/>
      <c r="B160" s="49" t="s">
        <v>23</v>
      </c>
      <c r="C160" s="49"/>
      <c r="D160" s="21">
        <v>66320.399999999994</v>
      </c>
      <c r="E160" s="21">
        <v>0</v>
      </c>
      <c r="F160" s="23"/>
      <c r="G160" s="23">
        <f t="shared" si="115"/>
        <v>66320.399999999994</v>
      </c>
      <c r="H160" s="23"/>
      <c r="I160" s="23">
        <f t="shared" si="116"/>
        <v>0</v>
      </c>
      <c r="J160" s="23"/>
      <c r="K160" s="23">
        <f t="shared" si="105"/>
        <v>66320.399999999994</v>
      </c>
      <c r="L160" s="23"/>
      <c r="M160" s="23">
        <f t="shared" si="193"/>
        <v>0</v>
      </c>
      <c r="N160" s="23"/>
      <c r="O160" s="23">
        <f t="shared" si="194"/>
        <v>66320.399999999994</v>
      </c>
      <c r="P160" s="23"/>
      <c r="Q160" s="23">
        <f t="shared" si="195"/>
        <v>0</v>
      </c>
      <c r="R160" s="23"/>
      <c r="S160" s="23">
        <f t="shared" si="196"/>
        <v>66320.399999999994</v>
      </c>
      <c r="T160" s="23"/>
      <c r="U160" s="23">
        <f t="shared" si="197"/>
        <v>0</v>
      </c>
      <c r="V160" s="23"/>
      <c r="W160" s="23">
        <f t="shared" si="198"/>
        <v>66320.399999999994</v>
      </c>
      <c r="X160" s="23"/>
      <c r="Y160" s="23">
        <f t="shared" si="199"/>
        <v>0</v>
      </c>
      <c r="Z160" s="22">
        <v>-66320.399999999994</v>
      </c>
      <c r="AA160" s="48">
        <f t="shared" si="200"/>
        <v>0</v>
      </c>
      <c r="AB160" s="22">
        <v>70465.7</v>
      </c>
      <c r="AC160" s="48">
        <f t="shared" si="201"/>
        <v>70465.7</v>
      </c>
      <c r="AD160" s="10" t="s">
        <v>145</v>
      </c>
    </row>
    <row r="161" spans="1:31" s="3" customFormat="1" ht="72" hidden="1" x14ac:dyDescent="0.35">
      <c r="A161" s="1" t="s">
        <v>137</v>
      </c>
      <c r="B161" s="31" t="s">
        <v>158</v>
      </c>
      <c r="C161" s="31" t="s">
        <v>5</v>
      </c>
      <c r="D161" s="21">
        <f>D163+D164</f>
        <v>28275.4</v>
      </c>
      <c r="E161" s="21">
        <f>E163+E164</f>
        <v>0</v>
      </c>
      <c r="F161" s="23">
        <f>F163+F164</f>
        <v>0</v>
      </c>
      <c r="G161" s="23">
        <f t="shared" si="115"/>
        <v>28275.4</v>
      </c>
      <c r="H161" s="23">
        <f>H163+H164</f>
        <v>0</v>
      </c>
      <c r="I161" s="23">
        <f t="shared" si="116"/>
        <v>0</v>
      </c>
      <c r="J161" s="23">
        <f>J163+J164</f>
        <v>0</v>
      </c>
      <c r="K161" s="23">
        <f t="shared" si="105"/>
        <v>28275.4</v>
      </c>
      <c r="L161" s="23">
        <f>L163+L164</f>
        <v>0</v>
      </c>
      <c r="M161" s="23">
        <f t="shared" si="193"/>
        <v>0</v>
      </c>
      <c r="N161" s="23">
        <f>N163+N164</f>
        <v>0</v>
      </c>
      <c r="O161" s="23">
        <f t="shared" si="194"/>
        <v>28275.4</v>
      </c>
      <c r="P161" s="23">
        <f>P163+P164</f>
        <v>0</v>
      </c>
      <c r="Q161" s="23">
        <f t="shared" si="195"/>
        <v>0</v>
      </c>
      <c r="R161" s="23">
        <f>R163+R164</f>
        <v>0</v>
      </c>
      <c r="S161" s="23">
        <f t="shared" si="196"/>
        <v>28275.4</v>
      </c>
      <c r="T161" s="23">
        <f>T163+T164</f>
        <v>0</v>
      </c>
      <c r="U161" s="23">
        <f t="shared" si="197"/>
        <v>0</v>
      </c>
      <c r="V161" s="23">
        <f>V163+V164</f>
        <v>0</v>
      </c>
      <c r="W161" s="23">
        <f t="shared" si="198"/>
        <v>28275.4</v>
      </c>
      <c r="X161" s="23">
        <f>X163+X164</f>
        <v>0</v>
      </c>
      <c r="Y161" s="23">
        <f t="shared" si="199"/>
        <v>0</v>
      </c>
      <c r="Z161" s="22">
        <f>Z163+Z164</f>
        <v>-28275.4</v>
      </c>
      <c r="AA161" s="23">
        <f t="shared" si="200"/>
        <v>0</v>
      </c>
      <c r="AB161" s="22">
        <f>AB163+AB164</f>
        <v>0</v>
      </c>
      <c r="AC161" s="23">
        <f t="shared" si="201"/>
        <v>0</v>
      </c>
      <c r="AD161" s="10"/>
      <c r="AE161" s="3">
        <v>0</v>
      </c>
    </row>
    <row r="162" spans="1:31" s="3" customFormat="1" hidden="1" x14ac:dyDescent="0.35">
      <c r="A162" s="1"/>
      <c r="B162" s="31" t="s">
        <v>7</v>
      </c>
      <c r="C162" s="31"/>
      <c r="D162" s="21"/>
      <c r="E162" s="21"/>
      <c r="F162" s="23"/>
      <c r="G162" s="23"/>
      <c r="H162" s="23"/>
      <c r="I162" s="23"/>
      <c r="J162" s="23"/>
      <c r="K162" s="23"/>
      <c r="L162" s="23"/>
      <c r="M162" s="23"/>
      <c r="N162" s="23"/>
      <c r="O162" s="23"/>
      <c r="P162" s="23"/>
      <c r="Q162" s="23"/>
      <c r="R162" s="23"/>
      <c r="S162" s="23"/>
      <c r="T162" s="23"/>
      <c r="U162" s="23"/>
      <c r="V162" s="23"/>
      <c r="W162" s="23"/>
      <c r="X162" s="23"/>
      <c r="Y162" s="23"/>
      <c r="Z162" s="22"/>
      <c r="AA162" s="23"/>
      <c r="AB162" s="22"/>
      <c r="AC162" s="23"/>
      <c r="AD162" s="10"/>
      <c r="AE162" s="3">
        <v>0</v>
      </c>
    </row>
    <row r="163" spans="1:31" s="3" customFormat="1" hidden="1" x14ac:dyDescent="0.35">
      <c r="A163" s="1"/>
      <c r="B163" s="12" t="s">
        <v>8</v>
      </c>
      <c r="C163" s="12"/>
      <c r="D163" s="21">
        <v>7069</v>
      </c>
      <c r="E163" s="21">
        <v>0</v>
      </c>
      <c r="F163" s="23"/>
      <c r="G163" s="23">
        <f t="shared" si="115"/>
        <v>7069</v>
      </c>
      <c r="H163" s="23">
        <v>0</v>
      </c>
      <c r="I163" s="23">
        <f t="shared" si="116"/>
        <v>0</v>
      </c>
      <c r="J163" s="23"/>
      <c r="K163" s="23">
        <f t="shared" si="105"/>
        <v>7069</v>
      </c>
      <c r="L163" s="23">
        <v>0</v>
      </c>
      <c r="M163" s="23">
        <f t="shared" ref="M163:M165" si="202">I163+L163</f>
        <v>0</v>
      </c>
      <c r="N163" s="23"/>
      <c r="O163" s="23">
        <f t="shared" ref="O163:O165" si="203">K163+N163</f>
        <v>7069</v>
      </c>
      <c r="P163" s="23">
        <v>0</v>
      </c>
      <c r="Q163" s="23">
        <f t="shared" ref="Q163:Q165" si="204">M163+P163</f>
        <v>0</v>
      </c>
      <c r="R163" s="23"/>
      <c r="S163" s="23">
        <f t="shared" ref="S163:S165" si="205">O163+R163</f>
        <v>7069</v>
      </c>
      <c r="T163" s="23">
        <v>0</v>
      </c>
      <c r="U163" s="23">
        <f t="shared" ref="U163:U165" si="206">Q163+T163</f>
        <v>0</v>
      </c>
      <c r="V163" s="23"/>
      <c r="W163" s="23">
        <f t="shared" ref="W163:W165" si="207">S163+V163</f>
        <v>7069</v>
      </c>
      <c r="X163" s="23">
        <v>0</v>
      </c>
      <c r="Y163" s="23">
        <f t="shared" ref="Y163:Y165" si="208">U163+X163</f>
        <v>0</v>
      </c>
      <c r="Z163" s="22">
        <v>-7069</v>
      </c>
      <c r="AA163" s="23">
        <f t="shared" ref="AA163:AA165" si="209">W163+Z163</f>
        <v>0</v>
      </c>
      <c r="AB163" s="22">
        <v>0</v>
      </c>
      <c r="AC163" s="23">
        <f t="shared" ref="AC163:AC165" si="210">Y163+AB163</f>
        <v>0</v>
      </c>
      <c r="AD163" s="10" t="s">
        <v>41</v>
      </c>
      <c r="AE163" s="3">
        <v>0</v>
      </c>
    </row>
    <row r="164" spans="1:31" s="3" customFormat="1" hidden="1" x14ac:dyDescent="0.35">
      <c r="A164" s="1"/>
      <c r="B164" s="31" t="s">
        <v>23</v>
      </c>
      <c r="C164" s="31"/>
      <c r="D164" s="21">
        <v>21206.400000000001</v>
      </c>
      <c r="E164" s="21">
        <v>0</v>
      </c>
      <c r="F164" s="23"/>
      <c r="G164" s="23">
        <f t="shared" si="115"/>
        <v>21206.400000000001</v>
      </c>
      <c r="H164" s="23">
        <v>0</v>
      </c>
      <c r="I164" s="23">
        <f t="shared" si="116"/>
        <v>0</v>
      </c>
      <c r="J164" s="23"/>
      <c r="K164" s="23">
        <f t="shared" si="105"/>
        <v>21206.400000000001</v>
      </c>
      <c r="L164" s="23">
        <v>0</v>
      </c>
      <c r="M164" s="23">
        <f t="shared" si="202"/>
        <v>0</v>
      </c>
      <c r="N164" s="23"/>
      <c r="O164" s="23">
        <f t="shared" si="203"/>
        <v>21206.400000000001</v>
      </c>
      <c r="P164" s="23">
        <v>0</v>
      </c>
      <c r="Q164" s="23">
        <f t="shared" si="204"/>
        <v>0</v>
      </c>
      <c r="R164" s="23"/>
      <c r="S164" s="23">
        <f t="shared" si="205"/>
        <v>21206.400000000001</v>
      </c>
      <c r="T164" s="23">
        <v>0</v>
      </c>
      <c r="U164" s="23">
        <f t="shared" si="206"/>
        <v>0</v>
      </c>
      <c r="V164" s="23"/>
      <c r="W164" s="23">
        <f t="shared" si="207"/>
        <v>21206.400000000001</v>
      </c>
      <c r="X164" s="23">
        <v>0</v>
      </c>
      <c r="Y164" s="23">
        <f t="shared" si="208"/>
        <v>0</v>
      </c>
      <c r="Z164" s="22">
        <v>-21206.400000000001</v>
      </c>
      <c r="AA164" s="23">
        <f>W164+Z164</f>
        <v>0</v>
      </c>
      <c r="AB164" s="22">
        <v>0</v>
      </c>
      <c r="AC164" s="23">
        <f t="shared" si="210"/>
        <v>0</v>
      </c>
      <c r="AD164" s="10" t="s">
        <v>145</v>
      </c>
      <c r="AE164" s="3">
        <v>0</v>
      </c>
    </row>
    <row r="165" spans="1:31" ht="54" x14ac:dyDescent="0.35">
      <c r="A165" s="46" t="s">
        <v>140</v>
      </c>
      <c r="B165" s="49" t="s">
        <v>159</v>
      </c>
      <c r="C165" s="49" t="s">
        <v>5</v>
      </c>
      <c r="D165" s="21">
        <f>D167+D168</f>
        <v>230075</v>
      </c>
      <c r="E165" s="21">
        <f>E167+E168</f>
        <v>369925</v>
      </c>
      <c r="F165" s="23">
        <f>F167+F168</f>
        <v>0</v>
      </c>
      <c r="G165" s="23">
        <f t="shared" si="115"/>
        <v>230075</v>
      </c>
      <c r="H165" s="23">
        <f>H167+H168</f>
        <v>0</v>
      </c>
      <c r="I165" s="23">
        <f t="shared" si="116"/>
        <v>369925</v>
      </c>
      <c r="J165" s="23">
        <f>J167+J168</f>
        <v>0</v>
      </c>
      <c r="K165" s="23">
        <f t="shared" si="105"/>
        <v>230075</v>
      </c>
      <c r="L165" s="23">
        <f>L167+L168</f>
        <v>0</v>
      </c>
      <c r="M165" s="23">
        <f t="shared" si="202"/>
        <v>369925</v>
      </c>
      <c r="N165" s="23">
        <f>N167+N168</f>
        <v>0</v>
      </c>
      <c r="O165" s="23">
        <f t="shared" si="203"/>
        <v>230075</v>
      </c>
      <c r="P165" s="23">
        <f>P167+P168</f>
        <v>0</v>
      </c>
      <c r="Q165" s="23">
        <f t="shared" si="204"/>
        <v>369925</v>
      </c>
      <c r="R165" s="23">
        <f>R167+R168</f>
        <v>0</v>
      </c>
      <c r="S165" s="23">
        <f t="shared" si="205"/>
        <v>230075</v>
      </c>
      <c r="T165" s="23">
        <f>T167+T168</f>
        <v>0</v>
      </c>
      <c r="U165" s="23">
        <f t="shared" si="206"/>
        <v>369925</v>
      </c>
      <c r="V165" s="23">
        <f>V167+V168</f>
        <v>0</v>
      </c>
      <c r="W165" s="23">
        <f t="shared" si="207"/>
        <v>230075</v>
      </c>
      <c r="X165" s="23">
        <f>X167+X168</f>
        <v>0</v>
      </c>
      <c r="Y165" s="23">
        <f t="shared" si="208"/>
        <v>369925</v>
      </c>
      <c r="Z165" s="22">
        <f>Z167+Z168</f>
        <v>-230075</v>
      </c>
      <c r="AA165" s="48">
        <f t="shared" si="209"/>
        <v>0</v>
      </c>
      <c r="AB165" s="22">
        <f>AB167+AB168</f>
        <v>-269925</v>
      </c>
      <c r="AC165" s="48">
        <f t="shared" si="210"/>
        <v>100000</v>
      </c>
    </row>
    <row r="166" spans="1:31" x14ac:dyDescent="0.35">
      <c r="A166" s="46"/>
      <c r="B166" s="49" t="s">
        <v>7</v>
      </c>
      <c r="C166" s="49"/>
      <c r="D166" s="21"/>
      <c r="E166" s="21"/>
      <c r="F166" s="23"/>
      <c r="G166" s="23"/>
      <c r="H166" s="23"/>
      <c r="I166" s="23"/>
      <c r="J166" s="23"/>
      <c r="K166" s="23"/>
      <c r="L166" s="23"/>
      <c r="M166" s="23"/>
      <c r="N166" s="23"/>
      <c r="O166" s="23"/>
      <c r="P166" s="23"/>
      <c r="Q166" s="23"/>
      <c r="R166" s="23"/>
      <c r="S166" s="23"/>
      <c r="T166" s="23"/>
      <c r="U166" s="23"/>
      <c r="V166" s="23"/>
      <c r="W166" s="23"/>
      <c r="X166" s="23"/>
      <c r="Y166" s="23"/>
      <c r="Z166" s="22"/>
      <c r="AA166" s="48"/>
      <c r="AB166" s="22"/>
      <c r="AC166" s="48"/>
    </row>
    <row r="167" spans="1:31" s="3" customFormat="1" hidden="1" x14ac:dyDescent="0.35">
      <c r="A167" s="1"/>
      <c r="B167" s="12" t="s">
        <v>8</v>
      </c>
      <c r="C167" s="12"/>
      <c r="D167" s="21">
        <v>57518.8</v>
      </c>
      <c r="E167" s="21">
        <v>94486</v>
      </c>
      <c r="F167" s="23"/>
      <c r="G167" s="23">
        <f t="shared" si="115"/>
        <v>57518.8</v>
      </c>
      <c r="H167" s="23"/>
      <c r="I167" s="23">
        <f t="shared" si="116"/>
        <v>94486</v>
      </c>
      <c r="J167" s="23"/>
      <c r="K167" s="23">
        <f t="shared" si="105"/>
        <v>57518.8</v>
      </c>
      <c r="L167" s="23"/>
      <c r="M167" s="23">
        <f t="shared" ref="M167:M169" si="211">I167+L167</f>
        <v>94486</v>
      </c>
      <c r="N167" s="23"/>
      <c r="O167" s="23">
        <f t="shared" ref="O167:O169" si="212">K167+N167</f>
        <v>57518.8</v>
      </c>
      <c r="P167" s="23"/>
      <c r="Q167" s="23">
        <f t="shared" ref="Q167:Q169" si="213">M167+P167</f>
        <v>94486</v>
      </c>
      <c r="R167" s="23"/>
      <c r="S167" s="23">
        <f t="shared" ref="S167:S169" si="214">O167+R167</f>
        <v>57518.8</v>
      </c>
      <c r="T167" s="23"/>
      <c r="U167" s="23">
        <f t="shared" ref="U167:U169" si="215">Q167+T167</f>
        <v>94486</v>
      </c>
      <c r="V167" s="23"/>
      <c r="W167" s="23">
        <f t="shared" ref="W167:W169" si="216">S167+V167</f>
        <v>57518.8</v>
      </c>
      <c r="X167" s="23"/>
      <c r="Y167" s="23">
        <f t="shared" ref="Y167:Y169" si="217">U167+X167</f>
        <v>94486</v>
      </c>
      <c r="Z167" s="22">
        <v>-57518.8</v>
      </c>
      <c r="AA167" s="23">
        <f t="shared" ref="AA167:AA169" si="218">W167+Z167</f>
        <v>0</v>
      </c>
      <c r="AB167" s="22">
        <v>-69486</v>
      </c>
      <c r="AC167" s="23">
        <f t="shared" ref="AC167:AC169" si="219">Y167+AB167</f>
        <v>25000</v>
      </c>
      <c r="AD167" s="10" t="s">
        <v>42</v>
      </c>
      <c r="AE167" s="3">
        <v>0</v>
      </c>
    </row>
    <row r="168" spans="1:31" x14ac:dyDescent="0.35">
      <c r="A168" s="46"/>
      <c r="B168" s="49" t="s">
        <v>23</v>
      </c>
      <c r="C168" s="49"/>
      <c r="D168" s="21">
        <v>172556.2</v>
      </c>
      <c r="E168" s="21">
        <v>275439</v>
      </c>
      <c r="F168" s="23"/>
      <c r="G168" s="23">
        <f t="shared" si="115"/>
        <v>172556.2</v>
      </c>
      <c r="H168" s="23"/>
      <c r="I168" s="23">
        <f t="shared" si="116"/>
        <v>275439</v>
      </c>
      <c r="J168" s="23"/>
      <c r="K168" s="23">
        <f t="shared" si="105"/>
        <v>172556.2</v>
      </c>
      <c r="L168" s="23"/>
      <c r="M168" s="23">
        <f t="shared" si="211"/>
        <v>275439</v>
      </c>
      <c r="N168" s="23"/>
      <c r="O168" s="23">
        <f t="shared" si="212"/>
        <v>172556.2</v>
      </c>
      <c r="P168" s="23"/>
      <c r="Q168" s="23">
        <f t="shared" si="213"/>
        <v>275439</v>
      </c>
      <c r="R168" s="23"/>
      <c r="S168" s="23">
        <f t="shared" si="214"/>
        <v>172556.2</v>
      </c>
      <c r="T168" s="23"/>
      <c r="U168" s="23">
        <f t="shared" si="215"/>
        <v>275439</v>
      </c>
      <c r="V168" s="23"/>
      <c r="W168" s="23">
        <f t="shared" si="216"/>
        <v>172556.2</v>
      </c>
      <c r="X168" s="23"/>
      <c r="Y168" s="23">
        <f t="shared" si="217"/>
        <v>275439</v>
      </c>
      <c r="Z168" s="22">
        <v>-172556.2</v>
      </c>
      <c r="AA168" s="48">
        <f t="shared" si="218"/>
        <v>0</v>
      </c>
      <c r="AB168" s="22">
        <v>-200439</v>
      </c>
      <c r="AC168" s="48">
        <f t="shared" si="219"/>
        <v>75000</v>
      </c>
      <c r="AD168" s="10" t="s">
        <v>145</v>
      </c>
    </row>
    <row r="169" spans="1:31" ht="54" x14ac:dyDescent="0.35">
      <c r="A169" s="46" t="s">
        <v>141</v>
      </c>
      <c r="B169" s="49" t="s">
        <v>160</v>
      </c>
      <c r="C169" s="49" t="s">
        <v>5</v>
      </c>
      <c r="D169" s="21">
        <f>D171+D172</f>
        <v>46879.5</v>
      </c>
      <c r="E169" s="21">
        <f>E171+E172</f>
        <v>0</v>
      </c>
      <c r="F169" s="23">
        <f>F171+F172</f>
        <v>0</v>
      </c>
      <c r="G169" s="23">
        <f t="shared" si="115"/>
        <v>46879.5</v>
      </c>
      <c r="H169" s="23">
        <f>H171+H172</f>
        <v>0</v>
      </c>
      <c r="I169" s="23">
        <f t="shared" si="116"/>
        <v>0</v>
      </c>
      <c r="J169" s="23">
        <f>J171+J172</f>
        <v>0</v>
      </c>
      <c r="K169" s="23">
        <f t="shared" si="105"/>
        <v>46879.5</v>
      </c>
      <c r="L169" s="23">
        <f>L171+L172</f>
        <v>0</v>
      </c>
      <c r="M169" s="23">
        <f t="shared" si="211"/>
        <v>0</v>
      </c>
      <c r="N169" s="23">
        <f>N171+N172</f>
        <v>0</v>
      </c>
      <c r="O169" s="23">
        <f t="shared" si="212"/>
        <v>46879.5</v>
      </c>
      <c r="P169" s="23">
        <f>P171+P172</f>
        <v>0</v>
      </c>
      <c r="Q169" s="23">
        <f t="shared" si="213"/>
        <v>0</v>
      </c>
      <c r="R169" s="23">
        <f>R171+R172</f>
        <v>0</v>
      </c>
      <c r="S169" s="23">
        <f t="shared" si="214"/>
        <v>46879.5</v>
      </c>
      <c r="T169" s="23">
        <f>T171+T172</f>
        <v>0</v>
      </c>
      <c r="U169" s="23">
        <f t="shared" si="215"/>
        <v>0</v>
      </c>
      <c r="V169" s="23">
        <f>V171+V172</f>
        <v>0</v>
      </c>
      <c r="W169" s="23">
        <f t="shared" si="216"/>
        <v>46879.5</v>
      </c>
      <c r="X169" s="23">
        <f>X171+X172</f>
        <v>0</v>
      </c>
      <c r="Y169" s="23">
        <f t="shared" si="217"/>
        <v>0</v>
      </c>
      <c r="Z169" s="22">
        <f>Z171+Z172</f>
        <v>0</v>
      </c>
      <c r="AA169" s="48">
        <f t="shared" si="218"/>
        <v>46879.5</v>
      </c>
      <c r="AB169" s="22">
        <f>AB171+AB172</f>
        <v>0</v>
      </c>
      <c r="AC169" s="48">
        <f t="shared" si="219"/>
        <v>0</v>
      </c>
    </row>
    <row r="170" spans="1:31" x14ac:dyDescent="0.35">
      <c r="A170" s="46"/>
      <c r="B170" s="49" t="s">
        <v>7</v>
      </c>
      <c r="C170" s="49"/>
      <c r="D170" s="21"/>
      <c r="E170" s="21"/>
      <c r="F170" s="23"/>
      <c r="G170" s="23"/>
      <c r="H170" s="23"/>
      <c r="I170" s="23"/>
      <c r="J170" s="23"/>
      <c r="K170" s="23"/>
      <c r="L170" s="23"/>
      <c r="M170" s="23"/>
      <c r="N170" s="23"/>
      <c r="O170" s="23"/>
      <c r="P170" s="23"/>
      <c r="Q170" s="23"/>
      <c r="R170" s="23"/>
      <c r="S170" s="23"/>
      <c r="T170" s="23"/>
      <c r="U170" s="23"/>
      <c r="V170" s="23"/>
      <c r="W170" s="23"/>
      <c r="X170" s="23"/>
      <c r="Y170" s="23"/>
      <c r="Z170" s="22"/>
      <c r="AA170" s="48"/>
      <c r="AB170" s="22"/>
      <c r="AC170" s="48"/>
    </row>
    <row r="171" spans="1:31" s="3" customFormat="1" hidden="1" x14ac:dyDescent="0.35">
      <c r="A171" s="1"/>
      <c r="B171" s="12" t="s">
        <v>8</v>
      </c>
      <c r="C171" s="12"/>
      <c r="D171" s="21">
        <v>11720</v>
      </c>
      <c r="E171" s="21">
        <v>0</v>
      </c>
      <c r="F171" s="23"/>
      <c r="G171" s="23">
        <f t="shared" si="115"/>
        <v>11720</v>
      </c>
      <c r="H171" s="23">
        <v>0</v>
      </c>
      <c r="I171" s="23">
        <f t="shared" si="116"/>
        <v>0</v>
      </c>
      <c r="J171" s="23"/>
      <c r="K171" s="23">
        <f t="shared" si="105"/>
        <v>11720</v>
      </c>
      <c r="L171" s="23">
        <v>0</v>
      </c>
      <c r="M171" s="23">
        <f t="shared" ref="M171:M205" si="220">I171+L171</f>
        <v>0</v>
      </c>
      <c r="N171" s="23"/>
      <c r="O171" s="23">
        <f t="shared" ref="O171:O205" si="221">K171+N171</f>
        <v>11720</v>
      </c>
      <c r="P171" s="23">
        <v>0</v>
      </c>
      <c r="Q171" s="23">
        <f t="shared" ref="Q171:Q205" si="222">M171+P171</f>
        <v>0</v>
      </c>
      <c r="R171" s="23"/>
      <c r="S171" s="23">
        <f t="shared" ref="S171:S205" si="223">O171+R171</f>
        <v>11720</v>
      </c>
      <c r="T171" s="23">
        <v>0</v>
      </c>
      <c r="U171" s="23">
        <f t="shared" ref="U171:U205" si="224">Q171+T171</f>
        <v>0</v>
      </c>
      <c r="V171" s="23"/>
      <c r="W171" s="23">
        <f t="shared" ref="W171:W173" si="225">S171+V171</f>
        <v>11720</v>
      </c>
      <c r="X171" s="23">
        <v>0</v>
      </c>
      <c r="Y171" s="23">
        <f t="shared" ref="Y171:Y173" si="226">U171+X171</f>
        <v>0</v>
      </c>
      <c r="Z171" s="22"/>
      <c r="AA171" s="23">
        <f t="shared" ref="AA171:AA173" si="227">W171+Z171</f>
        <v>11720</v>
      </c>
      <c r="AB171" s="22">
        <v>0</v>
      </c>
      <c r="AC171" s="23">
        <f t="shared" ref="AC171:AC173" si="228">Y171+AB171</f>
        <v>0</v>
      </c>
      <c r="AD171" s="10" t="s">
        <v>43</v>
      </c>
      <c r="AE171" s="3">
        <v>0</v>
      </c>
    </row>
    <row r="172" spans="1:31" x14ac:dyDescent="0.35">
      <c r="A172" s="46"/>
      <c r="B172" s="49" t="s">
        <v>23</v>
      </c>
      <c r="C172" s="49"/>
      <c r="D172" s="21">
        <v>35159.5</v>
      </c>
      <c r="E172" s="21">
        <v>0</v>
      </c>
      <c r="F172" s="23"/>
      <c r="G172" s="23">
        <f t="shared" si="115"/>
        <v>35159.5</v>
      </c>
      <c r="H172" s="23">
        <v>0</v>
      </c>
      <c r="I172" s="23">
        <f t="shared" si="116"/>
        <v>0</v>
      </c>
      <c r="J172" s="23"/>
      <c r="K172" s="23">
        <f t="shared" si="105"/>
        <v>35159.5</v>
      </c>
      <c r="L172" s="23">
        <v>0</v>
      </c>
      <c r="M172" s="23">
        <f t="shared" si="220"/>
        <v>0</v>
      </c>
      <c r="N172" s="23"/>
      <c r="O172" s="23">
        <f t="shared" si="221"/>
        <v>35159.5</v>
      </c>
      <c r="P172" s="23">
        <v>0</v>
      </c>
      <c r="Q172" s="23">
        <f t="shared" si="222"/>
        <v>0</v>
      </c>
      <c r="R172" s="23"/>
      <c r="S172" s="23">
        <f t="shared" si="223"/>
        <v>35159.5</v>
      </c>
      <c r="T172" s="23">
        <v>0</v>
      </c>
      <c r="U172" s="23">
        <f t="shared" si="224"/>
        <v>0</v>
      </c>
      <c r="V172" s="23"/>
      <c r="W172" s="23">
        <f t="shared" si="225"/>
        <v>35159.5</v>
      </c>
      <c r="X172" s="23">
        <v>0</v>
      </c>
      <c r="Y172" s="23">
        <f t="shared" si="226"/>
        <v>0</v>
      </c>
      <c r="Z172" s="22"/>
      <c r="AA172" s="48">
        <f t="shared" si="227"/>
        <v>35159.5</v>
      </c>
      <c r="AB172" s="22">
        <v>0</v>
      </c>
      <c r="AC172" s="48">
        <f t="shared" si="228"/>
        <v>0</v>
      </c>
      <c r="AD172" s="10" t="s">
        <v>145</v>
      </c>
    </row>
    <row r="173" spans="1:31" ht="54" x14ac:dyDescent="0.35">
      <c r="A173" s="46" t="s">
        <v>142</v>
      </c>
      <c r="B173" s="49" t="s">
        <v>204</v>
      </c>
      <c r="C173" s="49" t="s">
        <v>5</v>
      </c>
      <c r="D173" s="21"/>
      <c r="E173" s="21"/>
      <c r="F173" s="23"/>
      <c r="G173" s="23"/>
      <c r="H173" s="23"/>
      <c r="I173" s="23"/>
      <c r="J173" s="23"/>
      <c r="K173" s="23"/>
      <c r="L173" s="23"/>
      <c r="M173" s="23"/>
      <c r="N173" s="23"/>
      <c r="O173" s="23"/>
      <c r="P173" s="23"/>
      <c r="Q173" s="23"/>
      <c r="R173" s="23">
        <f>R175+R176</f>
        <v>283733.40000000002</v>
      </c>
      <c r="S173" s="23">
        <f t="shared" si="223"/>
        <v>283733.40000000002</v>
      </c>
      <c r="T173" s="23"/>
      <c r="U173" s="23">
        <f t="shared" si="224"/>
        <v>0</v>
      </c>
      <c r="V173" s="23">
        <f>V175+V176</f>
        <v>0</v>
      </c>
      <c r="W173" s="23">
        <f t="shared" si="225"/>
        <v>283733.40000000002</v>
      </c>
      <c r="X173" s="23"/>
      <c r="Y173" s="23">
        <f t="shared" si="226"/>
        <v>0</v>
      </c>
      <c r="Z173" s="22">
        <f>Z175+Z176</f>
        <v>0</v>
      </c>
      <c r="AA173" s="48">
        <f t="shared" si="227"/>
        <v>283733.40000000002</v>
      </c>
      <c r="AB173" s="22"/>
      <c r="AC173" s="48">
        <f t="shared" si="228"/>
        <v>0</v>
      </c>
    </row>
    <row r="174" spans="1:31" x14ac:dyDescent="0.35">
      <c r="A174" s="46"/>
      <c r="B174" s="49" t="s">
        <v>7</v>
      </c>
      <c r="C174" s="49"/>
      <c r="D174" s="21"/>
      <c r="E174" s="21"/>
      <c r="F174" s="23"/>
      <c r="G174" s="23"/>
      <c r="H174" s="23"/>
      <c r="I174" s="23"/>
      <c r="J174" s="23"/>
      <c r="K174" s="23"/>
      <c r="L174" s="23"/>
      <c r="M174" s="23"/>
      <c r="N174" s="23"/>
      <c r="O174" s="23"/>
      <c r="P174" s="23"/>
      <c r="Q174" s="23"/>
      <c r="R174" s="23"/>
      <c r="S174" s="23"/>
      <c r="T174" s="23"/>
      <c r="U174" s="23"/>
      <c r="V174" s="23"/>
      <c r="W174" s="23"/>
      <c r="X174" s="23"/>
      <c r="Y174" s="23"/>
      <c r="Z174" s="22"/>
      <c r="AA174" s="48"/>
      <c r="AB174" s="22"/>
      <c r="AC174" s="48"/>
    </row>
    <row r="175" spans="1:31" s="3" customFormat="1" hidden="1" x14ac:dyDescent="0.35">
      <c r="A175" s="1"/>
      <c r="B175" s="29" t="s">
        <v>8</v>
      </c>
      <c r="C175" s="29"/>
      <c r="D175" s="21"/>
      <c r="E175" s="21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23"/>
      <c r="Q175" s="23"/>
      <c r="R175" s="23">
        <v>70933.399999999994</v>
      </c>
      <c r="S175" s="23">
        <f t="shared" si="223"/>
        <v>70933.399999999994</v>
      </c>
      <c r="T175" s="23"/>
      <c r="U175" s="23">
        <f t="shared" si="224"/>
        <v>0</v>
      </c>
      <c r="V175" s="23"/>
      <c r="W175" s="23">
        <f t="shared" ref="W175:W177" si="229">S175+V175</f>
        <v>70933.399999999994</v>
      </c>
      <c r="X175" s="23"/>
      <c r="Y175" s="23">
        <f t="shared" ref="Y175:Y177" si="230">U175+X175</f>
        <v>0</v>
      </c>
      <c r="Z175" s="22"/>
      <c r="AA175" s="23">
        <f t="shared" ref="AA175:AA177" si="231">W175+Z175</f>
        <v>70933.399999999994</v>
      </c>
      <c r="AB175" s="22"/>
      <c r="AC175" s="23">
        <f t="shared" ref="AC175:AC177" si="232">Y175+AB175</f>
        <v>0</v>
      </c>
      <c r="AD175" s="9" t="s">
        <v>205</v>
      </c>
      <c r="AE175" s="3">
        <v>0</v>
      </c>
    </row>
    <row r="176" spans="1:31" x14ac:dyDescent="0.35">
      <c r="A176" s="46"/>
      <c r="B176" s="49" t="s">
        <v>23</v>
      </c>
      <c r="C176" s="49"/>
      <c r="D176" s="21"/>
      <c r="E176" s="21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23"/>
      <c r="Q176" s="23"/>
      <c r="R176" s="23">
        <v>212800</v>
      </c>
      <c r="S176" s="23">
        <f t="shared" si="223"/>
        <v>212800</v>
      </c>
      <c r="T176" s="23"/>
      <c r="U176" s="23">
        <f t="shared" si="224"/>
        <v>0</v>
      </c>
      <c r="V176" s="23"/>
      <c r="W176" s="23">
        <f t="shared" si="229"/>
        <v>212800</v>
      </c>
      <c r="X176" s="23"/>
      <c r="Y176" s="23">
        <f t="shared" si="230"/>
        <v>0</v>
      </c>
      <c r="Z176" s="22"/>
      <c r="AA176" s="48">
        <f t="shared" si="231"/>
        <v>212800</v>
      </c>
      <c r="AB176" s="22"/>
      <c r="AC176" s="48">
        <f t="shared" si="232"/>
        <v>0</v>
      </c>
      <c r="AD176" s="9" t="s">
        <v>205</v>
      </c>
    </row>
    <row r="177" spans="1:31" ht="54" x14ac:dyDescent="0.35">
      <c r="A177" s="46" t="s">
        <v>143</v>
      </c>
      <c r="B177" s="49" t="s">
        <v>206</v>
      </c>
      <c r="C177" s="49" t="s">
        <v>5</v>
      </c>
      <c r="D177" s="21"/>
      <c r="E177" s="21"/>
      <c r="F177" s="23"/>
      <c r="G177" s="23"/>
      <c r="H177" s="23"/>
      <c r="I177" s="23"/>
      <c r="J177" s="23"/>
      <c r="K177" s="23"/>
      <c r="L177" s="23"/>
      <c r="M177" s="23"/>
      <c r="N177" s="23"/>
      <c r="O177" s="23"/>
      <c r="P177" s="23"/>
      <c r="Q177" s="23"/>
      <c r="R177" s="23">
        <f>R179+R180</f>
        <v>85032.299999999988</v>
      </c>
      <c r="S177" s="23">
        <f t="shared" si="223"/>
        <v>85032.299999999988</v>
      </c>
      <c r="T177" s="23">
        <f>T179+T180</f>
        <v>0</v>
      </c>
      <c r="U177" s="23">
        <f t="shared" si="224"/>
        <v>0</v>
      </c>
      <c r="V177" s="23">
        <f>V179+V180</f>
        <v>0</v>
      </c>
      <c r="W177" s="23">
        <f t="shared" si="229"/>
        <v>85032.299999999988</v>
      </c>
      <c r="X177" s="23">
        <f>X179+X180</f>
        <v>0</v>
      </c>
      <c r="Y177" s="23">
        <f t="shared" si="230"/>
        <v>0</v>
      </c>
      <c r="Z177" s="22">
        <f>Z179+Z180</f>
        <v>0</v>
      </c>
      <c r="AA177" s="48">
        <f t="shared" si="231"/>
        <v>85032.299999999988</v>
      </c>
      <c r="AB177" s="22">
        <f>AB179+AB180</f>
        <v>0</v>
      </c>
      <c r="AC177" s="48">
        <f t="shared" si="232"/>
        <v>0</v>
      </c>
      <c r="AD177" s="9"/>
    </row>
    <row r="178" spans="1:31" x14ac:dyDescent="0.35">
      <c r="A178" s="46"/>
      <c r="B178" s="49" t="s">
        <v>7</v>
      </c>
      <c r="C178" s="49"/>
      <c r="D178" s="21"/>
      <c r="E178" s="21"/>
      <c r="F178" s="23"/>
      <c r="G178" s="23"/>
      <c r="H178" s="23"/>
      <c r="I178" s="23"/>
      <c r="J178" s="23"/>
      <c r="K178" s="23"/>
      <c r="L178" s="23"/>
      <c r="M178" s="23"/>
      <c r="N178" s="23"/>
      <c r="O178" s="23"/>
      <c r="P178" s="23"/>
      <c r="Q178" s="23"/>
      <c r="R178" s="23"/>
      <c r="S178" s="23"/>
      <c r="T178" s="23"/>
      <c r="U178" s="23"/>
      <c r="V178" s="23"/>
      <c r="W178" s="23"/>
      <c r="X178" s="23"/>
      <c r="Y178" s="23"/>
      <c r="Z178" s="22"/>
      <c r="AA178" s="48"/>
      <c r="AB178" s="22"/>
      <c r="AC178" s="48"/>
      <c r="AD178" s="9"/>
    </row>
    <row r="179" spans="1:31" s="3" customFormat="1" hidden="1" x14ac:dyDescent="0.35">
      <c r="A179" s="1"/>
      <c r="B179" s="30" t="s">
        <v>8</v>
      </c>
      <c r="C179" s="30"/>
      <c r="D179" s="21"/>
      <c r="E179" s="21"/>
      <c r="F179" s="23"/>
      <c r="G179" s="23"/>
      <c r="H179" s="23"/>
      <c r="I179" s="23"/>
      <c r="J179" s="23"/>
      <c r="K179" s="23"/>
      <c r="L179" s="23"/>
      <c r="M179" s="23"/>
      <c r="N179" s="23"/>
      <c r="O179" s="23"/>
      <c r="P179" s="23"/>
      <c r="Q179" s="23"/>
      <c r="R179" s="23">
        <v>21258.1</v>
      </c>
      <c r="S179" s="23">
        <f t="shared" si="223"/>
        <v>21258.1</v>
      </c>
      <c r="T179" s="23"/>
      <c r="U179" s="23">
        <f t="shared" si="224"/>
        <v>0</v>
      </c>
      <c r="V179" s="23"/>
      <c r="W179" s="23">
        <f t="shared" ref="W179:W205" si="233">S179+V179</f>
        <v>21258.1</v>
      </c>
      <c r="X179" s="23"/>
      <c r="Y179" s="23">
        <f t="shared" ref="Y179:Y205" si="234">U179+X179</f>
        <v>0</v>
      </c>
      <c r="Z179" s="22"/>
      <c r="AA179" s="23">
        <f t="shared" ref="AA179:AA205" si="235">W179+Z179</f>
        <v>21258.1</v>
      </c>
      <c r="AB179" s="22"/>
      <c r="AC179" s="23">
        <f t="shared" ref="AC179:AC205" si="236">Y179+AB179</f>
        <v>0</v>
      </c>
      <c r="AD179" s="9" t="s">
        <v>207</v>
      </c>
      <c r="AE179" s="3">
        <v>0</v>
      </c>
    </row>
    <row r="180" spans="1:31" x14ac:dyDescent="0.35">
      <c r="A180" s="46"/>
      <c r="B180" s="49" t="s">
        <v>23</v>
      </c>
      <c r="C180" s="49"/>
      <c r="D180" s="21"/>
      <c r="E180" s="21"/>
      <c r="F180" s="23"/>
      <c r="G180" s="23"/>
      <c r="H180" s="23"/>
      <c r="I180" s="23"/>
      <c r="J180" s="23"/>
      <c r="K180" s="23"/>
      <c r="L180" s="23"/>
      <c r="M180" s="23"/>
      <c r="N180" s="23"/>
      <c r="O180" s="23"/>
      <c r="P180" s="23"/>
      <c r="Q180" s="23"/>
      <c r="R180" s="23">
        <v>63774.2</v>
      </c>
      <c r="S180" s="23">
        <f t="shared" si="223"/>
        <v>63774.2</v>
      </c>
      <c r="T180" s="23"/>
      <c r="U180" s="23">
        <f t="shared" si="224"/>
        <v>0</v>
      </c>
      <c r="V180" s="23"/>
      <c r="W180" s="23">
        <f t="shared" si="233"/>
        <v>63774.2</v>
      </c>
      <c r="X180" s="23"/>
      <c r="Y180" s="23">
        <f t="shared" si="234"/>
        <v>0</v>
      </c>
      <c r="Z180" s="22"/>
      <c r="AA180" s="48">
        <f t="shared" si="235"/>
        <v>63774.2</v>
      </c>
      <c r="AB180" s="22"/>
      <c r="AC180" s="48">
        <f t="shared" si="236"/>
        <v>0</v>
      </c>
      <c r="AD180" s="10" t="s">
        <v>145</v>
      </c>
    </row>
    <row r="181" spans="1:31" ht="54" x14ac:dyDescent="0.35">
      <c r="A181" s="46" t="s">
        <v>184</v>
      </c>
      <c r="B181" s="49" t="s">
        <v>231</v>
      </c>
      <c r="C181" s="49" t="s">
        <v>5</v>
      </c>
      <c r="D181" s="21"/>
      <c r="E181" s="21"/>
      <c r="F181" s="23"/>
      <c r="G181" s="23"/>
      <c r="H181" s="23"/>
      <c r="I181" s="23"/>
      <c r="J181" s="23"/>
      <c r="K181" s="23"/>
      <c r="L181" s="23"/>
      <c r="M181" s="23"/>
      <c r="N181" s="23"/>
      <c r="O181" s="23"/>
      <c r="P181" s="23"/>
      <c r="Q181" s="23"/>
      <c r="R181" s="23"/>
      <c r="S181" s="23"/>
      <c r="T181" s="23"/>
      <c r="U181" s="23"/>
      <c r="V181" s="23"/>
      <c r="W181" s="23"/>
      <c r="X181" s="23"/>
      <c r="Y181" s="23"/>
      <c r="Z181" s="22">
        <v>8000</v>
      </c>
      <c r="AA181" s="48">
        <f t="shared" si="235"/>
        <v>8000</v>
      </c>
      <c r="AB181" s="22">
        <v>39873.745000000003</v>
      </c>
      <c r="AC181" s="48">
        <f t="shared" si="236"/>
        <v>39873.745000000003</v>
      </c>
      <c r="AD181" s="10" t="s">
        <v>232</v>
      </c>
    </row>
    <row r="182" spans="1:31" ht="54" x14ac:dyDescent="0.35">
      <c r="A182" s="46" t="s">
        <v>185</v>
      </c>
      <c r="B182" s="49" t="s">
        <v>238</v>
      </c>
      <c r="C182" s="49" t="s">
        <v>5</v>
      </c>
      <c r="D182" s="21"/>
      <c r="E182" s="21"/>
      <c r="F182" s="23"/>
      <c r="G182" s="23"/>
      <c r="H182" s="23"/>
      <c r="I182" s="23"/>
      <c r="J182" s="23"/>
      <c r="K182" s="23"/>
      <c r="L182" s="23"/>
      <c r="M182" s="23"/>
      <c r="N182" s="23"/>
      <c r="O182" s="23"/>
      <c r="P182" s="23"/>
      <c r="Q182" s="23"/>
      <c r="R182" s="23"/>
      <c r="S182" s="23"/>
      <c r="T182" s="23"/>
      <c r="U182" s="23"/>
      <c r="V182" s="23"/>
      <c r="W182" s="23"/>
      <c r="X182" s="23"/>
      <c r="Y182" s="23"/>
      <c r="Z182" s="22">
        <f>Z184+Z185</f>
        <v>55250.1</v>
      </c>
      <c r="AA182" s="48">
        <f t="shared" si="235"/>
        <v>55250.1</v>
      </c>
      <c r="AB182" s="22">
        <f>AB184+AB185</f>
        <v>0</v>
      </c>
      <c r="AC182" s="48">
        <f t="shared" si="236"/>
        <v>0</v>
      </c>
    </row>
    <row r="183" spans="1:31" x14ac:dyDescent="0.35">
      <c r="A183" s="46"/>
      <c r="B183" s="49" t="s">
        <v>7</v>
      </c>
      <c r="C183" s="49"/>
      <c r="D183" s="21"/>
      <c r="E183" s="21"/>
      <c r="F183" s="23"/>
      <c r="G183" s="23"/>
      <c r="H183" s="23"/>
      <c r="I183" s="23"/>
      <c r="J183" s="23"/>
      <c r="K183" s="23"/>
      <c r="L183" s="23"/>
      <c r="M183" s="23"/>
      <c r="N183" s="23"/>
      <c r="O183" s="23"/>
      <c r="P183" s="23"/>
      <c r="Q183" s="23"/>
      <c r="R183" s="23"/>
      <c r="S183" s="23"/>
      <c r="T183" s="23"/>
      <c r="U183" s="23"/>
      <c r="V183" s="23"/>
      <c r="W183" s="23"/>
      <c r="X183" s="23"/>
      <c r="Y183" s="23"/>
      <c r="Z183" s="22"/>
      <c r="AA183" s="48"/>
      <c r="AB183" s="22"/>
      <c r="AC183" s="48"/>
    </row>
    <row r="184" spans="1:31" s="3" customFormat="1" hidden="1" x14ac:dyDescent="0.35">
      <c r="A184" s="1"/>
      <c r="B184" s="34" t="s">
        <v>8</v>
      </c>
      <c r="C184" s="34"/>
      <c r="D184" s="21"/>
      <c r="E184" s="21"/>
      <c r="F184" s="23"/>
      <c r="G184" s="23"/>
      <c r="H184" s="23"/>
      <c r="I184" s="23"/>
      <c r="J184" s="23"/>
      <c r="K184" s="23"/>
      <c r="L184" s="23"/>
      <c r="M184" s="23"/>
      <c r="N184" s="23"/>
      <c r="O184" s="23"/>
      <c r="P184" s="23"/>
      <c r="Q184" s="23"/>
      <c r="R184" s="23"/>
      <c r="S184" s="23"/>
      <c r="T184" s="23"/>
      <c r="U184" s="23"/>
      <c r="V184" s="23"/>
      <c r="W184" s="23"/>
      <c r="X184" s="23"/>
      <c r="Y184" s="23"/>
      <c r="Z184" s="22">
        <v>13812.6</v>
      </c>
      <c r="AA184" s="23">
        <f t="shared" si="235"/>
        <v>13812.6</v>
      </c>
      <c r="AB184" s="22"/>
      <c r="AC184" s="23">
        <f t="shared" si="236"/>
        <v>0</v>
      </c>
      <c r="AD184" s="10" t="s">
        <v>239</v>
      </c>
      <c r="AE184" s="3">
        <v>0</v>
      </c>
    </row>
    <row r="185" spans="1:31" x14ac:dyDescent="0.35">
      <c r="A185" s="46"/>
      <c r="B185" s="49" t="s">
        <v>23</v>
      </c>
      <c r="C185" s="49"/>
      <c r="D185" s="21"/>
      <c r="E185" s="21"/>
      <c r="F185" s="23"/>
      <c r="G185" s="23"/>
      <c r="H185" s="23"/>
      <c r="I185" s="23"/>
      <c r="J185" s="23"/>
      <c r="K185" s="23"/>
      <c r="L185" s="23"/>
      <c r="M185" s="23"/>
      <c r="N185" s="23"/>
      <c r="O185" s="23"/>
      <c r="P185" s="23"/>
      <c r="Q185" s="23"/>
      <c r="R185" s="23"/>
      <c r="S185" s="23"/>
      <c r="T185" s="23"/>
      <c r="U185" s="23"/>
      <c r="V185" s="23"/>
      <c r="W185" s="23"/>
      <c r="X185" s="23"/>
      <c r="Y185" s="23"/>
      <c r="Z185" s="22">
        <v>41437.5</v>
      </c>
      <c r="AA185" s="48">
        <f t="shared" si="235"/>
        <v>41437.5</v>
      </c>
      <c r="AB185" s="22"/>
      <c r="AC185" s="48">
        <f t="shared" si="236"/>
        <v>0</v>
      </c>
      <c r="AD185" s="10" t="s">
        <v>145</v>
      </c>
    </row>
    <row r="186" spans="1:31" ht="54" x14ac:dyDescent="0.35">
      <c r="A186" s="46" t="s">
        <v>186</v>
      </c>
      <c r="B186" s="49" t="s">
        <v>240</v>
      </c>
      <c r="C186" s="49" t="s">
        <v>5</v>
      </c>
      <c r="D186" s="21"/>
      <c r="E186" s="21"/>
      <c r="F186" s="23"/>
      <c r="G186" s="23"/>
      <c r="H186" s="23"/>
      <c r="I186" s="23"/>
      <c r="J186" s="23"/>
      <c r="K186" s="23"/>
      <c r="L186" s="23"/>
      <c r="M186" s="23"/>
      <c r="N186" s="23"/>
      <c r="O186" s="23"/>
      <c r="P186" s="23"/>
      <c r="Q186" s="23"/>
      <c r="R186" s="23"/>
      <c r="S186" s="23"/>
      <c r="T186" s="23"/>
      <c r="U186" s="23"/>
      <c r="V186" s="23"/>
      <c r="W186" s="23"/>
      <c r="X186" s="23"/>
      <c r="Y186" s="23"/>
      <c r="Z186" s="22">
        <f>Z188+Z189</f>
        <v>18636</v>
      </c>
      <c r="AA186" s="48">
        <f t="shared" si="235"/>
        <v>18636</v>
      </c>
      <c r="AB186" s="22">
        <f>AB188+AB189</f>
        <v>0</v>
      </c>
      <c r="AC186" s="48">
        <f t="shared" si="236"/>
        <v>0</v>
      </c>
    </row>
    <row r="187" spans="1:31" x14ac:dyDescent="0.35">
      <c r="A187" s="46"/>
      <c r="B187" s="49" t="s">
        <v>7</v>
      </c>
      <c r="C187" s="49"/>
      <c r="D187" s="21"/>
      <c r="E187" s="21"/>
      <c r="F187" s="23"/>
      <c r="G187" s="23"/>
      <c r="H187" s="23"/>
      <c r="I187" s="23"/>
      <c r="J187" s="23"/>
      <c r="K187" s="23"/>
      <c r="L187" s="23"/>
      <c r="M187" s="23"/>
      <c r="N187" s="23"/>
      <c r="O187" s="23"/>
      <c r="P187" s="23"/>
      <c r="Q187" s="23"/>
      <c r="R187" s="23"/>
      <c r="S187" s="23"/>
      <c r="T187" s="23"/>
      <c r="U187" s="23"/>
      <c r="V187" s="23"/>
      <c r="W187" s="23"/>
      <c r="X187" s="23"/>
      <c r="Y187" s="23"/>
      <c r="Z187" s="22"/>
      <c r="AA187" s="48"/>
      <c r="AB187" s="22"/>
      <c r="AC187" s="48"/>
    </row>
    <row r="188" spans="1:31" s="3" customFormat="1" hidden="1" x14ac:dyDescent="0.35">
      <c r="A188" s="1"/>
      <c r="B188" s="34" t="s">
        <v>8</v>
      </c>
      <c r="C188" s="34"/>
      <c r="D188" s="21"/>
      <c r="E188" s="21"/>
      <c r="F188" s="23"/>
      <c r="G188" s="23"/>
      <c r="H188" s="23"/>
      <c r="I188" s="23"/>
      <c r="J188" s="23"/>
      <c r="K188" s="23"/>
      <c r="L188" s="23"/>
      <c r="M188" s="23"/>
      <c r="N188" s="23"/>
      <c r="O188" s="23"/>
      <c r="P188" s="23"/>
      <c r="Q188" s="23"/>
      <c r="R188" s="23"/>
      <c r="S188" s="23"/>
      <c r="T188" s="23"/>
      <c r="U188" s="23"/>
      <c r="V188" s="23"/>
      <c r="W188" s="23"/>
      <c r="X188" s="23"/>
      <c r="Y188" s="23"/>
      <c r="Z188" s="22">
        <v>4659</v>
      </c>
      <c r="AA188" s="23">
        <f t="shared" si="235"/>
        <v>4659</v>
      </c>
      <c r="AB188" s="22"/>
      <c r="AC188" s="23">
        <f t="shared" si="236"/>
        <v>0</v>
      </c>
      <c r="AD188" s="10" t="s">
        <v>241</v>
      </c>
      <c r="AE188" s="3">
        <v>0</v>
      </c>
    </row>
    <row r="189" spans="1:31" x14ac:dyDescent="0.35">
      <c r="A189" s="46"/>
      <c r="B189" s="49" t="s">
        <v>23</v>
      </c>
      <c r="C189" s="49"/>
      <c r="D189" s="21"/>
      <c r="E189" s="21"/>
      <c r="F189" s="23"/>
      <c r="G189" s="23"/>
      <c r="H189" s="23"/>
      <c r="I189" s="23"/>
      <c r="J189" s="23"/>
      <c r="K189" s="23"/>
      <c r="L189" s="23"/>
      <c r="M189" s="23"/>
      <c r="N189" s="23"/>
      <c r="O189" s="23"/>
      <c r="P189" s="23"/>
      <c r="Q189" s="23"/>
      <c r="R189" s="23"/>
      <c r="S189" s="23"/>
      <c r="T189" s="23"/>
      <c r="U189" s="23"/>
      <c r="V189" s="23"/>
      <c r="W189" s="23"/>
      <c r="X189" s="23"/>
      <c r="Y189" s="23"/>
      <c r="Z189" s="22">
        <v>13977</v>
      </c>
      <c r="AA189" s="48">
        <f t="shared" si="235"/>
        <v>13977</v>
      </c>
      <c r="AB189" s="22"/>
      <c r="AC189" s="48">
        <f t="shared" si="236"/>
        <v>0</v>
      </c>
      <c r="AD189" s="10" t="s">
        <v>145</v>
      </c>
    </row>
    <row r="190" spans="1:31" x14ac:dyDescent="0.35">
      <c r="A190" s="46"/>
      <c r="B190" s="49" t="s">
        <v>25</v>
      </c>
      <c r="C190" s="59"/>
      <c r="D190" s="20">
        <f>D191+D192</f>
        <v>200000</v>
      </c>
      <c r="E190" s="20">
        <f>E191+E192</f>
        <v>321000</v>
      </c>
      <c r="F190" s="20">
        <f>F191+F192</f>
        <v>0</v>
      </c>
      <c r="G190" s="20">
        <f t="shared" si="115"/>
        <v>200000</v>
      </c>
      <c r="H190" s="20">
        <f>H191+H192</f>
        <v>0</v>
      </c>
      <c r="I190" s="20">
        <f t="shared" si="116"/>
        <v>321000</v>
      </c>
      <c r="J190" s="20">
        <f>J191+J192</f>
        <v>0</v>
      </c>
      <c r="K190" s="20">
        <f t="shared" si="105"/>
        <v>200000</v>
      </c>
      <c r="L190" s="20">
        <f>L191+L192</f>
        <v>-11499.041999999999</v>
      </c>
      <c r="M190" s="20">
        <f t="shared" si="220"/>
        <v>309500.95799999998</v>
      </c>
      <c r="N190" s="20">
        <f>N191+N192</f>
        <v>0</v>
      </c>
      <c r="O190" s="20">
        <f t="shared" si="221"/>
        <v>200000</v>
      </c>
      <c r="P190" s="20">
        <f>P191+P192</f>
        <v>0</v>
      </c>
      <c r="Q190" s="20">
        <f t="shared" si="222"/>
        <v>309500.95799999998</v>
      </c>
      <c r="R190" s="20">
        <f>R191+R192</f>
        <v>-100000</v>
      </c>
      <c r="S190" s="20">
        <f t="shared" si="223"/>
        <v>100000</v>
      </c>
      <c r="T190" s="20">
        <f>T191+T192</f>
        <v>-100000</v>
      </c>
      <c r="U190" s="20">
        <f t="shared" si="224"/>
        <v>209500.95799999998</v>
      </c>
      <c r="V190" s="20">
        <f>V191+V192</f>
        <v>0</v>
      </c>
      <c r="W190" s="20">
        <f t="shared" si="233"/>
        <v>100000</v>
      </c>
      <c r="X190" s="20">
        <f>X191+X192</f>
        <v>0</v>
      </c>
      <c r="Y190" s="20">
        <f t="shared" si="234"/>
        <v>209500.95799999998</v>
      </c>
      <c r="Z190" s="20">
        <f>Z191+Z192</f>
        <v>0</v>
      </c>
      <c r="AA190" s="48">
        <f t="shared" si="235"/>
        <v>100000</v>
      </c>
      <c r="AB190" s="20">
        <f>AB191+AB192</f>
        <v>0</v>
      </c>
      <c r="AC190" s="48">
        <f t="shared" si="236"/>
        <v>209500.95799999998</v>
      </c>
    </row>
    <row r="191" spans="1:31" ht="54" x14ac:dyDescent="0.35">
      <c r="A191" s="46" t="s">
        <v>198</v>
      </c>
      <c r="B191" s="49" t="s">
        <v>57</v>
      </c>
      <c r="C191" s="52" t="s">
        <v>45</v>
      </c>
      <c r="D191" s="23">
        <v>100000</v>
      </c>
      <c r="E191" s="23">
        <v>221000</v>
      </c>
      <c r="F191" s="23"/>
      <c r="G191" s="23">
        <f t="shared" si="115"/>
        <v>100000</v>
      </c>
      <c r="H191" s="23"/>
      <c r="I191" s="23">
        <f t="shared" si="116"/>
        <v>221000</v>
      </c>
      <c r="J191" s="23"/>
      <c r="K191" s="23">
        <f t="shared" si="105"/>
        <v>100000</v>
      </c>
      <c r="L191" s="23">
        <v>-11499.041999999999</v>
      </c>
      <c r="M191" s="23">
        <f t="shared" si="220"/>
        <v>209500.95800000001</v>
      </c>
      <c r="N191" s="23"/>
      <c r="O191" s="23">
        <f t="shared" si="221"/>
        <v>100000</v>
      </c>
      <c r="P191" s="23"/>
      <c r="Q191" s="23">
        <f t="shared" si="222"/>
        <v>209500.95800000001</v>
      </c>
      <c r="R191" s="23"/>
      <c r="S191" s="23">
        <f t="shared" si="223"/>
        <v>100000</v>
      </c>
      <c r="T191" s="23"/>
      <c r="U191" s="23">
        <f t="shared" si="224"/>
        <v>209500.95800000001</v>
      </c>
      <c r="V191" s="23"/>
      <c r="W191" s="23">
        <f t="shared" si="233"/>
        <v>100000</v>
      </c>
      <c r="X191" s="23"/>
      <c r="Y191" s="23">
        <f t="shared" si="234"/>
        <v>209500.95800000001</v>
      </c>
      <c r="Z191" s="22"/>
      <c r="AA191" s="48">
        <f t="shared" si="235"/>
        <v>100000</v>
      </c>
      <c r="AB191" s="22"/>
      <c r="AC191" s="48">
        <f t="shared" si="236"/>
        <v>209500.95800000001</v>
      </c>
      <c r="AD191" s="9" t="s">
        <v>58</v>
      </c>
    </row>
    <row r="192" spans="1:31" s="3" customFormat="1" ht="54" hidden="1" x14ac:dyDescent="0.35">
      <c r="A192" s="1" t="s">
        <v>139</v>
      </c>
      <c r="B192" s="28" t="s">
        <v>59</v>
      </c>
      <c r="C192" s="6" t="s">
        <v>45</v>
      </c>
      <c r="D192" s="21">
        <v>100000</v>
      </c>
      <c r="E192" s="21">
        <v>100000</v>
      </c>
      <c r="F192" s="23"/>
      <c r="G192" s="23">
        <f t="shared" si="115"/>
        <v>100000</v>
      </c>
      <c r="H192" s="23"/>
      <c r="I192" s="23">
        <f t="shared" si="116"/>
        <v>100000</v>
      </c>
      <c r="J192" s="23"/>
      <c r="K192" s="23">
        <f t="shared" ref="K192:K215" si="237">G192+J192</f>
        <v>100000</v>
      </c>
      <c r="L192" s="23"/>
      <c r="M192" s="23">
        <f t="shared" si="220"/>
        <v>100000</v>
      </c>
      <c r="N192" s="23"/>
      <c r="O192" s="23">
        <f t="shared" si="221"/>
        <v>100000</v>
      </c>
      <c r="P192" s="23"/>
      <c r="Q192" s="23">
        <f t="shared" si="222"/>
        <v>100000</v>
      </c>
      <c r="R192" s="23">
        <v>-100000</v>
      </c>
      <c r="S192" s="23">
        <f t="shared" si="223"/>
        <v>0</v>
      </c>
      <c r="T192" s="23">
        <v>-100000</v>
      </c>
      <c r="U192" s="23">
        <f t="shared" si="224"/>
        <v>0</v>
      </c>
      <c r="V192" s="23"/>
      <c r="W192" s="23">
        <f t="shared" si="233"/>
        <v>0</v>
      </c>
      <c r="X192" s="23"/>
      <c r="Y192" s="23">
        <f t="shared" si="234"/>
        <v>0</v>
      </c>
      <c r="Z192" s="22"/>
      <c r="AA192" s="23">
        <f t="shared" si="235"/>
        <v>0</v>
      </c>
      <c r="AB192" s="22"/>
      <c r="AC192" s="23">
        <f t="shared" si="236"/>
        <v>0</v>
      </c>
      <c r="AD192" s="9" t="s">
        <v>60</v>
      </c>
      <c r="AE192" s="3">
        <v>0</v>
      </c>
    </row>
    <row r="193" spans="1:31" x14ac:dyDescent="0.35">
      <c r="A193" s="46"/>
      <c r="B193" s="61" t="s">
        <v>9</v>
      </c>
      <c r="C193" s="61"/>
      <c r="D193" s="20">
        <f>D197+D194+D195+D196+D198+D199</f>
        <v>244219.59999999998</v>
      </c>
      <c r="E193" s="20">
        <f>E197+E194+E195+E196+E198+E199</f>
        <v>103373.5</v>
      </c>
      <c r="F193" s="20">
        <f>F197+F194+F195+F196+F198+F199</f>
        <v>0</v>
      </c>
      <c r="G193" s="20">
        <f t="shared" si="115"/>
        <v>244219.59999999998</v>
      </c>
      <c r="H193" s="20">
        <f>H197+H194+H195+H196+H198+H199</f>
        <v>0</v>
      </c>
      <c r="I193" s="20">
        <f t="shared" si="116"/>
        <v>103373.5</v>
      </c>
      <c r="J193" s="20">
        <f>J197+J194+J195+J196+J198+J199</f>
        <v>13138.425999999999</v>
      </c>
      <c r="K193" s="20">
        <f t="shared" si="237"/>
        <v>257358.02599999998</v>
      </c>
      <c r="L193" s="20">
        <f>L197+L194+L195+L196+L198+L199</f>
        <v>0</v>
      </c>
      <c r="M193" s="20">
        <f t="shared" si="220"/>
        <v>103373.5</v>
      </c>
      <c r="N193" s="20">
        <f>N197+N194+N195+N196+N198+N199</f>
        <v>0</v>
      </c>
      <c r="O193" s="20">
        <f t="shared" si="221"/>
        <v>257358.02599999998</v>
      </c>
      <c r="P193" s="20">
        <f>P197+P194+P195+P196+P198+P199</f>
        <v>0</v>
      </c>
      <c r="Q193" s="20">
        <f t="shared" si="222"/>
        <v>103373.5</v>
      </c>
      <c r="R193" s="20">
        <f>R197+R194+R195+R196+R198+R199</f>
        <v>-3874</v>
      </c>
      <c r="S193" s="20">
        <f t="shared" si="223"/>
        <v>253484.02599999998</v>
      </c>
      <c r="T193" s="20">
        <f>T197+T194+T195+T196+T198+T199</f>
        <v>0</v>
      </c>
      <c r="U193" s="20">
        <f t="shared" si="224"/>
        <v>103373.5</v>
      </c>
      <c r="V193" s="20">
        <f>V197+V194+V195+V196+V198+V199</f>
        <v>0</v>
      </c>
      <c r="W193" s="20">
        <f t="shared" si="233"/>
        <v>253484.02599999998</v>
      </c>
      <c r="X193" s="20">
        <f>X197+X194+X195+X196+X198+X199</f>
        <v>0</v>
      </c>
      <c r="Y193" s="20">
        <f t="shared" si="234"/>
        <v>103373.5</v>
      </c>
      <c r="Z193" s="20">
        <f>Z197+Z194+Z195+Z196+Z198+Z199</f>
        <v>164142.10900000003</v>
      </c>
      <c r="AA193" s="48">
        <f t="shared" si="235"/>
        <v>417626.13500000001</v>
      </c>
      <c r="AB193" s="20">
        <f>AB197+AB194+AB195+AB196+AB198+AB199</f>
        <v>295818.09100000001</v>
      </c>
      <c r="AC193" s="48">
        <f t="shared" si="236"/>
        <v>399191.59100000001</v>
      </c>
    </row>
    <row r="194" spans="1:31" ht="54" x14ac:dyDescent="0.35">
      <c r="A194" s="46" t="s">
        <v>210</v>
      </c>
      <c r="B194" s="49" t="s">
        <v>63</v>
      </c>
      <c r="C194" s="52" t="s">
        <v>45</v>
      </c>
      <c r="D194" s="23">
        <v>29976.799999999999</v>
      </c>
      <c r="E194" s="23">
        <v>0</v>
      </c>
      <c r="F194" s="23"/>
      <c r="G194" s="23">
        <f t="shared" si="115"/>
        <v>29976.799999999999</v>
      </c>
      <c r="H194" s="23">
        <v>0</v>
      </c>
      <c r="I194" s="23">
        <f t="shared" si="116"/>
        <v>0</v>
      </c>
      <c r="J194" s="23">
        <v>13138.425999999999</v>
      </c>
      <c r="K194" s="23">
        <f t="shared" si="237"/>
        <v>43115.225999999995</v>
      </c>
      <c r="L194" s="23">
        <v>0</v>
      </c>
      <c r="M194" s="23">
        <f t="shared" si="220"/>
        <v>0</v>
      </c>
      <c r="N194" s="23"/>
      <c r="O194" s="23">
        <f t="shared" si="221"/>
        <v>43115.225999999995</v>
      </c>
      <c r="P194" s="23">
        <v>0</v>
      </c>
      <c r="Q194" s="23">
        <f t="shared" si="222"/>
        <v>0</v>
      </c>
      <c r="R194" s="23"/>
      <c r="S194" s="23">
        <f t="shared" si="223"/>
        <v>43115.225999999995</v>
      </c>
      <c r="T194" s="23">
        <v>0</v>
      </c>
      <c r="U194" s="23">
        <f t="shared" si="224"/>
        <v>0</v>
      </c>
      <c r="V194" s="23"/>
      <c r="W194" s="23">
        <f t="shared" si="233"/>
        <v>43115.225999999995</v>
      </c>
      <c r="X194" s="23">
        <v>0</v>
      </c>
      <c r="Y194" s="23">
        <f t="shared" si="234"/>
        <v>0</v>
      </c>
      <c r="Z194" s="22"/>
      <c r="AA194" s="48">
        <f t="shared" si="235"/>
        <v>43115.225999999995</v>
      </c>
      <c r="AB194" s="22">
        <v>0</v>
      </c>
      <c r="AC194" s="48">
        <f t="shared" si="236"/>
        <v>0</v>
      </c>
      <c r="AD194" s="9" t="s">
        <v>153</v>
      </c>
    </row>
    <row r="195" spans="1:31" ht="54" x14ac:dyDescent="0.35">
      <c r="A195" s="46" t="s">
        <v>211</v>
      </c>
      <c r="B195" s="49" t="s">
        <v>64</v>
      </c>
      <c r="C195" s="52" t="s">
        <v>45</v>
      </c>
      <c r="D195" s="23">
        <v>95000</v>
      </c>
      <c r="E195" s="23">
        <v>103373.5</v>
      </c>
      <c r="F195" s="23"/>
      <c r="G195" s="23">
        <f t="shared" si="115"/>
        <v>95000</v>
      </c>
      <c r="H195" s="23"/>
      <c r="I195" s="23">
        <f t="shared" si="116"/>
        <v>103373.5</v>
      </c>
      <c r="J195" s="23"/>
      <c r="K195" s="23">
        <f t="shared" si="237"/>
        <v>95000</v>
      </c>
      <c r="L195" s="23"/>
      <c r="M195" s="23">
        <f t="shared" si="220"/>
        <v>103373.5</v>
      </c>
      <c r="N195" s="23"/>
      <c r="O195" s="23">
        <f t="shared" si="221"/>
        <v>95000</v>
      </c>
      <c r="P195" s="23"/>
      <c r="Q195" s="23">
        <f t="shared" si="222"/>
        <v>103373.5</v>
      </c>
      <c r="R195" s="23"/>
      <c r="S195" s="23">
        <f t="shared" si="223"/>
        <v>95000</v>
      </c>
      <c r="T195" s="23"/>
      <c r="U195" s="23">
        <f t="shared" si="224"/>
        <v>103373.5</v>
      </c>
      <c r="V195" s="23"/>
      <c r="W195" s="23">
        <f t="shared" si="233"/>
        <v>95000</v>
      </c>
      <c r="X195" s="23"/>
      <c r="Y195" s="23">
        <f t="shared" si="234"/>
        <v>103373.5</v>
      </c>
      <c r="Z195" s="22"/>
      <c r="AA195" s="48">
        <f t="shared" si="235"/>
        <v>95000</v>
      </c>
      <c r="AB195" s="22"/>
      <c r="AC195" s="48">
        <f t="shared" si="236"/>
        <v>103373.5</v>
      </c>
      <c r="AD195" s="9" t="s">
        <v>152</v>
      </c>
    </row>
    <row r="196" spans="1:31" ht="54" x14ac:dyDescent="0.35">
      <c r="A196" s="46" t="s">
        <v>242</v>
      </c>
      <c r="B196" s="49" t="s">
        <v>65</v>
      </c>
      <c r="C196" s="52" t="s">
        <v>45</v>
      </c>
      <c r="D196" s="23">
        <v>98373.5</v>
      </c>
      <c r="E196" s="23">
        <v>0</v>
      </c>
      <c r="F196" s="23"/>
      <c r="G196" s="23">
        <f t="shared" si="115"/>
        <v>98373.5</v>
      </c>
      <c r="H196" s="23"/>
      <c r="I196" s="23">
        <f t="shared" si="116"/>
        <v>0</v>
      </c>
      <c r="J196" s="23"/>
      <c r="K196" s="23">
        <f t="shared" si="237"/>
        <v>98373.5</v>
      </c>
      <c r="L196" s="23"/>
      <c r="M196" s="23">
        <f t="shared" si="220"/>
        <v>0</v>
      </c>
      <c r="N196" s="23"/>
      <c r="O196" s="23">
        <f t="shared" si="221"/>
        <v>98373.5</v>
      </c>
      <c r="P196" s="23"/>
      <c r="Q196" s="23">
        <f t="shared" si="222"/>
        <v>0</v>
      </c>
      <c r="R196" s="23"/>
      <c r="S196" s="23">
        <f t="shared" si="223"/>
        <v>98373.5</v>
      </c>
      <c r="T196" s="23"/>
      <c r="U196" s="23">
        <f t="shared" si="224"/>
        <v>0</v>
      </c>
      <c r="V196" s="23"/>
      <c r="W196" s="23">
        <f t="shared" si="233"/>
        <v>98373.5</v>
      </c>
      <c r="X196" s="23"/>
      <c r="Y196" s="23">
        <f t="shared" si="234"/>
        <v>0</v>
      </c>
      <c r="Z196" s="22"/>
      <c r="AA196" s="48">
        <f t="shared" si="235"/>
        <v>98373.5</v>
      </c>
      <c r="AB196" s="22"/>
      <c r="AC196" s="48">
        <f t="shared" si="236"/>
        <v>0</v>
      </c>
      <c r="AD196" s="9" t="s">
        <v>151</v>
      </c>
    </row>
    <row r="197" spans="1:31" s="3" customFormat="1" ht="54" hidden="1" x14ac:dyDescent="0.35">
      <c r="A197" s="1" t="s">
        <v>186</v>
      </c>
      <c r="B197" s="28" t="s">
        <v>181</v>
      </c>
      <c r="C197" s="6" t="s">
        <v>45</v>
      </c>
      <c r="D197" s="23">
        <v>3874</v>
      </c>
      <c r="E197" s="23">
        <v>0</v>
      </c>
      <c r="F197" s="23"/>
      <c r="G197" s="23">
        <f t="shared" si="115"/>
        <v>3874</v>
      </c>
      <c r="H197" s="23">
        <v>0</v>
      </c>
      <c r="I197" s="23">
        <f t="shared" si="116"/>
        <v>0</v>
      </c>
      <c r="J197" s="23"/>
      <c r="K197" s="23">
        <f t="shared" si="237"/>
        <v>3874</v>
      </c>
      <c r="L197" s="23">
        <v>0</v>
      </c>
      <c r="M197" s="23">
        <f t="shared" si="220"/>
        <v>0</v>
      </c>
      <c r="N197" s="23"/>
      <c r="O197" s="23">
        <f t="shared" si="221"/>
        <v>3874</v>
      </c>
      <c r="P197" s="23">
        <v>0</v>
      </c>
      <c r="Q197" s="23">
        <f t="shared" si="222"/>
        <v>0</v>
      </c>
      <c r="R197" s="23">
        <v>-3874</v>
      </c>
      <c r="S197" s="23">
        <f t="shared" si="223"/>
        <v>0</v>
      </c>
      <c r="T197" s="23">
        <v>0</v>
      </c>
      <c r="U197" s="23">
        <f t="shared" si="224"/>
        <v>0</v>
      </c>
      <c r="V197" s="23"/>
      <c r="W197" s="23">
        <f t="shared" si="233"/>
        <v>0</v>
      </c>
      <c r="X197" s="23">
        <v>0</v>
      </c>
      <c r="Y197" s="23">
        <f t="shared" si="234"/>
        <v>0</v>
      </c>
      <c r="Z197" s="22"/>
      <c r="AA197" s="23">
        <f t="shared" si="235"/>
        <v>0</v>
      </c>
      <c r="AB197" s="22">
        <v>0</v>
      </c>
      <c r="AC197" s="23">
        <f t="shared" si="236"/>
        <v>0</v>
      </c>
      <c r="AD197" s="10" t="s">
        <v>150</v>
      </c>
      <c r="AE197" s="3">
        <v>0</v>
      </c>
    </row>
    <row r="198" spans="1:31" ht="54" x14ac:dyDescent="0.35">
      <c r="A198" s="46" t="s">
        <v>243</v>
      </c>
      <c r="B198" s="49" t="s">
        <v>167</v>
      </c>
      <c r="C198" s="52" t="s">
        <v>45</v>
      </c>
      <c r="D198" s="23">
        <v>3538.9</v>
      </c>
      <c r="E198" s="23">
        <v>0</v>
      </c>
      <c r="F198" s="23"/>
      <c r="G198" s="23">
        <f t="shared" si="115"/>
        <v>3538.9</v>
      </c>
      <c r="H198" s="23"/>
      <c r="I198" s="23">
        <f t="shared" si="116"/>
        <v>0</v>
      </c>
      <c r="J198" s="23"/>
      <c r="K198" s="23">
        <f t="shared" si="237"/>
        <v>3538.9</v>
      </c>
      <c r="L198" s="23"/>
      <c r="M198" s="23">
        <f t="shared" si="220"/>
        <v>0</v>
      </c>
      <c r="N198" s="23"/>
      <c r="O198" s="23">
        <f t="shared" si="221"/>
        <v>3538.9</v>
      </c>
      <c r="P198" s="23"/>
      <c r="Q198" s="23">
        <f t="shared" si="222"/>
        <v>0</v>
      </c>
      <c r="R198" s="23"/>
      <c r="S198" s="23">
        <f t="shared" si="223"/>
        <v>3538.9</v>
      </c>
      <c r="T198" s="23"/>
      <c r="U198" s="23">
        <f t="shared" si="224"/>
        <v>0</v>
      </c>
      <c r="V198" s="23"/>
      <c r="W198" s="23">
        <f t="shared" si="233"/>
        <v>3538.9</v>
      </c>
      <c r="X198" s="23"/>
      <c r="Y198" s="23">
        <f t="shared" si="234"/>
        <v>0</v>
      </c>
      <c r="Z198" s="22">
        <v>10261.1</v>
      </c>
      <c r="AA198" s="48">
        <f t="shared" si="235"/>
        <v>13800</v>
      </c>
      <c r="AB198" s="22">
        <v>193756.6</v>
      </c>
      <c r="AC198" s="48">
        <f t="shared" si="236"/>
        <v>193756.6</v>
      </c>
      <c r="AD198" s="10" t="s">
        <v>154</v>
      </c>
    </row>
    <row r="199" spans="1:31" ht="54" x14ac:dyDescent="0.35">
      <c r="A199" s="46" t="s">
        <v>244</v>
      </c>
      <c r="B199" s="49" t="s">
        <v>82</v>
      </c>
      <c r="C199" s="52" t="s">
        <v>45</v>
      </c>
      <c r="D199" s="23">
        <v>13456.4</v>
      </c>
      <c r="E199" s="23">
        <v>0</v>
      </c>
      <c r="F199" s="23"/>
      <c r="G199" s="23">
        <f t="shared" si="115"/>
        <v>13456.4</v>
      </c>
      <c r="H199" s="23"/>
      <c r="I199" s="23">
        <f t="shared" si="116"/>
        <v>0</v>
      </c>
      <c r="J199" s="23"/>
      <c r="K199" s="23">
        <f t="shared" si="237"/>
        <v>13456.4</v>
      </c>
      <c r="L199" s="23"/>
      <c r="M199" s="23">
        <f t="shared" si="220"/>
        <v>0</v>
      </c>
      <c r="N199" s="23"/>
      <c r="O199" s="23">
        <f t="shared" si="221"/>
        <v>13456.4</v>
      </c>
      <c r="P199" s="23"/>
      <c r="Q199" s="23">
        <f t="shared" si="222"/>
        <v>0</v>
      </c>
      <c r="R199" s="23"/>
      <c r="S199" s="23">
        <f t="shared" si="223"/>
        <v>13456.4</v>
      </c>
      <c r="T199" s="23"/>
      <c r="U199" s="23">
        <f t="shared" si="224"/>
        <v>0</v>
      </c>
      <c r="V199" s="23"/>
      <c r="W199" s="22">
        <f t="shared" si="233"/>
        <v>13456.4</v>
      </c>
      <c r="X199" s="23"/>
      <c r="Y199" s="22">
        <f t="shared" si="234"/>
        <v>0</v>
      </c>
      <c r="Z199" s="22">
        <f>167337.409-13456.4</f>
        <v>153881.00900000002</v>
      </c>
      <c r="AA199" s="48">
        <f t="shared" si="235"/>
        <v>167337.40900000001</v>
      </c>
      <c r="AB199" s="22">
        <v>102061.49099999999</v>
      </c>
      <c r="AC199" s="48">
        <f t="shared" si="236"/>
        <v>102061.49099999999</v>
      </c>
      <c r="AD199" s="10" t="s">
        <v>147</v>
      </c>
    </row>
    <row r="200" spans="1:31" x14ac:dyDescent="0.35">
      <c r="A200" s="46"/>
      <c r="B200" s="49" t="s">
        <v>17</v>
      </c>
      <c r="C200" s="59"/>
      <c r="D200" s="20">
        <f>D201</f>
        <v>12180.7</v>
      </c>
      <c r="E200" s="20">
        <f>E201</f>
        <v>10000</v>
      </c>
      <c r="F200" s="20">
        <f>F201</f>
        <v>0</v>
      </c>
      <c r="G200" s="20">
        <f t="shared" si="115"/>
        <v>12180.7</v>
      </c>
      <c r="H200" s="20">
        <f>H201</f>
        <v>0</v>
      </c>
      <c r="I200" s="20">
        <f t="shared" si="116"/>
        <v>10000</v>
      </c>
      <c r="J200" s="20">
        <f>J201</f>
        <v>0</v>
      </c>
      <c r="K200" s="20">
        <f t="shared" si="237"/>
        <v>12180.7</v>
      </c>
      <c r="L200" s="20">
        <f>L201</f>
        <v>0</v>
      </c>
      <c r="M200" s="20">
        <f t="shared" si="220"/>
        <v>10000</v>
      </c>
      <c r="N200" s="20">
        <f>N201</f>
        <v>0</v>
      </c>
      <c r="O200" s="20">
        <f t="shared" si="221"/>
        <v>12180.7</v>
      </c>
      <c r="P200" s="20">
        <f>P201</f>
        <v>0</v>
      </c>
      <c r="Q200" s="20">
        <f t="shared" si="222"/>
        <v>10000</v>
      </c>
      <c r="R200" s="20">
        <f>R201</f>
        <v>0</v>
      </c>
      <c r="S200" s="20">
        <f t="shared" si="223"/>
        <v>12180.7</v>
      </c>
      <c r="T200" s="20">
        <f>T201</f>
        <v>0</v>
      </c>
      <c r="U200" s="20">
        <f t="shared" si="224"/>
        <v>10000</v>
      </c>
      <c r="V200" s="20">
        <f>V201</f>
        <v>0</v>
      </c>
      <c r="W200" s="20">
        <f t="shared" si="233"/>
        <v>12180.7</v>
      </c>
      <c r="X200" s="20">
        <f>X201</f>
        <v>0</v>
      </c>
      <c r="Y200" s="20">
        <f t="shared" si="234"/>
        <v>10000</v>
      </c>
      <c r="Z200" s="20">
        <f>Z201+Z202</f>
        <v>30000</v>
      </c>
      <c r="AA200" s="48">
        <f t="shared" si="235"/>
        <v>42180.7</v>
      </c>
      <c r="AB200" s="20">
        <f>AB201+AB202</f>
        <v>29500</v>
      </c>
      <c r="AC200" s="48">
        <f t="shared" si="236"/>
        <v>39500</v>
      </c>
    </row>
    <row r="201" spans="1:31" ht="54" x14ac:dyDescent="0.35">
      <c r="A201" s="46" t="s">
        <v>245</v>
      </c>
      <c r="B201" s="49" t="s">
        <v>61</v>
      </c>
      <c r="C201" s="52" t="s">
        <v>45</v>
      </c>
      <c r="D201" s="23">
        <v>12180.7</v>
      </c>
      <c r="E201" s="23">
        <v>10000</v>
      </c>
      <c r="F201" s="23"/>
      <c r="G201" s="23">
        <f t="shared" si="115"/>
        <v>12180.7</v>
      </c>
      <c r="H201" s="23"/>
      <c r="I201" s="23">
        <f t="shared" si="116"/>
        <v>10000</v>
      </c>
      <c r="J201" s="23"/>
      <c r="K201" s="23">
        <f t="shared" si="237"/>
        <v>12180.7</v>
      </c>
      <c r="L201" s="23"/>
      <c r="M201" s="23">
        <f t="shared" si="220"/>
        <v>10000</v>
      </c>
      <c r="N201" s="23"/>
      <c r="O201" s="23">
        <f t="shared" si="221"/>
        <v>12180.7</v>
      </c>
      <c r="P201" s="23"/>
      <c r="Q201" s="23">
        <f t="shared" si="222"/>
        <v>10000</v>
      </c>
      <c r="R201" s="23"/>
      <c r="S201" s="23">
        <f t="shared" si="223"/>
        <v>12180.7</v>
      </c>
      <c r="T201" s="23"/>
      <c r="U201" s="23">
        <f t="shared" si="224"/>
        <v>10000</v>
      </c>
      <c r="V201" s="23"/>
      <c r="W201" s="23">
        <f t="shared" si="233"/>
        <v>12180.7</v>
      </c>
      <c r="X201" s="23"/>
      <c r="Y201" s="23">
        <f t="shared" si="234"/>
        <v>10000</v>
      </c>
      <c r="Z201" s="22"/>
      <c r="AA201" s="48">
        <f t="shared" si="235"/>
        <v>12180.7</v>
      </c>
      <c r="AB201" s="22"/>
      <c r="AC201" s="48">
        <f t="shared" si="236"/>
        <v>10000</v>
      </c>
      <c r="AD201" s="10" t="s">
        <v>62</v>
      </c>
    </row>
    <row r="202" spans="1:31" ht="54" x14ac:dyDescent="0.35">
      <c r="A202" s="46" t="s">
        <v>246</v>
      </c>
      <c r="B202" s="49" t="s">
        <v>227</v>
      </c>
      <c r="C202" s="52" t="s">
        <v>45</v>
      </c>
      <c r="D202" s="23"/>
      <c r="E202" s="23"/>
      <c r="F202" s="23"/>
      <c r="G202" s="23"/>
      <c r="H202" s="23"/>
      <c r="I202" s="23"/>
      <c r="J202" s="23"/>
      <c r="K202" s="23"/>
      <c r="L202" s="23"/>
      <c r="M202" s="23"/>
      <c r="N202" s="23"/>
      <c r="O202" s="23"/>
      <c r="P202" s="23"/>
      <c r="Q202" s="23"/>
      <c r="R202" s="23"/>
      <c r="S202" s="23"/>
      <c r="T202" s="23"/>
      <c r="U202" s="23"/>
      <c r="V202" s="23"/>
      <c r="W202" s="22"/>
      <c r="X202" s="23"/>
      <c r="Y202" s="22"/>
      <c r="Z202" s="22">
        <v>30000</v>
      </c>
      <c r="AA202" s="48">
        <f t="shared" si="235"/>
        <v>30000</v>
      </c>
      <c r="AB202" s="22">
        <f>30000-500</f>
        <v>29500</v>
      </c>
      <c r="AC202" s="48">
        <f t="shared" si="236"/>
        <v>29500</v>
      </c>
      <c r="AD202" s="10" t="s">
        <v>228</v>
      </c>
    </row>
    <row r="203" spans="1:31" x14ac:dyDescent="0.35">
      <c r="A203" s="46"/>
      <c r="B203" s="49" t="s">
        <v>24</v>
      </c>
      <c r="C203" s="59"/>
      <c r="D203" s="20">
        <f>D204</f>
        <v>18208.7</v>
      </c>
      <c r="E203" s="20">
        <f>E204</f>
        <v>0</v>
      </c>
      <c r="F203" s="20">
        <f>F204</f>
        <v>0</v>
      </c>
      <c r="G203" s="20">
        <f t="shared" si="115"/>
        <v>18208.7</v>
      </c>
      <c r="H203" s="20">
        <f>H204</f>
        <v>0</v>
      </c>
      <c r="I203" s="20">
        <f t="shared" si="116"/>
        <v>0</v>
      </c>
      <c r="J203" s="20">
        <f>J204</f>
        <v>9363.1929999999993</v>
      </c>
      <c r="K203" s="20">
        <f t="shared" si="237"/>
        <v>27571.893</v>
      </c>
      <c r="L203" s="20">
        <f>L204</f>
        <v>0</v>
      </c>
      <c r="M203" s="20">
        <f t="shared" si="220"/>
        <v>0</v>
      </c>
      <c r="N203" s="20">
        <f>N204</f>
        <v>0</v>
      </c>
      <c r="O203" s="20">
        <f t="shared" si="221"/>
        <v>27571.893</v>
      </c>
      <c r="P203" s="20">
        <f>P204</f>
        <v>0</v>
      </c>
      <c r="Q203" s="20">
        <f t="shared" si="222"/>
        <v>0</v>
      </c>
      <c r="R203" s="20">
        <f>R204</f>
        <v>0</v>
      </c>
      <c r="S203" s="20">
        <f t="shared" si="223"/>
        <v>27571.893</v>
      </c>
      <c r="T203" s="20">
        <f>T204</f>
        <v>0</v>
      </c>
      <c r="U203" s="20">
        <f t="shared" si="224"/>
        <v>0</v>
      </c>
      <c r="V203" s="20">
        <f>V204</f>
        <v>0</v>
      </c>
      <c r="W203" s="20">
        <f t="shared" si="233"/>
        <v>27571.893</v>
      </c>
      <c r="X203" s="20">
        <f>X204</f>
        <v>0</v>
      </c>
      <c r="Y203" s="20">
        <f t="shared" si="234"/>
        <v>0</v>
      </c>
      <c r="Z203" s="20">
        <f>Z204</f>
        <v>-1894.2840000000001</v>
      </c>
      <c r="AA203" s="48">
        <f t="shared" si="235"/>
        <v>25677.609</v>
      </c>
      <c r="AB203" s="20">
        <f>AB204</f>
        <v>0</v>
      </c>
      <c r="AC203" s="48">
        <f t="shared" si="236"/>
        <v>0</v>
      </c>
    </row>
    <row r="204" spans="1:31" ht="54" x14ac:dyDescent="0.35">
      <c r="A204" s="46" t="s">
        <v>247</v>
      </c>
      <c r="B204" s="49" t="s">
        <v>166</v>
      </c>
      <c r="C204" s="52" t="s">
        <v>45</v>
      </c>
      <c r="D204" s="23">
        <v>18208.7</v>
      </c>
      <c r="E204" s="23">
        <v>0</v>
      </c>
      <c r="F204" s="23"/>
      <c r="G204" s="23">
        <f t="shared" si="115"/>
        <v>18208.7</v>
      </c>
      <c r="H204" s="23">
        <v>0</v>
      </c>
      <c r="I204" s="23">
        <f t="shared" si="116"/>
        <v>0</v>
      </c>
      <c r="J204" s="23">
        <v>9363.1929999999993</v>
      </c>
      <c r="K204" s="23">
        <f t="shared" si="237"/>
        <v>27571.893</v>
      </c>
      <c r="L204" s="23">
        <v>0</v>
      </c>
      <c r="M204" s="23">
        <f t="shared" si="220"/>
        <v>0</v>
      </c>
      <c r="N204" s="23"/>
      <c r="O204" s="23">
        <f t="shared" si="221"/>
        <v>27571.893</v>
      </c>
      <c r="P204" s="23">
        <v>0</v>
      </c>
      <c r="Q204" s="23">
        <f t="shared" si="222"/>
        <v>0</v>
      </c>
      <c r="R204" s="23"/>
      <c r="S204" s="23">
        <f t="shared" si="223"/>
        <v>27571.893</v>
      </c>
      <c r="T204" s="23">
        <v>0</v>
      </c>
      <c r="U204" s="23">
        <f t="shared" si="224"/>
        <v>0</v>
      </c>
      <c r="V204" s="23"/>
      <c r="W204" s="23">
        <f t="shared" si="233"/>
        <v>27571.893</v>
      </c>
      <c r="X204" s="23">
        <v>0</v>
      </c>
      <c r="Y204" s="23">
        <f t="shared" si="234"/>
        <v>0</v>
      </c>
      <c r="Z204" s="22">
        <v>-1894.2840000000001</v>
      </c>
      <c r="AA204" s="48">
        <f t="shared" si="235"/>
        <v>25677.609</v>
      </c>
      <c r="AB204" s="22">
        <v>0</v>
      </c>
      <c r="AC204" s="48">
        <f t="shared" si="236"/>
        <v>0</v>
      </c>
      <c r="AD204" s="9" t="s">
        <v>192</v>
      </c>
    </row>
    <row r="205" spans="1:31" x14ac:dyDescent="0.35">
      <c r="A205" s="62"/>
      <c r="B205" s="83" t="s">
        <v>10</v>
      </c>
      <c r="C205" s="83"/>
      <c r="D205" s="23">
        <f>D18+D74+D112+D125+D193+D203+D190+D200</f>
        <v>5368497.6999999993</v>
      </c>
      <c r="E205" s="23">
        <f>E18+E74+E112+E125+E193+E203+E190+E200</f>
        <v>3917463.1999999997</v>
      </c>
      <c r="F205" s="23">
        <f>F18+F74+F112+F125+F193+F203+F190+F200</f>
        <v>80762.600000000006</v>
      </c>
      <c r="G205" s="23">
        <f t="shared" ref="G205:G215" si="238">D205+F205</f>
        <v>5449260.2999999989</v>
      </c>
      <c r="H205" s="23">
        <f>H18+H74+H112+H125+H193+H203+H190+H200</f>
        <v>380874.5</v>
      </c>
      <c r="I205" s="23">
        <f t="shared" ref="I205:I215" si="239">E205+H205</f>
        <v>4298337.6999999993</v>
      </c>
      <c r="J205" s="23">
        <f>J18+J74+J112+J125+J193+J203+J190+J200</f>
        <v>130549.73300000001</v>
      </c>
      <c r="K205" s="23">
        <f t="shared" si="237"/>
        <v>5579810.0329999989</v>
      </c>
      <c r="L205" s="23">
        <f>L18+L74+L112+L125+L193+L203+L190+L200</f>
        <v>39449.546999999999</v>
      </c>
      <c r="M205" s="23">
        <f t="shared" si="220"/>
        <v>4337787.2469999995</v>
      </c>
      <c r="N205" s="23">
        <f>N18+N74+N112+N125+N193+N203+N190+N200</f>
        <v>0</v>
      </c>
      <c r="O205" s="23">
        <f t="shared" si="221"/>
        <v>5579810.0329999989</v>
      </c>
      <c r="P205" s="23">
        <f>P18+P74+P112+P125+P193+P203+P190+P200</f>
        <v>-39449.546999999999</v>
      </c>
      <c r="Q205" s="23">
        <f t="shared" si="222"/>
        <v>4298337.6999999993</v>
      </c>
      <c r="R205" s="23">
        <f>R18+R74+R112+R125+R193+R203+R190+R200</f>
        <v>610621.83400000003</v>
      </c>
      <c r="S205" s="23">
        <f t="shared" si="223"/>
        <v>6190431.8669999987</v>
      </c>
      <c r="T205" s="23">
        <f>T18+T74+T112+T125+T193+T203+T190+T200</f>
        <v>3580.3999999999942</v>
      </c>
      <c r="U205" s="23">
        <f t="shared" si="224"/>
        <v>4301918.0999999996</v>
      </c>
      <c r="V205" s="23">
        <f>V18+V74+V112+V125+V193+V203+V190+V200</f>
        <v>23185.34</v>
      </c>
      <c r="W205" s="23">
        <f t="shared" si="233"/>
        <v>6213617.2069999985</v>
      </c>
      <c r="X205" s="23">
        <f>X18+X74+X112+X125+X193+X203+X190+X200</f>
        <v>0</v>
      </c>
      <c r="Y205" s="23">
        <f t="shared" si="234"/>
        <v>4301918.0999999996</v>
      </c>
      <c r="Z205" s="22">
        <f>Z18+Z74+Z112+Z125+Z193+Z203+Z190+Z200</f>
        <v>347530.81300000002</v>
      </c>
      <c r="AA205" s="48">
        <f t="shared" si="235"/>
        <v>6561148.0199999986</v>
      </c>
      <c r="AB205" s="22">
        <f>AB18+AB74+AB112+AB125+AB193+AB203+AB190+AB200</f>
        <v>1382915.844</v>
      </c>
      <c r="AC205" s="48">
        <f t="shared" si="236"/>
        <v>5684833.9440000001</v>
      </c>
    </row>
    <row r="206" spans="1:31" x14ac:dyDescent="0.35">
      <c r="A206" s="62"/>
      <c r="B206" s="89" t="s">
        <v>11</v>
      </c>
      <c r="C206" s="90"/>
      <c r="D206" s="23"/>
      <c r="E206" s="23"/>
      <c r="F206" s="23"/>
      <c r="G206" s="23"/>
      <c r="H206" s="23"/>
      <c r="I206" s="23"/>
      <c r="J206" s="23"/>
      <c r="K206" s="23"/>
      <c r="L206" s="23"/>
      <c r="M206" s="23"/>
      <c r="N206" s="23"/>
      <c r="O206" s="23"/>
      <c r="P206" s="23"/>
      <c r="Q206" s="23"/>
      <c r="R206" s="23"/>
      <c r="S206" s="23"/>
      <c r="T206" s="23"/>
      <c r="U206" s="23"/>
      <c r="V206" s="23"/>
      <c r="W206" s="23"/>
      <c r="X206" s="23"/>
      <c r="Y206" s="23"/>
      <c r="Z206" s="22"/>
      <c r="AA206" s="48"/>
      <c r="AB206" s="22"/>
      <c r="AC206" s="48"/>
    </row>
    <row r="207" spans="1:31" x14ac:dyDescent="0.35">
      <c r="A207" s="62"/>
      <c r="B207" s="89" t="s">
        <v>23</v>
      </c>
      <c r="C207" s="91"/>
      <c r="D207" s="23">
        <f>D128</f>
        <v>1455404.7999999998</v>
      </c>
      <c r="E207" s="23">
        <f>E128</f>
        <v>1105577.3999999999</v>
      </c>
      <c r="F207" s="23">
        <f>F128</f>
        <v>0</v>
      </c>
      <c r="G207" s="23">
        <f t="shared" si="238"/>
        <v>1455404.7999999998</v>
      </c>
      <c r="H207" s="23">
        <f>H128</f>
        <v>0</v>
      </c>
      <c r="I207" s="23">
        <f t="shared" si="239"/>
        <v>1105577.3999999999</v>
      </c>
      <c r="J207" s="23">
        <f>J128</f>
        <v>0</v>
      </c>
      <c r="K207" s="23">
        <f t="shared" si="237"/>
        <v>1455404.7999999998</v>
      </c>
      <c r="L207" s="23">
        <f>L128</f>
        <v>0</v>
      </c>
      <c r="M207" s="23">
        <f t="shared" ref="M207:M209" si="240">I207+L207</f>
        <v>1105577.3999999999</v>
      </c>
      <c r="N207" s="23">
        <f>N128</f>
        <v>0</v>
      </c>
      <c r="O207" s="23">
        <f t="shared" ref="O207:O209" si="241">K207+N207</f>
        <v>1455404.7999999998</v>
      </c>
      <c r="P207" s="23">
        <f>P128</f>
        <v>0</v>
      </c>
      <c r="Q207" s="23">
        <f t="shared" ref="Q207:Q209" si="242">M207+P207</f>
        <v>1105577.3999999999</v>
      </c>
      <c r="R207" s="23">
        <f>R128</f>
        <v>320329.5</v>
      </c>
      <c r="S207" s="23">
        <f t="shared" ref="S207:S208" si="243">O207+R207</f>
        <v>1775734.2999999998</v>
      </c>
      <c r="T207" s="23">
        <f>T128</f>
        <v>0</v>
      </c>
      <c r="U207" s="23">
        <f t="shared" ref="U207:U208" si="244">Q207+T207</f>
        <v>1105577.3999999999</v>
      </c>
      <c r="V207" s="23">
        <f>V128</f>
        <v>0</v>
      </c>
      <c r="W207" s="23">
        <f t="shared" ref="W207:W208" si="245">S207+V207</f>
        <v>1775734.2999999998</v>
      </c>
      <c r="X207" s="23">
        <f>X128</f>
        <v>0</v>
      </c>
      <c r="Y207" s="23">
        <f t="shared" ref="Y207:Y208" si="246">U207+X207</f>
        <v>1105577.3999999999</v>
      </c>
      <c r="Z207" s="22">
        <f>Z128</f>
        <v>-130943</v>
      </c>
      <c r="AA207" s="48">
        <f t="shared" ref="AA207" si="247">W207+Z207</f>
        <v>1644791.2999999998</v>
      </c>
      <c r="AB207" s="22">
        <f>AB128</f>
        <v>407796.5</v>
      </c>
      <c r="AC207" s="48">
        <f t="shared" ref="AC207:AC208" si="248">Y207+AB207</f>
        <v>1513373.9</v>
      </c>
    </row>
    <row r="208" spans="1:31" x14ac:dyDescent="0.35">
      <c r="A208" s="62"/>
      <c r="B208" s="63" t="s">
        <v>14</v>
      </c>
      <c r="C208" s="64"/>
      <c r="D208" s="23">
        <f>D21+D77</f>
        <v>1025528.1000000001</v>
      </c>
      <c r="E208" s="23">
        <f>E21+E77</f>
        <v>436731.8</v>
      </c>
      <c r="F208" s="23">
        <f>F21+F77</f>
        <v>37908.500000000015</v>
      </c>
      <c r="G208" s="23">
        <f t="shared" si="238"/>
        <v>1063436.6000000001</v>
      </c>
      <c r="H208" s="23">
        <f>H21+H77</f>
        <v>331798.09999999998</v>
      </c>
      <c r="I208" s="23">
        <f t="shared" si="239"/>
        <v>768529.89999999991</v>
      </c>
      <c r="J208" s="23">
        <f>J21+J77</f>
        <v>0</v>
      </c>
      <c r="K208" s="23">
        <f t="shared" si="237"/>
        <v>1063436.6000000001</v>
      </c>
      <c r="L208" s="23">
        <f>L21+L77</f>
        <v>0</v>
      </c>
      <c r="M208" s="23">
        <f t="shared" si="240"/>
        <v>768529.89999999991</v>
      </c>
      <c r="N208" s="23">
        <f>N21+N77</f>
        <v>0</v>
      </c>
      <c r="O208" s="23">
        <f t="shared" si="241"/>
        <v>1063436.6000000001</v>
      </c>
      <c r="P208" s="23">
        <f>P21+P77</f>
        <v>0</v>
      </c>
      <c r="Q208" s="23">
        <f t="shared" si="242"/>
        <v>768529.89999999991</v>
      </c>
      <c r="R208" s="23">
        <f>R21+R77</f>
        <v>105494.49999999999</v>
      </c>
      <c r="S208" s="23">
        <f t="shared" si="243"/>
        <v>1168931.1000000001</v>
      </c>
      <c r="T208" s="23">
        <f>T21+T77</f>
        <v>103580.40000000001</v>
      </c>
      <c r="U208" s="23">
        <f t="shared" si="244"/>
        <v>872110.29999999993</v>
      </c>
      <c r="V208" s="23">
        <f>V21+V77</f>
        <v>0</v>
      </c>
      <c r="W208" s="23">
        <f t="shared" si="245"/>
        <v>1168931.1000000001</v>
      </c>
      <c r="X208" s="23">
        <f>X21+X77</f>
        <v>0</v>
      </c>
      <c r="Y208" s="23">
        <f t="shared" si="246"/>
        <v>872110.29999999993</v>
      </c>
      <c r="Z208" s="22">
        <f>Z21+Z77</f>
        <v>-249341.21899999998</v>
      </c>
      <c r="AA208" s="48">
        <f>W208+Z208</f>
        <v>919589.88100000005</v>
      </c>
      <c r="AB208" s="22">
        <f>AB21+AB77</f>
        <v>42649.756000000001</v>
      </c>
      <c r="AC208" s="48">
        <f t="shared" si="248"/>
        <v>914760.05599999998</v>
      </c>
    </row>
    <row r="209" spans="1:29" x14ac:dyDescent="0.35">
      <c r="A209" s="62"/>
      <c r="B209" s="63" t="s">
        <v>22</v>
      </c>
      <c r="C209" s="64"/>
      <c r="D209" s="23"/>
      <c r="E209" s="23"/>
      <c r="F209" s="23">
        <f>F78</f>
        <v>136854.1</v>
      </c>
      <c r="G209" s="23">
        <f t="shared" si="238"/>
        <v>136854.1</v>
      </c>
      <c r="H209" s="23">
        <f>H78</f>
        <v>136854.1</v>
      </c>
      <c r="I209" s="23">
        <f t="shared" si="239"/>
        <v>136854.1</v>
      </c>
      <c r="J209" s="23">
        <f>J78</f>
        <v>0</v>
      </c>
      <c r="K209" s="23">
        <f t="shared" si="237"/>
        <v>136854.1</v>
      </c>
      <c r="L209" s="23">
        <f>L78</f>
        <v>0</v>
      </c>
      <c r="M209" s="23">
        <f t="shared" si="240"/>
        <v>136854.1</v>
      </c>
      <c r="N209" s="23">
        <f>N78</f>
        <v>0</v>
      </c>
      <c r="O209" s="23">
        <f t="shared" si="241"/>
        <v>136854.1</v>
      </c>
      <c r="P209" s="23">
        <f>P78</f>
        <v>0</v>
      </c>
      <c r="Q209" s="23">
        <f t="shared" si="242"/>
        <v>136854.1</v>
      </c>
      <c r="R209" s="23">
        <f>R78</f>
        <v>0</v>
      </c>
      <c r="S209" s="23">
        <f>O209+R209+S22</f>
        <v>444158.1</v>
      </c>
      <c r="T209" s="23">
        <f>T78</f>
        <v>0</v>
      </c>
      <c r="U209" s="23">
        <f>Q209+T209+U22</f>
        <v>136854.1</v>
      </c>
      <c r="V209" s="23">
        <f>V78</f>
        <v>0</v>
      </c>
      <c r="W209" s="23">
        <f>S209+V209</f>
        <v>444158.1</v>
      </c>
      <c r="X209" s="23">
        <f>X78</f>
        <v>0</v>
      </c>
      <c r="Y209" s="23">
        <f>U209+X209</f>
        <v>136854.1</v>
      </c>
      <c r="Z209" s="22">
        <f>Z78+Z22</f>
        <v>0</v>
      </c>
      <c r="AA209" s="48">
        <f>W209+Z209</f>
        <v>444158.1</v>
      </c>
      <c r="AB209" s="22">
        <f>AB78+AB22</f>
        <v>0</v>
      </c>
      <c r="AC209" s="48">
        <f>Y209+AB209+AC22</f>
        <v>136854.1</v>
      </c>
    </row>
    <row r="210" spans="1:29" x14ac:dyDescent="0.35">
      <c r="A210" s="62"/>
      <c r="B210" s="89" t="s">
        <v>229</v>
      </c>
      <c r="C210" s="95"/>
      <c r="D210" s="23"/>
      <c r="E210" s="23"/>
      <c r="F210" s="23"/>
      <c r="G210" s="23"/>
      <c r="H210" s="23"/>
      <c r="I210" s="23"/>
      <c r="J210" s="23"/>
      <c r="K210" s="23"/>
      <c r="L210" s="23"/>
      <c r="M210" s="23"/>
      <c r="N210" s="23"/>
      <c r="O210" s="23"/>
      <c r="P210" s="23"/>
      <c r="Q210" s="23"/>
      <c r="R210" s="23"/>
      <c r="S210" s="23"/>
      <c r="T210" s="23"/>
      <c r="U210" s="23"/>
      <c r="V210" s="23"/>
      <c r="W210" s="23"/>
      <c r="X210" s="23"/>
      <c r="Y210" s="23"/>
      <c r="Z210" s="22">
        <f>Z79</f>
        <v>809408.66399999999</v>
      </c>
      <c r="AA210" s="48">
        <f>W210+Z210</f>
        <v>809408.66399999999</v>
      </c>
      <c r="AB210" s="22">
        <f>AB79</f>
        <v>810345.35199999996</v>
      </c>
      <c r="AC210" s="48">
        <f>Y210+AB210+AC23</f>
        <v>810345.35199999996</v>
      </c>
    </row>
    <row r="211" spans="1:29" x14ac:dyDescent="0.35">
      <c r="A211" s="62"/>
      <c r="B211" s="83" t="s">
        <v>12</v>
      </c>
      <c r="C211" s="83"/>
      <c r="D211" s="23"/>
      <c r="E211" s="23"/>
      <c r="F211" s="23"/>
      <c r="G211" s="23"/>
      <c r="H211" s="23"/>
      <c r="I211" s="23"/>
      <c r="J211" s="23"/>
      <c r="K211" s="23"/>
      <c r="L211" s="23"/>
      <c r="M211" s="23"/>
      <c r="N211" s="23"/>
      <c r="O211" s="23"/>
      <c r="P211" s="23"/>
      <c r="Q211" s="23"/>
      <c r="R211" s="23"/>
      <c r="S211" s="23"/>
      <c r="T211" s="23"/>
      <c r="U211" s="23"/>
      <c r="V211" s="23"/>
      <c r="W211" s="23"/>
      <c r="X211" s="23"/>
      <c r="Y211" s="23"/>
      <c r="Z211" s="22"/>
      <c r="AA211" s="48"/>
      <c r="AB211" s="22"/>
      <c r="AC211" s="48"/>
    </row>
    <row r="212" spans="1:29" x14ac:dyDescent="0.35">
      <c r="A212" s="62"/>
      <c r="B212" s="83" t="s">
        <v>13</v>
      </c>
      <c r="C212" s="84"/>
      <c r="D212" s="23">
        <f>D52+D53+D54+D55+D57</f>
        <v>21508.400000000001</v>
      </c>
      <c r="E212" s="23">
        <f>E52+E53+E54+E55+E57</f>
        <v>32000</v>
      </c>
      <c r="F212" s="23">
        <f>F52+F53+F54+F55+F57</f>
        <v>0</v>
      </c>
      <c r="G212" s="23">
        <f t="shared" si="238"/>
        <v>21508.400000000001</v>
      </c>
      <c r="H212" s="23">
        <f>H52+H53+H54+H55+H57</f>
        <v>0</v>
      </c>
      <c r="I212" s="23">
        <f t="shared" si="239"/>
        <v>32000</v>
      </c>
      <c r="J212" s="23">
        <f>J52+J53+J54+J55+J57</f>
        <v>0</v>
      </c>
      <c r="K212" s="23">
        <f t="shared" si="237"/>
        <v>21508.400000000001</v>
      </c>
      <c r="L212" s="23">
        <f>L52+L53+L54+L55+L57</f>
        <v>0</v>
      </c>
      <c r="M212" s="23">
        <f t="shared" ref="M212:M215" si="249">I212+L212</f>
        <v>32000</v>
      </c>
      <c r="N212" s="23">
        <f>N52+N53+N54+N55+N57</f>
        <v>0</v>
      </c>
      <c r="O212" s="23">
        <f t="shared" ref="O212:O215" si="250">K212+N212</f>
        <v>21508.400000000001</v>
      </c>
      <c r="P212" s="23">
        <f>P52+P53+P54+P55+P57</f>
        <v>0</v>
      </c>
      <c r="Q212" s="23">
        <f t="shared" ref="Q212:Q215" si="251">M212+P212</f>
        <v>32000</v>
      </c>
      <c r="R212" s="23">
        <f>R52+R53+R54+R55+R57+R59</f>
        <v>20807.867999999999</v>
      </c>
      <c r="S212" s="23">
        <f t="shared" ref="S212:S215" si="252">O212+R212</f>
        <v>42316.267999999996</v>
      </c>
      <c r="T212" s="23">
        <f>T52+T53+T54+T55+T57+T59</f>
        <v>-16000</v>
      </c>
      <c r="U212" s="23">
        <f t="shared" ref="U212:U215" si="253">Q212+T212</f>
        <v>16000</v>
      </c>
      <c r="V212" s="23">
        <f>V52+V53+V54+V55+V57+V59</f>
        <v>0</v>
      </c>
      <c r="W212" s="23">
        <f t="shared" ref="W212:W215" si="254">S212+V212</f>
        <v>42316.267999999996</v>
      </c>
      <c r="X212" s="23">
        <f>X52+X53+X54+X55+X57+X59</f>
        <v>0</v>
      </c>
      <c r="Y212" s="23">
        <f t="shared" ref="Y212:Y215" si="255">U212+X212</f>
        <v>16000</v>
      </c>
      <c r="Z212" s="22">
        <f>Z52+Z53+Z54+Z55+Z57+Z59</f>
        <v>-5508.4</v>
      </c>
      <c r="AA212" s="48">
        <f t="shared" ref="AA212:AA215" si="256">W212+Z212</f>
        <v>36807.867999999995</v>
      </c>
      <c r="AB212" s="22">
        <f>AB52+AB53+AB54+AB55+AB57+AB59</f>
        <v>0</v>
      </c>
      <c r="AC212" s="48">
        <f t="shared" ref="AC212:AC215" si="257">Y212+AB212</f>
        <v>16000</v>
      </c>
    </row>
    <row r="213" spans="1:29" x14ac:dyDescent="0.35">
      <c r="A213" s="62"/>
      <c r="B213" s="92" t="s">
        <v>16</v>
      </c>
      <c r="C213" s="92"/>
      <c r="D213" s="23">
        <f>D80+D81+D82+D83+D84+D85+D86+D87+D88+D89+D90+D91+D92+D194+D195+D196+D197+D201+D204+D191+D192+D23+D28+D33+D38+D39+D43+D47+D48+D198+D199</f>
        <v>1988272.5999999999</v>
      </c>
      <c r="E213" s="23">
        <f>E80+E81+E82+E83+E84+E85+E86+E87+E88+E89+E90+E91+E92+E194+E195+E196+E197+E201+E204+E191+E192+E23+E28+E33+E38+E39+E43+E47+E48</f>
        <v>1679215.8000000003</v>
      </c>
      <c r="F213" s="23">
        <f>F80+F81+F82+F83+F84+F85+F86+F87+F88+F89+F90+F91+F92+F194+F195+F196+F197+F201+F204+F191+F192+F23+F28+F33+F38+F39+F43+F47+F48+F198+F199+F106+F107+F108+F109+F110+F111</f>
        <v>38619.200000000004</v>
      </c>
      <c r="G213" s="23">
        <f t="shared" si="238"/>
        <v>2026891.7999999998</v>
      </c>
      <c r="H213" s="23">
        <f>H80+H81+H82+H83+H84+H85+H86+H87+H88+H89+H90+H91+H92+H194+H195+H196+H197+H201+H204+H191+H192+H23+H28+H33+H38+H39+H43+H47+H48+H198+H199+H106+H107+H108+H109+H110+H111</f>
        <v>150731.09999999998</v>
      </c>
      <c r="I213" s="23">
        <f t="shared" si="239"/>
        <v>1829946.9000000004</v>
      </c>
      <c r="J213" s="23">
        <f>J80+J81+J82+J83+J84+J85+J86+J87+J88+J89+J90+J91+J92+J194+J195+J196+J197+J201+J204+J191+J192+J23+J28+J33+J38+J39+J43+J47+J48+J198+J199+J106+J107+J108+J109+J110+J111</f>
        <v>97580.934000000008</v>
      </c>
      <c r="K213" s="23">
        <f t="shared" si="237"/>
        <v>2124472.7339999997</v>
      </c>
      <c r="L213" s="23">
        <f>L80+L81+L82+L83+L84+L85+L86+L87+L88+L89+L90+L91+L92+L194+L195+L196+L197+L201+L204+L191+L192+L23+L28+L33+L38+L39+L43+L47+L48+L198+L199+L106+L107+L108+L109+L110+L111</f>
        <v>39449.546999999999</v>
      </c>
      <c r="M213" s="23">
        <f t="shared" si="249"/>
        <v>1869396.4470000004</v>
      </c>
      <c r="N213" s="23">
        <f>N80+N81+N82+N83+N84+N85+N86+N87+N88+N89+N90+N91+N92+N194+N195+N196+N197+N201+N204+N191+N192+N23+N28+N33+N38+N39+N43+N47+N48+N198+N199+N106+N107+N108+N109+N110+N111</f>
        <v>0</v>
      </c>
      <c r="O213" s="23">
        <f t="shared" si="250"/>
        <v>2124472.7339999997</v>
      </c>
      <c r="P213" s="23">
        <f>P80+P81+P82+P83+P84+P85+P86+P87+P88+P89+P90+P91+P92+P194+P195+P196+P197+P201+P204+P191+P192+P23+P28+P33+P38+P39+P43+P47+P48+P198+P199+P106+P107+P108+P109+P110+P111</f>
        <v>-39449.546999999999</v>
      </c>
      <c r="Q213" s="23">
        <f t="shared" si="251"/>
        <v>1829946.9000000004</v>
      </c>
      <c r="R213" s="23">
        <f>R80+R81+R82+R83+R84+R85+R86+R87+R88+R89+R90+R91+R92+R194+R195+R196+R197+R201+R204+R191+R192+R23+R28+R33+R38+R39+R43+R47+R48+R198+R199+R106+R107+R108+R109+R110+R111+R60+R66+R71</f>
        <v>185644.20600000001</v>
      </c>
      <c r="S213" s="23">
        <f t="shared" si="252"/>
        <v>2310116.9399999995</v>
      </c>
      <c r="T213" s="23">
        <f>T80+T81+T82+T83+T84+T85+T86+T87+T88+T89+T90+T91+T92+T194+T195+T196+T197+T201+T204+T191+T192+T23+T28+T33+T38+T39+T43+T47+T48+T198+T199+T106+T107+T108+T109+T110+T111+T60+T66+T71</f>
        <v>19580.39999999998</v>
      </c>
      <c r="U213" s="23">
        <f t="shared" si="253"/>
        <v>1849527.3000000003</v>
      </c>
      <c r="V213" s="23">
        <f>V80+V81+V82+V83+V84+V85+V86+V87+V88+V89+V90+V91+V92+V194+V195+V196+V197+V201+V204+V191+V192+V23+V28+V33+V38+V39+V43+V47+V48+V198+V199+V106+V107+V108+V109+V110+V111+V60+V66+V71</f>
        <v>23185.34</v>
      </c>
      <c r="W213" s="23">
        <f t="shared" si="254"/>
        <v>2333302.2799999993</v>
      </c>
      <c r="X213" s="23">
        <f>X80+X81+X82+X83+X84+X85+X86+X87+X88+X89+X90+X91+X92+X194+X195+X196+X197+X201+X204+X191+X192+X23+X28+X33+X38+X39+X43+X47+X48+X198+X199+X106+X107+X108+X109+X110+X111+X60+X66+X71</f>
        <v>0</v>
      </c>
      <c r="Y213" s="23">
        <f t="shared" si="255"/>
        <v>1849527.3000000003</v>
      </c>
      <c r="Z213" s="22">
        <f>Z80+Z81+Z82+Z83+Z84+Z85+Z86+Z87+Z88+Z89+Z90+Z91+Z92+Z194+Z195+Z196+Z197+Z201+Z204+Z191+Z192+Z23+Z28+Z33+Z38+Z39+Z43+Z47+Z48+Z198+Z199+Z106+Z107+Z108+Z109+Z110+Z111+Z60+Z66+Z71+Z56+Z58+Z202+Z72+Z73</f>
        <v>190757.07600000003</v>
      </c>
      <c r="AA213" s="48">
        <f t="shared" si="256"/>
        <v>2524059.3559999992</v>
      </c>
      <c r="AB213" s="22">
        <f>AB80+AB81+AB82+AB83+AB84+AB85+AB86+AB87+AB88+AB89+AB90+AB91+AB92+AB194+AB195+AB196+AB197+AB201+AB204+AB191+AB192+AB23+AB28+AB33+AB38+AB39+AB43+AB47+AB48+AB198+AB199+AB106+AB107+AB108+AB109+AB110+AB111+AB60+AB66+AB71+AB56+AB58+AB202+AB72+AB73</f>
        <v>340318.09100000001</v>
      </c>
      <c r="AC213" s="48">
        <f t="shared" si="257"/>
        <v>2189845.3910000003</v>
      </c>
    </row>
    <row r="214" spans="1:29" x14ac:dyDescent="0.35">
      <c r="A214" s="62"/>
      <c r="B214" s="85" t="s">
        <v>3</v>
      </c>
      <c r="C214" s="84"/>
      <c r="D214" s="23">
        <f>D93+D99+D102</f>
        <v>1227676.3</v>
      </c>
      <c r="E214" s="23">
        <f>E93+E99+E102</f>
        <v>554800.5</v>
      </c>
      <c r="F214" s="23">
        <f>F93+F99+F102</f>
        <v>42143.399999999994</v>
      </c>
      <c r="G214" s="23">
        <f t="shared" si="238"/>
        <v>1269819.7</v>
      </c>
      <c r="H214" s="23">
        <f>H93+H99+H102</f>
        <v>230143.4</v>
      </c>
      <c r="I214" s="23">
        <f t="shared" si="239"/>
        <v>784943.9</v>
      </c>
      <c r="J214" s="23">
        <f>J93+J99+J102</f>
        <v>0</v>
      </c>
      <c r="K214" s="23">
        <f t="shared" si="237"/>
        <v>1269819.7</v>
      </c>
      <c r="L214" s="23">
        <f>L93+L99+L102</f>
        <v>0</v>
      </c>
      <c r="M214" s="23">
        <f t="shared" si="249"/>
        <v>784943.9</v>
      </c>
      <c r="N214" s="23">
        <f>N93+N99+N102</f>
        <v>0</v>
      </c>
      <c r="O214" s="23">
        <f t="shared" si="250"/>
        <v>1269819.7</v>
      </c>
      <c r="P214" s="23">
        <f>P93+P99+P102</f>
        <v>0</v>
      </c>
      <c r="Q214" s="23">
        <f t="shared" si="251"/>
        <v>784943.9</v>
      </c>
      <c r="R214" s="23">
        <f>R93+R99+R102</f>
        <v>0</v>
      </c>
      <c r="S214" s="23">
        <f t="shared" si="252"/>
        <v>1269819.7</v>
      </c>
      <c r="T214" s="23">
        <f>T93+T99+T102</f>
        <v>0</v>
      </c>
      <c r="U214" s="23">
        <f t="shared" si="253"/>
        <v>784943.9</v>
      </c>
      <c r="V214" s="23">
        <f>V93+V99+V102</f>
        <v>0</v>
      </c>
      <c r="W214" s="23">
        <f t="shared" si="254"/>
        <v>1269819.7</v>
      </c>
      <c r="X214" s="23">
        <f>X93+X99+X102</f>
        <v>0</v>
      </c>
      <c r="Y214" s="23">
        <f t="shared" si="255"/>
        <v>784943.9</v>
      </c>
      <c r="Z214" s="22">
        <f>Z93+Z99+Z102</f>
        <v>202654.14</v>
      </c>
      <c r="AA214" s="48">
        <f t="shared" si="256"/>
        <v>1472473.8399999999</v>
      </c>
      <c r="AB214" s="22">
        <f>AB93+AB99+AB102</f>
        <v>458995.10799999995</v>
      </c>
      <c r="AC214" s="48">
        <f t="shared" si="257"/>
        <v>1243939.0079999999</v>
      </c>
    </row>
    <row r="215" spans="1:29" x14ac:dyDescent="0.35">
      <c r="A215" s="62"/>
      <c r="B215" s="83" t="s">
        <v>5</v>
      </c>
      <c r="C215" s="84"/>
      <c r="D215" s="23">
        <f>D113+D114+D115+D116+D117+D118+D122+D129+D133+D137+D141+D145+D149+D153+D157+D161+D165+D169</f>
        <v>2131040.3999999994</v>
      </c>
      <c r="E215" s="23">
        <f>E113+E114+E115+E116+E117+E118+E122+E129+E133+E137+E141+E145+E149+E153+E157+E161+E165+E169</f>
        <v>1651446.9</v>
      </c>
      <c r="F215" s="23">
        <f>F113+F114+F115+F116+F117+F118+F122+F129+F133+F137+F141+F145+F149+F153+F157+F161+F165+F169</f>
        <v>0</v>
      </c>
      <c r="G215" s="23">
        <f t="shared" si="238"/>
        <v>2131040.3999999994</v>
      </c>
      <c r="H215" s="23">
        <f>H113+H114+H115+H116+H117+H118+H122+H129+H133+H137+H141+H145+H149+H153+H157+H161+H165+H169</f>
        <v>0</v>
      </c>
      <c r="I215" s="23">
        <f t="shared" si="239"/>
        <v>1651446.9</v>
      </c>
      <c r="J215" s="23">
        <f>J113+J114+J115+J116+J117+J118+J122+J129+J133+J137+J141+J145+J149+J153+J157+J161+J165+J169+J123</f>
        <v>32968.798999999999</v>
      </c>
      <c r="K215" s="23">
        <f t="shared" si="237"/>
        <v>2164009.1989999996</v>
      </c>
      <c r="L215" s="23">
        <f>L113+L114+L115+L116+L117+L118+L122+L129+L133+L137+L141+L145+L149+L153+L157+L161+L165+L169+L123</f>
        <v>0</v>
      </c>
      <c r="M215" s="23">
        <f t="shared" si="249"/>
        <v>1651446.9</v>
      </c>
      <c r="N215" s="23">
        <f>N113+N114+N115+N116+N117+N118+N122+N129+N133+N137+N141+N145+N149+N153+N157+N161+N165+N169+N123</f>
        <v>0</v>
      </c>
      <c r="O215" s="23">
        <f t="shared" si="250"/>
        <v>2164009.1989999996</v>
      </c>
      <c r="P215" s="23">
        <f>P113+P114+P115+P116+P117+P118+P122+P129+P133+P137+P141+P145+P149+P153+P157+P161+P165+P169+P123</f>
        <v>0</v>
      </c>
      <c r="Q215" s="23">
        <f t="shared" si="251"/>
        <v>1651446.9</v>
      </c>
      <c r="R215" s="23">
        <f>R113+R114+R115+R116+R117+R118+R122+R129+R133+R137+R141+R145+R149+R153+R157+R161+R165+R169+R123+R173+R177</f>
        <v>404169.76</v>
      </c>
      <c r="S215" s="23">
        <f t="shared" si="252"/>
        <v>2568178.9589999998</v>
      </c>
      <c r="T215" s="23">
        <f>T113+T114+T115+T116+T117+T118+T122+T129+T133+T137+T141+T145+T149+T153+T157+T161+T165+T169+T123+T173+T177</f>
        <v>0</v>
      </c>
      <c r="U215" s="23">
        <f t="shared" si="253"/>
        <v>1651446.9</v>
      </c>
      <c r="V215" s="23">
        <f>V113+V114+V115+V116+V117+V118+V122+V129+V133+V137+V141+V145+V149+V153+V157+V161+V165+V169+V123+V173+V177</f>
        <v>0</v>
      </c>
      <c r="W215" s="23">
        <f t="shared" si="254"/>
        <v>2568178.9589999998</v>
      </c>
      <c r="X215" s="23">
        <f>X113+X114+X115+X116+X117+X118+X122+X129+X133+X137+X141+X145+X149+X153+X157+X161+X165+X169+X123+X173+X177</f>
        <v>0</v>
      </c>
      <c r="Y215" s="23">
        <f t="shared" si="255"/>
        <v>1651446.9</v>
      </c>
      <c r="Z215" s="22">
        <f>Z113+Z114+Z115+Z116+Z117+Z118+Z122+Z129+Z133+Z137+Z141+Z145+Z149+Z153+Z157+Z161+Z165+Z169+Z123+Z173+Z177+Z181+Z124+Z182+Z186</f>
        <v>-40372.003000000004</v>
      </c>
      <c r="AA215" s="48">
        <f t="shared" si="256"/>
        <v>2527806.9559999998</v>
      </c>
      <c r="AB215" s="22">
        <f>AB113+AB114+AB115+AB116+AB117+AB118+AB122+AB129+AB133+AB137+AB141+AB145+AB149+AB153+AB157+AB161+AB165+AB169+AB123+AB173+AB177+AB181+AB124+AB182+AB186</f>
        <v>583602.64500000002</v>
      </c>
      <c r="AC215" s="48">
        <f t="shared" si="257"/>
        <v>2235049.5449999999</v>
      </c>
    </row>
    <row r="218" spans="1:29" x14ac:dyDescent="0.35"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7"/>
      <c r="AA218" s="65"/>
      <c r="AB218" s="17"/>
      <c r="AC218" s="65"/>
    </row>
    <row r="327" spans="43:43" x14ac:dyDescent="0.35">
      <c r="AQ327" s="38">
        <f>12342.6</f>
        <v>12342.6</v>
      </c>
    </row>
  </sheetData>
  <sheetProtection password="CF5C" sheet="1" objects="1" scenarios="1"/>
  <autoFilter ref="A17:AE215">
    <filterColumn colId="30">
      <filters blank="1"/>
    </filterColumn>
  </autoFilter>
  <mergeCells count="42">
    <mergeCell ref="S16:S17"/>
    <mergeCell ref="T16:T17"/>
    <mergeCell ref="U16:U17"/>
    <mergeCell ref="E16:E17"/>
    <mergeCell ref="H16:H17"/>
    <mergeCell ref="I16:I17"/>
    <mergeCell ref="F16:F17"/>
    <mergeCell ref="G16:G17"/>
    <mergeCell ref="Q16:Q17"/>
    <mergeCell ref="L16:L17"/>
    <mergeCell ref="M16:M17"/>
    <mergeCell ref="R16:R17"/>
    <mergeCell ref="P16:P17"/>
    <mergeCell ref="B215:C215"/>
    <mergeCell ref="B214:C214"/>
    <mergeCell ref="A16:A17"/>
    <mergeCell ref="B16:B17"/>
    <mergeCell ref="C16:C17"/>
    <mergeCell ref="B211:C211"/>
    <mergeCell ref="B205:C205"/>
    <mergeCell ref="B206:C206"/>
    <mergeCell ref="B207:C207"/>
    <mergeCell ref="B212:C212"/>
    <mergeCell ref="B213:C213"/>
    <mergeCell ref="A59:A60"/>
    <mergeCell ref="B210:C210"/>
    <mergeCell ref="AA4:AC4"/>
    <mergeCell ref="Z16:Z17"/>
    <mergeCell ref="AA16:AA17"/>
    <mergeCell ref="AB16:AB17"/>
    <mergeCell ref="AC16:AC17"/>
    <mergeCell ref="A11:AC11"/>
    <mergeCell ref="A12:AC13"/>
    <mergeCell ref="V16:V17"/>
    <mergeCell ref="W16:W17"/>
    <mergeCell ref="X16:X17"/>
    <mergeCell ref="Y16:Y17"/>
    <mergeCell ref="D16:D17"/>
    <mergeCell ref="J16:J17"/>
    <mergeCell ref="K16:K17"/>
    <mergeCell ref="N16:N17"/>
    <mergeCell ref="O16:O17"/>
  </mergeCells>
  <pageMargins left="0.98425196850393704" right="0.39370078740157483" top="0.54" bottom="0.78740157480314965" header="0.51181102362204722" footer="0.51181102362204722"/>
  <pageSetup paperSize="9" scale="62" fitToHeight="0" orientation="portrait" horizontalDpi="4294967294" verticalDpi="4294967294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2020-2021</vt:lpstr>
      <vt:lpstr>'2020-2021'!Заголовки_для_печати</vt:lpstr>
      <vt:lpstr>'2020-2021'!Область_печати</vt:lpstr>
    </vt:vector>
  </TitlesOfParts>
  <Company>Департамент финансов администрации г.Перми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Катцина Анна Владиславовна</dc:creator>
  <cp:lastModifiedBy>Колышкина Елена Владимировна</cp:lastModifiedBy>
  <cp:lastPrinted>2019-06-25T11:31:19Z</cp:lastPrinted>
  <dcterms:created xsi:type="dcterms:W3CDTF">2014-02-04T08:37:28Z</dcterms:created>
  <dcterms:modified xsi:type="dcterms:W3CDTF">2019-06-25T12:46:49Z</dcterms:modified>
</cp:coreProperties>
</file>