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2"/>
  </bookViews>
  <sheets>
    <sheet name="2022-2024" sheetId="1" r:id="rId1"/>
  </sheets>
  <definedNames>
    <definedName name="_xlnm._FilterDatabase" localSheetId="0" hidden="1">'2022-2024'!$A$17:$U$246</definedName>
    <definedName name="_xlnm.Print_Titles" localSheetId="0">'2022-2024'!$16:$17</definedName>
    <definedName name="_xlnm.Print_Area" localSheetId="0">'2022-2024'!$A$1:$R$244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" i="1" l="1"/>
  <c r="G207" i="1" l="1"/>
  <c r="G196" i="1"/>
  <c r="G105" i="1"/>
  <c r="G96" i="1"/>
  <c r="G47" i="1"/>
  <c r="G28" i="1"/>
  <c r="Q200" i="1" l="1"/>
  <c r="L200" i="1"/>
  <c r="G200" i="1"/>
  <c r="Q245" i="1" l="1"/>
  <c r="R245" i="1" s="1"/>
  <c r="L245" i="1"/>
  <c r="M245" i="1" s="1"/>
  <c r="G245" i="1"/>
  <c r="H245" i="1" s="1"/>
  <c r="Q229" i="1"/>
  <c r="I229" i="1"/>
  <c r="J229" i="1"/>
  <c r="L229" i="1"/>
  <c r="G229" i="1"/>
  <c r="R230" i="1"/>
  <c r="R229" i="1" s="1"/>
  <c r="M230" i="1"/>
  <c r="M229" i="1" s="1"/>
  <c r="H230" i="1"/>
  <c r="H229" i="1" s="1"/>
  <c r="G99" i="1"/>
  <c r="G168" i="1"/>
  <c r="R213" i="1"/>
  <c r="M213" i="1"/>
  <c r="H213" i="1"/>
  <c r="Q20" i="1"/>
  <c r="L20" i="1"/>
  <c r="G20" i="1"/>
  <c r="R82" i="1"/>
  <c r="M82" i="1"/>
  <c r="H82" i="1"/>
  <c r="Q214" i="1"/>
  <c r="L214" i="1"/>
  <c r="G214" i="1"/>
  <c r="R228" i="1"/>
  <c r="M228" i="1"/>
  <c r="H228" i="1"/>
  <c r="R227" i="1"/>
  <c r="M227" i="1"/>
  <c r="H227" i="1"/>
  <c r="Q149" i="1"/>
  <c r="L149" i="1"/>
  <c r="G149" i="1"/>
  <c r="R194" i="1"/>
  <c r="M194" i="1"/>
  <c r="H194" i="1"/>
  <c r="Q244" i="1" l="1"/>
  <c r="Q243" i="1"/>
  <c r="Q242" i="1"/>
  <c r="Q205" i="1"/>
  <c r="Q198" i="1" s="1"/>
  <c r="Q201" i="1"/>
  <c r="Q195" i="1"/>
  <c r="Q191" i="1"/>
  <c r="Q187" i="1"/>
  <c r="Q183" i="1"/>
  <c r="Q179" i="1"/>
  <c r="Q175" i="1"/>
  <c r="Q171" i="1"/>
  <c r="Q166" i="1"/>
  <c r="Q162" i="1"/>
  <c r="Q158" i="1"/>
  <c r="Q150" i="1"/>
  <c r="Q233" i="1" s="1"/>
  <c r="Q128" i="1"/>
  <c r="Q127" i="1"/>
  <c r="Q126" i="1"/>
  <c r="Q114" i="1"/>
  <c r="Q111" i="1"/>
  <c r="Q108" i="1"/>
  <c r="Q103" i="1"/>
  <c r="Q88" i="1"/>
  <c r="Q87" i="1"/>
  <c r="Q86" i="1"/>
  <c r="Q85" i="1"/>
  <c r="Q63" i="1"/>
  <c r="Q58" i="1"/>
  <c r="Q54" i="1"/>
  <c r="Q45" i="1"/>
  <c r="Q35" i="1"/>
  <c r="Q241" i="1" s="1"/>
  <c r="Q30" i="1"/>
  <c r="Q22" i="1"/>
  <c r="Q21" i="1"/>
  <c r="L244" i="1"/>
  <c r="L243" i="1"/>
  <c r="L242" i="1"/>
  <c r="L205" i="1"/>
  <c r="L198" i="1" s="1"/>
  <c r="L201" i="1"/>
  <c r="L195" i="1"/>
  <c r="L191" i="1"/>
  <c r="L187" i="1"/>
  <c r="L183" i="1"/>
  <c r="L179" i="1"/>
  <c r="L175" i="1"/>
  <c r="L171" i="1"/>
  <c r="L166" i="1"/>
  <c r="L162" i="1"/>
  <c r="L158" i="1"/>
  <c r="L150" i="1"/>
  <c r="L233" i="1" s="1"/>
  <c r="L143" i="1"/>
  <c r="L128" i="1"/>
  <c r="L127" i="1"/>
  <c r="L126" i="1"/>
  <c r="L121" i="1"/>
  <c r="L118" i="1"/>
  <c r="L114" i="1"/>
  <c r="L111" i="1"/>
  <c r="L108" i="1"/>
  <c r="L103" i="1"/>
  <c r="L88" i="1"/>
  <c r="L236" i="1" s="1"/>
  <c r="L87" i="1"/>
  <c r="L86" i="1"/>
  <c r="L85" i="1"/>
  <c r="L63" i="1"/>
  <c r="L58" i="1"/>
  <c r="L54" i="1"/>
  <c r="L45" i="1"/>
  <c r="L35" i="1"/>
  <c r="L241" i="1" s="1"/>
  <c r="L30" i="1"/>
  <c r="L26" i="1"/>
  <c r="L22" i="1"/>
  <c r="L21" i="1"/>
  <c r="G244" i="1"/>
  <c r="G243" i="1"/>
  <c r="G242" i="1"/>
  <c r="G205" i="1"/>
  <c r="G198" i="1" s="1"/>
  <c r="G201" i="1"/>
  <c r="G195" i="1"/>
  <c r="G191" i="1"/>
  <c r="G187" i="1"/>
  <c r="G183" i="1"/>
  <c r="G179" i="1"/>
  <c r="G175" i="1"/>
  <c r="G171" i="1"/>
  <c r="G166" i="1"/>
  <c r="G162" i="1"/>
  <c r="G158" i="1"/>
  <c r="G150" i="1"/>
  <c r="G233" i="1" s="1"/>
  <c r="G143" i="1"/>
  <c r="G128" i="1"/>
  <c r="G127" i="1"/>
  <c r="G126" i="1"/>
  <c r="G121" i="1"/>
  <c r="G118" i="1"/>
  <c r="G114" i="1"/>
  <c r="G111" i="1"/>
  <c r="G108" i="1"/>
  <c r="G103" i="1"/>
  <c r="G88" i="1"/>
  <c r="G236" i="1" s="1"/>
  <c r="G87" i="1"/>
  <c r="G86" i="1"/>
  <c r="G85" i="1"/>
  <c r="G63" i="1"/>
  <c r="G58" i="1"/>
  <c r="G54" i="1"/>
  <c r="G40" i="1"/>
  <c r="G35" i="1"/>
  <c r="G21" i="1"/>
  <c r="G26" i="1"/>
  <c r="G22" i="1"/>
  <c r="I20" i="1"/>
  <c r="I21" i="1"/>
  <c r="I22" i="1"/>
  <c r="J22" i="1"/>
  <c r="J28" i="1"/>
  <c r="J26" i="1" s="1"/>
  <c r="J30" i="1"/>
  <c r="I35" i="1"/>
  <c r="I241" i="1" s="1"/>
  <c r="J35" i="1"/>
  <c r="J241" i="1" s="1"/>
  <c r="I45" i="1"/>
  <c r="J45" i="1"/>
  <c r="I54" i="1"/>
  <c r="J54" i="1"/>
  <c r="J58" i="1"/>
  <c r="I63" i="1"/>
  <c r="J66" i="1"/>
  <c r="I85" i="1"/>
  <c r="J85" i="1"/>
  <c r="I86" i="1"/>
  <c r="J86" i="1"/>
  <c r="I87" i="1"/>
  <c r="J87" i="1"/>
  <c r="I88" i="1"/>
  <c r="I236" i="1" s="1"/>
  <c r="I103" i="1"/>
  <c r="J107" i="1"/>
  <c r="J103" i="1" s="1"/>
  <c r="I108" i="1"/>
  <c r="J108" i="1"/>
  <c r="I111" i="1"/>
  <c r="J111" i="1"/>
  <c r="I114" i="1"/>
  <c r="J114" i="1"/>
  <c r="J118" i="1"/>
  <c r="J121" i="1"/>
  <c r="I126" i="1"/>
  <c r="J126" i="1"/>
  <c r="I127" i="1"/>
  <c r="J127" i="1"/>
  <c r="I128" i="1"/>
  <c r="I124" i="1" s="1"/>
  <c r="J128" i="1"/>
  <c r="J143" i="1"/>
  <c r="I149" i="1"/>
  <c r="J149" i="1"/>
  <c r="I150" i="1"/>
  <c r="I233" i="1" s="1"/>
  <c r="J150" i="1"/>
  <c r="J233" i="1" s="1"/>
  <c r="I158" i="1"/>
  <c r="J158" i="1"/>
  <c r="I162" i="1"/>
  <c r="J162" i="1"/>
  <c r="I166" i="1"/>
  <c r="J166" i="1"/>
  <c r="I171" i="1"/>
  <c r="J171" i="1"/>
  <c r="I175" i="1"/>
  <c r="J175" i="1"/>
  <c r="I179" i="1"/>
  <c r="J179" i="1"/>
  <c r="I183" i="1"/>
  <c r="J183" i="1"/>
  <c r="I187" i="1"/>
  <c r="J187" i="1"/>
  <c r="I191" i="1"/>
  <c r="J191" i="1"/>
  <c r="I195" i="1"/>
  <c r="J195" i="1"/>
  <c r="I200" i="1"/>
  <c r="J200" i="1"/>
  <c r="I201" i="1"/>
  <c r="J201" i="1"/>
  <c r="I205" i="1"/>
  <c r="I198" i="1" s="1"/>
  <c r="J205" i="1"/>
  <c r="J198" i="1" s="1"/>
  <c r="I214" i="1"/>
  <c r="J214" i="1"/>
  <c r="I242" i="1"/>
  <c r="J242" i="1"/>
  <c r="I243" i="1"/>
  <c r="J243" i="1"/>
  <c r="I244" i="1"/>
  <c r="J244" i="1"/>
  <c r="L240" i="1" l="1"/>
  <c r="Q238" i="1"/>
  <c r="Q147" i="1"/>
  <c r="G240" i="1"/>
  <c r="L238" i="1"/>
  <c r="Q18" i="1"/>
  <c r="L18" i="1"/>
  <c r="Q124" i="1"/>
  <c r="Q240" i="1"/>
  <c r="G147" i="1"/>
  <c r="L147" i="1"/>
  <c r="G235" i="1"/>
  <c r="Q239" i="1"/>
  <c r="L234" i="1"/>
  <c r="L239" i="1"/>
  <c r="J235" i="1"/>
  <c r="G241" i="1"/>
  <c r="L124" i="1"/>
  <c r="G239" i="1"/>
  <c r="L83" i="1"/>
  <c r="Q234" i="1"/>
  <c r="Q83" i="1"/>
  <c r="Q236" i="1"/>
  <c r="Q235" i="1"/>
  <c r="L235" i="1"/>
  <c r="G124" i="1"/>
  <c r="G83" i="1"/>
  <c r="G234" i="1"/>
  <c r="G30" i="1"/>
  <c r="G45" i="1"/>
  <c r="J124" i="1"/>
  <c r="J88" i="1"/>
  <c r="J236" i="1" s="1"/>
  <c r="J21" i="1"/>
  <c r="J234" i="1" s="1"/>
  <c r="J63" i="1"/>
  <c r="J18" i="1" s="1"/>
  <c r="I239" i="1"/>
  <c r="I235" i="1"/>
  <c r="J147" i="1"/>
  <c r="I240" i="1"/>
  <c r="I234" i="1"/>
  <c r="I83" i="1"/>
  <c r="I147" i="1"/>
  <c r="I18" i="1"/>
  <c r="I238" i="1"/>
  <c r="J83" i="1"/>
  <c r="J239" i="1"/>
  <c r="J238" i="1"/>
  <c r="J20" i="1"/>
  <c r="J240" i="1"/>
  <c r="O243" i="1"/>
  <c r="N243" i="1"/>
  <c r="E243" i="1"/>
  <c r="D243" i="1"/>
  <c r="G238" i="1" l="1"/>
  <c r="L231" i="1"/>
  <c r="L246" i="1" s="1"/>
  <c r="Q231" i="1"/>
  <c r="Q246" i="1" s="1"/>
  <c r="G18" i="1"/>
  <c r="G231" i="1" s="1"/>
  <c r="I231" i="1"/>
  <c r="I246" i="1" s="1"/>
  <c r="J231" i="1"/>
  <c r="J246" i="1" s="1"/>
  <c r="E214" i="1"/>
  <c r="E48" i="1"/>
  <c r="E43" i="1"/>
  <c r="G246" i="1" l="1"/>
  <c r="I237" i="1"/>
  <c r="J237" i="1"/>
  <c r="E86" i="1"/>
  <c r="E85" i="1"/>
  <c r="P44" i="1"/>
  <c r="R44" i="1" s="1"/>
  <c r="K44" i="1"/>
  <c r="M44" i="1" s="1"/>
  <c r="O22" i="1"/>
  <c r="O21" i="1"/>
  <c r="O20" i="1"/>
  <c r="E22" i="1"/>
  <c r="E20" i="1"/>
  <c r="O63" i="1" l="1"/>
  <c r="E63" i="1"/>
  <c r="O58" i="1"/>
  <c r="P60" i="1"/>
  <c r="R60" i="1" s="1"/>
  <c r="P61" i="1"/>
  <c r="R61" i="1" s="1"/>
  <c r="P62" i="1"/>
  <c r="R62" i="1" s="1"/>
  <c r="K60" i="1"/>
  <c r="M60" i="1" s="1"/>
  <c r="K61" i="1"/>
  <c r="M61" i="1" s="1"/>
  <c r="K62" i="1"/>
  <c r="M62" i="1" s="1"/>
  <c r="E58" i="1"/>
  <c r="F60" i="1"/>
  <c r="H60" i="1" s="1"/>
  <c r="F61" i="1"/>
  <c r="H61" i="1" s="1"/>
  <c r="F62" i="1"/>
  <c r="H62" i="1" s="1"/>
  <c r="P67" i="1"/>
  <c r="R67" i="1" s="1"/>
  <c r="K67" i="1"/>
  <c r="M67" i="1" s="1"/>
  <c r="F66" i="1"/>
  <c r="H66" i="1" s="1"/>
  <c r="F67" i="1"/>
  <c r="H67" i="1" s="1"/>
  <c r="F44" i="1" l="1"/>
  <c r="H44" i="1" s="1"/>
  <c r="E40" i="1"/>
  <c r="O127" i="1" l="1"/>
  <c r="O126" i="1"/>
  <c r="E127" i="1"/>
  <c r="E126" i="1"/>
  <c r="K143" i="1"/>
  <c r="M143" i="1" s="1"/>
  <c r="P143" i="1"/>
  <c r="R143" i="1" s="1"/>
  <c r="P145" i="1"/>
  <c r="R145" i="1" s="1"/>
  <c r="P146" i="1"/>
  <c r="R146" i="1" s="1"/>
  <c r="K145" i="1"/>
  <c r="M145" i="1" s="1"/>
  <c r="K146" i="1"/>
  <c r="M146" i="1" s="1"/>
  <c r="F145" i="1"/>
  <c r="H145" i="1" s="1"/>
  <c r="F146" i="1"/>
  <c r="H146" i="1" s="1"/>
  <c r="E143" i="1"/>
  <c r="F143" i="1" s="1"/>
  <c r="H143" i="1" s="1"/>
  <c r="P42" i="1"/>
  <c r="R42" i="1" s="1"/>
  <c r="P43" i="1"/>
  <c r="R43" i="1" s="1"/>
  <c r="K42" i="1"/>
  <c r="M42" i="1" s="1"/>
  <c r="K43" i="1"/>
  <c r="M43" i="1" s="1"/>
  <c r="F42" i="1"/>
  <c r="H42" i="1" s="1"/>
  <c r="F43" i="1"/>
  <c r="H43" i="1" s="1"/>
  <c r="P40" i="1"/>
  <c r="R40" i="1" s="1"/>
  <c r="K40" i="1"/>
  <c r="M40" i="1" s="1"/>
  <c r="O244" i="1"/>
  <c r="E244" i="1"/>
  <c r="O85" i="1"/>
  <c r="P101" i="1"/>
  <c r="R101" i="1" s="1"/>
  <c r="K101" i="1"/>
  <c r="M101" i="1" s="1"/>
  <c r="F101" i="1"/>
  <c r="H101" i="1" s="1"/>
  <c r="O215" i="1"/>
  <c r="O214" i="1" s="1"/>
  <c r="P226" i="1"/>
  <c r="R226" i="1" s="1"/>
  <c r="K226" i="1"/>
  <c r="M226" i="1" s="1"/>
  <c r="F226" i="1"/>
  <c r="H226" i="1" s="1"/>
  <c r="O30" i="1"/>
  <c r="F40" i="1" l="1"/>
  <c r="H40" i="1" s="1"/>
  <c r="P32" i="1" l="1"/>
  <c r="R32" i="1" s="1"/>
  <c r="K32" i="1"/>
  <c r="M32" i="1" s="1"/>
  <c r="F32" i="1"/>
  <c r="H32" i="1" s="1"/>
  <c r="E26" i="1" l="1"/>
  <c r="O88" i="1" l="1"/>
  <c r="D88" i="1"/>
  <c r="D85" i="1"/>
  <c r="K118" i="1"/>
  <c r="M118" i="1" s="1"/>
  <c r="K121" i="1"/>
  <c r="M121" i="1" s="1"/>
  <c r="E121" i="1"/>
  <c r="F121" i="1" s="1"/>
  <c r="H121" i="1" s="1"/>
  <c r="E118" i="1"/>
  <c r="F118" i="1" s="1"/>
  <c r="H118" i="1" s="1"/>
  <c r="P118" i="1"/>
  <c r="R118" i="1" s="1"/>
  <c r="P120" i="1"/>
  <c r="R120" i="1" s="1"/>
  <c r="P121" i="1"/>
  <c r="R121" i="1" s="1"/>
  <c r="P123" i="1"/>
  <c r="R123" i="1" s="1"/>
  <c r="K120" i="1"/>
  <c r="M120" i="1" s="1"/>
  <c r="K123" i="1"/>
  <c r="M123" i="1" s="1"/>
  <c r="F120" i="1"/>
  <c r="H120" i="1" s="1"/>
  <c r="F123" i="1"/>
  <c r="H123" i="1" s="1"/>
  <c r="E107" i="1" l="1"/>
  <c r="E88" i="1" s="1"/>
  <c r="E33" i="1" l="1"/>
  <c r="D21" i="1"/>
  <c r="D20" i="1"/>
  <c r="F28" i="1"/>
  <c r="H28" i="1" s="1"/>
  <c r="F29" i="1"/>
  <c r="H29" i="1" s="1"/>
  <c r="P28" i="1"/>
  <c r="R28" i="1" s="1"/>
  <c r="P29" i="1"/>
  <c r="R29" i="1" s="1"/>
  <c r="K28" i="1"/>
  <c r="M28" i="1" s="1"/>
  <c r="K29" i="1"/>
  <c r="M29" i="1" s="1"/>
  <c r="E21" i="1" l="1"/>
  <c r="F21" i="1" s="1"/>
  <c r="H21" i="1" s="1"/>
  <c r="E30" i="1"/>
  <c r="O35" i="1"/>
  <c r="O242" i="1"/>
  <c r="O205" i="1"/>
  <c r="O201" i="1"/>
  <c r="O200" i="1"/>
  <c r="O195" i="1"/>
  <c r="O191" i="1"/>
  <c r="O187" i="1"/>
  <c r="O183" i="1"/>
  <c r="O179" i="1"/>
  <c r="O175" i="1"/>
  <c r="O171" i="1"/>
  <c r="O166" i="1"/>
  <c r="O162" i="1"/>
  <c r="O158" i="1"/>
  <c r="O150" i="1"/>
  <c r="O233" i="1" s="1"/>
  <c r="O149" i="1"/>
  <c r="O128" i="1"/>
  <c r="O114" i="1"/>
  <c r="O111" i="1"/>
  <c r="O108" i="1"/>
  <c r="O103" i="1"/>
  <c r="O236" i="1"/>
  <c r="O87" i="1"/>
  <c r="O86" i="1"/>
  <c r="O54" i="1"/>
  <c r="O45" i="1"/>
  <c r="P225" i="1"/>
  <c r="R225" i="1" s="1"/>
  <c r="P224" i="1"/>
  <c r="R224" i="1" s="1"/>
  <c r="P223" i="1"/>
  <c r="R223" i="1" s="1"/>
  <c r="P222" i="1"/>
  <c r="R222" i="1" s="1"/>
  <c r="P221" i="1"/>
  <c r="R221" i="1" s="1"/>
  <c r="P220" i="1"/>
  <c r="R220" i="1" s="1"/>
  <c r="P219" i="1"/>
  <c r="R219" i="1" s="1"/>
  <c r="P218" i="1"/>
  <c r="R218" i="1" s="1"/>
  <c r="P217" i="1"/>
  <c r="R217" i="1" s="1"/>
  <c r="P216" i="1"/>
  <c r="R216" i="1" s="1"/>
  <c r="P215" i="1"/>
  <c r="R215" i="1" s="1"/>
  <c r="P212" i="1"/>
  <c r="R212" i="1" s="1"/>
  <c r="P211" i="1"/>
  <c r="R211" i="1" s="1"/>
  <c r="P210" i="1"/>
  <c r="R210" i="1" s="1"/>
  <c r="P209" i="1"/>
  <c r="R209" i="1" s="1"/>
  <c r="P208" i="1"/>
  <c r="R208" i="1" s="1"/>
  <c r="P207" i="1"/>
  <c r="R207" i="1" s="1"/>
  <c r="P204" i="1"/>
  <c r="R204" i="1" s="1"/>
  <c r="P203" i="1"/>
  <c r="R203" i="1" s="1"/>
  <c r="P202" i="1"/>
  <c r="R202" i="1" s="1"/>
  <c r="P197" i="1"/>
  <c r="R197" i="1" s="1"/>
  <c r="P196" i="1"/>
  <c r="R196" i="1" s="1"/>
  <c r="P193" i="1"/>
  <c r="R193" i="1" s="1"/>
  <c r="P190" i="1"/>
  <c r="R190" i="1" s="1"/>
  <c r="P189" i="1"/>
  <c r="R189" i="1" s="1"/>
  <c r="P186" i="1"/>
  <c r="R186" i="1" s="1"/>
  <c r="P185" i="1"/>
  <c r="R185" i="1" s="1"/>
  <c r="P182" i="1"/>
  <c r="R182" i="1" s="1"/>
  <c r="P181" i="1"/>
  <c r="R181" i="1" s="1"/>
  <c r="P178" i="1"/>
  <c r="R178" i="1" s="1"/>
  <c r="P177" i="1"/>
  <c r="R177" i="1" s="1"/>
  <c r="P174" i="1"/>
  <c r="R174" i="1" s="1"/>
  <c r="P173" i="1"/>
  <c r="R173" i="1" s="1"/>
  <c r="P170" i="1"/>
  <c r="R170" i="1" s="1"/>
  <c r="P169" i="1"/>
  <c r="R169" i="1" s="1"/>
  <c r="P168" i="1"/>
  <c r="R168" i="1" s="1"/>
  <c r="P165" i="1"/>
  <c r="R165" i="1" s="1"/>
  <c r="P164" i="1"/>
  <c r="R164" i="1" s="1"/>
  <c r="P161" i="1"/>
  <c r="R161" i="1" s="1"/>
  <c r="P160" i="1"/>
  <c r="R160" i="1" s="1"/>
  <c r="P157" i="1"/>
  <c r="R157" i="1" s="1"/>
  <c r="P156" i="1"/>
  <c r="R156" i="1" s="1"/>
  <c r="P155" i="1"/>
  <c r="R155" i="1" s="1"/>
  <c r="P154" i="1"/>
  <c r="R154" i="1" s="1"/>
  <c r="P153" i="1"/>
  <c r="R153" i="1" s="1"/>
  <c r="P152" i="1"/>
  <c r="R152" i="1" s="1"/>
  <c r="P151" i="1"/>
  <c r="R151" i="1" s="1"/>
  <c r="P142" i="1"/>
  <c r="R142" i="1" s="1"/>
  <c r="P141" i="1"/>
  <c r="R141" i="1" s="1"/>
  <c r="P140" i="1"/>
  <c r="R140" i="1" s="1"/>
  <c r="P139" i="1"/>
  <c r="R139" i="1" s="1"/>
  <c r="P138" i="1"/>
  <c r="R138" i="1" s="1"/>
  <c r="P137" i="1"/>
  <c r="R137" i="1" s="1"/>
  <c r="P136" i="1"/>
  <c r="R136" i="1" s="1"/>
  <c r="P135" i="1"/>
  <c r="R135" i="1" s="1"/>
  <c r="P134" i="1"/>
  <c r="R134" i="1" s="1"/>
  <c r="P133" i="1"/>
  <c r="R133" i="1" s="1"/>
  <c r="P132" i="1"/>
  <c r="R132" i="1" s="1"/>
  <c r="P131" i="1"/>
  <c r="R131" i="1" s="1"/>
  <c r="P130" i="1"/>
  <c r="R130" i="1" s="1"/>
  <c r="P117" i="1"/>
  <c r="R117" i="1" s="1"/>
  <c r="P116" i="1"/>
  <c r="R116" i="1" s="1"/>
  <c r="P113" i="1"/>
  <c r="R113" i="1" s="1"/>
  <c r="P110" i="1"/>
  <c r="R110" i="1" s="1"/>
  <c r="P107" i="1"/>
  <c r="R107" i="1" s="1"/>
  <c r="P106" i="1"/>
  <c r="R106" i="1" s="1"/>
  <c r="P105" i="1"/>
  <c r="R105" i="1" s="1"/>
  <c r="P102" i="1"/>
  <c r="R102" i="1" s="1"/>
  <c r="P100" i="1"/>
  <c r="R100" i="1" s="1"/>
  <c r="P99" i="1"/>
  <c r="R99" i="1" s="1"/>
  <c r="P98" i="1"/>
  <c r="R98" i="1" s="1"/>
  <c r="P97" i="1"/>
  <c r="R97" i="1" s="1"/>
  <c r="P96" i="1"/>
  <c r="R96" i="1" s="1"/>
  <c r="P95" i="1"/>
  <c r="R95" i="1" s="1"/>
  <c r="P94" i="1"/>
  <c r="R94" i="1" s="1"/>
  <c r="P93" i="1"/>
  <c r="R93" i="1" s="1"/>
  <c r="P92" i="1"/>
  <c r="R92" i="1" s="1"/>
  <c r="P91" i="1"/>
  <c r="R91" i="1" s="1"/>
  <c r="P90" i="1"/>
  <c r="R90" i="1" s="1"/>
  <c r="P89" i="1"/>
  <c r="R89" i="1" s="1"/>
  <c r="P81" i="1"/>
  <c r="R81" i="1" s="1"/>
  <c r="P80" i="1"/>
  <c r="R80" i="1" s="1"/>
  <c r="P79" i="1"/>
  <c r="R79" i="1" s="1"/>
  <c r="P78" i="1"/>
  <c r="R78" i="1" s="1"/>
  <c r="P77" i="1"/>
  <c r="R77" i="1" s="1"/>
  <c r="P76" i="1"/>
  <c r="R76" i="1" s="1"/>
  <c r="P75" i="1"/>
  <c r="R75" i="1" s="1"/>
  <c r="P74" i="1"/>
  <c r="R74" i="1" s="1"/>
  <c r="P73" i="1"/>
  <c r="R73" i="1" s="1"/>
  <c r="P72" i="1"/>
  <c r="R72" i="1" s="1"/>
  <c r="P71" i="1"/>
  <c r="R71" i="1" s="1"/>
  <c r="P70" i="1"/>
  <c r="R70" i="1" s="1"/>
  <c r="P69" i="1"/>
  <c r="R69" i="1" s="1"/>
  <c r="P68" i="1"/>
  <c r="R68" i="1" s="1"/>
  <c r="P66" i="1"/>
  <c r="R66" i="1" s="1"/>
  <c r="P65" i="1"/>
  <c r="R65" i="1" s="1"/>
  <c r="P58" i="1"/>
  <c r="R58" i="1" s="1"/>
  <c r="P57" i="1"/>
  <c r="R57" i="1" s="1"/>
  <c r="P56" i="1"/>
  <c r="R56" i="1" s="1"/>
  <c r="P53" i="1"/>
  <c r="R53" i="1" s="1"/>
  <c r="P52" i="1"/>
  <c r="R52" i="1" s="1"/>
  <c r="P51" i="1"/>
  <c r="R51" i="1" s="1"/>
  <c r="P50" i="1"/>
  <c r="R50" i="1" s="1"/>
  <c r="P49" i="1"/>
  <c r="R49" i="1" s="1"/>
  <c r="P48" i="1"/>
  <c r="R48" i="1" s="1"/>
  <c r="P47" i="1"/>
  <c r="R47" i="1" s="1"/>
  <c r="P39" i="1"/>
  <c r="R39" i="1" s="1"/>
  <c r="P38" i="1"/>
  <c r="R38" i="1" s="1"/>
  <c r="P37" i="1"/>
  <c r="R37" i="1" s="1"/>
  <c r="P34" i="1"/>
  <c r="R34" i="1" s="1"/>
  <c r="P33" i="1"/>
  <c r="R33" i="1" s="1"/>
  <c r="P30" i="1"/>
  <c r="R30" i="1" s="1"/>
  <c r="P26" i="1"/>
  <c r="R26" i="1" s="1"/>
  <c r="P25" i="1"/>
  <c r="R25" i="1" s="1"/>
  <c r="P24" i="1"/>
  <c r="R24" i="1" s="1"/>
  <c r="P23" i="1"/>
  <c r="R23" i="1" s="1"/>
  <c r="K225" i="1"/>
  <c r="M225" i="1" s="1"/>
  <c r="K224" i="1"/>
  <c r="M224" i="1" s="1"/>
  <c r="K223" i="1"/>
  <c r="M223" i="1" s="1"/>
  <c r="K222" i="1"/>
  <c r="M222" i="1" s="1"/>
  <c r="K221" i="1"/>
  <c r="M221" i="1" s="1"/>
  <c r="K220" i="1"/>
  <c r="M220" i="1" s="1"/>
  <c r="K219" i="1"/>
  <c r="M219" i="1" s="1"/>
  <c r="K218" i="1"/>
  <c r="M218" i="1" s="1"/>
  <c r="K217" i="1"/>
  <c r="M217" i="1" s="1"/>
  <c r="K216" i="1"/>
  <c r="M216" i="1" s="1"/>
  <c r="K215" i="1"/>
  <c r="M215" i="1" s="1"/>
  <c r="K212" i="1"/>
  <c r="M212" i="1" s="1"/>
  <c r="K211" i="1"/>
  <c r="M211" i="1" s="1"/>
  <c r="K210" i="1"/>
  <c r="M210" i="1" s="1"/>
  <c r="K209" i="1"/>
  <c r="M209" i="1" s="1"/>
  <c r="K208" i="1"/>
  <c r="M208" i="1" s="1"/>
  <c r="K207" i="1"/>
  <c r="M207" i="1" s="1"/>
  <c r="K204" i="1"/>
  <c r="M204" i="1" s="1"/>
  <c r="K203" i="1"/>
  <c r="M203" i="1" s="1"/>
  <c r="K202" i="1"/>
  <c r="M202" i="1" s="1"/>
  <c r="K197" i="1"/>
  <c r="M197" i="1" s="1"/>
  <c r="K196" i="1"/>
  <c r="M196" i="1" s="1"/>
  <c r="K193" i="1"/>
  <c r="M193" i="1" s="1"/>
  <c r="K190" i="1"/>
  <c r="M190" i="1" s="1"/>
  <c r="K189" i="1"/>
  <c r="M189" i="1" s="1"/>
  <c r="K186" i="1"/>
  <c r="M186" i="1" s="1"/>
  <c r="K185" i="1"/>
  <c r="M185" i="1" s="1"/>
  <c r="K182" i="1"/>
  <c r="M182" i="1" s="1"/>
  <c r="K181" i="1"/>
  <c r="M181" i="1" s="1"/>
  <c r="K178" i="1"/>
  <c r="M178" i="1" s="1"/>
  <c r="K177" i="1"/>
  <c r="M177" i="1" s="1"/>
  <c r="K174" i="1"/>
  <c r="M174" i="1" s="1"/>
  <c r="K173" i="1"/>
  <c r="M173" i="1" s="1"/>
  <c r="K170" i="1"/>
  <c r="M170" i="1" s="1"/>
  <c r="K169" i="1"/>
  <c r="M169" i="1" s="1"/>
  <c r="K168" i="1"/>
  <c r="M168" i="1" s="1"/>
  <c r="K165" i="1"/>
  <c r="M165" i="1" s="1"/>
  <c r="K164" i="1"/>
  <c r="M164" i="1" s="1"/>
  <c r="K161" i="1"/>
  <c r="M161" i="1" s="1"/>
  <c r="K160" i="1"/>
  <c r="M160" i="1" s="1"/>
  <c r="K157" i="1"/>
  <c r="M157" i="1" s="1"/>
  <c r="K156" i="1"/>
  <c r="M156" i="1" s="1"/>
  <c r="K155" i="1"/>
  <c r="M155" i="1" s="1"/>
  <c r="K154" i="1"/>
  <c r="M154" i="1" s="1"/>
  <c r="K153" i="1"/>
  <c r="M153" i="1" s="1"/>
  <c r="K152" i="1"/>
  <c r="M152" i="1" s="1"/>
  <c r="K151" i="1"/>
  <c r="M151" i="1" s="1"/>
  <c r="K142" i="1"/>
  <c r="M142" i="1" s="1"/>
  <c r="K141" i="1"/>
  <c r="M141" i="1" s="1"/>
  <c r="K140" i="1"/>
  <c r="M140" i="1" s="1"/>
  <c r="K139" i="1"/>
  <c r="M139" i="1" s="1"/>
  <c r="K138" i="1"/>
  <c r="M138" i="1" s="1"/>
  <c r="K137" i="1"/>
  <c r="M137" i="1" s="1"/>
  <c r="K136" i="1"/>
  <c r="M136" i="1" s="1"/>
  <c r="K135" i="1"/>
  <c r="M135" i="1" s="1"/>
  <c r="K134" i="1"/>
  <c r="M134" i="1" s="1"/>
  <c r="K133" i="1"/>
  <c r="M133" i="1" s="1"/>
  <c r="K132" i="1"/>
  <c r="M132" i="1" s="1"/>
  <c r="K131" i="1"/>
  <c r="M131" i="1" s="1"/>
  <c r="K130" i="1"/>
  <c r="M130" i="1" s="1"/>
  <c r="K117" i="1"/>
  <c r="M117" i="1" s="1"/>
  <c r="K116" i="1"/>
  <c r="M116" i="1" s="1"/>
  <c r="K113" i="1"/>
  <c r="M113" i="1" s="1"/>
  <c r="K110" i="1"/>
  <c r="M110" i="1" s="1"/>
  <c r="K107" i="1"/>
  <c r="M107" i="1" s="1"/>
  <c r="K106" i="1"/>
  <c r="M106" i="1" s="1"/>
  <c r="K105" i="1"/>
  <c r="M105" i="1" s="1"/>
  <c r="K102" i="1"/>
  <c r="M102" i="1" s="1"/>
  <c r="K100" i="1"/>
  <c r="M100" i="1" s="1"/>
  <c r="K99" i="1"/>
  <c r="M99" i="1" s="1"/>
  <c r="K98" i="1"/>
  <c r="M98" i="1" s="1"/>
  <c r="K97" i="1"/>
  <c r="M97" i="1" s="1"/>
  <c r="K96" i="1"/>
  <c r="M96" i="1" s="1"/>
  <c r="K95" i="1"/>
  <c r="M95" i="1" s="1"/>
  <c r="K94" i="1"/>
  <c r="M94" i="1" s="1"/>
  <c r="K93" i="1"/>
  <c r="M93" i="1" s="1"/>
  <c r="K92" i="1"/>
  <c r="M92" i="1" s="1"/>
  <c r="K91" i="1"/>
  <c r="M91" i="1" s="1"/>
  <c r="K90" i="1"/>
  <c r="M90" i="1" s="1"/>
  <c r="K89" i="1"/>
  <c r="M89" i="1" s="1"/>
  <c r="K81" i="1"/>
  <c r="M81" i="1" s="1"/>
  <c r="K80" i="1"/>
  <c r="M80" i="1" s="1"/>
  <c r="K79" i="1"/>
  <c r="M79" i="1" s="1"/>
  <c r="K78" i="1"/>
  <c r="M78" i="1" s="1"/>
  <c r="K77" i="1"/>
  <c r="M77" i="1" s="1"/>
  <c r="K76" i="1"/>
  <c r="M76" i="1" s="1"/>
  <c r="K75" i="1"/>
  <c r="M75" i="1" s="1"/>
  <c r="K74" i="1"/>
  <c r="M74" i="1" s="1"/>
  <c r="K73" i="1"/>
  <c r="M73" i="1" s="1"/>
  <c r="K72" i="1"/>
  <c r="M72" i="1" s="1"/>
  <c r="K71" i="1"/>
  <c r="M71" i="1" s="1"/>
  <c r="K70" i="1"/>
  <c r="M70" i="1" s="1"/>
  <c r="K69" i="1"/>
  <c r="M69" i="1" s="1"/>
  <c r="K68" i="1"/>
  <c r="M68" i="1" s="1"/>
  <c r="K66" i="1"/>
  <c r="M66" i="1" s="1"/>
  <c r="K65" i="1"/>
  <c r="M65" i="1" s="1"/>
  <c r="K58" i="1"/>
  <c r="M58" i="1" s="1"/>
  <c r="K57" i="1"/>
  <c r="M57" i="1" s="1"/>
  <c r="K56" i="1"/>
  <c r="M56" i="1" s="1"/>
  <c r="K53" i="1"/>
  <c r="M53" i="1" s="1"/>
  <c r="K52" i="1"/>
  <c r="M52" i="1" s="1"/>
  <c r="K51" i="1"/>
  <c r="M51" i="1" s="1"/>
  <c r="K50" i="1"/>
  <c r="M50" i="1" s="1"/>
  <c r="K49" i="1"/>
  <c r="M49" i="1" s="1"/>
  <c r="K48" i="1"/>
  <c r="M48" i="1" s="1"/>
  <c r="K47" i="1"/>
  <c r="M47" i="1" s="1"/>
  <c r="K39" i="1"/>
  <c r="M39" i="1" s="1"/>
  <c r="K38" i="1"/>
  <c r="M38" i="1" s="1"/>
  <c r="K37" i="1"/>
  <c r="M37" i="1" s="1"/>
  <c r="K34" i="1"/>
  <c r="M34" i="1" s="1"/>
  <c r="K33" i="1"/>
  <c r="M33" i="1" s="1"/>
  <c r="K30" i="1"/>
  <c r="M30" i="1" s="1"/>
  <c r="K26" i="1"/>
  <c r="M26" i="1" s="1"/>
  <c r="K25" i="1"/>
  <c r="M25" i="1" s="1"/>
  <c r="K24" i="1"/>
  <c r="M24" i="1" s="1"/>
  <c r="K23" i="1"/>
  <c r="M23" i="1" s="1"/>
  <c r="F225" i="1"/>
  <c r="H225" i="1" s="1"/>
  <c r="F224" i="1"/>
  <c r="H224" i="1" s="1"/>
  <c r="F223" i="1"/>
  <c r="H223" i="1" s="1"/>
  <c r="F222" i="1"/>
  <c r="H222" i="1" s="1"/>
  <c r="F221" i="1"/>
  <c r="H221" i="1" s="1"/>
  <c r="F220" i="1"/>
  <c r="H220" i="1" s="1"/>
  <c r="F219" i="1"/>
  <c r="H219" i="1" s="1"/>
  <c r="F218" i="1"/>
  <c r="H218" i="1" s="1"/>
  <c r="F217" i="1"/>
  <c r="H217" i="1" s="1"/>
  <c r="F216" i="1"/>
  <c r="H216" i="1" s="1"/>
  <c r="F215" i="1"/>
  <c r="H215" i="1" s="1"/>
  <c r="F212" i="1"/>
  <c r="H212" i="1" s="1"/>
  <c r="F211" i="1"/>
  <c r="H211" i="1" s="1"/>
  <c r="F210" i="1"/>
  <c r="H210" i="1" s="1"/>
  <c r="F209" i="1"/>
  <c r="H209" i="1" s="1"/>
  <c r="F208" i="1"/>
  <c r="H208" i="1" s="1"/>
  <c r="F207" i="1"/>
  <c r="H207" i="1" s="1"/>
  <c r="F204" i="1"/>
  <c r="H204" i="1" s="1"/>
  <c r="F203" i="1"/>
  <c r="H203" i="1" s="1"/>
  <c r="F202" i="1"/>
  <c r="H202" i="1" s="1"/>
  <c r="F197" i="1"/>
  <c r="H197" i="1" s="1"/>
  <c r="F196" i="1"/>
  <c r="H196" i="1" s="1"/>
  <c r="F193" i="1"/>
  <c r="H193" i="1" s="1"/>
  <c r="F190" i="1"/>
  <c r="H190" i="1" s="1"/>
  <c r="F189" i="1"/>
  <c r="H189" i="1" s="1"/>
  <c r="F186" i="1"/>
  <c r="H186" i="1" s="1"/>
  <c r="F185" i="1"/>
  <c r="H185" i="1" s="1"/>
  <c r="F182" i="1"/>
  <c r="H182" i="1" s="1"/>
  <c r="F181" i="1"/>
  <c r="H181" i="1" s="1"/>
  <c r="F178" i="1"/>
  <c r="H178" i="1" s="1"/>
  <c r="F177" i="1"/>
  <c r="H177" i="1" s="1"/>
  <c r="F174" i="1"/>
  <c r="H174" i="1" s="1"/>
  <c r="F173" i="1"/>
  <c r="H173" i="1" s="1"/>
  <c r="F170" i="1"/>
  <c r="H170" i="1" s="1"/>
  <c r="F169" i="1"/>
  <c r="H169" i="1" s="1"/>
  <c r="F168" i="1"/>
  <c r="H168" i="1" s="1"/>
  <c r="F165" i="1"/>
  <c r="H165" i="1" s="1"/>
  <c r="F164" i="1"/>
  <c r="H164" i="1" s="1"/>
  <c r="F161" i="1"/>
  <c r="H161" i="1" s="1"/>
  <c r="F160" i="1"/>
  <c r="H160" i="1" s="1"/>
  <c r="F157" i="1"/>
  <c r="H157" i="1" s="1"/>
  <c r="F156" i="1"/>
  <c r="H156" i="1" s="1"/>
  <c r="F155" i="1"/>
  <c r="H155" i="1" s="1"/>
  <c r="F154" i="1"/>
  <c r="H154" i="1" s="1"/>
  <c r="F153" i="1"/>
  <c r="H153" i="1" s="1"/>
  <c r="F152" i="1"/>
  <c r="H152" i="1" s="1"/>
  <c r="F151" i="1"/>
  <c r="H151" i="1" s="1"/>
  <c r="F142" i="1"/>
  <c r="H142" i="1" s="1"/>
  <c r="F141" i="1"/>
  <c r="H141" i="1" s="1"/>
  <c r="F140" i="1"/>
  <c r="H140" i="1" s="1"/>
  <c r="F139" i="1"/>
  <c r="H139" i="1" s="1"/>
  <c r="F138" i="1"/>
  <c r="H138" i="1" s="1"/>
  <c r="F137" i="1"/>
  <c r="H137" i="1" s="1"/>
  <c r="F136" i="1"/>
  <c r="H136" i="1" s="1"/>
  <c r="F135" i="1"/>
  <c r="H135" i="1" s="1"/>
  <c r="F134" i="1"/>
  <c r="H134" i="1" s="1"/>
  <c r="F133" i="1"/>
  <c r="H133" i="1" s="1"/>
  <c r="F132" i="1"/>
  <c r="H132" i="1" s="1"/>
  <c r="F131" i="1"/>
  <c r="H131" i="1" s="1"/>
  <c r="F130" i="1"/>
  <c r="H130" i="1" s="1"/>
  <c r="F117" i="1"/>
  <c r="H117" i="1" s="1"/>
  <c r="F116" i="1"/>
  <c r="H116" i="1" s="1"/>
  <c r="F113" i="1"/>
  <c r="H113" i="1" s="1"/>
  <c r="F110" i="1"/>
  <c r="H110" i="1" s="1"/>
  <c r="F107" i="1"/>
  <c r="H107" i="1" s="1"/>
  <c r="F106" i="1"/>
  <c r="H106" i="1" s="1"/>
  <c r="F105" i="1"/>
  <c r="H105" i="1" s="1"/>
  <c r="F102" i="1"/>
  <c r="H102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5" i="1"/>
  <c r="H65" i="1" s="1"/>
  <c r="F58" i="1"/>
  <c r="H58" i="1" s="1"/>
  <c r="F57" i="1"/>
  <c r="H57" i="1" s="1"/>
  <c r="F56" i="1"/>
  <c r="H56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39" i="1"/>
  <c r="H39" i="1" s="1"/>
  <c r="F38" i="1"/>
  <c r="H38" i="1" s="1"/>
  <c r="F37" i="1"/>
  <c r="H37" i="1" s="1"/>
  <c r="F34" i="1"/>
  <c r="H34" i="1" s="1"/>
  <c r="F33" i="1"/>
  <c r="H33" i="1" s="1"/>
  <c r="F26" i="1"/>
  <c r="H26" i="1" s="1"/>
  <c r="F25" i="1"/>
  <c r="H25" i="1" s="1"/>
  <c r="F24" i="1"/>
  <c r="H24" i="1" s="1"/>
  <c r="F23" i="1"/>
  <c r="H23" i="1" s="1"/>
  <c r="E242" i="1"/>
  <c r="E205" i="1"/>
  <c r="E198" i="1" s="1"/>
  <c r="E201" i="1"/>
  <c r="E200" i="1"/>
  <c r="E195" i="1"/>
  <c r="E191" i="1"/>
  <c r="E187" i="1"/>
  <c r="E183" i="1"/>
  <c r="E179" i="1"/>
  <c r="E175" i="1"/>
  <c r="E171" i="1"/>
  <c r="E166" i="1"/>
  <c r="E162" i="1"/>
  <c r="E158" i="1"/>
  <c r="E150" i="1"/>
  <c r="E233" i="1" s="1"/>
  <c r="E149" i="1"/>
  <c r="E128" i="1"/>
  <c r="E114" i="1"/>
  <c r="E111" i="1"/>
  <c r="E108" i="1"/>
  <c r="E103" i="1"/>
  <c r="E236" i="1"/>
  <c r="E87" i="1"/>
  <c r="E54" i="1"/>
  <c r="E45" i="1"/>
  <c r="E35" i="1"/>
  <c r="E241" i="1" s="1"/>
  <c r="O238" i="1" l="1"/>
  <c r="E238" i="1"/>
  <c r="E83" i="1"/>
  <c r="E124" i="1"/>
  <c r="E240" i="1"/>
  <c r="O83" i="1"/>
  <c r="O124" i="1"/>
  <c r="O240" i="1"/>
  <c r="E18" i="1"/>
  <c r="O241" i="1"/>
  <c r="O18" i="1"/>
  <c r="E235" i="1"/>
  <c r="O235" i="1"/>
  <c r="O239" i="1"/>
  <c r="O198" i="1"/>
  <c r="O147" i="1"/>
  <c r="O234" i="1"/>
  <c r="E234" i="1"/>
  <c r="E147" i="1"/>
  <c r="E239" i="1"/>
  <c r="K214" i="1"/>
  <c r="M214" i="1" s="1"/>
  <c r="N214" i="1"/>
  <c r="P214" i="1" s="1"/>
  <c r="R214" i="1" s="1"/>
  <c r="D214" i="1"/>
  <c r="F214" i="1" s="1"/>
  <c r="H214" i="1" s="1"/>
  <c r="O231" i="1" l="1"/>
  <c r="O246" i="1" s="1"/>
  <c r="E231" i="1"/>
  <c r="E246" i="1" s="1"/>
  <c r="K149" i="1"/>
  <c r="M149" i="1" s="1"/>
  <c r="N149" i="1"/>
  <c r="P149" i="1" s="1"/>
  <c r="R149" i="1" s="1"/>
  <c r="K150" i="1"/>
  <c r="M150" i="1" s="1"/>
  <c r="N150" i="1"/>
  <c r="P150" i="1" s="1"/>
  <c r="R150" i="1" s="1"/>
  <c r="D149" i="1"/>
  <c r="F149" i="1" s="1"/>
  <c r="H149" i="1" s="1"/>
  <c r="D150" i="1"/>
  <c r="F150" i="1" s="1"/>
  <c r="H150" i="1" s="1"/>
  <c r="K187" i="1"/>
  <c r="M187" i="1" s="1"/>
  <c r="N187" i="1"/>
  <c r="P187" i="1" s="1"/>
  <c r="R187" i="1" s="1"/>
  <c r="D187" i="1"/>
  <c r="F187" i="1" s="1"/>
  <c r="H187" i="1" s="1"/>
  <c r="O237" i="1" l="1"/>
  <c r="K126" i="1"/>
  <c r="M126" i="1" s="1"/>
  <c r="N126" i="1"/>
  <c r="P126" i="1" s="1"/>
  <c r="R126" i="1" s="1"/>
  <c r="D126" i="1"/>
  <c r="F126" i="1" s="1"/>
  <c r="H126" i="1" s="1"/>
  <c r="N88" i="1" l="1"/>
  <c r="K87" i="1"/>
  <c r="M87" i="1" s="1"/>
  <c r="N87" i="1"/>
  <c r="P87" i="1" s="1"/>
  <c r="R87" i="1" s="1"/>
  <c r="D87" i="1"/>
  <c r="F87" i="1" s="1"/>
  <c r="H87" i="1" s="1"/>
  <c r="K86" i="1"/>
  <c r="M86" i="1" s="1"/>
  <c r="N86" i="1"/>
  <c r="P86" i="1" s="1"/>
  <c r="R86" i="1" s="1"/>
  <c r="D86" i="1"/>
  <c r="F86" i="1" s="1"/>
  <c r="H86" i="1" s="1"/>
  <c r="K85" i="1"/>
  <c r="M85" i="1" s="1"/>
  <c r="N85" i="1"/>
  <c r="P85" i="1" s="1"/>
  <c r="R85" i="1" s="1"/>
  <c r="F85" i="1"/>
  <c r="H85" i="1" s="1"/>
  <c r="K114" i="1"/>
  <c r="M114" i="1" s="1"/>
  <c r="N114" i="1"/>
  <c r="P114" i="1" s="1"/>
  <c r="R114" i="1" s="1"/>
  <c r="D114" i="1"/>
  <c r="F114" i="1" s="1"/>
  <c r="H114" i="1" s="1"/>
  <c r="K111" i="1"/>
  <c r="M111" i="1" s="1"/>
  <c r="N111" i="1"/>
  <c r="P111" i="1" s="1"/>
  <c r="R111" i="1" s="1"/>
  <c r="D111" i="1"/>
  <c r="F111" i="1" s="1"/>
  <c r="H111" i="1" s="1"/>
  <c r="K108" i="1"/>
  <c r="M108" i="1" s="1"/>
  <c r="N108" i="1"/>
  <c r="P108" i="1" s="1"/>
  <c r="R108" i="1" s="1"/>
  <c r="D108" i="1"/>
  <c r="F108" i="1" s="1"/>
  <c r="H108" i="1" s="1"/>
  <c r="K103" i="1"/>
  <c r="M103" i="1" s="1"/>
  <c r="N103" i="1"/>
  <c r="P103" i="1" s="1"/>
  <c r="R103" i="1" s="1"/>
  <c r="D103" i="1"/>
  <c r="F103" i="1" s="1"/>
  <c r="H103" i="1" s="1"/>
  <c r="N236" i="1" l="1"/>
  <c r="P236" i="1" s="1"/>
  <c r="R236" i="1" s="1"/>
  <c r="P88" i="1"/>
  <c r="R88" i="1" s="1"/>
  <c r="K236" i="1"/>
  <c r="M236" i="1" s="1"/>
  <c r="K88" i="1"/>
  <c r="M88" i="1" s="1"/>
  <c r="D236" i="1"/>
  <c r="F236" i="1" s="1"/>
  <c r="H236" i="1" s="1"/>
  <c r="F88" i="1"/>
  <c r="H88" i="1" s="1"/>
  <c r="N83" i="1"/>
  <c r="P83" i="1" s="1"/>
  <c r="R83" i="1" s="1"/>
  <c r="D239" i="1"/>
  <c r="F239" i="1" s="1"/>
  <c r="H239" i="1" s="1"/>
  <c r="N239" i="1"/>
  <c r="P239" i="1" s="1"/>
  <c r="R239" i="1" s="1"/>
  <c r="K83" i="1"/>
  <c r="M83" i="1" s="1"/>
  <c r="D83" i="1"/>
  <c r="F83" i="1" s="1"/>
  <c r="H83" i="1" s="1"/>
  <c r="K239" i="1"/>
  <c r="M239" i="1" s="1"/>
  <c r="K201" i="1" l="1"/>
  <c r="M201" i="1" s="1"/>
  <c r="N201" i="1"/>
  <c r="P201" i="1" s="1"/>
  <c r="R201" i="1" s="1"/>
  <c r="D201" i="1"/>
  <c r="F201" i="1" s="1"/>
  <c r="H201" i="1" s="1"/>
  <c r="K200" i="1"/>
  <c r="M200" i="1" s="1"/>
  <c r="N200" i="1"/>
  <c r="P200" i="1" s="1"/>
  <c r="R200" i="1" s="1"/>
  <c r="D200" i="1"/>
  <c r="F200" i="1" s="1"/>
  <c r="H200" i="1" s="1"/>
  <c r="N205" i="1"/>
  <c r="D205" i="1"/>
  <c r="P243" i="1" l="1"/>
  <c r="R243" i="1" s="1"/>
  <c r="P205" i="1"/>
  <c r="R205" i="1" s="1"/>
  <c r="K198" i="1"/>
  <c r="M198" i="1" s="1"/>
  <c r="K205" i="1"/>
  <c r="M205" i="1" s="1"/>
  <c r="D198" i="1"/>
  <c r="F198" i="1" s="1"/>
  <c r="H198" i="1" s="1"/>
  <c r="F205" i="1"/>
  <c r="H205" i="1" s="1"/>
  <c r="N198" i="1"/>
  <c r="P198" i="1" s="1"/>
  <c r="R198" i="1" s="1"/>
  <c r="K243" i="1"/>
  <c r="M243" i="1" s="1"/>
  <c r="F243" i="1"/>
  <c r="H243" i="1" s="1"/>
  <c r="K242" i="1" l="1"/>
  <c r="M242" i="1" s="1"/>
  <c r="N242" i="1"/>
  <c r="P242" i="1" s="1"/>
  <c r="R242" i="1" s="1"/>
  <c r="D242" i="1"/>
  <c r="F242" i="1" s="1"/>
  <c r="H242" i="1" s="1"/>
  <c r="K195" i="1"/>
  <c r="M195" i="1" s="1"/>
  <c r="N195" i="1"/>
  <c r="P195" i="1" s="1"/>
  <c r="R195" i="1" s="1"/>
  <c r="D195" i="1"/>
  <c r="F195" i="1" s="1"/>
  <c r="H195" i="1" s="1"/>
  <c r="K233" i="1" l="1"/>
  <c r="M233" i="1" s="1"/>
  <c r="N233" i="1"/>
  <c r="P233" i="1" s="1"/>
  <c r="R233" i="1" s="1"/>
  <c r="D233" i="1"/>
  <c r="F233" i="1" s="1"/>
  <c r="H233" i="1" s="1"/>
  <c r="K191" i="1"/>
  <c r="M191" i="1" s="1"/>
  <c r="N191" i="1"/>
  <c r="P191" i="1" s="1"/>
  <c r="R191" i="1" s="1"/>
  <c r="D191" i="1"/>
  <c r="F191" i="1" s="1"/>
  <c r="H191" i="1" s="1"/>
  <c r="K183" i="1"/>
  <c r="M183" i="1" s="1"/>
  <c r="N183" i="1"/>
  <c r="P183" i="1" s="1"/>
  <c r="R183" i="1" s="1"/>
  <c r="D183" i="1"/>
  <c r="F183" i="1" s="1"/>
  <c r="H183" i="1" s="1"/>
  <c r="K179" i="1"/>
  <c r="M179" i="1" s="1"/>
  <c r="N179" i="1"/>
  <c r="P179" i="1" s="1"/>
  <c r="R179" i="1" s="1"/>
  <c r="D179" i="1"/>
  <c r="F179" i="1" s="1"/>
  <c r="H179" i="1" s="1"/>
  <c r="K175" i="1"/>
  <c r="M175" i="1" s="1"/>
  <c r="N175" i="1"/>
  <c r="P175" i="1" s="1"/>
  <c r="R175" i="1" s="1"/>
  <c r="D175" i="1"/>
  <c r="F175" i="1" s="1"/>
  <c r="H175" i="1" s="1"/>
  <c r="K171" i="1"/>
  <c r="M171" i="1" s="1"/>
  <c r="N171" i="1"/>
  <c r="P171" i="1" s="1"/>
  <c r="R171" i="1" s="1"/>
  <c r="D171" i="1"/>
  <c r="F171" i="1" s="1"/>
  <c r="H171" i="1" s="1"/>
  <c r="K166" i="1"/>
  <c r="M166" i="1" s="1"/>
  <c r="N166" i="1"/>
  <c r="P166" i="1" s="1"/>
  <c r="R166" i="1" s="1"/>
  <c r="D166" i="1"/>
  <c r="F166" i="1" s="1"/>
  <c r="H166" i="1" s="1"/>
  <c r="K162" i="1"/>
  <c r="M162" i="1" s="1"/>
  <c r="N162" i="1"/>
  <c r="P162" i="1" s="1"/>
  <c r="R162" i="1" s="1"/>
  <c r="D162" i="1"/>
  <c r="F162" i="1" s="1"/>
  <c r="H162" i="1" s="1"/>
  <c r="K158" i="1"/>
  <c r="M158" i="1" s="1"/>
  <c r="N158" i="1"/>
  <c r="P158" i="1" s="1"/>
  <c r="R158" i="1" s="1"/>
  <c r="D158" i="1"/>
  <c r="F158" i="1" s="1"/>
  <c r="H158" i="1" s="1"/>
  <c r="K127" i="1"/>
  <c r="M127" i="1" s="1"/>
  <c r="N127" i="1"/>
  <c r="P127" i="1" s="1"/>
  <c r="R127" i="1" s="1"/>
  <c r="D127" i="1"/>
  <c r="F127" i="1" s="1"/>
  <c r="H127" i="1" s="1"/>
  <c r="K128" i="1"/>
  <c r="M128" i="1" s="1"/>
  <c r="N128" i="1"/>
  <c r="P128" i="1" s="1"/>
  <c r="R128" i="1" s="1"/>
  <c r="D128" i="1"/>
  <c r="F128" i="1" s="1"/>
  <c r="H128" i="1" s="1"/>
  <c r="K240" i="1" l="1"/>
  <c r="M240" i="1" s="1"/>
  <c r="D147" i="1"/>
  <c r="F147" i="1" s="1"/>
  <c r="H147" i="1" s="1"/>
  <c r="N124" i="1"/>
  <c r="P124" i="1" s="1"/>
  <c r="R124" i="1" s="1"/>
  <c r="N240" i="1"/>
  <c r="P240" i="1" s="1"/>
  <c r="R240" i="1" s="1"/>
  <c r="N147" i="1"/>
  <c r="P147" i="1" s="1"/>
  <c r="R147" i="1" s="1"/>
  <c r="D124" i="1"/>
  <c r="F124" i="1" s="1"/>
  <c r="H124" i="1" s="1"/>
  <c r="D240" i="1"/>
  <c r="F240" i="1" s="1"/>
  <c r="H240" i="1" s="1"/>
  <c r="K147" i="1"/>
  <c r="M147" i="1" s="1"/>
  <c r="K124" i="1"/>
  <c r="M124" i="1" s="1"/>
  <c r="N22" i="1"/>
  <c r="D22" i="1"/>
  <c r="N21" i="1"/>
  <c r="K20" i="1"/>
  <c r="M20" i="1" s="1"/>
  <c r="N20" i="1"/>
  <c r="P20" i="1" s="1"/>
  <c r="R20" i="1" s="1"/>
  <c r="F20" i="1"/>
  <c r="H20" i="1" s="1"/>
  <c r="K63" i="1"/>
  <c r="M63" i="1" s="1"/>
  <c r="N63" i="1"/>
  <c r="P63" i="1" s="1"/>
  <c r="R63" i="1" s="1"/>
  <c r="D63" i="1"/>
  <c r="F63" i="1" s="1"/>
  <c r="H63" i="1" s="1"/>
  <c r="K54" i="1"/>
  <c r="M54" i="1" s="1"/>
  <c r="N54" i="1"/>
  <c r="P54" i="1" s="1"/>
  <c r="R54" i="1" s="1"/>
  <c r="D54" i="1"/>
  <c r="F54" i="1" s="1"/>
  <c r="H54" i="1" s="1"/>
  <c r="N45" i="1"/>
  <c r="D45" i="1"/>
  <c r="F45" i="1" s="1"/>
  <c r="H45" i="1" s="1"/>
  <c r="N35" i="1"/>
  <c r="D35" i="1"/>
  <c r="D30" i="1"/>
  <c r="N238" i="1" l="1"/>
  <c r="P238" i="1" s="1"/>
  <c r="R238" i="1" s="1"/>
  <c r="F30" i="1"/>
  <c r="H30" i="1" s="1"/>
  <c r="D238" i="1"/>
  <c r="F238" i="1" s="1"/>
  <c r="H238" i="1" s="1"/>
  <c r="K45" i="1"/>
  <c r="M45" i="1" s="1"/>
  <c r="K238" i="1"/>
  <c r="M238" i="1" s="1"/>
  <c r="P45" i="1"/>
  <c r="R45" i="1" s="1"/>
  <c r="K241" i="1"/>
  <c r="M241" i="1" s="1"/>
  <c r="K35" i="1"/>
  <c r="M35" i="1" s="1"/>
  <c r="N234" i="1"/>
  <c r="P234" i="1" s="1"/>
  <c r="R234" i="1" s="1"/>
  <c r="P21" i="1"/>
  <c r="R21" i="1" s="1"/>
  <c r="K235" i="1"/>
  <c r="M235" i="1" s="1"/>
  <c r="K22" i="1"/>
  <c r="M22" i="1" s="1"/>
  <c r="N235" i="1"/>
  <c r="P235" i="1" s="1"/>
  <c r="R235" i="1" s="1"/>
  <c r="P22" i="1"/>
  <c r="R22" i="1" s="1"/>
  <c r="N241" i="1"/>
  <c r="P241" i="1" s="1"/>
  <c r="R241" i="1" s="1"/>
  <c r="P35" i="1"/>
  <c r="R35" i="1" s="1"/>
  <c r="K234" i="1"/>
  <c r="M234" i="1" s="1"/>
  <c r="K21" i="1"/>
  <c r="M21" i="1" s="1"/>
  <c r="D235" i="1"/>
  <c r="F235" i="1" s="1"/>
  <c r="H235" i="1" s="1"/>
  <c r="F22" i="1"/>
  <c r="H22" i="1" s="1"/>
  <c r="D241" i="1"/>
  <c r="F241" i="1" s="1"/>
  <c r="H241" i="1" s="1"/>
  <c r="F35" i="1"/>
  <c r="H35" i="1" s="1"/>
  <c r="D234" i="1"/>
  <c r="F234" i="1" s="1"/>
  <c r="H234" i="1" s="1"/>
  <c r="D18" i="1"/>
  <c r="N18" i="1"/>
  <c r="K244" i="1"/>
  <c r="M244" i="1" s="1"/>
  <c r="N244" i="1"/>
  <c r="P244" i="1" s="1"/>
  <c r="R244" i="1" s="1"/>
  <c r="D244" i="1"/>
  <c r="F244" i="1" s="1"/>
  <c r="H244" i="1" s="1"/>
  <c r="N231" i="1" l="1"/>
  <c r="N246" i="1" s="1"/>
  <c r="P18" i="1"/>
  <c r="R18" i="1" s="1"/>
  <c r="K18" i="1"/>
  <c r="M18" i="1" s="1"/>
  <c r="D231" i="1"/>
  <c r="F231" i="1" s="1"/>
  <c r="H231" i="1" s="1"/>
  <c r="F18" i="1"/>
  <c r="H18" i="1" s="1"/>
  <c r="N237" i="1" l="1"/>
  <c r="K231" i="1"/>
  <c r="K246" i="1" s="1"/>
  <c r="P231" i="1"/>
  <c r="P246" i="1" s="1"/>
  <c r="R231" i="1" l="1"/>
  <c r="M231" i="1"/>
</calcChain>
</file>

<file path=xl/sharedStrings.xml><?xml version="1.0" encoding="utf-8"?>
<sst xmlns="http://schemas.openxmlformats.org/spreadsheetml/2006/main" count="633" uniqueCount="344">
  <si>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</si>
  <si>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</si>
  <si>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</si>
  <si>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</si>
  <si>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</si>
  <si>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</si>
  <si>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</si>
  <si>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</si>
  <si>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</si>
  <si>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</si>
  <si>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</si>
  <si>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</si>
  <si>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</si>
  <si>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</si>
  <si>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</si>
  <si>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</si>
  <si>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</si>
  <si>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</si>
  <si>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</si>
  <si>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</si>
  <si>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</si>
  <si>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</si>
  <si>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</si>
  <si>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</si>
  <si>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</si>
  <si>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</si>
  <si>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</si>
  <si>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</si>
  <si>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</si>
  <si>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</si>
  <si>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</si>
  <si>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</si>
  <si>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</si>
  <si>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</si>
  <si>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</si>
  <si>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2022 год и на плановый период 2023 и 2024 годов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</si>
  <si>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</si>
  <si>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</si>
  <si>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</si>
  <si>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</si>
  <si>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</si>
  <si>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Строительство сетей водоснабжения в микрорайонах города Перми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</si>
  <si>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</si>
  <si>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</si>
  <si>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</si>
  <si>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</si>
  <si>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</si>
  <si>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</si>
  <si>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</si>
  <si>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</si>
  <si>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</si>
  <si>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</si>
  <si>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</si>
  <si>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</si>
  <si>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</si>
  <si>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</si>
  <si>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</si>
  <si>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</si>
  <si>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</si>
  <si>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</si>
  <si>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</si>
  <si>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</si>
  <si>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</si>
  <si>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</si>
  <si>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</si>
  <si>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</si>
  <si>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</si>
  <si>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</si>
  <si>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</si>
  <si>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</si>
  <si>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</si>
  <si>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</si>
  <si>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</si>
  <si>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</si>
  <si>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</si>
  <si>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</si>
  <si>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</si>
  <si>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</si>
  <si>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</si>
  <si>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</si>
  <si>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</si>
  <si>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</si>
  <si>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</si>
  <si>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</si>
  <si>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</si>
  <si>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</si>
  <si>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</si>
  <si>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</si>
  <si>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</si>
  <si>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</si>
  <si>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</si>
  <si>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</si>
  <si>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</si>
  <si>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</si>
  <si>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</si>
  <si>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</si>
  <si>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</si>
  <si>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</si>
  <si>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</si>
  <si>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</si>
  <si>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</si>
  <si>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</si>
  <si>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</si>
  <si>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</si>
  <si>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</si>
  <si>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</si>
  <si>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</si>
  <si>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</si>
  <si>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</si>
  <si>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</si>
  <si>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</si>
  <si>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</si>
  <si>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</si>
  <si>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</si>
  <si>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</si>
  <si>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</si>
  <si>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</si>
  <si>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</si>
  <si>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</si>
  <si>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</si>
  <si>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</si>
  <si>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</si>
  <si>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</si>
  <si>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</si>
  <si>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</si>
  <si>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</si>
  <si>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</si>
  <si>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</si>
  <si>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</si>
  <si>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</si>
  <si>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</si>
  <si>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</si>
  <si>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</si>
  <si>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</si>
  <si>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д. 11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</si>
  <si>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</si>
  <si>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</si>
  <si>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питомника растений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</si>
  <si>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</si>
  <si>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</si>
  <si>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</si>
  <si>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</si>
  <si>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</si>
  <si>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</si>
  <si>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</si>
  <si>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</si>
  <si>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</si>
  <si>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</si>
  <si>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</si>
  <si>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</si>
  <si>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</si>
  <si>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</si>
  <si>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</si>
  <si>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</si>
  <si>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</si>
  <si>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</si>
  <si>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</si>
  <si>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</si>
  <si>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</si>
  <si>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</si>
  <si>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</si>
  <si>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</si>
  <si>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</si>
  <si>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</si>
  <si>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</si>
  <si>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</si>
  <si>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</si>
  <si>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</si>
  <si>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</si>
  <si>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</si>
  <si>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</si>
  <si>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</si>
  <si>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</si>
  <si>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</si>
  <si>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</si>
  <si>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</si>
  <si>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</si>
  <si>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</si>
  <si>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</si>
  <si>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</si>
  <si>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</si>
  <si>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</si>
  <si>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</si>
  <si>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</si>
  <si>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</si>
  <si>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</si>
  <si>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</si>
  <si>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</si>
  <si>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</si>
  <si>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</si>
  <si>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</si>
  <si>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</si>
  <si>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</si>
  <si>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</si>
  <si>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</si>
  <si>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</si>
  <si>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</si>
  <si>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</si>
  <si>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</si>
  <si>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</si>
  <si>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</si>
  <si>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</si>
  <si>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</si>
  <si>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</si>
  <si>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</si>
  <si>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</si>
  <si>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</si>
  <si>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</si>
  <si>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</si>
  <si>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</si>
  <si>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</si>
  <si>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</si>
  <si>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</si>
  <si>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</si>
  <si>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</si>
  <si>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</si>
  <si>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</si>
  <si>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</si>
  <si>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</si>
  <si>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</si>
  <si>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</si>
  <si>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</si>
  <si>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</si>
  <si>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</si>
  <si>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</si>
  <si>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</si>
  <si>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1710142260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</si>
  <si>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</si>
  <si>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</si>
  <si>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</si>
  <si>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</si>
  <si>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</si>
  <si>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</si>
  <si>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</si>
  <si>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</si>
  <si>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</si>
  <si>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</si>
  <si>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151F367484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</si>
  <si>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</si>
  <si>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</si>
  <si>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</si>
  <si>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</si>
  <si>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</si>
  <si>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</si>
  <si>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</si>
  <si>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</si>
  <si>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</si>
  <si>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</si>
  <si>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</si>
  <si>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</si>
  <si>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</si>
  <si>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</si>
  <si>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</si>
  <si>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</si>
  <si>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</si>
  <si>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</si>
  <si>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</si>
  <si>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</si>
  <si>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</si>
  <si>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</si>
  <si>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</si>
  <si>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</si>
  <si>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</si>
  <si>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</si>
  <si>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</si>
  <si>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</si>
  <si>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</si>
  <si>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</si>
  <si>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</si>
  <si>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</si>
  <si>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</si>
  <si>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</si>
  <si>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</si>
  <si>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</si>
  <si>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</si>
  <si>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</si>
  <si>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</si>
  <si>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</si>
  <si>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</si>
  <si>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</si>
  <si>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</si>
  <si>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</si>
  <si>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</si>
  <si>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20101ST04К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</si>
  <si>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</si>
  <si>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</si>
  <si>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</si>
  <si>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</si>
  <si>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</si>
  <si>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</si>
  <si>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</si>
  <si>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</si>
  <si>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</si>
  <si>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</si>
  <si>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</si>
  <si>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</si>
  <si>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</si>
  <si>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</si>
  <si>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</si>
  <si>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</si>
  <si>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</si>
  <si>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</si>
  <si>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</si>
  <si>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</si>
  <si>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</si>
  <si>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</si>
  <si>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</si>
  <si>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</si>
  <si>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 xml:space="preserve">Строительство многоквартирного жилого дома на земельном участке с кадастровым номером 59:01:4515016:191, расположенного по адресу: г. Пермь, ул. Маяковского, д. 54 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</si>
  <si>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д. 57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</si>
  <si>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</si>
  <si>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</si>
  <si>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</si>
  <si>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</si>
  <si>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</si>
  <si>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</si>
  <si>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</si>
  <si>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</si>
  <si>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</si>
  <si>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Уточнение февраль</t>
  </si>
  <si>
    <t>от 21.12.2021 № 306</t>
  </si>
  <si>
    <t>Строительство корпуса МАОУ «Школа дизайна «Точка» г. Перми</t>
  </si>
  <si>
    <t>20101ST04F</t>
  </si>
  <si>
    <t>Реконструкция ул. Плеханова от шоссе Космонавтов до ул. Грузинская</t>
  </si>
  <si>
    <t>0220443720</t>
  </si>
  <si>
    <t>Реконструкция здания по ул. Ижевской, 25 (литер Д)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</si>
  <si>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</si>
  <si>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</si>
  <si>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Строительство здания для размещения дошкольного образовательного учреждения по ул. Байкальской, 26а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</si>
  <si>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</si>
  <si>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</si>
  <si>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</si>
  <si>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Приобретение земельных участков по ул. 3-я Ключевая, 11 с расположенными на них объектами недвижимости</t>
  </si>
  <si>
    <t>Департамент имущественных отношений</t>
  </si>
  <si>
    <t>0810143330</t>
  </si>
  <si>
    <t>Прочие объекты</t>
  </si>
  <si>
    <t>90.</t>
  </si>
  <si>
    <t>91.</t>
  </si>
  <si>
    <t>92.</t>
  </si>
  <si>
    <t>93.</t>
  </si>
  <si>
    <t>94.</t>
  </si>
  <si>
    <t>1510121480, 15101SЖ160, 1530343260</t>
  </si>
  <si>
    <t>Строительство корпуса МАОУ "Гимназия № 33" г. Перми</t>
  </si>
  <si>
    <t>от 22.02.2022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</si>
</sst>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164" fontId="1" fillId="3" borderId="1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top"/>
    </xf>
    <xf numFmtId="164" fontId="1" fillId="5" borderId="1" xfId="0" applyNumberFormat="1" applyFont="1" applyFill="1" applyBorder="1" applyAlignment="1">
      <alignment horizontal="left" vertical="top"/>
    </xf>
    <xf numFmtId="164" fontId="1" fillId="5" borderId="1" xfId="0" applyNumberFormat="1" applyFont="1" applyFill="1" applyBorder="1" applyAlignment="1">
      <alignment horizontal="left" vertical="top" wrapText="1"/>
    </xf>
    <xf numFmtId="164" fontId="1" fillId="5" borderId="1" xfId="0" applyNumberFormat="1" applyFont="1" applyFill="1" applyBorder="1" applyAlignment="1">
      <alignment horizontal="right" vertical="center"/>
    </xf>
    <xf numFmtId="0" fontId="1" fillId="5" borderId="0" xfId="0" applyFont="1" applyFill="1"/>
    <xf numFmtId="164" fontId="1" fillId="5" borderId="1" xfId="0" applyNumberFormat="1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vertical="top" wrapText="1"/>
    </xf>
    <xf numFmtId="0" fontId="1" fillId="5" borderId="8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164" fontId="1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vertical="center" wrapText="1"/>
    </xf>
    <xf numFmtId="164" fontId="1" fillId="0" borderId="4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/>
    <xf numFmtId="0" fontId="1" fillId="0" borderId="6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165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9" xfId="0" applyFill="1" applyBorder="1" applyAlignment="1">
      <alignment horizontal="center" vertical="top"/>
    </xf>
    <xf numFmtId="0" fontId="0" fillId="5" borderId="9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U249"/>
  <sheetViews>
    <sheetView tabSelected="1" zoomScale="84" zoomScaleNormal="84" workbookViewId="0">
      <selection activeCell="C9" sqref="C9"/>
    </sheetView>
  </sheetViews>
  <sheetFormatPr defaultColWidth="9.109375" defaultRowHeight="18" x14ac:dyDescent="0.35"/>
  <cols>
    <col min="1" max="1" width="5.5546875" style="70" customWidth="1"/>
    <col min="2" max="2" width="82.6640625" style="71" customWidth="1"/>
    <col min="3" max="3" width="21.33203125" style="71" customWidth="1"/>
    <col min="4" max="6" width="17.5546875" style="10" hidden="1" customWidth="1"/>
    <col min="7" max="7" width="17.5546875" style="42" hidden="1" customWidth="1"/>
    <col min="8" max="8" width="18.6640625" style="78" customWidth="1"/>
    <col min="9" max="11" width="18.6640625" style="10" hidden="1" customWidth="1"/>
    <col min="12" max="12" width="18.6640625" style="42" hidden="1" customWidth="1"/>
    <col min="13" max="13" width="18.6640625" style="78" customWidth="1"/>
    <col min="14" max="16" width="18.6640625" style="10" hidden="1" customWidth="1"/>
    <col min="17" max="17" width="18.6640625" style="42" hidden="1" customWidth="1"/>
    <col min="18" max="18" width="18.6640625" style="78" customWidth="1"/>
    <col min="19" max="19" width="16.5546875" style="23" hidden="1" customWidth="1"/>
    <col min="20" max="20" width="10" style="21" hidden="1" customWidth="1"/>
    <col min="21" max="21" width="9.44140625" style="3" hidden="1" customWidth="1"/>
    <col min="22" max="23" width="9.109375" style="70" customWidth="1"/>
    <col min="24" max="16384" width="9.109375" style="70"/>
  </cols>
  <sheetData>
    <row r="1" spans="1:19" x14ac:dyDescent="0.35">
      <c r="N1" s="11"/>
      <c r="O1" s="11"/>
      <c r="P1" s="11"/>
      <c r="Q1" s="45"/>
      <c r="R1" s="80" t="s">
        <v>194</v>
      </c>
    </row>
    <row r="2" spans="1:19" x14ac:dyDescent="0.35">
      <c r="N2" s="11"/>
      <c r="O2" s="11"/>
      <c r="P2" s="11"/>
      <c r="Q2" s="45"/>
      <c r="R2" s="80" t="s">
        <v>17</v>
      </c>
    </row>
    <row r="3" spans="1:19" x14ac:dyDescent="0.35">
      <c r="N3" s="11"/>
      <c r="O3" s="11"/>
      <c r="P3" s="11"/>
      <c r="Q3" s="45"/>
      <c r="R3" s="80" t="s">
        <v>18</v>
      </c>
    </row>
    <row r="4" spans="1:19" x14ac:dyDescent="0.35">
      <c r="M4" s="99" t="s">
        <v>343</v>
      </c>
      <c r="N4" s="100"/>
      <c r="O4" s="100"/>
      <c r="P4" s="100"/>
      <c r="Q4" s="100"/>
      <c r="R4" s="99"/>
    </row>
    <row r="6" spans="1:19" ht="15.75" customHeight="1" x14ac:dyDescent="0.35">
      <c r="A6" s="72"/>
      <c r="B6" s="73"/>
      <c r="C6" s="73"/>
      <c r="D6" s="47"/>
      <c r="E6" s="47"/>
      <c r="F6" s="47"/>
      <c r="G6" s="47"/>
      <c r="H6" s="79"/>
      <c r="I6" s="47"/>
      <c r="J6" s="47"/>
      <c r="K6" s="47"/>
      <c r="L6" s="47"/>
      <c r="M6" s="79"/>
      <c r="N6" s="48"/>
      <c r="O6" s="49"/>
      <c r="P6" s="49"/>
      <c r="Q6" s="49"/>
      <c r="R6" s="81" t="s">
        <v>194</v>
      </c>
      <c r="S6" s="24"/>
    </row>
    <row r="7" spans="1:19" ht="15.75" customHeight="1" x14ac:dyDescent="0.35">
      <c r="A7" s="72"/>
      <c r="B7" s="73"/>
      <c r="C7" s="73"/>
      <c r="D7" s="47"/>
      <c r="E7" s="47"/>
      <c r="F7" s="47"/>
      <c r="G7" s="47"/>
      <c r="H7" s="79"/>
      <c r="I7" s="47"/>
      <c r="J7" s="47"/>
      <c r="K7" s="47"/>
      <c r="L7" s="47"/>
      <c r="M7" s="79"/>
      <c r="N7" s="48"/>
      <c r="O7" s="49"/>
      <c r="P7" s="49"/>
      <c r="Q7" s="49"/>
      <c r="R7" s="81" t="s">
        <v>17</v>
      </c>
      <c r="S7" s="24"/>
    </row>
    <row r="8" spans="1:19" ht="15.75" customHeight="1" x14ac:dyDescent="0.35">
      <c r="A8" s="72"/>
      <c r="B8" s="73"/>
      <c r="C8" s="73"/>
      <c r="D8" s="47"/>
      <c r="E8" s="47"/>
      <c r="F8" s="47"/>
      <c r="G8" s="47"/>
      <c r="H8" s="79"/>
      <c r="I8" s="47"/>
      <c r="J8" s="47"/>
      <c r="K8" s="47"/>
      <c r="L8" s="47"/>
      <c r="M8" s="79"/>
      <c r="N8" s="48"/>
      <c r="O8" s="49"/>
      <c r="P8" s="49"/>
      <c r="Q8" s="49"/>
      <c r="R8" s="81" t="s">
        <v>18</v>
      </c>
      <c r="S8" s="24"/>
    </row>
    <row r="9" spans="1:19" ht="15.75" customHeight="1" x14ac:dyDescent="0.35">
      <c r="A9" s="72"/>
      <c r="B9" s="73"/>
      <c r="C9" s="73"/>
      <c r="D9" s="47"/>
      <c r="E9" s="47"/>
      <c r="F9" s="47"/>
      <c r="G9" s="47"/>
      <c r="H9" s="79"/>
      <c r="I9" s="47"/>
      <c r="J9" s="47"/>
      <c r="K9" s="47"/>
      <c r="L9" s="47"/>
      <c r="M9" s="79"/>
      <c r="N9" s="48"/>
      <c r="O9" s="49"/>
      <c r="P9" s="49"/>
      <c r="Q9" s="50"/>
      <c r="R9" s="80" t="s">
        <v>320</v>
      </c>
      <c r="S9" s="24"/>
    </row>
    <row r="10" spans="1:19" ht="15.75" customHeight="1" x14ac:dyDescent="0.35">
      <c r="A10" s="72"/>
      <c r="B10" s="73"/>
      <c r="C10" s="73"/>
      <c r="D10" s="62"/>
      <c r="E10" s="62"/>
      <c r="F10" s="62"/>
      <c r="G10" s="62"/>
      <c r="H10" s="79"/>
      <c r="I10" s="62"/>
      <c r="J10" s="62"/>
      <c r="K10" s="62"/>
      <c r="L10" s="62"/>
      <c r="M10" s="79"/>
      <c r="N10" s="63"/>
      <c r="O10" s="64"/>
      <c r="P10" s="64"/>
      <c r="Q10" s="65"/>
      <c r="R10" s="80"/>
      <c r="S10" s="24"/>
    </row>
    <row r="11" spans="1:19" ht="15.75" customHeight="1" x14ac:dyDescent="0.35">
      <c r="A11" s="113" t="s">
        <v>22</v>
      </c>
      <c r="B11" s="114"/>
      <c r="C11" s="114"/>
      <c r="D11" s="115"/>
      <c r="E11" s="115"/>
      <c r="F11" s="115"/>
      <c r="G11" s="115"/>
      <c r="H11" s="116"/>
      <c r="I11" s="115"/>
      <c r="J11" s="115"/>
      <c r="K11" s="115"/>
      <c r="L11" s="115"/>
      <c r="M11" s="116"/>
      <c r="N11" s="117"/>
      <c r="O11" s="118"/>
      <c r="P11" s="118"/>
      <c r="Q11" s="119"/>
      <c r="R11" s="120"/>
      <c r="S11" s="24"/>
    </row>
    <row r="12" spans="1:19" ht="19.5" customHeight="1" x14ac:dyDescent="0.35">
      <c r="A12" s="113" t="s">
        <v>35</v>
      </c>
      <c r="B12" s="114"/>
      <c r="C12" s="114"/>
      <c r="D12" s="115"/>
      <c r="E12" s="115"/>
      <c r="F12" s="115"/>
      <c r="G12" s="115"/>
      <c r="H12" s="116"/>
      <c r="I12" s="115"/>
      <c r="J12" s="115"/>
      <c r="K12" s="115"/>
      <c r="L12" s="115"/>
      <c r="M12" s="116"/>
      <c r="N12" s="117"/>
      <c r="O12" s="118"/>
      <c r="P12" s="118"/>
      <c r="Q12" s="119"/>
      <c r="R12" s="120"/>
      <c r="S12" s="24"/>
    </row>
    <row r="13" spans="1:19" x14ac:dyDescent="0.35">
      <c r="A13" s="121"/>
      <c r="B13" s="114"/>
      <c r="C13" s="114"/>
      <c r="D13" s="115"/>
      <c r="E13" s="115"/>
      <c r="F13" s="115"/>
      <c r="G13" s="115"/>
      <c r="H13" s="116"/>
      <c r="I13" s="115"/>
      <c r="J13" s="115"/>
      <c r="K13" s="115"/>
      <c r="L13" s="115"/>
      <c r="M13" s="116"/>
      <c r="N13" s="117"/>
      <c r="O13" s="118"/>
      <c r="P13" s="118"/>
      <c r="Q13" s="119"/>
      <c r="R13" s="120"/>
      <c r="S13" s="24"/>
    </row>
    <row r="14" spans="1:19" x14ac:dyDescent="0.35">
      <c r="A14" s="74"/>
      <c r="B14" s="73"/>
      <c r="C14" s="73"/>
      <c r="D14" s="62"/>
      <c r="E14" s="62"/>
      <c r="F14" s="62"/>
      <c r="G14" s="62"/>
      <c r="H14" s="79"/>
      <c r="I14" s="62"/>
      <c r="J14" s="62"/>
      <c r="K14" s="62"/>
      <c r="L14" s="62"/>
      <c r="M14" s="79"/>
      <c r="N14" s="63"/>
      <c r="O14" s="64"/>
      <c r="P14" s="64"/>
      <c r="Q14" s="65"/>
      <c r="R14" s="82"/>
      <c r="S14" s="24"/>
    </row>
    <row r="15" spans="1:19" x14ac:dyDescent="0.35">
      <c r="A15" s="75"/>
      <c r="B15" s="76"/>
      <c r="C15" s="76"/>
      <c r="N15" s="11"/>
      <c r="O15" s="11"/>
      <c r="P15" s="11"/>
      <c r="Q15" s="45"/>
      <c r="R15" s="80" t="s">
        <v>16</v>
      </c>
    </row>
    <row r="16" spans="1:19" ht="18.75" customHeight="1" x14ac:dyDescent="0.35">
      <c r="A16" s="122" t="s">
        <v>0</v>
      </c>
      <c r="B16" s="122" t="s">
        <v>13</v>
      </c>
      <c r="C16" s="122" t="s">
        <v>1</v>
      </c>
      <c r="D16" s="105" t="s">
        <v>23</v>
      </c>
      <c r="E16" s="105" t="s">
        <v>307</v>
      </c>
      <c r="F16" s="105" t="s">
        <v>23</v>
      </c>
      <c r="G16" s="109" t="s">
        <v>319</v>
      </c>
      <c r="H16" s="122" t="s">
        <v>23</v>
      </c>
      <c r="I16" s="107" t="s">
        <v>29</v>
      </c>
      <c r="J16" s="107" t="s">
        <v>307</v>
      </c>
      <c r="K16" s="103" t="s">
        <v>29</v>
      </c>
      <c r="L16" s="109" t="s">
        <v>319</v>
      </c>
      <c r="M16" s="122" t="s">
        <v>29</v>
      </c>
      <c r="N16" s="103" t="s">
        <v>36</v>
      </c>
      <c r="O16" s="105" t="s">
        <v>307</v>
      </c>
      <c r="P16" s="103" t="s">
        <v>36</v>
      </c>
      <c r="Q16" s="109" t="s">
        <v>319</v>
      </c>
      <c r="R16" s="122" t="s">
        <v>36</v>
      </c>
      <c r="S16" s="25"/>
    </row>
    <row r="17" spans="1:21" x14ac:dyDescent="0.35">
      <c r="A17" s="123"/>
      <c r="B17" s="123"/>
      <c r="C17" s="123"/>
      <c r="D17" s="106"/>
      <c r="E17" s="106"/>
      <c r="F17" s="106"/>
      <c r="G17" s="110"/>
      <c r="H17" s="123"/>
      <c r="I17" s="108"/>
      <c r="J17" s="108"/>
      <c r="K17" s="104"/>
      <c r="L17" s="110"/>
      <c r="M17" s="123"/>
      <c r="N17" s="104"/>
      <c r="O17" s="106"/>
      <c r="P17" s="104"/>
      <c r="Q17" s="110"/>
      <c r="R17" s="123"/>
      <c r="S17" s="26"/>
    </row>
    <row r="18" spans="1:21" x14ac:dyDescent="0.35">
      <c r="A18" s="66"/>
      <c r="B18" s="77" t="s">
        <v>2</v>
      </c>
      <c r="C18" s="77"/>
      <c r="D18" s="34">
        <f>D23+D24+D25+D26+D30+D35+D39+D45+D50+D51+D52+D53+D54+D58+D63+D68+D69+D70+D71+D72+D73+D74+D75+D76+D77+D78+D79+D80+D81</f>
        <v>1020909.7000000001</v>
      </c>
      <c r="E18" s="35">
        <f>E23+E24+E25+E26+E30+E35+E39+E45+E50+E51+E52+E53+E54+E58+E63+E68+E69+E70+E71+E72+E73+E74+E75+E76+E77+E78+E79+E80+E81+E40</f>
        <v>398635.03</v>
      </c>
      <c r="F18" s="35">
        <f>D18+E18</f>
        <v>1419544.73</v>
      </c>
      <c r="G18" s="35">
        <f>G23+G24+G25+G26+G30+G35+G39+G45+G50+G51+G52+G53+G54+G58+G63+G68+G69+G70+G71+G72+G73+G74+G75+G76+G77+G78+G79+G80+G81+G40+G82</f>
        <v>9544.7630000000008</v>
      </c>
      <c r="H18" s="69">
        <f>F18+G18</f>
        <v>1429089.493</v>
      </c>
      <c r="I18" s="35">
        <f t="shared" ref="I18:N18" si="0">I23+I24+I25+I26+I30+I35+I39+I45+I50+I51+I52+I53+I54+I58+I63+I68+I69+I70+I71+I72+I73+I74+I75+I76+I77+I78+I79+I80+I81</f>
        <v>1592185.8999999994</v>
      </c>
      <c r="J18" s="35">
        <f>J23+J24+J25+J26+J30+J35+J39+J45+J50+J51+J52+J53+J54+J58+J63+J68+J69+J70+J71+J72+J73+J74+J75+J76+J77+J78+J79+J80+J81+J40</f>
        <v>779269.19</v>
      </c>
      <c r="K18" s="35">
        <f>I18+J18</f>
        <v>2371455.0899999994</v>
      </c>
      <c r="L18" s="35">
        <f>L23+L24+L25+L26+L30+L35+L39+L45+L50+L51+L52+L53+L54+L58+L63+L68+L69+L70+L71+L72+L73+L74+L75+L76+L77+L78+L79+L80+L81+L40+L82</f>
        <v>0</v>
      </c>
      <c r="M18" s="69">
        <f>K18+L18</f>
        <v>2371455.0899999994</v>
      </c>
      <c r="N18" s="35">
        <f t="shared" si="0"/>
        <v>884457.8</v>
      </c>
      <c r="O18" s="35">
        <f>O23+O24+O25+O26+O30+O35+O39+O45+O50+O51+O52+O53+O54+O58+O63+O68+O69+O70+O71+O72+O73+O74+O75+O76+O77+O78+O79+O80+O81+O40</f>
        <v>52623.150000000023</v>
      </c>
      <c r="P18" s="35">
        <f>N18+O18</f>
        <v>937080.95000000007</v>
      </c>
      <c r="Q18" s="35">
        <f>Q23+Q24+Q25+Q26+Q30+Q35+Q39+Q45+Q50+Q51+Q52+Q53+Q54+Q58+Q63+Q68+Q69+Q70+Q71+Q72+Q73+Q74+Q75+Q76+Q77+Q78+Q79+Q80+Q81+Q40+Q82</f>
        <v>0</v>
      </c>
      <c r="R18" s="69">
        <f>P18+Q18</f>
        <v>937080.95000000007</v>
      </c>
      <c r="S18" s="27"/>
    </row>
    <row r="19" spans="1:21" x14ac:dyDescent="0.35">
      <c r="A19" s="66"/>
      <c r="B19" s="77" t="s">
        <v>5</v>
      </c>
      <c r="C19" s="77"/>
      <c r="D19" s="34"/>
      <c r="E19" s="35"/>
      <c r="F19" s="35"/>
      <c r="G19" s="35"/>
      <c r="H19" s="69"/>
      <c r="I19" s="35"/>
      <c r="J19" s="35"/>
      <c r="K19" s="35"/>
      <c r="L19" s="35"/>
      <c r="M19" s="69"/>
      <c r="N19" s="35"/>
      <c r="O19" s="35"/>
      <c r="P19" s="35"/>
      <c r="Q19" s="35"/>
      <c r="R19" s="69"/>
      <c r="S19" s="27"/>
    </row>
    <row r="20" spans="1:21" s="16" customFormat="1" hidden="1" x14ac:dyDescent="0.35">
      <c r="A20" s="13"/>
      <c r="B20" s="17" t="s">
        <v>6</v>
      </c>
      <c r="C20" s="36"/>
      <c r="D20" s="34">
        <f>D23+D24+D25+D39+D47+D50+D51+D52+D53+D56+D58+D65+D68+D69+D70+D71+D72+D73+D74+D75+D76+D77+D78+D79+D80+D81+D28</f>
        <v>412066.30000000005</v>
      </c>
      <c r="E20" s="35">
        <f>E23+E24+E25+E39+E47+E50+E51+E52+E53+E56+E65+E68+E69+E70+E71+E72+E73+E74+E75+E76+E77+E78+E79+E80+E81+E28+E32+E42+E60</f>
        <v>335641.93</v>
      </c>
      <c r="F20" s="35">
        <f t="shared" ref="F20:F97" si="1">D20+E20</f>
        <v>747708.23</v>
      </c>
      <c r="G20" s="35">
        <f>G23+G24+G25+G39+G47+G50+G51+G52+G53+G56+G65+G68+G69+G70+G71+G72+G73+G74+G75+G76+G77+G78+G79+G80+G81+G28+G32+G42+G60+G82</f>
        <v>9544.762999999999</v>
      </c>
      <c r="H20" s="35">
        <f t="shared" ref="H20" si="2">F20+G20</f>
        <v>757252.99300000002</v>
      </c>
      <c r="I20" s="35">
        <f t="shared" ref="I20:N20" si="3">I23+I24+I25+I26+I39+I47+I50+I51+I52+I53+I56+I58+I65+I68+I69+I70+I71+I72+I73+I74+I75+I76+I77+I78+I79+I80+I81</f>
        <v>1577908.2999999996</v>
      </c>
      <c r="J20" s="35">
        <f>J23+J24+J25+J39+J47+J50+J51+J52+J53+J56+J65+J68+J69+J70+J71+J72+J73+J74+J75+J76+J77+J78+J79+J80+J81+J28+J32+J42+J60</f>
        <v>-231163.41</v>
      </c>
      <c r="K20" s="35">
        <f t="shared" ref="K20:K97" si="4">I20+J20</f>
        <v>1346744.8899999997</v>
      </c>
      <c r="L20" s="35">
        <f>L23+L24+L25+L39+L47+L50+L51+L52+L53+L56+L65+L68+L69+L70+L71+L72+L73+L74+L75+L76+L77+L78+L79+L80+L81+L28+L32+L42+L60+L82</f>
        <v>0</v>
      </c>
      <c r="M20" s="35">
        <f t="shared" ref="M20:M26" si="5">K20+L20</f>
        <v>1346744.8899999997</v>
      </c>
      <c r="N20" s="35">
        <f t="shared" si="3"/>
        <v>777685.2</v>
      </c>
      <c r="O20" s="35">
        <f>O23+O24+O25+O39+O47+O50+O51+O52+O53+O56+O65+O68+O69+O70+O71+O72+O73+O74+O75+O76+O77+O78+O79+O80+O81+O28+O32+O42+O60</f>
        <v>52623.150000000023</v>
      </c>
      <c r="P20" s="35">
        <f t="shared" ref="P20:P97" si="6">N20+O20</f>
        <v>830308.35</v>
      </c>
      <c r="Q20" s="35">
        <f>Q23+Q24+Q25+Q39+Q47+Q50+Q51+Q52+Q53+Q56+Q65+Q68+Q69+Q70+Q71+Q72+Q73+Q74+Q75+Q76+Q77+Q78+Q79+Q80+Q81+Q28+Q32+Q42+Q60+Q82</f>
        <v>0</v>
      </c>
      <c r="R20" s="35">
        <f t="shared" ref="R20:R26" si="7">P20+Q20</f>
        <v>830308.35</v>
      </c>
      <c r="S20" s="30"/>
      <c r="T20" s="22" t="s">
        <v>51</v>
      </c>
      <c r="U20" s="15"/>
    </row>
    <row r="21" spans="1:21" x14ac:dyDescent="0.35">
      <c r="A21" s="66"/>
      <c r="B21" s="67" t="s">
        <v>12</v>
      </c>
      <c r="C21" s="77"/>
      <c r="D21" s="34">
        <f>D33+D37+D48+D57+D66+D29</f>
        <v>153575.9</v>
      </c>
      <c r="E21" s="35">
        <f>E33+E37+E48+E57+E66+E29+E43+E61</f>
        <v>-66895.599999999991</v>
      </c>
      <c r="F21" s="35">
        <f>D21+E21</f>
        <v>86680.3</v>
      </c>
      <c r="G21" s="35">
        <f>G33+G37+G48+G57+G66+G29+G43+G61</f>
        <v>0</v>
      </c>
      <c r="H21" s="69">
        <f>F21+G21</f>
        <v>86680.3</v>
      </c>
      <c r="I21" s="35">
        <f t="shared" ref="I21:N21" si="8">I33+I37+I48+I57+I66</f>
        <v>14277.6</v>
      </c>
      <c r="J21" s="35">
        <f>J33+J37+J48+J57+J66+J29+J43+J61</f>
        <v>50521.599999999999</v>
      </c>
      <c r="K21" s="35">
        <f t="shared" si="4"/>
        <v>64799.199999999997</v>
      </c>
      <c r="L21" s="35">
        <f>L33+L37+L48+L57+L66+L29+L43+L61</f>
        <v>0</v>
      </c>
      <c r="M21" s="69">
        <f t="shared" si="5"/>
        <v>64799.199999999997</v>
      </c>
      <c r="N21" s="35">
        <f t="shared" si="8"/>
        <v>106772.6</v>
      </c>
      <c r="O21" s="35">
        <f>O33+O37+O48+O57+O66+O29+O43+O61</f>
        <v>0</v>
      </c>
      <c r="P21" s="35">
        <f t="shared" si="6"/>
        <v>106772.6</v>
      </c>
      <c r="Q21" s="35">
        <f>Q33+Q37+Q48+Q57+Q66+Q29+Q43+Q61</f>
        <v>0</v>
      </c>
      <c r="R21" s="69">
        <f t="shared" si="7"/>
        <v>106772.6</v>
      </c>
      <c r="S21" s="27"/>
      <c r="U21" s="8"/>
    </row>
    <row r="22" spans="1:21" x14ac:dyDescent="0.35">
      <c r="A22" s="66"/>
      <c r="B22" s="83" t="s">
        <v>27</v>
      </c>
      <c r="C22" s="77"/>
      <c r="D22" s="34">
        <f>D34+D38+D49</f>
        <v>455267.5</v>
      </c>
      <c r="E22" s="35">
        <f>E34+E38+E49+E44+E62+E67</f>
        <v>129888.70000000001</v>
      </c>
      <c r="F22" s="35">
        <f t="shared" si="1"/>
        <v>585156.19999999995</v>
      </c>
      <c r="G22" s="35">
        <f>G34+G38+G49+G44+G62+G67</f>
        <v>0</v>
      </c>
      <c r="H22" s="69">
        <f t="shared" ref="H22:H26" si="9">F22+G22</f>
        <v>585156.19999999995</v>
      </c>
      <c r="I22" s="35">
        <f t="shared" ref="I22:N22" si="10">I34+I38+I49</f>
        <v>0</v>
      </c>
      <c r="J22" s="35">
        <f>J34+J38+J49+J44+J62+J67</f>
        <v>959911</v>
      </c>
      <c r="K22" s="35">
        <f t="shared" si="4"/>
        <v>959911</v>
      </c>
      <c r="L22" s="35">
        <f>L34+L38+L49+L44+L62+L67</f>
        <v>0</v>
      </c>
      <c r="M22" s="69">
        <f t="shared" si="5"/>
        <v>959911</v>
      </c>
      <c r="N22" s="35">
        <f t="shared" si="10"/>
        <v>0</v>
      </c>
      <c r="O22" s="35">
        <f>O34+O38+O49+O44+O62+O67</f>
        <v>0</v>
      </c>
      <c r="P22" s="35">
        <f t="shared" si="6"/>
        <v>0</v>
      </c>
      <c r="Q22" s="35">
        <f>Q34+Q38+Q49+Q44+Q62+Q67</f>
        <v>0</v>
      </c>
      <c r="R22" s="69">
        <f t="shared" si="7"/>
        <v>0</v>
      </c>
      <c r="S22" s="27"/>
      <c r="U22" s="8"/>
    </row>
    <row r="23" spans="1:21" ht="54" x14ac:dyDescent="0.35">
      <c r="A23" s="66" t="s">
        <v>44</v>
      </c>
      <c r="B23" s="67" t="s">
        <v>43</v>
      </c>
      <c r="C23" s="67" t="s">
        <v>32</v>
      </c>
      <c r="D23" s="32">
        <v>0</v>
      </c>
      <c r="E23" s="33"/>
      <c r="F23" s="33">
        <f t="shared" si="1"/>
        <v>0</v>
      </c>
      <c r="G23" s="43"/>
      <c r="H23" s="69">
        <f t="shared" si="9"/>
        <v>0</v>
      </c>
      <c r="I23" s="33">
        <v>115641.5</v>
      </c>
      <c r="J23" s="33">
        <v>-104664.71</v>
      </c>
      <c r="K23" s="33">
        <f t="shared" si="4"/>
        <v>10976.789999999994</v>
      </c>
      <c r="L23" s="43"/>
      <c r="M23" s="69">
        <f t="shared" si="5"/>
        <v>10976.789999999994</v>
      </c>
      <c r="N23" s="33">
        <v>189254.8</v>
      </c>
      <c r="O23" s="33">
        <v>104664.71</v>
      </c>
      <c r="P23" s="33">
        <f t="shared" si="6"/>
        <v>293919.51</v>
      </c>
      <c r="Q23" s="43"/>
      <c r="R23" s="69">
        <f t="shared" si="7"/>
        <v>293919.51</v>
      </c>
      <c r="S23" s="27" t="s">
        <v>196</v>
      </c>
      <c r="U23" s="8"/>
    </row>
    <row r="24" spans="1:21" ht="54" x14ac:dyDescent="0.35">
      <c r="A24" s="66" t="s">
        <v>45</v>
      </c>
      <c r="B24" s="67" t="s">
        <v>46</v>
      </c>
      <c r="C24" s="67" t="s">
        <v>32</v>
      </c>
      <c r="D24" s="32">
        <v>0</v>
      </c>
      <c r="E24" s="33"/>
      <c r="F24" s="33">
        <f t="shared" si="1"/>
        <v>0</v>
      </c>
      <c r="G24" s="43"/>
      <c r="H24" s="69">
        <f t="shared" si="9"/>
        <v>0</v>
      </c>
      <c r="I24" s="33">
        <v>5984</v>
      </c>
      <c r="J24" s="33"/>
      <c r="K24" s="33">
        <f t="shared" si="4"/>
        <v>5984</v>
      </c>
      <c r="L24" s="43"/>
      <c r="M24" s="69">
        <f t="shared" si="5"/>
        <v>5984</v>
      </c>
      <c r="N24" s="33">
        <v>0</v>
      </c>
      <c r="O24" s="33"/>
      <c r="P24" s="33">
        <f t="shared" si="6"/>
        <v>0</v>
      </c>
      <c r="Q24" s="43"/>
      <c r="R24" s="69">
        <f t="shared" si="7"/>
        <v>0</v>
      </c>
      <c r="S24" s="27" t="s">
        <v>197</v>
      </c>
      <c r="U24" s="8"/>
    </row>
    <row r="25" spans="1:21" ht="54" x14ac:dyDescent="0.35">
      <c r="A25" s="66" t="s">
        <v>68</v>
      </c>
      <c r="B25" s="83" t="s">
        <v>47</v>
      </c>
      <c r="C25" s="67" t="s">
        <v>32</v>
      </c>
      <c r="D25" s="32">
        <v>0</v>
      </c>
      <c r="E25" s="33"/>
      <c r="F25" s="33">
        <f t="shared" si="1"/>
        <v>0</v>
      </c>
      <c r="G25" s="43"/>
      <c r="H25" s="69">
        <f t="shared" si="9"/>
        <v>0</v>
      </c>
      <c r="I25" s="33">
        <v>6874.9</v>
      </c>
      <c r="J25" s="33"/>
      <c r="K25" s="33">
        <f t="shared" si="4"/>
        <v>6874.9</v>
      </c>
      <c r="L25" s="43"/>
      <c r="M25" s="69">
        <f t="shared" si="5"/>
        <v>6874.9</v>
      </c>
      <c r="N25" s="33">
        <v>0</v>
      </c>
      <c r="O25" s="33"/>
      <c r="P25" s="33">
        <f t="shared" si="6"/>
        <v>0</v>
      </c>
      <c r="Q25" s="43"/>
      <c r="R25" s="69">
        <f t="shared" si="7"/>
        <v>0</v>
      </c>
      <c r="S25" s="28" t="s">
        <v>198</v>
      </c>
      <c r="U25" s="8"/>
    </row>
    <row r="26" spans="1:21" ht="54" x14ac:dyDescent="0.35">
      <c r="A26" s="66" t="s">
        <v>69</v>
      </c>
      <c r="B26" s="83" t="s">
        <v>48</v>
      </c>
      <c r="C26" s="67" t="s">
        <v>32</v>
      </c>
      <c r="D26" s="32">
        <v>247768.1</v>
      </c>
      <c r="E26" s="33">
        <f>E28+E29</f>
        <v>-50000</v>
      </c>
      <c r="F26" s="33">
        <f t="shared" si="1"/>
        <v>197768.1</v>
      </c>
      <c r="G26" s="43">
        <f>G28+G29</f>
        <v>17761.516</v>
      </c>
      <c r="H26" s="69">
        <f t="shared" si="9"/>
        <v>215529.61600000001</v>
      </c>
      <c r="I26" s="33">
        <v>115826.9</v>
      </c>
      <c r="J26" s="33">
        <f>J28+J29</f>
        <v>50000</v>
      </c>
      <c r="K26" s="33">
        <f t="shared" si="4"/>
        <v>165826.9</v>
      </c>
      <c r="L26" s="43">
        <f>L28+L29</f>
        <v>0</v>
      </c>
      <c r="M26" s="69">
        <f t="shared" si="5"/>
        <v>165826.9</v>
      </c>
      <c r="N26" s="33">
        <v>0</v>
      </c>
      <c r="O26" s="33"/>
      <c r="P26" s="33">
        <f t="shared" si="6"/>
        <v>0</v>
      </c>
      <c r="Q26" s="43"/>
      <c r="R26" s="69">
        <f t="shared" si="7"/>
        <v>0</v>
      </c>
      <c r="S26" s="27"/>
      <c r="U26" s="8"/>
    </row>
    <row r="27" spans="1:21" x14ac:dyDescent="0.35">
      <c r="A27" s="66"/>
      <c r="B27" s="77" t="s">
        <v>5</v>
      </c>
      <c r="C27" s="67"/>
      <c r="D27" s="32"/>
      <c r="E27" s="33"/>
      <c r="F27" s="33"/>
      <c r="G27" s="43"/>
      <c r="H27" s="69"/>
      <c r="I27" s="33"/>
      <c r="J27" s="33"/>
      <c r="K27" s="33"/>
      <c r="L27" s="43"/>
      <c r="M27" s="69"/>
      <c r="N27" s="33"/>
      <c r="O27" s="33"/>
      <c r="P27" s="33"/>
      <c r="Q27" s="43"/>
      <c r="R27" s="69"/>
      <c r="S27" s="27"/>
      <c r="U27" s="8"/>
    </row>
    <row r="28" spans="1:21" s="58" customFormat="1" ht="19.2" hidden="1" customHeight="1" x14ac:dyDescent="0.35">
      <c r="A28" s="54"/>
      <c r="B28" s="55" t="s">
        <v>6</v>
      </c>
      <c r="C28" s="56"/>
      <c r="D28" s="32">
        <v>247768.1</v>
      </c>
      <c r="E28" s="33">
        <v>-50000</v>
      </c>
      <c r="F28" s="33">
        <f t="shared" si="1"/>
        <v>197768.1</v>
      </c>
      <c r="G28" s="57">
        <f>17761.516+336.896-336.896</f>
        <v>17761.516</v>
      </c>
      <c r="H28" s="57">
        <f t="shared" ref="H28:H30" si="11">F28+G28</f>
        <v>215529.61600000001</v>
      </c>
      <c r="I28" s="33">
        <v>115826.9</v>
      </c>
      <c r="J28" s="33">
        <f>50000-14277.6</f>
        <v>35722.400000000001</v>
      </c>
      <c r="K28" s="33">
        <f t="shared" si="4"/>
        <v>151549.29999999999</v>
      </c>
      <c r="L28" s="57"/>
      <c r="M28" s="57">
        <f t="shared" ref="M28:M30" si="12">K28+L28</f>
        <v>151549.29999999999</v>
      </c>
      <c r="N28" s="33"/>
      <c r="O28" s="33"/>
      <c r="P28" s="33">
        <f t="shared" si="6"/>
        <v>0</v>
      </c>
      <c r="Q28" s="57"/>
      <c r="R28" s="57">
        <f t="shared" ref="R28:R30" si="13">P28+Q28</f>
        <v>0</v>
      </c>
      <c r="S28" s="27" t="s">
        <v>195</v>
      </c>
      <c r="T28" s="21" t="s">
        <v>51</v>
      </c>
      <c r="U28" s="8"/>
    </row>
    <row r="29" spans="1:21" x14ac:dyDescent="0.35">
      <c r="A29" s="66"/>
      <c r="B29" s="67" t="s">
        <v>12</v>
      </c>
      <c r="C29" s="67"/>
      <c r="D29" s="32"/>
      <c r="E29" s="33"/>
      <c r="F29" s="33">
        <f t="shared" si="1"/>
        <v>0</v>
      </c>
      <c r="G29" s="43"/>
      <c r="H29" s="69">
        <f t="shared" si="11"/>
        <v>0</v>
      </c>
      <c r="I29" s="33"/>
      <c r="J29" s="33">
        <v>14277.6</v>
      </c>
      <c r="K29" s="33">
        <f t="shared" si="4"/>
        <v>14277.6</v>
      </c>
      <c r="L29" s="43"/>
      <c r="M29" s="69">
        <f t="shared" si="12"/>
        <v>14277.6</v>
      </c>
      <c r="N29" s="33"/>
      <c r="O29" s="33"/>
      <c r="P29" s="33">
        <f t="shared" si="6"/>
        <v>0</v>
      </c>
      <c r="Q29" s="43"/>
      <c r="R29" s="69">
        <f t="shared" si="13"/>
        <v>0</v>
      </c>
      <c r="S29" s="27" t="s">
        <v>313</v>
      </c>
      <c r="U29" s="8"/>
    </row>
    <row r="30" spans="1:21" ht="54" x14ac:dyDescent="0.35">
      <c r="A30" s="66" t="s">
        <v>70</v>
      </c>
      <c r="B30" s="83" t="s">
        <v>306</v>
      </c>
      <c r="C30" s="67" t="s">
        <v>32</v>
      </c>
      <c r="D30" s="32">
        <f>D33+D34</f>
        <v>261085.09999999998</v>
      </c>
      <c r="E30" s="33">
        <f>E33+E34+E32</f>
        <v>-232632.26999999996</v>
      </c>
      <c r="F30" s="33">
        <f t="shared" si="1"/>
        <v>28452.830000000016</v>
      </c>
      <c r="G30" s="43">
        <f>G33+G34+G32</f>
        <v>-8410.0560000000005</v>
      </c>
      <c r="H30" s="69">
        <f t="shared" si="11"/>
        <v>20042.774000000016</v>
      </c>
      <c r="I30" s="33">
        <v>0</v>
      </c>
      <c r="J30" s="33">
        <f>J33+J34+J32</f>
        <v>0</v>
      </c>
      <c r="K30" s="33">
        <f t="shared" si="4"/>
        <v>0</v>
      </c>
      <c r="L30" s="43">
        <f>L33+L34+L32</f>
        <v>0</v>
      </c>
      <c r="M30" s="69">
        <f t="shared" si="12"/>
        <v>0</v>
      </c>
      <c r="N30" s="33">
        <v>0</v>
      </c>
      <c r="O30" s="33">
        <f>O33+O34+O32</f>
        <v>0</v>
      </c>
      <c r="P30" s="33">
        <f t="shared" si="6"/>
        <v>0</v>
      </c>
      <c r="Q30" s="43">
        <f>Q33+Q34+Q32</f>
        <v>0</v>
      </c>
      <c r="R30" s="69">
        <f t="shared" si="13"/>
        <v>0</v>
      </c>
      <c r="S30" s="27"/>
      <c r="U30" s="8"/>
    </row>
    <row r="31" spans="1:21" s="3" customFormat="1" hidden="1" x14ac:dyDescent="0.35">
      <c r="A31" s="1"/>
      <c r="B31" s="6" t="s">
        <v>5</v>
      </c>
      <c r="C31" s="40"/>
      <c r="D31" s="32"/>
      <c r="E31" s="33"/>
      <c r="F31" s="33"/>
      <c r="G31" s="43"/>
      <c r="H31" s="33"/>
      <c r="I31" s="33"/>
      <c r="J31" s="33"/>
      <c r="K31" s="33"/>
      <c r="L31" s="43"/>
      <c r="M31" s="33"/>
      <c r="N31" s="33"/>
      <c r="O31" s="33"/>
      <c r="P31" s="33"/>
      <c r="Q31" s="43"/>
      <c r="R31" s="33"/>
      <c r="S31" s="27"/>
      <c r="T31" s="21" t="s">
        <v>51</v>
      </c>
      <c r="U31" s="8"/>
    </row>
    <row r="32" spans="1:21" s="3" customFormat="1" hidden="1" x14ac:dyDescent="0.35">
      <c r="A32" s="1"/>
      <c r="B32" s="6" t="s">
        <v>6</v>
      </c>
      <c r="C32" s="40"/>
      <c r="D32" s="32"/>
      <c r="E32" s="33">
        <v>28452.83</v>
      </c>
      <c r="F32" s="33">
        <f t="shared" si="1"/>
        <v>28452.83</v>
      </c>
      <c r="G32" s="43">
        <v>-8410.0560000000005</v>
      </c>
      <c r="H32" s="33">
        <f t="shared" ref="H32:H35" si="14">F32+G32</f>
        <v>20042.774000000001</v>
      </c>
      <c r="I32" s="33"/>
      <c r="J32" s="33"/>
      <c r="K32" s="33">
        <f t="shared" si="4"/>
        <v>0</v>
      </c>
      <c r="L32" s="43"/>
      <c r="M32" s="33">
        <f t="shared" ref="M32:M35" si="15">K32+L32</f>
        <v>0</v>
      </c>
      <c r="N32" s="33"/>
      <c r="O32" s="33"/>
      <c r="P32" s="33">
        <f t="shared" si="6"/>
        <v>0</v>
      </c>
      <c r="Q32" s="43"/>
      <c r="R32" s="33">
        <f t="shared" ref="R32:R35" si="16">P32+Q32</f>
        <v>0</v>
      </c>
      <c r="S32" s="37" t="s">
        <v>310</v>
      </c>
      <c r="T32" s="21" t="s">
        <v>51</v>
      </c>
      <c r="U32" s="8"/>
    </row>
    <row r="33" spans="1:21" s="3" customFormat="1" hidden="1" x14ac:dyDescent="0.35">
      <c r="A33" s="1"/>
      <c r="B33" s="40" t="s">
        <v>12</v>
      </c>
      <c r="C33" s="5"/>
      <c r="D33" s="32">
        <v>72101.7</v>
      </c>
      <c r="E33" s="33">
        <f>-9107.2-62994.5</f>
        <v>-72101.7</v>
      </c>
      <c r="F33" s="33">
        <f t="shared" si="1"/>
        <v>0</v>
      </c>
      <c r="G33" s="43"/>
      <c r="H33" s="33">
        <f t="shared" si="14"/>
        <v>0</v>
      </c>
      <c r="I33" s="33">
        <v>0</v>
      </c>
      <c r="J33" s="33"/>
      <c r="K33" s="33">
        <f t="shared" si="4"/>
        <v>0</v>
      </c>
      <c r="L33" s="43"/>
      <c r="M33" s="33">
        <f t="shared" si="15"/>
        <v>0</v>
      </c>
      <c r="N33" s="33">
        <v>0</v>
      </c>
      <c r="O33" s="33"/>
      <c r="P33" s="33">
        <f t="shared" si="6"/>
        <v>0</v>
      </c>
      <c r="Q33" s="43"/>
      <c r="R33" s="33">
        <f t="shared" si="16"/>
        <v>0</v>
      </c>
      <c r="S33" s="27" t="s">
        <v>220</v>
      </c>
      <c r="T33" s="21" t="s">
        <v>51</v>
      </c>
      <c r="U33" s="8"/>
    </row>
    <row r="34" spans="1:21" s="3" customFormat="1" hidden="1" x14ac:dyDescent="0.35">
      <c r="A34" s="1"/>
      <c r="B34" s="39" t="s">
        <v>27</v>
      </c>
      <c r="C34" s="40"/>
      <c r="D34" s="32">
        <v>188983.4</v>
      </c>
      <c r="E34" s="33">
        <v>-188983.4</v>
      </c>
      <c r="F34" s="33">
        <f t="shared" si="1"/>
        <v>0</v>
      </c>
      <c r="G34" s="43"/>
      <c r="H34" s="33">
        <f t="shared" si="14"/>
        <v>0</v>
      </c>
      <c r="I34" s="33">
        <v>0</v>
      </c>
      <c r="J34" s="33"/>
      <c r="K34" s="33">
        <f t="shared" si="4"/>
        <v>0</v>
      </c>
      <c r="L34" s="43"/>
      <c r="M34" s="33">
        <f t="shared" si="15"/>
        <v>0</v>
      </c>
      <c r="N34" s="33">
        <v>0</v>
      </c>
      <c r="O34" s="33"/>
      <c r="P34" s="33">
        <f t="shared" si="6"/>
        <v>0</v>
      </c>
      <c r="Q34" s="43"/>
      <c r="R34" s="33">
        <f t="shared" si="16"/>
        <v>0</v>
      </c>
      <c r="S34" s="27" t="s">
        <v>219</v>
      </c>
      <c r="T34" s="21" t="s">
        <v>51</v>
      </c>
      <c r="U34" s="8"/>
    </row>
    <row r="35" spans="1:21" s="3" customFormat="1" ht="36" hidden="1" x14ac:dyDescent="0.35">
      <c r="A35" s="1" t="s">
        <v>74</v>
      </c>
      <c r="B35" s="39" t="s">
        <v>306</v>
      </c>
      <c r="C35" s="40" t="s">
        <v>11</v>
      </c>
      <c r="D35" s="32">
        <f>D37+D38</f>
        <v>54989.2</v>
      </c>
      <c r="E35" s="33">
        <f>E37+E38</f>
        <v>-54989.2</v>
      </c>
      <c r="F35" s="33">
        <f t="shared" si="1"/>
        <v>0</v>
      </c>
      <c r="G35" s="43">
        <f>G37+G38</f>
        <v>0</v>
      </c>
      <c r="H35" s="33">
        <f t="shared" si="14"/>
        <v>0</v>
      </c>
      <c r="I35" s="33">
        <f t="shared" ref="I35:N35" si="17">I37+I38</f>
        <v>0</v>
      </c>
      <c r="J35" s="33">
        <f t="shared" ref="J35:L35" si="18">J37+J38</f>
        <v>0</v>
      </c>
      <c r="K35" s="33">
        <f t="shared" si="4"/>
        <v>0</v>
      </c>
      <c r="L35" s="43">
        <f t="shared" si="18"/>
        <v>0</v>
      </c>
      <c r="M35" s="33">
        <f t="shared" si="15"/>
        <v>0</v>
      </c>
      <c r="N35" s="33">
        <f t="shared" si="17"/>
        <v>0</v>
      </c>
      <c r="O35" s="33">
        <f>O37+O38</f>
        <v>0</v>
      </c>
      <c r="P35" s="33">
        <f t="shared" si="6"/>
        <v>0</v>
      </c>
      <c r="Q35" s="43">
        <f>Q37+Q38</f>
        <v>0</v>
      </c>
      <c r="R35" s="33">
        <f t="shared" si="16"/>
        <v>0</v>
      </c>
      <c r="S35" s="27"/>
      <c r="T35" s="21" t="s">
        <v>51</v>
      </c>
      <c r="U35" s="8"/>
    </row>
    <row r="36" spans="1:21" s="3" customFormat="1" hidden="1" x14ac:dyDescent="0.35">
      <c r="A36" s="38"/>
      <c r="B36" s="6" t="s">
        <v>5</v>
      </c>
      <c r="C36" s="40"/>
      <c r="D36" s="32"/>
      <c r="E36" s="33"/>
      <c r="F36" s="33"/>
      <c r="G36" s="43"/>
      <c r="H36" s="33"/>
      <c r="I36" s="33"/>
      <c r="J36" s="33"/>
      <c r="K36" s="33"/>
      <c r="L36" s="43"/>
      <c r="M36" s="33"/>
      <c r="N36" s="33"/>
      <c r="O36" s="33"/>
      <c r="P36" s="33"/>
      <c r="Q36" s="43"/>
      <c r="R36" s="33"/>
      <c r="S36" s="27"/>
      <c r="T36" s="21" t="s">
        <v>51</v>
      </c>
      <c r="U36" s="8"/>
    </row>
    <row r="37" spans="1:21" s="3" customFormat="1" hidden="1" x14ac:dyDescent="0.35">
      <c r="A37" s="38"/>
      <c r="B37" s="40" t="s">
        <v>12</v>
      </c>
      <c r="C37" s="40"/>
      <c r="D37" s="32">
        <v>13747.3</v>
      </c>
      <c r="E37" s="33">
        <v>-13747.3</v>
      </c>
      <c r="F37" s="33">
        <f t="shared" si="1"/>
        <v>0</v>
      </c>
      <c r="G37" s="43"/>
      <c r="H37" s="33">
        <f t="shared" ref="H37:H40" si="19">F37+G37</f>
        <v>0</v>
      </c>
      <c r="I37" s="33">
        <v>0</v>
      </c>
      <c r="J37" s="33"/>
      <c r="K37" s="33">
        <f t="shared" si="4"/>
        <v>0</v>
      </c>
      <c r="L37" s="43"/>
      <c r="M37" s="33">
        <f t="shared" ref="M37:M40" si="20">K37+L37</f>
        <v>0</v>
      </c>
      <c r="N37" s="33">
        <v>0</v>
      </c>
      <c r="O37" s="33"/>
      <c r="P37" s="33">
        <f t="shared" si="6"/>
        <v>0</v>
      </c>
      <c r="Q37" s="43"/>
      <c r="R37" s="33">
        <f t="shared" ref="R37:R40" si="21">P37+Q37</f>
        <v>0</v>
      </c>
      <c r="S37" s="27" t="s">
        <v>219</v>
      </c>
      <c r="T37" s="21" t="s">
        <v>51</v>
      </c>
      <c r="U37" s="8"/>
    </row>
    <row r="38" spans="1:21" s="3" customFormat="1" hidden="1" x14ac:dyDescent="0.35">
      <c r="A38" s="1"/>
      <c r="B38" s="39" t="s">
        <v>27</v>
      </c>
      <c r="C38" s="40"/>
      <c r="D38" s="32">
        <v>41241.9</v>
      </c>
      <c r="E38" s="33">
        <v>-41241.9</v>
      </c>
      <c r="F38" s="33">
        <f t="shared" si="1"/>
        <v>0</v>
      </c>
      <c r="G38" s="43"/>
      <c r="H38" s="33">
        <f t="shared" si="19"/>
        <v>0</v>
      </c>
      <c r="I38" s="33">
        <v>0</v>
      </c>
      <c r="J38" s="33"/>
      <c r="K38" s="33">
        <f t="shared" si="4"/>
        <v>0</v>
      </c>
      <c r="L38" s="43"/>
      <c r="M38" s="33">
        <f t="shared" si="20"/>
        <v>0</v>
      </c>
      <c r="N38" s="33">
        <v>0</v>
      </c>
      <c r="O38" s="33"/>
      <c r="P38" s="33">
        <f t="shared" si="6"/>
        <v>0</v>
      </c>
      <c r="Q38" s="43"/>
      <c r="R38" s="33">
        <f t="shared" si="21"/>
        <v>0</v>
      </c>
      <c r="S38" s="27" t="s">
        <v>219</v>
      </c>
      <c r="T38" s="21" t="s">
        <v>51</v>
      </c>
      <c r="U38" s="8"/>
    </row>
    <row r="39" spans="1:21" ht="54" x14ac:dyDescent="0.35">
      <c r="A39" s="66" t="s">
        <v>74</v>
      </c>
      <c r="B39" s="67" t="s">
        <v>49</v>
      </c>
      <c r="C39" s="67" t="s">
        <v>32</v>
      </c>
      <c r="D39" s="32">
        <v>23476.5</v>
      </c>
      <c r="E39" s="33"/>
      <c r="F39" s="33">
        <f t="shared" si="1"/>
        <v>23476.5</v>
      </c>
      <c r="G39" s="43">
        <v>80.081000000000003</v>
      </c>
      <c r="H39" s="69">
        <f t="shared" si="19"/>
        <v>23556.580999999998</v>
      </c>
      <c r="I39" s="33">
        <v>222759</v>
      </c>
      <c r="J39" s="33">
        <v>-79.599999999999994</v>
      </c>
      <c r="K39" s="33">
        <f t="shared" si="4"/>
        <v>222679.4</v>
      </c>
      <c r="L39" s="43"/>
      <c r="M39" s="69">
        <f t="shared" si="20"/>
        <v>222679.4</v>
      </c>
      <c r="N39" s="33">
        <v>0</v>
      </c>
      <c r="O39" s="33">
        <v>135958.44</v>
      </c>
      <c r="P39" s="33">
        <f t="shared" si="6"/>
        <v>135958.44</v>
      </c>
      <c r="Q39" s="43"/>
      <c r="R39" s="69">
        <f t="shared" si="21"/>
        <v>135958.44</v>
      </c>
      <c r="S39" s="27" t="s">
        <v>199</v>
      </c>
      <c r="U39" s="8"/>
    </row>
    <row r="40" spans="1:21" ht="36" x14ac:dyDescent="0.35">
      <c r="A40" s="124" t="s">
        <v>73</v>
      </c>
      <c r="B40" s="67" t="s">
        <v>50</v>
      </c>
      <c r="C40" s="67" t="s">
        <v>11</v>
      </c>
      <c r="D40" s="32"/>
      <c r="E40" s="33">
        <f>E42+E43+E44</f>
        <v>311345.35800000001</v>
      </c>
      <c r="F40" s="33">
        <f t="shared" si="1"/>
        <v>311345.35800000001</v>
      </c>
      <c r="G40" s="43">
        <f>G42+G43+G44</f>
        <v>111.379</v>
      </c>
      <c r="H40" s="69">
        <f t="shared" si="19"/>
        <v>311456.73700000002</v>
      </c>
      <c r="I40" s="33"/>
      <c r="J40" s="33"/>
      <c r="K40" s="33">
        <f t="shared" si="4"/>
        <v>0</v>
      </c>
      <c r="L40" s="43"/>
      <c r="M40" s="69">
        <f t="shared" si="20"/>
        <v>0</v>
      </c>
      <c r="N40" s="33"/>
      <c r="O40" s="33"/>
      <c r="P40" s="33">
        <f t="shared" si="6"/>
        <v>0</v>
      </c>
      <c r="Q40" s="43"/>
      <c r="R40" s="69">
        <f t="shared" si="21"/>
        <v>0</v>
      </c>
      <c r="S40" s="27"/>
      <c r="U40" s="8"/>
    </row>
    <row r="41" spans="1:21" x14ac:dyDescent="0.35">
      <c r="A41" s="128"/>
      <c r="B41" s="77" t="s">
        <v>5</v>
      </c>
      <c r="C41" s="67"/>
      <c r="D41" s="32"/>
      <c r="E41" s="33"/>
      <c r="F41" s="33"/>
      <c r="G41" s="43"/>
      <c r="H41" s="69"/>
      <c r="I41" s="33"/>
      <c r="J41" s="33"/>
      <c r="K41" s="33"/>
      <c r="L41" s="43"/>
      <c r="M41" s="69"/>
      <c r="N41" s="33"/>
      <c r="O41" s="33"/>
      <c r="P41" s="33"/>
      <c r="Q41" s="43"/>
      <c r="R41" s="69"/>
      <c r="S41" s="27"/>
      <c r="U41" s="8"/>
    </row>
    <row r="42" spans="1:21" s="58" customFormat="1" ht="17.399999999999999" hidden="1" customHeight="1" x14ac:dyDescent="0.35">
      <c r="A42" s="129"/>
      <c r="B42" s="55" t="s">
        <v>6</v>
      </c>
      <c r="C42" s="56"/>
      <c r="D42" s="32"/>
      <c r="E42" s="33">
        <v>18576.285</v>
      </c>
      <c r="F42" s="33">
        <f t="shared" si="1"/>
        <v>18576.285</v>
      </c>
      <c r="G42" s="57">
        <v>111.379</v>
      </c>
      <c r="H42" s="57">
        <f t="shared" ref="H42:H45" si="22">F42+G42</f>
        <v>18687.664000000001</v>
      </c>
      <c r="I42" s="33"/>
      <c r="J42" s="33"/>
      <c r="K42" s="33">
        <f t="shared" si="4"/>
        <v>0</v>
      </c>
      <c r="L42" s="57"/>
      <c r="M42" s="57">
        <f t="shared" ref="M42:M45" si="23">K42+L42</f>
        <v>0</v>
      </c>
      <c r="N42" s="33"/>
      <c r="O42" s="33"/>
      <c r="P42" s="33">
        <f t="shared" si="6"/>
        <v>0</v>
      </c>
      <c r="Q42" s="57"/>
      <c r="R42" s="57">
        <f t="shared" ref="R42:R45" si="24">P42+Q42</f>
        <v>0</v>
      </c>
      <c r="S42" s="27" t="s">
        <v>200</v>
      </c>
      <c r="T42" s="21" t="s">
        <v>51</v>
      </c>
      <c r="U42" s="8"/>
    </row>
    <row r="43" spans="1:21" x14ac:dyDescent="0.35">
      <c r="A43" s="128"/>
      <c r="B43" s="67" t="s">
        <v>12</v>
      </c>
      <c r="C43" s="67"/>
      <c r="D43" s="32"/>
      <c r="E43" s="33">
        <f>55882.573+11844.3</f>
        <v>67726.872999999992</v>
      </c>
      <c r="F43" s="33">
        <f t="shared" si="1"/>
        <v>67726.872999999992</v>
      </c>
      <c r="G43" s="43"/>
      <c r="H43" s="69">
        <f t="shared" si="22"/>
        <v>67726.872999999992</v>
      </c>
      <c r="I43" s="33"/>
      <c r="J43" s="33"/>
      <c r="K43" s="33">
        <f t="shared" si="4"/>
        <v>0</v>
      </c>
      <c r="L43" s="43"/>
      <c r="M43" s="69">
        <f t="shared" si="23"/>
        <v>0</v>
      </c>
      <c r="N43" s="33"/>
      <c r="O43" s="33"/>
      <c r="P43" s="33">
        <f t="shared" si="6"/>
        <v>0</v>
      </c>
      <c r="Q43" s="43"/>
      <c r="R43" s="69">
        <f t="shared" si="24"/>
        <v>0</v>
      </c>
      <c r="S43" s="27" t="s">
        <v>317</v>
      </c>
      <c r="U43" s="8"/>
    </row>
    <row r="44" spans="1:21" x14ac:dyDescent="0.35">
      <c r="A44" s="128"/>
      <c r="B44" s="83" t="s">
        <v>27</v>
      </c>
      <c r="C44" s="67"/>
      <c r="D44" s="32"/>
      <c r="E44" s="33">
        <v>225042.2</v>
      </c>
      <c r="F44" s="33">
        <f t="shared" si="1"/>
        <v>225042.2</v>
      </c>
      <c r="G44" s="43"/>
      <c r="H44" s="69">
        <f t="shared" si="22"/>
        <v>225042.2</v>
      </c>
      <c r="I44" s="33"/>
      <c r="J44" s="33"/>
      <c r="K44" s="33">
        <f t="shared" si="4"/>
        <v>0</v>
      </c>
      <c r="L44" s="43"/>
      <c r="M44" s="69">
        <f t="shared" si="23"/>
        <v>0</v>
      </c>
      <c r="N44" s="33"/>
      <c r="O44" s="33"/>
      <c r="P44" s="33">
        <f t="shared" si="6"/>
        <v>0</v>
      </c>
      <c r="Q44" s="43"/>
      <c r="R44" s="69">
        <f t="shared" si="24"/>
        <v>0</v>
      </c>
      <c r="S44" s="27" t="s">
        <v>316</v>
      </c>
      <c r="U44" s="8"/>
    </row>
    <row r="45" spans="1:21" ht="54" x14ac:dyDescent="0.35">
      <c r="A45" s="125"/>
      <c r="B45" s="67" t="s">
        <v>50</v>
      </c>
      <c r="C45" s="67" t="s">
        <v>32</v>
      </c>
      <c r="D45" s="32">
        <f>D48+D49+D47</f>
        <v>312399.40000000002</v>
      </c>
      <c r="E45" s="33">
        <f>E48+E49+E47</f>
        <v>-311345.35799999995</v>
      </c>
      <c r="F45" s="33">
        <f t="shared" si="1"/>
        <v>1054.042000000074</v>
      </c>
      <c r="G45" s="43">
        <f>G48+G49+G47</f>
        <v>0</v>
      </c>
      <c r="H45" s="69">
        <f t="shared" si="22"/>
        <v>1054.042000000074</v>
      </c>
      <c r="I45" s="33">
        <f t="shared" ref="I45:O45" si="25">I48+I49+I47</f>
        <v>0</v>
      </c>
      <c r="J45" s="33">
        <f t="shared" ref="J45:L45" si="26">J48+J49+J47</f>
        <v>0</v>
      </c>
      <c r="K45" s="33">
        <f t="shared" si="4"/>
        <v>0</v>
      </c>
      <c r="L45" s="43">
        <f t="shared" si="26"/>
        <v>0</v>
      </c>
      <c r="M45" s="69">
        <f t="shared" si="23"/>
        <v>0</v>
      </c>
      <c r="N45" s="33">
        <f t="shared" si="25"/>
        <v>0</v>
      </c>
      <c r="O45" s="33">
        <f t="shared" si="25"/>
        <v>0</v>
      </c>
      <c r="P45" s="33">
        <f t="shared" si="6"/>
        <v>0</v>
      </c>
      <c r="Q45" s="43">
        <f t="shared" ref="Q45" si="27">Q48+Q49+Q47</f>
        <v>0</v>
      </c>
      <c r="R45" s="69">
        <f t="shared" si="24"/>
        <v>0</v>
      </c>
      <c r="S45" s="27"/>
      <c r="U45" s="8"/>
    </row>
    <row r="46" spans="1:21" x14ac:dyDescent="0.35">
      <c r="A46" s="66"/>
      <c r="B46" s="77" t="s">
        <v>5</v>
      </c>
      <c r="C46" s="67"/>
      <c r="D46" s="32"/>
      <c r="E46" s="33"/>
      <c r="F46" s="33"/>
      <c r="G46" s="43"/>
      <c r="H46" s="69"/>
      <c r="I46" s="33"/>
      <c r="J46" s="33"/>
      <c r="K46" s="33"/>
      <c r="L46" s="43"/>
      <c r="M46" s="69"/>
      <c r="N46" s="33"/>
      <c r="O46" s="33"/>
      <c r="P46" s="33"/>
      <c r="Q46" s="43"/>
      <c r="R46" s="69"/>
      <c r="S46" s="27"/>
      <c r="U46" s="8"/>
    </row>
    <row r="47" spans="1:21" s="58" customFormat="1" ht="18" hidden="1" customHeight="1" x14ac:dyDescent="0.35">
      <c r="A47" s="54"/>
      <c r="B47" s="55" t="s">
        <v>6</v>
      </c>
      <c r="C47" s="56"/>
      <c r="D47" s="32">
        <v>19630.300000000047</v>
      </c>
      <c r="E47" s="33">
        <v>-18576.285</v>
      </c>
      <c r="F47" s="33">
        <f t="shared" si="1"/>
        <v>1054.0150000000467</v>
      </c>
      <c r="G47" s="57">
        <f>111.379+599.208-111.379-599.208</f>
        <v>0</v>
      </c>
      <c r="H47" s="57">
        <f t="shared" ref="H47:H54" si="28">F47+G47</f>
        <v>1054.0150000000467</v>
      </c>
      <c r="I47" s="33">
        <v>0</v>
      </c>
      <c r="J47" s="33"/>
      <c r="K47" s="33">
        <f t="shared" si="4"/>
        <v>0</v>
      </c>
      <c r="L47" s="57"/>
      <c r="M47" s="57">
        <f t="shared" ref="M47:M54" si="29">K47+L47</f>
        <v>0</v>
      </c>
      <c r="N47" s="33">
        <v>0</v>
      </c>
      <c r="O47" s="33"/>
      <c r="P47" s="33">
        <f t="shared" si="6"/>
        <v>0</v>
      </c>
      <c r="Q47" s="57"/>
      <c r="R47" s="57">
        <f t="shared" ref="R47:R54" si="30">P47+Q47</f>
        <v>0</v>
      </c>
      <c r="S47" s="27" t="s">
        <v>200</v>
      </c>
      <c r="T47" s="21" t="s">
        <v>51</v>
      </c>
      <c r="U47" s="8"/>
    </row>
    <row r="48" spans="1:21" x14ac:dyDescent="0.35">
      <c r="A48" s="66"/>
      <c r="B48" s="67" t="s">
        <v>12</v>
      </c>
      <c r="C48" s="67"/>
      <c r="D48" s="32">
        <v>67726.899999999994</v>
      </c>
      <c r="E48" s="33">
        <f>-55882.573-11844.3</f>
        <v>-67726.872999999992</v>
      </c>
      <c r="F48" s="33">
        <f t="shared" si="1"/>
        <v>2.7000000001862645E-2</v>
      </c>
      <c r="G48" s="43"/>
      <c r="H48" s="69">
        <f t="shared" si="28"/>
        <v>2.7000000001862645E-2</v>
      </c>
      <c r="I48" s="33">
        <v>0</v>
      </c>
      <c r="J48" s="33"/>
      <c r="K48" s="33">
        <f t="shared" si="4"/>
        <v>0</v>
      </c>
      <c r="L48" s="43"/>
      <c r="M48" s="69">
        <f t="shared" si="29"/>
        <v>0</v>
      </c>
      <c r="N48" s="33">
        <v>0</v>
      </c>
      <c r="O48" s="33"/>
      <c r="P48" s="33">
        <f t="shared" si="6"/>
        <v>0</v>
      </c>
      <c r="Q48" s="43"/>
      <c r="R48" s="69">
        <f t="shared" si="30"/>
        <v>0</v>
      </c>
      <c r="S48" s="27" t="s">
        <v>317</v>
      </c>
      <c r="U48" s="8"/>
    </row>
    <row r="49" spans="1:21" s="3" customFormat="1" hidden="1" x14ac:dyDescent="0.35">
      <c r="A49" s="1"/>
      <c r="B49" s="39" t="s">
        <v>27</v>
      </c>
      <c r="C49" s="5"/>
      <c r="D49" s="32">
        <v>225042.2</v>
      </c>
      <c r="E49" s="33">
        <v>-225042.2</v>
      </c>
      <c r="F49" s="33">
        <f t="shared" si="1"/>
        <v>0</v>
      </c>
      <c r="G49" s="43"/>
      <c r="H49" s="33">
        <f t="shared" si="28"/>
        <v>0</v>
      </c>
      <c r="I49" s="33">
        <v>0</v>
      </c>
      <c r="J49" s="33"/>
      <c r="K49" s="33">
        <f t="shared" si="4"/>
        <v>0</v>
      </c>
      <c r="L49" s="43"/>
      <c r="M49" s="33">
        <f t="shared" si="29"/>
        <v>0</v>
      </c>
      <c r="N49" s="33">
        <v>0</v>
      </c>
      <c r="O49" s="33"/>
      <c r="P49" s="33">
        <f t="shared" si="6"/>
        <v>0</v>
      </c>
      <c r="Q49" s="43"/>
      <c r="R49" s="33">
        <f t="shared" si="30"/>
        <v>0</v>
      </c>
      <c r="S49" s="27" t="s">
        <v>316</v>
      </c>
      <c r="T49" s="21" t="s">
        <v>51</v>
      </c>
      <c r="U49" s="8"/>
    </row>
    <row r="50" spans="1:21" s="3" customFormat="1" ht="54" hidden="1" x14ac:dyDescent="0.35">
      <c r="A50" s="1" t="s">
        <v>72</v>
      </c>
      <c r="B50" s="40" t="s">
        <v>52</v>
      </c>
      <c r="C50" s="40" t="s">
        <v>32</v>
      </c>
      <c r="D50" s="32">
        <v>780</v>
      </c>
      <c r="E50" s="33">
        <v>-780</v>
      </c>
      <c r="F50" s="33">
        <f t="shared" si="1"/>
        <v>0</v>
      </c>
      <c r="G50" s="43"/>
      <c r="H50" s="33">
        <f t="shared" si="28"/>
        <v>0</v>
      </c>
      <c r="I50" s="33">
        <v>0</v>
      </c>
      <c r="J50" s="33"/>
      <c r="K50" s="33">
        <f t="shared" si="4"/>
        <v>0</v>
      </c>
      <c r="L50" s="43"/>
      <c r="M50" s="33">
        <f t="shared" si="29"/>
        <v>0</v>
      </c>
      <c r="N50" s="33">
        <v>0</v>
      </c>
      <c r="O50" s="33"/>
      <c r="P50" s="33">
        <f t="shared" si="6"/>
        <v>0</v>
      </c>
      <c r="Q50" s="43"/>
      <c r="R50" s="33">
        <f t="shared" si="30"/>
        <v>0</v>
      </c>
      <c r="S50" s="27" t="s">
        <v>201</v>
      </c>
      <c r="T50" s="21" t="s">
        <v>51</v>
      </c>
      <c r="U50" s="8"/>
    </row>
    <row r="51" spans="1:21" ht="54" x14ac:dyDescent="0.35">
      <c r="A51" s="66" t="s">
        <v>71</v>
      </c>
      <c r="B51" s="83" t="s">
        <v>53</v>
      </c>
      <c r="C51" s="67" t="s">
        <v>32</v>
      </c>
      <c r="D51" s="32">
        <v>0</v>
      </c>
      <c r="E51" s="33"/>
      <c r="F51" s="33">
        <f t="shared" si="1"/>
        <v>0</v>
      </c>
      <c r="G51" s="43"/>
      <c r="H51" s="69">
        <f t="shared" si="28"/>
        <v>0</v>
      </c>
      <c r="I51" s="33">
        <v>25599.8</v>
      </c>
      <c r="J51" s="33">
        <v>-25599.8</v>
      </c>
      <c r="K51" s="33">
        <f t="shared" si="4"/>
        <v>0</v>
      </c>
      <c r="L51" s="43"/>
      <c r="M51" s="69">
        <f t="shared" si="29"/>
        <v>0</v>
      </c>
      <c r="N51" s="33">
        <v>245085.6</v>
      </c>
      <c r="O51" s="33"/>
      <c r="P51" s="33">
        <f t="shared" si="6"/>
        <v>245085.6</v>
      </c>
      <c r="Q51" s="43"/>
      <c r="R51" s="69">
        <f t="shared" si="30"/>
        <v>245085.6</v>
      </c>
      <c r="S51" s="27" t="s">
        <v>202</v>
      </c>
      <c r="U51" s="8"/>
    </row>
    <row r="52" spans="1:21" s="3" customFormat="1" ht="54" hidden="1" x14ac:dyDescent="0.35">
      <c r="A52" s="1" t="s">
        <v>76</v>
      </c>
      <c r="B52" s="39" t="s">
        <v>54</v>
      </c>
      <c r="C52" s="40" t="s">
        <v>32</v>
      </c>
      <c r="D52" s="32">
        <v>0</v>
      </c>
      <c r="E52" s="33"/>
      <c r="F52" s="33">
        <f t="shared" si="1"/>
        <v>0</v>
      </c>
      <c r="G52" s="43"/>
      <c r="H52" s="33">
        <f t="shared" si="28"/>
        <v>0</v>
      </c>
      <c r="I52" s="33">
        <v>30734.9</v>
      </c>
      <c r="J52" s="33">
        <v>-30734.9</v>
      </c>
      <c r="K52" s="33">
        <f t="shared" si="4"/>
        <v>0</v>
      </c>
      <c r="L52" s="43"/>
      <c r="M52" s="33">
        <f t="shared" si="29"/>
        <v>0</v>
      </c>
      <c r="N52" s="33">
        <v>0</v>
      </c>
      <c r="O52" s="33"/>
      <c r="P52" s="33">
        <f t="shared" si="6"/>
        <v>0</v>
      </c>
      <c r="Q52" s="43"/>
      <c r="R52" s="33">
        <f t="shared" si="30"/>
        <v>0</v>
      </c>
      <c r="S52" s="27" t="s">
        <v>203</v>
      </c>
      <c r="T52" s="21" t="s">
        <v>51</v>
      </c>
      <c r="U52" s="8"/>
    </row>
    <row r="53" spans="1:21" ht="54" x14ac:dyDescent="0.35">
      <c r="A53" s="66" t="s">
        <v>72</v>
      </c>
      <c r="B53" s="83" t="s">
        <v>55</v>
      </c>
      <c r="C53" s="67" t="s">
        <v>32</v>
      </c>
      <c r="D53" s="32">
        <v>0</v>
      </c>
      <c r="E53" s="33"/>
      <c r="F53" s="33">
        <f t="shared" si="1"/>
        <v>0</v>
      </c>
      <c r="G53" s="43"/>
      <c r="H53" s="69">
        <f t="shared" si="28"/>
        <v>0</v>
      </c>
      <c r="I53" s="33">
        <v>9100.4</v>
      </c>
      <c r="J53" s="33"/>
      <c r="K53" s="33">
        <f t="shared" si="4"/>
        <v>9100.4</v>
      </c>
      <c r="L53" s="43"/>
      <c r="M53" s="69">
        <f t="shared" si="29"/>
        <v>9100.4</v>
      </c>
      <c r="N53" s="33">
        <v>0</v>
      </c>
      <c r="O53" s="33"/>
      <c r="P53" s="33">
        <f t="shared" si="6"/>
        <v>0</v>
      </c>
      <c r="Q53" s="43"/>
      <c r="R53" s="69">
        <f t="shared" si="30"/>
        <v>0</v>
      </c>
      <c r="S53" s="27" t="s">
        <v>204</v>
      </c>
      <c r="U53" s="8"/>
    </row>
    <row r="54" spans="1:21" ht="54" x14ac:dyDescent="0.35">
      <c r="A54" s="66" t="s">
        <v>75</v>
      </c>
      <c r="B54" s="83" t="s">
        <v>56</v>
      </c>
      <c r="C54" s="67" t="s">
        <v>32</v>
      </c>
      <c r="D54" s="32">
        <f>D56+D57</f>
        <v>0</v>
      </c>
      <c r="E54" s="33">
        <f>E56+E57</f>
        <v>0</v>
      </c>
      <c r="F54" s="33">
        <f t="shared" si="1"/>
        <v>0</v>
      </c>
      <c r="G54" s="43">
        <f>G56+G57</f>
        <v>0</v>
      </c>
      <c r="H54" s="69">
        <f t="shared" si="28"/>
        <v>0</v>
      </c>
      <c r="I54" s="33">
        <f t="shared" ref="I54:O54" si="31">I56+I57</f>
        <v>19435.099999999999</v>
      </c>
      <c r="J54" s="33">
        <f t="shared" ref="J54:L54" si="32">J56+J57</f>
        <v>0</v>
      </c>
      <c r="K54" s="33">
        <f t="shared" si="4"/>
        <v>19435.099999999999</v>
      </c>
      <c r="L54" s="43">
        <f t="shared" si="32"/>
        <v>0</v>
      </c>
      <c r="M54" s="69">
        <f t="shared" si="29"/>
        <v>19435.099999999999</v>
      </c>
      <c r="N54" s="33">
        <f t="shared" si="31"/>
        <v>200564.9</v>
      </c>
      <c r="O54" s="33">
        <f t="shared" si="31"/>
        <v>0</v>
      </c>
      <c r="P54" s="33">
        <f t="shared" si="6"/>
        <v>200564.9</v>
      </c>
      <c r="Q54" s="43">
        <f t="shared" ref="Q54" si="33">Q56+Q57</f>
        <v>0</v>
      </c>
      <c r="R54" s="69">
        <f t="shared" si="30"/>
        <v>200564.9</v>
      </c>
      <c r="S54" s="27"/>
      <c r="U54" s="8"/>
    </row>
    <row r="55" spans="1:21" x14ac:dyDescent="0.35">
      <c r="A55" s="66"/>
      <c r="B55" s="77" t="s">
        <v>5</v>
      </c>
      <c r="C55" s="67"/>
      <c r="D55" s="32"/>
      <c r="E55" s="33"/>
      <c r="F55" s="33"/>
      <c r="G55" s="43"/>
      <c r="H55" s="69"/>
      <c r="I55" s="33"/>
      <c r="J55" s="33"/>
      <c r="K55" s="33"/>
      <c r="L55" s="43"/>
      <c r="M55" s="69"/>
      <c r="N55" s="33"/>
      <c r="O55" s="33"/>
      <c r="P55" s="33"/>
      <c r="Q55" s="43"/>
      <c r="R55" s="69"/>
      <c r="S55" s="27"/>
      <c r="U55" s="8"/>
    </row>
    <row r="56" spans="1:21" s="3" customFormat="1" hidden="1" x14ac:dyDescent="0.35">
      <c r="A56" s="1"/>
      <c r="B56" s="6" t="s">
        <v>6</v>
      </c>
      <c r="C56" s="40"/>
      <c r="D56" s="32">
        <v>0</v>
      </c>
      <c r="E56" s="33"/>
      <c r="F56" s="33">
        <f t="shared" si="1"/>
        <v>0</v>
      </c>
      <c r="G56" s="43"/>
      <c r="H56" s="33">
        <f t="shared" ref="H56:H58" si="34">F56+G56</f>
        <v>0</v>
      </c>
      <c r="I56" s="33">
        <v>19435.099999999999</v>
      </c>
      <c r="J56" s="33"/>
      <c r="K56" s="33">
        <f t="shared" si="4"/>
        <v>19435.099999999999</v>
      </c>
      <c r="L56" s="43"/>
      <c r="M56" s="33">
        <f t="shared" ref="M56:M58" si="35">K56+L56</f>
        <v>19435.099999999999</v>
      </c>
      <c r="N56" s="33">
        <v>93792.299999999988</v>
      </c>
      <c r="O56" s="33"/>
      <c r="P56" s="33">
        <f t="shared" si="6"/>
        <v>93792.299999999988</v>
      </c>
      <c r="Q56" s="43"/>
      <c r="R56" s="33">
        <f t="shared" ref="R56:R58" si="36">P56+Q56</f>
        <v>93792.299999999988</v>
      </c>
      <c r="S56" s="27" t="s">
        <v>205</v>
      </c>
      <c r="T56" s="21" t="s">
        <v>51</v>
      </c>
      <c r="U56" s="8"/>
    </row>
    <row r="57" spans="1:21" x14ac:dyDescent="0.35">
      <c r="A57" s="66"/>
      <c r="B57" s="67" t="s">
        <v>12</v>
      </c>
      <c r="C57" s="67"/>
      <c r="D57" s="32">
        <v>0</v>
      </c>
      <c r="E57" s="33"/>
      <c r="F57" s="33">
        <f t="shared" si="1"/>
        <v>0</v>
      </c>
      <c r="G57" s="43"/>
      <c r="H57" s="69">
        <f t="shared" si="34"/>
        <v>0</v>
      </c>
      <c r="I57" s="33">
        <v>0</v>
      </c>
      <c r="J57" s="33"/>
      <c r="K57" s="33">
        <f t="shared" si="4"/>
        <v>0</v>
      </c>
      <c r="L57" s="43"/>
      <c r="M57" s="69">
        <f t="shared" si="35"/>
        <v>0</v>
      </c>
      <c r="N57" s="33">
        <v>106772.6</v>
      </c>
      <c r="O57" s="33"/>
      <c r="P57" s="33">
        <f t="shared" si="6"/>
        <v>106772.6</v>
      </c>
      <c r="Q57" s="43"/>
      <c r="R57" s="69">
        <f t="shared" si="36"/>
        <v>106772.6</v>
      </c>
      <c r="S57" s="27" t="s">
        <v>313</v>
      </c>
      <c r="U57" s="8"/>
    </row>
    <row r="58" spans="1:21" ht="54" x14ac:dyDescent="0.35">
      <c r="A58" s="66" t="s">
        <v>76</v>
      </c>
      <c r="B58" s="83" t="s">
        <v>342</v>
      </c>
      <c r="C58" s="67" t="s">
        <v>32</v>
      </c>
      <c r="D58" s="32">
        <v>17739.900000000001</v>
      </c>
      <c r="E58" s="33">
        <f>E60+E61+E62</f>
        <v>368533.6</v>
      </c>
      <c r="F58" s="33">
        <f t="shared" si="1"/>
        <v>386273.5</v>
      </c>
      <c r="G58" s="43">
        <f>G60+G61+G62</f>
        <v>0</v>
      </c>
      <c r="H58" s="69">
        <f t="shared" si="34"/>
        <v>386273.5</v>
      </c>
      <c r="I58" s="33">
        <v>359255.5</v>
      </c>
      <c r="J58" s="33">
        <f>J60+J61+J62</f>
        <v>339200.5</v>
      </c>
      <c r="K58" s="33">
        <f t="shared" si="4"/>
        <v>698456</v>
      </c>
      <c r="L58" s="43">
        <f>L60+L61+L62</f>
        <v>-179602.7</v>
      </c>
      <c r="M58" s="69">
        <f t="shared" si="35"/>
        <v>518853.3</v>
      </c>
      <c r="N58" s="33">
        <v>94000</v>
      </c>
      <c r="O58" s="33">
        <f>O60+O61+O62</f>
        <v>-94000</v>
      </c>
      <c r="P58" s="33">
        <f t="shared" si="6"/>
        <v>0</v>
      </c>
      <c r="Q58" s="43">
        <f>Q60+Q61+Q62</f>
        <v>0</v>
      </c>
      <c r="R58" s="69">
        <f t="shared" si="36"/>
        <v>0</v>
      </c>
      <c r="U58" s="8"/>
    </row>
    <row r="59" spans="1:21" x14ac:dyDescent="0.35">
      <c r="A59" s="66"/>
      <c r="B59" s="77" t="s">
        <v>5</v>
      </c>
      <c r="C59" s="67"/>
      <c r="D59" s="32"/>
      <c r="E59" s="33"/>
      <c r="F59" s="33"/>
      <c r="G59" s="43"/>
      <c r="H59" s="69"/>
      <c r="I59" s="33"/>
      <c r="J59" s="33"/>
      <c r="K59" s="33"/>
      <c r="L59" s="43"/>
      <c r="M59" s="69"/>
      <c r="N59" s="33"/>
      <c r="O59" s="33"/>
      <c r="P59" s="33"/>
      <c r="Q59" s="43"/>
      <c r="R59" s="69"/>
      <c r="S59" s="27"/>
      <c r="U59" s="8"/>
    </row>
    <row r="60" spans="1:21" s="3" customFormat="1" hidden="1" x14ac:dyDescent="0.35">
      <c r="A60" s="1"/>
      <c r="B60" s="6" t="s">
        <v>6</v>
      </c>
      <c r="C60" s="40"/>
      <c r="D60" s="32">
        <v>17739.900000000001</v>
      </c>
      <c r="E60" s="33">
        <v>178999.9</v>
      </c>
      <c r="F60" s="33">
        <f t="shared" si="1"/>
        <v>196739.8</v>
      </c>
      <c r="G60" s="43"/>
      <c r="H60" s="33">
        <f t="shared" ref="H60:H63" si="37">F60+G60</f>
        <v>196739.8</v>
      </c>
      <c r="I60" s="33">
        <v>359255.5</v>
      </c>
      <c r="J60" s="33">
        <v>-166015.79999999999</v>
      </c>
      <c r="K60" s="33">
        <f t="shared" si="4"/>
        <v>193239.7</v>
      </c>
      <c r="L60" s="43">
        <v>-179602.7</v>
      </c>
      <c r="M60" s="33">
        <f t="shared" ref="M60:M63" si="38">K60+L60</f>
        <v>13637</v>
      </c>
      <c r="N60" s="33">
        <v>94000</v>
      </c>
      <c r="O60" s="33">
        <v>-94000</v>
      </c>
      <c r="P60" s="33">
        <f t="shared" si="6"/>
        <v>0</v>
      </c>
      <c r="Q60" s="43"/>
      <c r="R60" s="33">
        <f t="shared" ref="R60:R63" si="39">P60+Q60</f>
        <v>0</v>
      </c>
      <c r="S60" s="27" t="s">
        <v>206</v>
      </c>
      <c r="T60" s="21" t="s">
        <v>51</v>
      </c>
      <c r="U60" s="8"/>
    </row>
    <row r="61" spans="1:21" x14ac:dyDescent="0.35">
      <c r="A61" s="66"/>
      <c r="B61" s="67" t="s">
        <v>12</v>
      </c>
      <c r="C61" s="67"/>
      <c r="D61" s="32"/>
      <c r="E61" s="33">
        <v>9476.7000000000007</v>
      </c>
      <c r="F61" s="33">
        <f t="shared" si="1"/>
        <v>9476.7000000000007</v>
      </c>
      <c r="G61" s="43"/>
      <c r="H61" s="69">
        <f t="shared" si="37"/>
        <v>9476.7000000000007</v>
      </c>
      <c r="I61" s="33"/>
      <c r="J61" s="33">
        <v>25260.799999999999</v>
      </c>
      <c r="K61" s="33">
        <f t="shared" si="4"/>
        <v>25260.799999999999</v>
      </c>
      <c r="L61" s="43"/>
      <c r="M61" s="69">
        <f t="shared" si="38"/>
        <v>25260.799999999999</v>
      </c>
      <c r="N61" s="33"/>
      <c r="O61" s="33"/>
      <c r="P61" s="33">
        <f t="shared" si="6"/>
        <v>0</v>
      </c>
      <c r="Q61" s="43"/>
      <c r="R61" s="69">
        <f t="shared" si="39"/>
        <v>0</v>
      </c>
      <c r="S61" s="27" t="s">
        <v>316</v>
      </c>
      <c r="U61" s="8"/>
    </row>
    <row r="62" spans="1:21" x14ac:dyDescent="0.35">
      <c r="A62" s="66"/>
      <c r="B62" s="83" t="s">
        <v>27</v>
      </c>
      <c r="C62" s="67"/>
      <c r="D62" s="32"/>
      <c r="E62" s="33">
        <v>180057</v>
      </c>
      <c r="F62" s="33">
        <f t="shared" si="1"/>
        <v>180057</v>
      </c>
      <c r="G62" s="43"/>
      <c r="H62" s="69">
        <f t="shared" si="37"/>
        <v>180057</v>
      </c>
      <c r="I62" s="33"/>
      <c r="J62" s="33">
        <v>479955.5</v>
      </c>
      <c r="K62" s="33">
        <f t="shared" si="4"/>
        <v>479955.5</v>
      </c>
      <c r="L62" s="43"/>
      <c r="M62" s="69">
        <f t="shared" si="38"/>
        <v>479955.5</v>
      </c>
      <c r="N62" s="33"/>
      <c r="O62" s="33"/>
      <c r="P62" s="33">
        <f t="shared" si="6"/>
        <v>0</v>
      </c>
      <c r="Q62" s="43"/>
      <c r="R62" s="69">
        <f t="shared" si="39"/>
        <v>0</v>
      </c>
      <c r="S62" s="27" t="s">
        <v>316</v>
      </c>
      <c r="U62" s="8"/>
    </row>
    <row r="63" spans="1:21" ht="54" x14ac:dyDescent="0.35">
      <c r="A63" s="66" t="s">
        <v>77</v>
      </c>
      <c r="B63" s="83" t="s">
        <v>321</v>
      </c>
      <c r="C63" s="67" t="s">
        <v>32</v>
      </c>
      <c r="D63" s="32">
        <f>D65+D66</f>
        <v>17770.600000000006</v>
      </c>
      <c r="E63" s="33">
        <f>E65+E66+E67</f>
        <v>368502.9</v>
      </c>
      <c r="F63" s="33">
        <f t="shared" si="1"/>
        <v>386273.5</v>
      </c>
      <c r="G63" s="43">
        <f>G65+G66+G67</f>
        <v>0</v>
      </c>
      <c r="H63" s="69">
        <f t="shared" si="37"/>
        <v>386273.5</v>
      </c>
      <c r="I63" s="33">
        <f t="shared" ref="I63:N63" si="40">I65+I66</f>
        <v>359224.79999999993</v>
      </c>
      <c r="J63" s="33">
        <f>J65+J66+J67</f>
        <v>552406.6</v>
      </c>
      <c r="K63" s="33">
        <f t="shared" si="4"/>
        <v>911631.39999999991</v>
      </c>
      <c r="L63" s="43">
        <f>L65+L66+L67</f>
        <v>179602.7</v>
      </c>
      <c r="M63" s="69">
        <f t="shared" si="38"/>
        <v>1091234.0999999999</v>
      </c>
      <c r="N63" s="33">
        <f t="shared" si="40"/>
        <v>94000</v>
      </c>
      <c r="O63" s="33">
        <f>O65+O66+O67</f>
        <v>-94000</v>
      </c>
      <c r="P63" s="33">
        <f t="shared" si="6"/>
        <v>0</v>
      </c>
      <c r="Q63" s="43">
        <f>Q65+Q66+Q67</f>
        <v>0</v>
      </c>
      <c r="R63" s="69">
        <f t="shared" si="39"/>
        <v>0</v>
      </c>
      <c r="S63" s="27"/>
      <c r="U63" s="8"/>
    </row>
    <row r="64" spans="1:21" x14ac:dyDescent="0.35">
      <c r="A64" s="66"/>
      <c r="B64" s="83" t="s">
        <v>5</v>
      </c>
      <c r="C64" s="67"/>
      <c r="D64" s="32"/>
      <c r="E64" s="33"/>
      <c r="F64" s="33"/>
      <c r="G64" s="43"/>
      <c r="H64" s="69"/>
      <c r="I64" s="33"/>
      <c r="J64" s="33"/>
      <c r="K64" s="33"/>
      <c r="L64" s="43"/>
      <c r="M64" s="69"/>
      <c r="N64" s="33"/>
      <c r="O64" s="33"/>
      <c r="P64" s="33"/>
      <c r="Q64" s="43"/>
      <c r="R64" s="69"/>
      <c r="S64" s="27"/>
      <c r="U64" s="8"/>
    </row>
    <row r="65" spans="1:21" s="3" customFormat="1" hidden="1" x14ac:dyDescent="0.35">
      <c r="A65" s="1"/>
      <c r="B65" s="39" t="s">
        <v>6</v>
      </c>
      <c r="C65" s="5"/>
      <c r="D65" s="32">
        <v>17770.600000000006</v>
      </c>
      <c r="E65" s="33">
        <v>178969.2</v>
      </c>
      <c r="F65" s="33">
        <f t="shared" si="1"/>
        <v>196739.80000000002</v>
      </c>
      <c r="G65" s="43"/>
      <c r="H65" s="33">
        <f t="shared" ref="H65:H83" si="41">F65+G65</f>
        <v>196739.80000000002</v>
      </c>
      <c r="I65" s="33">
        <v>344947.19999999995</v>
      </c>
      <c r="J65" s="33">
        <v>61467.9</v>
      </c>
      <c r="K65" s="33">
        <f t="shared" si="4"/>
        <v>406415.1</v>
      </c>
      <c r="L65" s="43">
        <v>179602.7</v>
      </c>
      <c r="M65" s="33">
        <f t="shared" ref="M65:M83" si="42">K65+L65</f>
        <v>586017.80000000005</v>
      </c>
      <c r="N65" s="33">
        <v>94000</v>
      </c>
      <c r="O65" s="33">
        <v>-94000</v>
      </c>
      <c r="P65" s="33">
        <f t="shared" si="6"/>
        <v>0</v>
      </c>
      <c r="Q65" s="43"/>
      <c r="R65" s="33">
        <f t="shared" ref="R65:R83" si="43">P65+Q65</f>
        <v>0</v>
      </c>
      <c r="S65" s="27" t="s">
        <v>207</v>
      </c>
      <c r="T65" s="21" t="s">
        <v>51</v>
      </c>
      <c r="U65" s="8"/>
    </row>
    <row r="66" spans="1:21" x14ac:dyDescent="0.35">
      <c r="A66" s="66"/>
      <c r="B66" s="83" t="s">
        <v>12</v>
      </c>
      <c r="C66" s="68"/>
      <c r="D66" s="32">
        <v>0</v>
      </c>
      <c r="E66" s="33">
        <v>9476.7000000000007</v>
      </c>
      <c r="F66" s="33">
        <f t="shared" si="1"/>
        <v>9476.7000000000007</v>
      </c>
      <c r="G66" s="43"/>
      <c r="H66" s="69">
        <f t="shared" si="41"/>
        <v>9476.7000000000007</v>
      </c>
      <c r="I66" s="33">
        <v>14277.6</v>
      </c>
      <c r="J66" s="33">
        <f>-14277.6+25260.8</f>
        <v>10983.199999999999</v>
      </c>
      <c r="K66" s="33">
        <f t="shared" si="4"/>
        <v>25260.799999999999</v>
      </c>
      <c r="L66" s="43"/>
      <c r="M66" s="69">
        <f t="shared" si="42"/>
        <v>25260.799999999999</v>
      </c>
      <c r="N66" s="33">
        <v>0</v>
      </c>
      <c r="O66" s="33"/>
      <c r="P66" s="33">
        <f t="shared" si="6"/>
        <v>0</v>
      </c>
      <c r="Q66" s="43"/>
      <c r="R66" s="69">
        <f t="shared" si="43"/>
        <v>0</v>
      </c>
      <c r="S66" s="27" t="s">
        <v>318</v>
      </c>
      <c r="U66" s="8"/>
    </row>
    <row r="67" spans="1:21" x14ac:dyDescent="0.35">
      <c r="A67" s="66"/>
      <c r="B67" s="83" t="s">
        <v>27</v>
      </c>
      <c r="C67" s="68"/>
      <c r="D67" s="32"/>
      <c r="E67" s="33">
        <v>180057</v>
      </c>
      <c r="F67" s="33">
        <f t="shared" si="1"/>
        <v>180057</v>
      </c>
      <c r="G67" s="43"/>
      <c r="H67" s="69">
        <f t="shared" si="41"/>
        <v>180057</v>
      </c>
      <c r="I67" s="33"/>
      <c r="J67" s="33">
        <v>479955.5</v>
      </c>
      <c r="K67" s="33">
        <f t="shared" si="4"/>
        <v>479955.5</v>
      </c>
      <c r="L67" s="43"/>
      <c r="M67" s="69">
        <f t="shared" si="42"/>
        <v>479955.5</v>
      </c>
      <c r="N67" s="33"/>
      <c r="O67" s="33"/>
      <c r="P67" s="33">
        <f t="shared" si="6"/>
        <v>0</v>
      </c>
      <c r="Q67" s="43"/>
      <c r="R67" s="69">
        <f t="shared" si="43"/>
        <v>0</v>
      </c>
      <c r="S67" s="27" t="s">
        <v>316</v>
      </c>
      <c r="U67" s="8"/>
    </row>
    <row r="68" spans="1:21" ht="36" x14ac:dyDescent="0.35">
      <c r="A68" s="66" t="s">
        <v>78</v>
      </c>
      <c r="B68" s="83" t="s">
        <v>57</v>
      </c>
      <c r="C68" s="67" t="s">
        <v>11</v>
      </c>
      <c r="D68" s="32">
        <v>6999.9</v>
      </c>
      <c r="E68" s="33"/>
      <c r="F68" s="33">
        <f t="shared" si="1"/>
        <v>6999.9</v>
      </c>
      <c r="G68" s="43"/>
      <c r="H68" s="69">
        <f t="shared" si="41"/>
        <v>6999.9</v>
      </c>
      <c r="I68" s="33">
        <v>0</v>
      </c>
      <c r="J68" s="33"/>
      <c r="K68" s="33">
        <f t="shared" si="4"/>
        <v>0</v>
      </c>
      <c r="L68" s="43"/>
      <c r="M68" s="69">
        <f t="shared" si="42"/>
        <v>0</v>
      </c>
      <c r="N68" s="33">
        <v>0</v>
      </c>
      <c r="O68" s="33"/>
      <c r="P68" s="33">
        <f t="shared" si="6"/>
        <v>0</v>
      </c>
      <c r="Q68" s="43"/>
      <c r="R68" s="69">
        <f t="shared" si="43"/>
        <v>0</v>
      </c>
      <c r="S68" s="27" t="s">
        <v>208</v>
      </c>
      <c r="U68" s="8"/>
    </row>
    <row r="69" spans="1:21" ht="36" x14ac:dyDescent="0.35">
      <c r="A69" s="66" t="s">
        <v>79</v>
      </c>
      <c r="B69" s="83" t="s">
        <v>58</v>
      </c>
      <c r="C69" s="67" t="s">
        <v>11</v>
      </c>
      <c r="D69" s="32">
        <v>622.9</v>
      </c>
      <c r="E69" s="33"/>
      <c r="F69" s="33">
        <f t="shared" si="1"/>
        <v>622.9</v>
      </c>
      <c r="G69" s="43"/>
      <c r="H69" s="69">
        <f t="shared" si="41"/>
        <v>622.9</v>
      </c>
      <c r="I69" s="33">
        <v>16000</v>
      </c>
      <c r="J69" s="33"/>
      <c r="K69" s="33">
        <f t="shared" si="4"/>
        <v>16000</v>
      </c>
      <c r="L69" s="43"/>
      <c r="M69" s="69">
        <f t="shared" si="42"/>
        <v>16000</v>
      </c>
      <c r="N69" s="33">
        <v>0</v>
      </c>
      <c r="O69" s="33"/>
      <c r="P69" s="33">
        <f t="shared" si="6"/>
        <v>0</v>
      </c>
      <c r="Q69" s="43"/>
      <c r="R69" s="69">
        <f t="shared" si="43"/>
        <v>0</v>
      </c>
      <c r="S69" s="27" t="s">
        <v>209</v>
      </c>
      <c r="U69" s="8"/>
    </row>
    <row r="70" spans="1:21" ht="36" x14ac:dyDescent="0.35">
      <c r="A70" s="66" t="s">
        <v>80</v>
      </c>
      <c r="B70" s="83" t="s">
        <v>59</v>
      </c>
      <c r="C70" s="67" t="s">
        <v>11</v>
      </c>
      <c r="D70" s="32">
        <v>622.9</v>
      </c>
      <c r="E70" s="33"/>
      <c r="F70" s="33">
        <f t="shared" si="1"/>
        <v>622.9</v>
      </c>
      <c r="G70" s="43"/>
      <c r="H70" s="69">
        <f t="shared" si="41"/>
        <v>622.9</v>
      </c>
      <c r="I70" s="33">
        <v>16000</v>
      </c>
      <c r="J70" s="33"/>
      <c r="K70" s="33">
        <f t="shared" si="4"/>
        <v>16000</v>
      </c>
      <c r="L70" s="43"/>
      <c r="M70" s="69">
        <f t="shared" si="42"/>
        <v>16000</v>
      </c>
      <c r="N70" s="33">
        <v>0</v>
      </c>
      <c r="O70" s="33"/>
      <c r="P70" s="33">
        <f t="shared" si="6"/>
        <v>0</v>
      </c>
      <c r="Q70" s="43"/>
      <c r="R70" s="69">
        <f t="shared" si="43"/>
        <v>0</v>
      </c>
      <c r="S70" s="27" t="s">
        <v>210</v>
      </c>
      <c r="U70" s="8"/>
    </row>
    <row r="71" spans="1:21" ht="36" x14ac:dyDescent="0.35">
      <c r="A71" s="66" t="s">
        <v>81</v>
      </c>
      <c r="B71" s="83" t="s">
        <v>60</v>
      </c>
      <c r="C71" s="67" t="s">
        <v>11</v>
      </c>
      <c r="D71" s="32">
        <v>16622.900000000001</v>
      </c>
      <c r="E71" s="33"/>
      <c r="F71" s="33">
        <f t="shared" si="1"/>
        <v>16622.900000000001</v>
      </c>
      <c r="G71" s="43"/>
      <c r="H71" s="69">
        <f t="shared" si="41"/>
        <v>16622.900000000001</v>
      </c>
      <c r="I71" s="33">
        <v>0</v>
      </c>
      <c r="J71" s="33"/>
      <c r="K71" s="33">
        <f t="shared" si="4"/>
        <v>0</v>
      </c>
      <c r="L71" s="43"/>
      <c r="M71" s="69">
        <f t="shared" si="42"/>
        <v>0</v>
      </c>
      <c r="N71" s="33">
        <v>0</v>
      </c>
      <c r="O71" s="33"/>
      <c r="P71" s="33">
        <f t="shared" si="6"/>
        <v>0</v>
      </c>
      <c r="Q71" s="43"/>
      <c r="R71" s="69">
        <f t="shared" si="43"/>
        <v>0</v>
      </c>
      <c r="S71" s="27" t="s">
        <v>211</v>
      </c>
      <c r="U71" s="8"/>
    </row>
    <row r="72" spans="1:21" ht="36" x14ac:dyDescent="0.35">
      <c r="A72" s="66" t="s">
        <v>82</v>
      </c>
      <c r="B72" s="83" t="s">
        <v>61</v>
      </c>
      <c r="C72" s="67" t="s">
        <v>11</v>
      </c>
      <c r="D72" s="32">
        <v>16000</v>
      </c>
      <c r="E72" s="33"/>
      <c r="F72" s="33">
        <f t="shared" si="1"/>
        <v>16000</v>
      </c>
      <c r="G72" s="43"/>
      <c r="H72" s="69">
        <f t="shared" si="41"/>
        <v>16000</v>
      </c>
      <c r="I72" s="33">
        <v>0</v>
      </c>
      <c r="J72" s="33"/>
      <c r="K72" s="33">
        <f t="shared" si="4"/>
        <v>0</v>
      </c>
      <c r="L72" s="43"/>
      <c r="M72" s="69">
        <f t="shared" si="42"/>
        <v>0</v>
      </c>
      <c r="N72" s="33">
        <v>0</v>
      </c>
      <c r="O72" s="33"/>
      <c r="P72" s="33">
        <f t="shared" si="6"/>
        <v>0</v>
      </c>
      <c r="Q72" s="43"/>
      <c r="R72" s="69">
        <f t="shared" si="43"/>
        <v>0</v>
      </c>
      <c r="S72" s="27" t="s">
        <v>212</v>
      </c>
      <c r="U72" s="8"/>
    </row>
    <row r="73" spans="1:21" ht="36" x14ac:dyDescent="0.35">
      <c r="A73" s="66" t="s">
        <v>83</v>
      </c>
      <c r="B73" s="83" t="s">
        <v>62</v>
      </c>
      <c r="C73" s="67" t="s">
        <v>11</v>
      </c>
      <c r="D73" s="32">
        <v>0</v>
      </c>
      <c r="E73" s="33"/>
      <c r="F73" s="33">
        <f t="shared" si="1"/>
        <v>0</v>
      </c>
      <c r="G73" s="43"/>
      <c r="H73" s="69">
        <f t="shared" si="41"/>
        <v>0</v>
      </c>
      <c r="I73" s="33">
        <v>16622.900000000001</v>
      </c>
      <c r="J73" s="33"/>
      <c r="K73" s="33">
        <f t="shared" si="4"/>
        <v>16622.900000000001</v>
      </c>
      <c r="L73" s="43"/>
      <c r="M73" s="69">
        <f t="shared" si="42"/>
        <v>16622.900000000001</v>
      </c>
      <c r="N73" s="33">
        <v>0</v>
      </c>
      <c r="O73" s="33"/>
      <c r="P73" s="33">
        <f t="shared" si="6"/>
        <v>0</v>
      </c>
      <c r="Q73" s="43"/>
      <c r="R73" s="69">
        <f t="shared" si="43"/>
        <v>0</v>
      </c>
      <c r="S73" s="27" t="s">
        <v>213</v>
      </c>
      <c r="U73" s="8"/>
    </row>
    <row r="74" spans="1:21" ht="36" x14ac:dyDescent="0.35">
      <c r="A74" s="66" t="s">
        <v>84</v>
      </c>
      <c r="B74" s="83" t="s">
        <v>63</v>
      </c>
      <c r="C74" s="67" t="s">
        <v>11</v>
      </c>
      <c r="D74" s="32">
        <v>17616.3</v>
      </c>
      <c r="E74" s="33"/>
      <c r="F74" s="33">
        <f t="shared" si="1"/>
        <v>17616.3</v>
      </c>
      <c r="G74" s="43"/>
      <c r="H74" s="69">
        <f t="shared" si="41"/>
        <v>17616.3</v>
      </c>
      <c r="I74" s="33">
        <v>0</v>
      </c>
      <c r="J74" s="33"/>
      <c r="K74" s="33">
        <f t="shared" si="4"/>
        <v>0</v>
      </c>
      <c r="L74" s="43"/>
      <c r="M74" s="69">
        <f t="shared" si="42"/>
        <v>0</v>
      </c>
      <c r="N74" s="33">
        <v>0</v>
      </c>
      <c r="O74" s="33"/>
      <c r="P74" s="33">
        <f t="shared" si="6"/>
        <v>0</v>
      </c>
      <c r="Q74" s="43"/>
      <c r="R74" s="69">
        <f t="shared" si="43"/>
        <v>0</v>
      </c>
      <c r="S74" s="27" t="s">
        <v>214</v>
      </c>
      <c r="U74" s="8"/>
    </row>
    <row r="75" spans="1:21" ht="54" x14ac:dyDescent="0.35">
      <c r="A75" s="124" t="s">
        <v>85</v>
      </c>
      <c r="B75" s="126" t="s">
        <v>64</v>
      </c>
      <c r="C75" s="67" t="s">
        <v>32</v>
      </c>
      <c r="D75" s="32">
        <v>13208</v>
      </c>
      <c r="E75" s="33"/>
      <c r="F75" s="33">
        <f t="shared" si="1"/>
        <v>13208</v>
      </c>
      <c r="G75" s="43"/>
      <c r="H75" s="69">
        <f t="shared" si="41"/>
        <v>13208</v>
      </c>
      <c r="I75" s="33">
        <v>130859</v>
      </c>
      <c r="J75" s="33"/>
      <c r="K75" s="33">
        <f t="shared" si="4"/>
        <v>130859</v>
      </c>
      <c r="L75" s="43"/>
      <c r="M75" s="69">
        <f t="shared" si="42"/>
        <v>130859</v>
      </c>
      <c r="N75" s="33">
        <v>0</v>
      </c>
      <c r="O75" s="33"/>
      <c r="P75" s="33">
        <f t="shared" si="6"/>
        <v>0</v>
      </c>
      <c r="Q75" s="43"/>
      <c r="R75" s="69">
        <f t="shared" si="43"/>
        <v>0</v>
      </c>
      <c r="S75" s="27" t="s">
        <v>215</v>
      </c>
      <c r="U75" s="8"/>
    </row>
    <row r="76" spans="1:21" ht="36" x14ac:dyDescent="0.35">
      <c r="A76" s="125"/>
      <c r="B76" s="127"/>
      <c r="C76" s="67" t="s">
        <v>11</v>
      </c>
      <c r="D76" s="32">
        <v>0</v>
      </c>
      <c r="E76" s="33"/>
      <c r="F76" s="33">
        <f t="shared" si="1"/>
        <v>0</v>
      </c>
      <c r="G76" s="43"/>
      <c r="H76" s="69">
        <f t="shared" si="41"/>
        <v>0</v>
      </c>
      <c r="I76" s="33">
        <v>1294.7</v>
      </c>
      <c r="J76" s="33"/>
      <c r="K76" s="33">
        <f t="shared" si="4"/>
        <v>1294.7</v>
      </c>
      <c r="L76" s="43"/>
      <c r="M76" s="69">
        <f t="shared" si="42"/>
        <v>1294.7</v>
      </c>
      <c r="N76" s="33">
        <v>0</v>
      </c>
      <c r="O76" s="33"/>
      <c r="P76" s="33">
        <f t="shared" si="6"/>
        <v>0</v>
      </c>
      <c r="Q76" s="43"/>
      <c r="R76" s="69">
        <f t="shared" si="43"/>
        <v>0</v>
      </c>
      <c r="S76" s="27" t="s">
        <v>215</v>
      </c>
      <c r="U76" s="8"/>
    </row>
    <row r="77" spans="1:21" ht="54" x14ac:dyDescent="0.35">
      <c r="A77" s="124" t="s">
        <v>86</v>
      </c>
      <c r="B77" s="126" t="s">
        <v>65</v>
      </c>
      <c r="C77" s="67" t="s">
        <v>32</v>
      </c>
      <c r="D77" s="32">
        <v>13208</v>
      </c>
      <c r="E77" s="33"/>
      <c r="F77" s="33">
        <f t="shared" si="1"/>
        <v>13208</v>
      </c>
      <c r="G77" s="43"/>
      <c r="H77" s="69">
        <f t="shared" si="41"/>
        <v>13208</v>
      </c>
      <c r="I77" s="33">
        <v>105503.9</v>
      </c>
      <c r="J77" s="33"/>
      <c r="K77" s="33">
        <f t="shared" si="4"/>
        <v>105503.9</v>
      </c>
      <c r="L77" s="43"/>
      <c r="M77" s="69">
        <f t="shared" si="42"/>
        <v>105503.9</v>
      </c>
      <c r="N77" s="33">
        <v>0</v>
      </c>
      <c r="O77" s="33"/>
      <c r="P77" s="33">
        <f t="shared" si="6"/>
        <v>0</v>
      </c>
      <c r="Q77" s="43"/>
      <c r="R77" s="69">
        <f t="shared" si="43"/>
        <v>0</v>
      </c>
      <c r="S77" s="27" t="s">
        <v>216</v>
      </c>
      <c r="U77" s="8"/>
    </row>
    <row r="78" spans="1:21" ht="36" x14ac:dyDescent="0.35">
      <c r="A78" s="125"/>
      <c r="B78" s="127"/>
      <c r="C78" s="67" t="s">
        <v>11</v>
      </c>
      <c r="D78" s="32">
        <v>0</v>
      </c>
      <c r="E78" s="33"/>
      <c r="F78" s="33">
        <f t="shared" si="1"/>
        <v>0</v>
      </c>
      <c r="G78" s="43"/>
      <c r="H78" s="69">
        <f t="shared" si="41"/>
        <v>0</v>
      </c>
      <c r="I78" s="33">
        <v>309.7</v>
      </c>
      <c r="J78" s="33"/>
      <c r="K78" s="33">
        <f t="shared" si="4"/>
        <v>309.7</v>
      </c>
      <c r="L78" s="43"/>
      <c r="M78" s="69">
        <f t="shared" si="42"/>
        <v>309.7</v>
      </c>
      <c r="N78" s="33">
        <v>0</v>
      </c>
      <c r="O78" s="33"/>
      <c r="P78" s="33">
        <f t="shared" si="6"/>
        <v>0</v>
      </c>
      <c r="Q78" s="43"/>
      <c r="R78" s="69">
        <f t="shared" si="43"/>
        <v>0</v>
      </c>
      <c r="S78" s="27" t="s">
        <v>216</v>
      </c>
      <c r="U78" s="8"/>
    </row>
    <row r="79" spans="1:21" ht="54" x14ac:dyDescent="0.35">
      <c r="A79" s="124" t="s">
        <v>87</v>
      </c>
      <c r="B79" s="126" t="s">
        <v>66</v>
      </c>
      <c r="C79" s="67" t="s">
        <v>32</v>
      </c>
      <c r="D79" s="32">
        <v>0</v>
      </c>
      <c r="E79" s="33"/>
      <c r="F79" s="33">
        <f t="shared" si="1"/>
        <v>0</v>
      </c>
      <c r="G79" s="43"/>
      <c r="H79" s="69">
        <f t="shared" si="41"/>
        <v>0</v>
      </c>
      <c r="I79" s="33">
        <v>30000</v>
      </c>
      <c r="J79" s="33"/>
      <c r="K79" s="33">
        <f t="shared" si="4"/>
        <v>30000</v>
      </c>
      <c r="L79" s="43"/>
      <c r="M79" s="69">
        <f t="shared" si="42"/>
        <v>30000</v>
      </c>
      <c r="N79" s="33">
        <v>60332.2</v>
      </c>
      <c r="O79" s="33"/>
      <c r="P79" s="33">
        <f t="shared" si="6"/>
        <v>60332.2</v>
      </c>
      <c r="Q79" s="43"/>
      <c r="R79" s="69">
        <f t="shared" si="43"/>
        <v>60332.2</v>
      </c>
      <c r="S79" s="27" t="s">
        <v>217</v>
      </c>
      <c r="U79" s="8"/>
    </row>
    <row r="80" spans="1:21" ht="36" x14ac:dyDescent="0.35">
      <c r="A80" s="125"/>
      <c r="B80" s="127"/>
      <c r="C80" s="67" t="s">
        <v>11</v>
      </c>
      <c r="D80" s="32">
        <v>0</v>
      </c>
      <c r="E80" s="33"/>
      <c r="F80" s="33">
        <f t="shared" si="1"/>
        <v>0</v>
      </c>
      <c r="G80" s="43"/>
      <c r="H80" s="69">
        <f t="shared" si="41"/>
        <v>0</v>
      </c>
      <c r="I80" s="33">
        <v>0</v>
      </c>
      <c r="J80" s="33"/>
      <c r="K80" s="33">
        <f t="shared" si="4"/>
        <v>0</v>
      </c>
      <c r="L80" s="43"/>
      <c r="M80" s="69">
        <f t="shared" si="42"/>
        <v>0</v>
      </c>
      <c r="N80" s="33">
        <v>1220.3</v>
      </c>
      <c r="O80" s="33"/>
      <c r="P80" s="33">
        <f t="shared" si="6"/>
        <v>1220.3</v>
      </c>
      <c r="Q80" s="43"/>
      <c r="R80" s="69">
        <f t="shared" si="43"/>
        <v>1220.3</v>
      </c>
      <c r="S80" s="27" t="s">
        <v>217</v>
      </c>
      <c r="U80" s="8"/>
    </row>
    <row r="81" spans="1:21" ht="54" x14ac:dyDescent="0.35">
      <c r="A81" s="66" t="s">
        <v>88</v>
      </c>
      <c r="B81" s="83" t="s">
        <v>67</v>
      </c>
      <c r="C81" s="67" t="s">
        <v>32</v>
      </c>
      <c r="D81" s="32">
        <v>0</v>
      </c>
      <c r="E81" s="33"/>
      <c r="F81" s="33">
        <f t="shared" si="1"/>
        <v>0</v>
      </c>
      <c r="G81" s="43"/>
      <c r="H81" s="69">
        <f t="shared" si="41"/>
        <v>0</v>
      </c>
      <c r="I81" s="33">
        <v>5158.8999999999996</v>
      </c>
      <c r="J81" s="33">
        <v>-1258.9000000000001</v>
      </c>
      <c r="K81" s="33">
        <f t="shared" si="4"/>
        <v>3899.9999999999995</v>
      </c>
      <c r="L81" s="43"/>
      <c r="M81" s="69">
        <f t="shared" si="42"/>
        <v>3899.9999999999995</v>
      </c>
      <c r="N81" s="33">
        <v>0</v>
      </c>
      <c r="O81" s="33"/>
      <c r="P81" s="33">
        <f t="shared" si="6"/>
        <v>0</v>
      </c>
      <c r="Q81" s="43"/>
      <c r="R81" s="69">
        <f t="shared" si="43"/>
        <v>0</v>
      </c>
      <c r="S81" s="27" t="s">
        <v>218</v>
      </c>
      <c r="U81" s="8"/>
    </row>
    <row r="82" spans="1:21" ht="54" x14ac:dyDescent="0.35">
      <c r="A82" s="66" t="s">
        <v>89</v>
      </c>
      <c r="B82" s="83" t="s">
        <v>328</v>
      </c>
      <c r="C82" s="83" t="s">
        <v>32</v>
      </c>
      <c r="D82" s="32"/>
      <c r="E82" s="33"/>
      <c r="F82" s="33"/>
      <c r="G82" s="43">
        <v>1.843</v>
      </c>
      <c r="H82" s="69">
        <f t="shared" si="41"/>
        <v>1.843</v>
      </c>
      <c r="I82" s="33"/>
      <c r="J82" s="33"/>
      <c r="K82" s="33"/>
      <c r="L82" s="43"/>
      <c r="M82" s="69">
        <f t="shared" si="42"/>
        <v>0</v>
      </c>
      <c r="N82" s="33"/>
      <c r="O82" s="33"/>
      <c r="P82" s="33"/>
      <c r="Q82" s="43"/>
      <c r="R82" s="69">
        <f t="shared" si="43"/>
        <v>0</v>
      </c>
      <c r="S82" s="37" t="s">
        <v>329</v>
      </c>
      <c r="U82" s="8"/>
    </row>
    <row r="83" spans="1:21" x14ac:dyDescent="0.35">
      <c r="A83" s="66"/>
      <c r="B83" s="83" t="s">
        <v>25</v>
      </c>
      <c r="C83" s="68"/>
      <c r="D83" s="34">
        <f>D89+D90+D91+D92+D93+D94+D95+D96+D97+D98+D99+D100+D102+D103+D108+D111+D114</f>
        <v>1923889.5</v>
      </c>
      <c r="E83" s="35">
        <f>E89+E90+E91+E92+E93+E94+E95+E96+E97+E98+E99+E100+E102+E103+E108+E111+E114+E101+E118+E121</f>
        <v>-358843.24299999996</v>
      </c>
      <c r="F83" s="35">
        <f t="shared" si="1"/>
        <v>1565046.257</v>
      </c>
      <c r="G83" s="35">
        <f>G89+G90+G91+G92+G93+G94+G95+G96+G97+G98+G99+G100+G102+G103+G108+G111+G114+G101+G118+G121</f>
        <v>221469.76</v>
      </c>
      <c r="H83" s="69">
        <f t="shared" si="41"/>
        <v>1786516.017</v>
      </c>
      <c r="I83" s="35">
        <f t="shared" ref="I83:N83" si="44">I89+I90+I91+I92+I93+I94+I95+I96+I97+I98+I99+I100+I102+I103+I108+I111+I114</f>
        <v>5543608.1999999993</v>
      </c>
      <c r="J83" s="35">
        <f>J89+J90+J91+J92+J93+J94+J95+J96+J97+J98+J99+J100+J102+J103+J108+J111+J114+J101+J118+J121</f>
        <v>-240261.39999999991</v>
      </c>
      <c r="K83" s="35">
        <f t="shared" si="4"/>
        <v>5303346.7999999989</v>
      </c>
      <c r="L83" s="35">
        <f>L89+L90+L91+L92+L93+L94+L95+L96+L97+L98+L99+L100+L102+L103+L108+L111+L114+L101+L118+L121</f>
        <v>106538.943</v>
      </c>
      <c r="M83" s="69">
        <f t="shared" si="42"/>
        <v>5409885.7429999989</v>
      </c>
      <c r="N83" s="35">
        <f t="shared" si="44"/>
        <v>914608.79999999993</v>
      </c>
      <c r="O83" s="35">
        <f>O89+O90+O91+O92+O93+O94+O95+O96+O97+O98+O99+O100+O102+O103+O108+O111+O114+O101+O118+O121</f>
        <v>0</v>
      </c>
      <c r="P83" s="35">
        <f t="shared" si="6"/>
        <v>914608.79999999993</v>
      </c>
      <c r="Q83" s="35">
        <f>Q89+Q90+Q91+Q92+Q93+Q94+Q95+Q96+Q97+Q98+Q99+Q100+Q102+Q103+Q108+Q111+Q114+Q101+Q118+Q121</f>
        <v>130724.838</v>
      </c>
      <c r="R83" s="69">
        <f t="shared" si="43"/>
        <v>1045333.6379999999</v>
      </c>
      <c r="S83" s="27"/>
      <c r="U83" s="8"/>
    </row>
    <row r="84" spans="1:21" x14ac:dyDescent="0.35">
      <c r="A84" s="66"/>
      <c r="B84" s="77" t="s">
        <v>5</v>
      </c>
      <c r="C84" s="68"/>
      <c r="D84" s="34"/>
      <c r="E84" s="35"/>
      <c r="F84" s="35"/>
      <c r="G84" s="35"/>
      <c r="H84" s="69"/>
      <c r="I84" s="35"/>
      <c r="J84" s="35"/>
      <c r="K84" s="35"/>
      <c r="L84" s="35"/>
      <c r="M84" s="69"/>
      <c r="N84" s="35"/>
      <c r="O84" s="35"/>
      <c r="P84" s="35"/>
      <c r="Q84" s="35"/>
      <c r="R84" s="69"/>
      <c r="S84" s="27"/>
      <c r="U84" s="8"/>
    </row>
    <row r="85" spans="1:21" s="16" customFormat="1" hidden="1" x14ac:dyDescent="0.35">
      <c r="A85" s="13"/>
      <c r="B85" s="17" t="s">
        <v>6</v>
      </c>
      <c r="C85" s="20"/>
      <c r="D85" s="34">
        <f>D89+D90+D91+D92+D93+D94+D95+D96+D97+D100+D98+D99+D102+D105</f>
        <v>466242.5</v>
      </c>
      <c r="E85" s="35">
        <f>E89+E90+E91+E92+E93+E94+E95+E96+E97+E100+E98+E99+E102+E105+E101</f>
        <v>-14166.442999999999</v>
      </c>
      <c r="F85" s="35">
        <f t="shared" si="1"/>
        <v>452076.05700000003</v>
      </c>
      <c r="G85" s="35">
        <f>G89+G90+G91+G92+G93+G94+G95+G96+G97+G100+G98+G99+G102+G105+G101</f>
        <v>221469.76</v>
      </c>
      <c r="H85" s="35">
        <f t="shared" ref="H85:H103" si="45">F85+G85</f>
        <v>673545.81700000004</v>
      </c>
      <c r="I85" s="35">
        <f t="shared" ref="I85:N85" si="46">I89+I90+I91+I92+I93+I94+I95+I96+I97+I100+I98+I99+I102+I105</f>
        <v>483024.19999999995</v>
      </c>
      <c r="J85" s="35">
        <f>J89+J90+J91+J92+J93+J94+J95+J96+J97+J100+J98+J99+J102+J105+J101</f>
        <v>10457.099999999999</v>
      </c>
      <c r="K85" s="35">
        <f t="shared" si="4"/>
        <v>493481.29999999993</v>
      </c>
      <c r="L85" s="35">
        <f>L89+L90+L91+L92+L93+L94+L95+L96+L97+L100+L98+L99+L102+L105+L101</f>
        <v>106538.943</v>
      </c>
      <c r="M85" s="35">
        <f t="shared" ref="M85:M103" si="47">K85+L85</f>
        <v>600020.2429999999</v>
      </c>
      <c r="N85" s="35">
        <f t="shared" si="46"/>
        <v>554000</v>
      </c>
      <c r="O85" s="35">
        <f>O89+O90+O91+O92+O93+O94+O95+O96+O97+O100+O98+O99+O102+O105+O101</f>
        <v>0</v>
      </c>
      <c r="P85" s="35">
        <f t="shared" si="6"/>
        <v>554000</v>
      </c>
      <c r="Q85" s="35">
        <f>Q89+Q90+Q91+Q92+Q93+Q94+Q95+Q96+Q97+Q100+Q98+Q99+Q102+Q105+Q101</f>
        <v>130724.838</v>
      </c>
      <c r="R85" s="35">
        <f t="shared" ref="R85:R103" si="48">P85+Q85</f>
        <v>684724.83799999999</v>
      </c>
      <c r="S85" s="29"/>
      <c r="T85" s="22" t="s">
        <v>51</v>
      </c>
      <c r="U85" s="15"/>
    </row>
    <row r="86" spans="1:21" x14ac:dyDescent="0.35">
      <c r="A86" s="66"/>
      <c r="B86" s="67" t="s">
        <v>12</v>
      </c>
      <c r="C86" s="68"/>
      <c r="D86" s="34">
        <f>D106+D113+D116</f>
        <v>212318</v>
      </c>
      <c r="E86" s="35">
        <f>E106+E113+E116</f>
        <v>0</v>
      </c>
      <c r="F86" s="35">
        <f t="shared" si="1"/>
        <v>212318</v>
      </c>
      <c r="G86" s="35">
        <f>G106+G113+G116</f>
        <v>0</v>
      </c>
      <c r="H86" s="69">
        <f t="shared" si="45"/>
        <v>212318</v>
      </c>
      <c r="I86" s="35">
        <f t="shared" ref="I86:O86" si="49">I106+I113+I116</f>
        <v>216563.8</v>
      </c>
      <c r="J86" s="35">
        <f t="shared" ref="J86:L86" si="50">J106+J113+J116</f>
        <v>0</v>
      </c>
      <c r="K86" s="35">
        <f t="shared" si="4"/>
        <v>216563.8</v>
      </c>
      <c r="L86" s="35">
        <f t="shared" si="50"/>
        <v>0</v>
      </c>
      <c r="M86" s="69">
        <f t="shared" si="47"/>
        <v>216563.8</v>
      </c>
      <c r="N86" s="35">
        <f t="shared" si="49"/>
        <v>261356.10000000003</v>
      </c>
      <c r="O86" s="35">
        <f t="shared" si="49"/>
        <v>0</v>
      </c>
      <c r="P86" s="35">
        <f t="shared" si="6"/>
        <v>261356.10000000003</v>
      </c>
      <c r="Q86" s="35">
        <f t="shared" ref="Q86" si="51">Q106+Q113+Q116</f>
        <v>0</v>
      </c>
      <c r="R86" s="69">
        <f t="shared" si="48"/>
        <v>261356.10000000003</v>
      </c>
      <c r="S86" s="27"/>
      <c r="U86" s="8"/>
    </row>
    <row r="87" spans="1:21" x14ac:dyDescent="0.35">
      <c r="A87" s="66"/>
      <c r="B87" s="67" t="s">
        <v>19</v>
      </c>
      <c r="C87" s="68"/>
      <c r="D87" s="34">
        <f>D117</f>
        <v>107290.7</v>
      </c>
      <c r="E87" s="35">
        <f>E117</f>
        <v>0</v>
      </c>
      <c r="F87" s="35">
        <f t="shared" si="1"/>
        <v>107290.7</v>
      </c>
      <c r="G87" s="35">
        <f>G117</f>
        <v>0</v>
      </c>
      <c r="H87" s="69">
        <f t="shared" si="45"/>
        <v>107290.7</v>
      </c>
      <c r="I87" s="35">
        <f t="shared" ref="I87:O87" si="52">I117</f>
        <v>103845.8</v>
      </c>
      <c r="J87" s="35">
        <f t="shared" ref="J87:L87" si="53">J117</f>
        <v>0</v>
      </c>
      <c r="K87" s="35">
        <f t="shared" si="4"/>
        <v>103845.8</v>
      </c>
      <c r="L87" s="35">
        <f t="shared" si="53"/>
        <v>0</v>
      </c>
      <c r="M87" s="69">
        <f t="shared" si="47"/>
        <v>103845.8</v>
      </c>
      <c r="N87" s="35">
        <f t="shared" si="52"/>
        <v>99252.7</v>
      </c>
      <c r="O87" s="35">
        <f t="shared" si="52"/>
        <v>0</v>
      </c>
      <c r="P87" s="35">
        <f t="shared" si="6"/>
        <v>99252.7</v>
      </c>
      <c r="Q87" s="35">
        <f t="shared" ref="Q87" si="54">Q117</f>
        <v>0</v>
      </c>
      <c r="R87" s="69">
        <f t="shared" si="48"/>
        <v>99252.7</v>
      </c>
      <c r="S87" s="27"/>
      <c r="U87" s="8"/>
    </row>
    <row r="88" spans="1:21" ht="36" x14ac:dyDescent="0.35">
      <c r="A88" s="66"/>
      <c r="B88" s="67" t="s">
        <v>26</v>
      </c>
      <c r="C88" s="68"/>
      <c r="D88" s="34">
        <f>D107+D110</f>
        <v>1138038.3</v>
      </c>
      <c r="E88" s="35">
        <f>E107+E110+E120+E123</f>
        <v>-344676.79999999993</v>
      </c>
      <c r="F88" s="35">
        <f t="shared" si="1"/>
        <v>793361.50000000012</v>
      </c>
      <c r="G88" s="35">
        <f>G107+G110+G120+G123</f>
        <v>0</v>
      </c>
      <c r="H88" s="69">
        <f t="shared" si="45"/>
        <v>793361.50000000012</v>
      </c>
      <c r="I88" s="35">
        <f t="shared" ref="I88:N88" si="55">I107+I110</f>
        <v>4740174.3999999994</v>
      </c>
      <c r="J88" s="35">
        <f>J107+J110+J120+J123</f>
        <v>-250718.5</v>
      </c>
      <c r="K88" s="35">
        <f t="shared" si="4"/>
        <v>4489455.8999999994</v>
      </c>
      <c r="L88" s="35">
        <f>L107+L110+L120+L123</f>
        <v>0</v>
      </c>
      <c r="M88" s="69">
        <f t="shared" si="47"/>
        <v>4489455.8999999994</v>
      </c>
      <c r="N88" s="35">
        <f t="shared" si="55"/>
        <v>0</v>
      </c>
      <c r="O88" s="35">
        <f>O107+O110+O120+O123</f>
        <v>0</v>
      </c>
      <c r="P88" s="35">
        <f t="shared" si="6"/>
        <v>0</v>
      </c>
      <c r="Q88" s="35">
        <f>Q107+Q110+Q120+Q123</f>
        <v>0</v>
      </c>
      <c r="R88" s="69">
        <f t="shared" si="48"/>
        <v>0</v>
      </c>
      <c r="S88" s="27"/>
      <c r="U88" s="8"/>
    </row>
    <row r="89" spans="1:21" ht="54" x14ac:dyDescent="0.35">
      <c r="A89" s="66" t="s">
        <v>90</v>
      </c>
      <c r="B89" s="67" t="s">
        <v>93</v>
      </c>
      <c r="C89" s="68" t="s">
        <v>32</v>
      </c>
      <c r="D89" s="33">
        <v>0</v>
      </c>
      <c r="E89" s="33"/>
      <c r="F89" s="33">
        <f t="shared" si="1"/>
        <v>0</v>
      </c>
      <c r="G89" s="43"/>
      <c r="H89" s="69">
        <f t="shared" si="45"/>
        <v>0</v>
      </c>
      <c r="I89" s="33">
        <v>80479</v>
      </c>
      <c r="J89" s="33"/>
      <c r="K89" s="33">
        <f t="shared" si="4"/>
        <v>80479</v>
      </c>
      <c r="L89" s="43">
        <v>-80479</v>
      </c>
      <c r="M89" s="69">
        <f t="shared" si="47"/>
        <v>0</v>
      </c>
      <c r="N89" s="33">
        <v>17000</v>
      </c>
      <c r="O89" s="33"/>
      <c r="P89" s="33">
        <f t="shared" si="6"/>
        <v>17000</v>
      </c>
      <c r="Q89" s="43">
        <v>80479</v>
      </c>
      <c r="R89" s="69">
        <f t="shared" si="48"/>
        <v>97479</v>
      </c>
      <c r="S89" s="27" t="s">
        <v>221</v>
      </c>
      <c r="U89" s="8"/>
    </row>
    <row r="90" spans="1:21" ht="54" x14ac:dyDescent="0.35">
      <c r="A90" s="66" t="s">
        <v>91</v>
      </c>
      <c r="B90" s="67" t="s">
        <v>37</v>
      </c>
      <c r="C90" s="68" t="s">
        <v>32</v>
      </c>
      <c r="D90" s="33">
        <v>18139.8</v>
      </c>
      <c r="E90" s="33">
        <v>-6406.3429999999998</v>
      </c>
      <c r="F90" s="33">
        <f t="shared" si="1"/>
        <v>11733.456999999999</v>
      </c>
      <c r="G90" s="43"/>
      <c r="H90" s="69">
        <f t="shared" si="45"/>
        <v>11733.456999999999</v>
      </c>
      <c r="I90" s="33">
        <v>0</v>
      </c>
      <c r="J90" s="33"/>
      <c r="K90" s="33">
        <f t="shared" si="4"/>
        <v>0</v>
      </c>
      <c r="L90" s="43"/>
      <c r="M90" s="69">
        <f t="shared" si="47"/>
        <v>0</v>
      </c>
      <c r="N90" s="33">
        <v>0</v>
      </c>
      <c r="O90" s="33"/>
      <c r="P90" s="33">
        <f t="shared" si="6"/>
        <v>0</v>
      </c>
      <c r="Q90" s="43"/>
      <c r="R90" s="69">
        <f t="shared" si="48"/>
        <v>0</v>
      </c>
      <c r="S90" s="27" t="s">
        <v>222</v>
      </c>
      <c r="U90" s="8"/>
    </row>
    <row r="91" spans="1:21" ht="54" x14ac:dyDescent="0.35">
      <c r="A91" s="66" t="s">
        <v>138</v>
      </c>
      <c r="B91" s="67" t="s">
        <v>92</v>
      </c>
      <c r="C91" s="68" t="s">
        <v>32</v>
      </c>
      <c r="D91" s="33">
        <v>20000</v>
      </c>
      <c r="E91" s="33">
        <v>4831.5</v>
      </c>
      <c r="F91" s="33">
        <f t="shared" si="1"/>
        <v>24831.5</v>
      </c>
      <c r="G91" s="43"/>
      <c r="H91" s="69">
        <f t="shared" si="45"/>
        <v>24831.5</v>
      </c>
      <c r="I91" s="33">
        <v>132806.1</v>
      </c>
      <c r="J91" s="33">
        <v>27419.5</v>
      </c>
      <c r="K91" s="33">
        <f t="shared" si="4"/>
        <v>160225.60000000001</v>
      </c>
      <c r="L91" s="43"/>
      <c r="M91" s="69">
        <f t="shared" si="47"/>
        <v>160225.60000000001</v>
      </c>
      <c r="N91" s="33">
        <v>0</v>
      </c>
      <c r="O91" s="33"/>
      <c r="P91" s="33">
        <f t="shared" si="6"/>
        <v>0</v>
      </c>
      <c r="Q91" s="43"/>
      <c r="R91" s="69">
        <f t="shared" si="48"/>
        <v>0</v>
      </c>
      <c r="S91" s="27" t="s">
        <v>223</v>
      </c>
      <c r="U91" s="8"/>
    </row>
    <row r="92" spans="1:21" ht="54" x14ac:dyDescent="0.35">
      <c r="A92" s="66" t="s">
        <v>139</v>
      </c>
      <c r="B92" s="67" t="s">
        <v>94</v>
      </c>
      <c r="C92" s="68" t="s">
        <v>32</v>
      </c>
      <c r="D92" s="33">
        <v>2093</v>
      </c>
      <c r="E92" s="33"/>
      <c r="F92" s="33">
        <f t="shared" si="1"/>
        <v>2093</v>
      </c>
      <c r="G92" s="43"/>
      <c r="H92" s="69">
        <f t="shared" si="45"/>
        <v>2093</v>
      </c>
      <c r="I92" s="33">
        <v>38895</v>
      </c>
      <c r="J92" s="33">
        <v>-38895</v>
      </c>
      <c r="K92" s="33">
        <f t="shared" si="4"/>
        <v>0</v>
      </c>
      <c r="L92" s="43"/>
      <c r="M92" s="69">
        <f t="shared" si="47"/>
        <v>0</v>
      </c>
      <c r="N92" s="33">
        <v>0</v>
      </c>
      <c r="O92" s="33"/>
      <c r="P92" s="33">
        <f t="shared" si="6"/>
        <v>0</v>
      </c>
      <c r="Q92" s="43"/>
      <c r="R92" s="69">
        <f t="shared" si="48"/>
        <v>0</v>
      </c>
      <c r="S92" s="27" t="s">
        <v>224</v>
      </c>
      <c r="U92" s="8"/>
    </row>
    <row r="93" spans="1:21" ht="72" x14ac:dyDescent="0.35">
      <c r="A93" s="66" t="s">
        <v>140</v>
      </c>
      <c r="B93" s="67" t="s">
        <v>38</v>
      </c>
      <c r="C93" s="68" t="s">
        <v>39</v>
      </c>
      <c r="D93" s="33">
        <v>6293</v>
      </c>
      <c r="E93" s="33">
        <v>2697</v>
      </c>
      <c r="F93" s="33">
        <f t="shared" si="1"/>
        <v>8990</v>
      </c>
      <c r="G93" s="43">
        <v>-6293</v>
      </c>
      <c r="H93" s="69">
        <f t="shared" si="45"/>
        <v>2697</v>
      </c>
      <c r="I93" s="33">
        <v>0</v>
      </c>
      <c r="J93" s="33"/>
      <c r="K93" s="33">
        <f t="shared" si="4"/>
        <v>0</v>
      </c>
      <c r="L93" s="43">
        <v>6293</v>
      </c>
      <c r="M93" s="69">
        <f t="shared" si="47"/>
        <v>6293</v>
      </c>
      <c r="N93" s="33">
        <v>0</v>
      </c>
      <c r="O93" s="33"/>
      <c r="P93" s="33">
        <f t="shared" si="6"/>
        <v>0</v>
      </c>
      <c r="Q93" s="43"/>
      <c r="R93" s="69">
        <f t="shared" si="48"/>
        <v>0</v>
      </c>
      <c r="S93" s="27" t="s">
        <v>225</v>
      </c>
      <c r="U93" s="8"/>
    </row>
    <row r="94" spans="1:21" ht="54" x14ac:dyDescent="0.35">
      <c r="A94" s="66" t="s">
        <v>141</v>
      </c>
      <c r="B94" s="67" t="s">
        <v>40</v>
      </c>
      <c r="C94" s="68" t="s">
        <v>32</v>
      </c>
      <c r="D94" s="33">
        <v>9350</v>
      </c>
      <c r="E94" s="33"/>
      <c r="F94" s="33">
        <f t="shared" si="1"/>
        <v>9350</v>
      </c>
      <c r="G94" s="43"/>
      <c r="H94" s="69">
        <f t="shared" si="45"/>
        <v>9350</v>
      </c>
      <c r="I94" s="33">
        <v>0</v>
      </c>
      <c r="J94" s="33"/>
      <c r="K94" s="33">
        <f t="shared" si="4"/>
        <v>0</v>
      </c>
      <c r="L94" s="43"/>
      <c r="M94" s="69">
        <f t="shared" si="47"/>
        <v>0</v>
      </c>
      <c r="N94" s="33">
        <v>0</v>
      </c>
      <c r="O94" s="33"/>
      <c r="P94" s="33">
        <f t="shared" si="6"/>
        <v>0</v>
      </c>
      <c r="Q94" s="43"/>
      <c r="R94" s="69">
        <f t="shared" si="48"/>
        <v>0</v>
      </c>
      <c r="S94" s="27" t="s">
        <v>226</v>
      </c>
      <c r="U94" s="8"/>
    </row>
    <row r="95" spans="1:21" ht="54" x14ac:dyDescent="0.35">
      <c r="A95" s="66" t="s">
        <v>142</v>
      </c>
      <c r="B95" s="67" t="s">
        <v>95</v>
      </c>
      <c r="C95" s="68" t="s">
        <v>32</v>
      </c>
      <c r="D95" s="33">
        <v>15288.6</v>
      </c>
      <c r="E95" s="33">
        <v>-15288.6</v>
      </c>
      <c r="F95" s="33">
        <f t="shared" si="1"/>
        <v>0</v>
      </c>
      <c r="G95" s="43"/>
      <c r="H95" s="69">
        <f t="shared" si="45"/>
        <v>0</v>
      </c>
      <c r="I95" s="33">
        <v>100597.4</v>
      </c>
      <c r="J95" s="33">
        <v>21932.6</v>
      </c>
      <c r="K95" s="33">
        <f t="shared" si="4"/>
        <v>122530</v>
      </c>
      <c r="L95" s="43">
        <v>-30245.838</v>
      </c>
      <c r="M95" s="69">
        <f t="shared" si="47"/>
        <v>92284.161999999997</v>
      </c>
      <c r="N95" s="33">
        <v>37000</v>
      </c>
      <c r="O95" s="33"/>
      <c r="P95" s="33">
        <f t="shared" si="6"/>
        <v>37000</v>
      </c>
      <c r="Q95" s="43">
        <v>30245.838</v>
      </c>
      <c r="R95" s="69">
        <f t="shared" si="48"/>
        <v>67245.838000000003</v>
      </c>
      <c r="S95" s="27" t="s">
        <v>227</v>
      </c>
      <c r="U95" s="8"/>
    </row>
    <row r="96" spans="1:21" ht="54" x14ac:dyDescent="0.35">
      <c r="A96" s="66" t="s">
        <v>143</v>
      </c>
      <c r="B96" s="67" t="s">
        <v>96</v>
      </c>
      <c r="C96" s="68" t="s">
        <v>32</v>
      </c>
      <c r="D96" s="33">
        <v>14760.4</v>
      </c>
      <c r="E96" s="33"/>
      <c r="F96" s="33">
        <f t="shared" si="1"/>
        <v>14760.4</v>
      </c>
      <c r="G96" s="57">
        <f>25454.12-685.54</f>
        <v>24768.579999999998</v>
      </c>
      <c r="H96" s="69">
        <f t="shared" si="45"/>
        <v>39528.979999999996</v>
      </c>
      <c r="I96" s="33">
        <v>0</v>
      </c>
      <c r="J96" s="33"/>
      <c r="K96" s="33">
        <f t="shared" si="4"/>
        <v>0</v>
      </c>
      <c r="L96" s="57">
        <v>232673.386</v>
      </c>
      <c r="M96" s="69">
        <f t="shared" si="47"/>
        <v>232673.386</v>
      </c>
      <c r="N96" s="33">
        <v>0</v>
      </c>
      <c r="O96" s="33"/>
      <c r="P96" s="33">
        <f t="shared" si="6"/>
        <v>0</v>
      </c>
      <c r="Q96" s="57">
        <v>20000</v>
      </c>
      <c r="R96" s="69">
        <f t="shared" si="48"/>
        <v>20000</v>
      </c>
      <c r="S96" s="27" t="s">
        <v>228</v>
      </c>
      <c r="U96" s="8"/>
    </row>
    <row r="97" spans="1:21" ht="54" x14ac:dyDescent="0.35">
      <c r="A97" s="66" t="s">
        <v>144</v>
      </c>
      <c r="B97" s="67" t="s">
        <v>31</v>
      </c>
      <c r="C97" s="68" t="s">
        <v>32</v>
      </c>
      <c r="D97" s="33">
        <v>110724.5</v>
      </c>
      <c r="E97" s="33"/>
      <c r="F97" s="33">
        <f t="shared" si="1"/>
        <v>110724.5</v>
      </c>
      <c r="G97" s="69">
        <v>-60759.125999999997</v>
      </c>
      <c r="H97" s="69">
        <f t="shared" si="45"/>
        <v>49965.374000000003</v>
      </c>
      <c r="I97" s="33">
        <v>26057.3</v>
      </c>
      <c r="J97" s="33"/>
      <c r="K97" s="33">
        <f t="shared" si="4"/>
        <v>26057.3</v>
      </c>
      <c r="L97" s="69">
        <v>-15409.605</v>
      </c>
      <c r="M97" s="69">
        <f t="shared" si="47"/>
        <v>10647.695</v>
      </c>
      <c r="N97" s="33">
        <v>0</v>
      </c>
      <c r="O97" s="33"/>
      <c r="P97" s="33">
        <f t="shared" si="6"/>
        <v>0</v>
      </c>
      <c r="Q97" s="69"/>
      <c r="R97" s="69">
        <f t="shared" si="48"/>
        <v>0</v>
      </c>
      <c r="S97" s="27" t="s">
        <v>229</v>
      </c>
      <c r="U97" s="8"/>
    </row>
    <row r="98" spans="1:21" ht="54" x14ac:dyDescent="0.35">
      <c r="A98" s="66" t="s">
        <v>145</v>
      </c>
      <c r="B98" s="67" t="s">
        <v>41</v>
      </c>
      <c r="C98" s="68" t="s">
        <v>32</v>
      </c>
      <c r="D98" s="33">
        <v>4480</v>
      </c>
      <c r="E98" s="33"/>
      <c r="F98" s="33">
        <f t="shared" ref="F98:F171" si="56">D98+E98</f>
        <v>4480</v>
      </c>
      <c r="G98" s="57">
        <f>-630+630</f>
        <v>0</v>
      </c>
      <c r="H98" s="69">
        <f t="shared" si="45"/>
        <v>4480</v>
      </c>
      <c r="I98" s="33">
        <v>52519.8</v>
      </c>
      <c r="J98" s="33"/>
      <c r="K98" s="33">
        <f t="shared" ref="K98:K171" si="57">I98+J98</f>
        <v>52519.8</v>
      </c>
      <c r="L98" s="57"/>
      <c r="M98" s="69">
        <f t="shared" si="47"/>
        <v>52519.8</v>
      </c>
      <c r="N98" s="33">
        <v>0</v>
      </c>
      <c r="O98" s="33"/>
      <c r="P98" s="33">
        <f t="shared" ref="P98:P171" si="58">N98+O98</f>
        <v>0</v>
      </c>
      <c r="Q98" s="57"/>
      <c r="R98" s="69">
        <f t="shared" si="48"/>
        <v>0</v>
      </c>
      <c r="S98" s="27" t="s">
        <v>230</v>
      </c>
      <c r="U98" s="8"/>
    </row>
    <row r="99" spans="1:21" ht="103.5" customHeight="1" x14ac:dyDescent="0.35">
      <c r="A99" s="66" t="s">
        <v>146</v>
      </c>
      <c r="B99" s="67" t="s">
        <v>42</v>
      </c>
      <c r="C99" s="68" t="s">
        <v>32</v>
      </c>
      <c r="D99" s="33">
        <v>37668.300000000003</v>
      </c>
      <c r="E99" s="33"/>
      <c r="F99" s="33">
        <f t="shared" si="56"/>
        <v>37668.300000000003</v>
      </c>
      <c r="G99" s="43">
        <f>7.018+35935.006</f>
        <v>35942.023999999998</v>
      </c>
      <c r="H99" s="69">
        <f t="shared" si="45"/>
        <v>73610.323999999993</v>
      </c>
      <c r="I99" s="33">
        <v>0</v>
      </c>
      <c r="J99" s="33"/>
      <c r="K99" s="33">
        <f t="shared" si="57"/>
        <v>0</v>
      </c>
      <c r="L99" s="43"/>
      <c r="M99" s="69">
        <f t="shared" si="47"/>
        <v>0</v>
      </c>
      <c r="N99" s="33">
        <v>0</v>
      </c>
      <c r="O99" s="33"/>
      <c r="P99" s="33">
        <f t="shared" si="58"/>
        <v>0</v>
      </c>
      <c r="Q99" s="43"/>
      <c r="R99" s="69">
        <f t="shared" si="48"/>
        <v>0</v>
      </c>
      <c r="S99" s="27" t="s">
        <v>231</v>
      </c>
      <c r="U99" s="8"/>
    </row>
    <row r="100" spans="1:21" s="3" customFormat="1" ht="56.25" hidden="1" customHeight="1" x14ac:dyDescent="0.35">
      <c r="A100" s="1" t="s">
        <v>147</v>
      </c>
      <c r="B100" s="46" t="s">
        <v>97</v>
      </c>
      <c r="C100" s="5" t="s">
        <v>32</v>
      </c>
      <c r="D100" s="33">
        <v>45000</v>
      </c>
      <c r="E100" s="33">
        <v>-45000</v>
      </c>
      <c r="F100" s="33">
        <f t="shared" si="56"/>
        <v>0</v>
      </c>
      <c r="G100" s="43"/>
      <c r="H100" s="33">
        <f t="shared" si="45"/>
        <v>0</v>
      </c>
      <c r="I100" s="33">
        <v>51669.599999999999</v>
      </c>
      <c r="J100" s="33">
        <v>-51669.599999999999</v>
      </c>
      <c r="K100" s="33">
        <f t="shared" si="57"/>
        <v>0</v>
      </c>
      <c r="L100" s="43"/>
      <c r="M100" s="33">
        <f t="shared" si="47"/>
        <v>0</v>
      </c>
      <c r="N100" s="33">
        <v>0</v>
      </c>
      <c r="O100" s="33"/>
      <c r="P100" s="33">
        <f t="shared" si="58"/>
        <v>0</v>
      </c>
      <c r="Q100" s="43"/>
      <c r="R100" s="33">
        <f t="shared" si="48"/>
        <v>0</v>
      </c>
      <c r="S100" s="27" t="s">
        <v>232</v>
      </c>
      <c r="T100" s="21" t="s">
        <v>51</v>
      </c>
      <c r="U100" s="8"/>
    </row>
    <row r="101" spans="1:21" ht="72" x14ac:dyDescent="0.35">
      <c r="A101" s="66" t="s">
        <v>147</v>
      </c>
      <c r="B101" s="84" t="s">
        <v>97</v>
      </c>
      <c r="C101" s="68" t="s">
        <v>39</v>
      </c>
      <c r="D101" s="32"/>
      <c r="E101" s="33">
        <v>45000</v>
      </c>
      <c r="F101" s="33">
        <f t="shared" si="56"/>
        <v>45000</v>
      </c>
      <c r="G101" s="43">
        <v>6293</v>
      </c>
      <c r="H101" s="69">
        <f t="shared" si="45"/>
        <v>51293</v>
      </c>
      <c r="I101" s="33"/>
      <c r="J101" s="33">
        <v>51669.599999999999</v>
      </c>
      <c r="K101" s="33">
        <f t="shared" si="57"/>
        <v>51669.599999999999</v>
      </c>
      <c r="L101" s="43">
        <v>-6293</v>
      </c>
      <c r="M101" s="69">
        <f t="shared" si="47"/>
        <v>45376.6</v>
      </c>
      <c r="N101" s="33"/>
      <c r="O101" s="33"/>
      <c r="P101" s="33">
        <f t="shared" si="58"/>
        <v>0</v>
      </c>
      <c r="Q101" s="43"/>
      <c r="R101" s="69">
        <f t="shared" si="48"/>
        <v>0</v>
      </c>
      <c r="S101" s="27" t="s">
        <v>232</v>
      </c>
      <c r="U101" s="8"/>
    </row>
    <row r="102" spans="1:21" ht="54" x14ac:dyDescent="0.35">
      <c r="A102" s="66" t="s">
        <v>148</v>
      </c>
      <c r="B102" s="67" t="s">
        <v>98</v>
      </c>
      <c r="C102" s="68" t="s">
        <v>32</v>
      </c>
      <c r="D102" s="32">
        <v>27873.5</v>
      </c>
      <c r="E102" s="33"/>
      <c r="F102" s="33">
        <f t="shared" si="56"/>
        <v>27873.5</v>
      </c>
      <c r="G102" s="43"/>
      <c r="H102" s="69">
        <f t="shared" si="45"/>
        <v>27873.5</v>
      </c>
      <c r="I102" s="33">
        <v>0</v>
      </c>
      <c r="J102" s="33"/>
      <c r="K102" s="33">
        <f t="shared" si="57"/>
        <v>0</v>
      </c>
      <c r="L102" s="43"/>
      <c r="M102" s="69">
        <f t="shared" si="47"/>
        <v>0</v>
      </c>
      <c r="N102" s="33">
        <v>0</v>
      </c>
      <c r="O102" s="33"/>
      <c r="P102" s="33">
        <f t="shared" si="58"/>
        <v>0</v>
      </c>
      <c r="Q102" s="43"/>
      <c r="R102" s="69">
        <f t="shared" si="48"/>
        <v>0</v>
      </c>
      <c r="S102" s="27" t="s">
        <v>233</v>
      </c>
      <c r="U102" s="8"/>
    </row>
    <row r="103" spans="1:21" ht="54" x14ac:dyDescent="0.35">
      <c r="A103" s="66" t="s">
        <v>149</v>
      </c>
      <c r="B103" s="67" t="s">
        <v>133</v>
      </c>
      <c r="C103" s="68" t="s">
        <v>3</v>
      </c>
      <c r="D103" s="32">
        <f>D105+D106+D107</f>
        <v>1111422.8999999999</v>
      </c>
      <c r="E103" s="33">
        <f>E105+E106+E107</f>
        <v>-367677.39999999997</v>
      </c>
      <c r="F103" s="33">
        <f t="shared" si="56"/>
        <v>743745.5</v>
      </c>
      <c r="G103" s="43">
        <f>G105+G106+G107</f>
        <v>221518.28200000001</v>
      </c>
      <c r="H103" s="69">
        <f t="shared" si="45"/>
        <v>965263.78200000001</v>
      </c>
      <c r="I103" s="33">
        <f t="shared" ref="I103:O103" si="59">I105+I106+I107</f>
        <v>4577948.6999999993</v>
      </c>
      <c r="J103" s="33">
        <f t="shared" ref="J103:L103" si="60">J105+J106+J107</f>
        <v>-1417383.4</v>
      </c>
      <c r="K103" s="33">
        <f t="shared" si="57"/>
        <v>3160565.2999999993</v>
      </c>
      <c r="L103" s="43">
        <f t="shared" si="60"/>
        <v>0</v>
      </c>
      <c r="M103" s="69">
        <f t="shared" si="47"/>
        <v>3160565.2999999993</v>
      </c>
      <c r="N103" s="33">
        <f t="shared" si="59"/>
        <v>649689.69999999995</v>
      </c>
      <c r="O103" s="33">
        <f t="shared" si="59"/>
        <v>0</v>
      </c>
      <c r="P103" s="33">
        <f t="shared" si="58"/>
        <v>649689.69999999995</v>
      </c>
      <c r="Q103" s="43">
        <f t="shared" ref="Q103" si="61">Q105+Q106+Q107</f>
        <v>0</v>
      </c>
      <c r="R103" s="69">
        <f t="shared" si="48"/>
        <v>649689.69999999995</v>
      </c>
      <c r="S103" s="27"/>
      <c r="U103" s="8"/>
    </row>
    <row r="104" spans="1:21" x14ac:dyDescent="0.35">
      <c r="A104" s="66"/>
      <c r="B104" s="77" t="s">
        <v>5</v>
      </c>
      <c r="C104" s="68"/>
      <c r="D104" s="32"/>
      <c r="E104" s="33"/>
      <c r="F104" s="33"/>
      <c r="G104" s="43"/>
      <c r="H104" s="69"/>
      <c r="I104" s="33"/>
      <c r="J104" s="33"/>
      <c r="K104" s="33"/>
      <c r="L104" s="43"/>
      <c r="M104" s="69"/>
      <c r="N104" s="33"/>
      <c r="O104" s="33"/>
      <c r="P104" s="33"/>
      <c r="Q104" s="43"/>
      <c r="R104" s="69"/>
      <c r="S104" s="27"/>
      <c r="U104" s="8"/>
    </row>
    <row r="105" spans="1:21" s="58" customFormat="1" ht="19.2" hidden="1" customHeight="1" x14ac:dyDescent="0.35">
      <c r="A105" s="54"/>
      <c r="B105" s="60" t="s">
        <v>6</v>
      </c>
      <c r="C105" s="59"/>
      <c r="D105" s="33">
        <v>154571.4</v>
      </c>
      <c r="E105" s="33"/>
      <c r="F105" s="33">
        <f t="shared" si="56"/>
        <v>154571.4</v>
      </c>
      <c r="G105" s="57">
        <f>189570.112+36577.073-41360.692+34169.947+2561.842</f>
        <v>221518.28200000001</v>
      </c>
      <c r="H105" s="57">
        <f t="shared" ref="H105:H108" si="62">F105+G105</f>
        <v>376089.68200000003</v>
      </c>
      <c r="I105" s="33">
        <v>0</v>
      </c>
      <c r="J105" s="33"/>
      <c r="K105" s="33">
        <f t="shared" si="57"/>
        <v>0</v>
      </c>
      <c r="L105" s="57"/>
      <c r="M105" s="57">
        <f t="shared" ref="M105:M108" si="63">K105+L105</f>
        <v>0</v>
      </c>
      <c r="N105" s="33">
        <v>500000</v>
      </c>
      <c r="O105" s="33"/>
      <c r="P105" s="33">
        <f t="shared" si="58"/>
        <v>500000</v>
      </c>
      <c r="Q105" s="57"/>
      <c r="R105" s="57">
        <f t="shared" ref="R105:R108" si="64">P105+Q105</f>
        <v>500000</v>
      </c>
      <c r="S105" s="27" t="s">
        <v>341</v>
      </c>
      <c r="T105" s="21" t="s">
        <v>51</v>
      </c>
      <c r="U105" s="8"/>
    </row>
    <row r="106" spans="1:21" x14ac:dyDescent="0.35">
      <c r="A106" s="66"/>
      <c r="B106" s="77" t="s">
        <v>12</v>
      </c>
      <c r="C106" s="68"/>
      <c r="D106" s="33">
        <v>91719.2</v>
      </c>
      <c r="E106" s="33"/>
      <c r="F106" s="33">
        <f t="shared" si="56"/>
        <v>91719.2</v>
      </c>
      <c r="G106" s="43"/>
      <c r="H106" s="69">
        <f t="shared" si="62"/>
        <v>91719.2</v>
      </c>
      <c r="I106" s="33">
        <v>99793.1</v>
      </c>
      <c r="J106" s="33"/>
      <c r="K106" s="33">
        <f t="shared" si="57"/>
        <v>99793.1</v>
      </c>
      <c r="L106" s="43"/>
      <c r="M106" s="69">
        <f t="shared" si="63"/>
        <v>99793.1</v>
      </c>
      <c r="N106" s="33">
        <v>149689.70000000001</v>
      </c>
      <c r="O106" s="33"/>
      <c r="P106" s="33">
        <f t="shared" si="58"/>
        <v>149689.70000000001</v>
      </c>
      <c r="Q106" s="43"/>
      <c r="R106" s="69">
        <f t="shared" si="64"/>
        <v>149689.70000000001</v>
      </c>
      <c r="S106" s="27" t="s">
        <v>237</v>
      </c>
      <c r="U106" s="8"/>
    </row>
    <row r="107" spans="1:21" ht="36" x14ac:dyDescent="0.35">
      <c r="A107" s="66"/>
      <c r="B107" s="67" t="s">
        <v>26</v>
      </c>
      <c r="C107" s="67"/>
      <c r="D107" s="33">
        <v>865132.3</v>
      </c>
      <c r="E107" s="33">
        <f>-344676.8-23000.6</f>
        <v>-367677.39999999997</v>
      </c>
      <c r="F107" s="33">
        <f t="shared" si="56"/>
        <v>497454.90000000008</v>
      </c>
      <c r="G107" s="43"/>
      <c r="H107" s="69">
        <f t="shared" si="62"/>
        <v>497454.90000000008</v>
      </c>
      <c r="I107" s="33">
        <v>4478155.5999999996</v>
      </c>
      <c r="J107" s="33">
        <f>-250718.5-1166664.9</f>
        <v>-1417383.4</v>
      </c>
      <c r="K107" s="33">
        <f t="shared" si="57"/>
        <v>3060772.1999999997</v>
      </c>
      <c r="L107" s="43"/>
      <c r="M107" s="69">
        <f t="shared" si="63"/>
        <v>3060772.1999999997</v>
      </c>
      <c r="N107" s="33">
        <v>0</v>
      </c>
      <c r="O107" s="33"/>
      <c r="P107" s="33">
        <f t="shared" si="58"/>
        <v>0</v>
      </c>
      <c r="Q107" s="43"/>
      <c r="R107" s="69">
        <f t="shared" si="64"/>
        <v>0</v>
      </c>
      <c r="S107" s="27" t="s">
        <v>236</v>
      </c>
      <c r="U107" s="8"/>
    </row>
    <row r="108" spans="1:21" ht="54" x14ac:dyDescent="0.35">
      <c r="A108" s="66" t="s">
        <v>150</v>
      </c>
      <c r="B108" s="85" t="s">
        <v>134</v>
      </c>
      <c r="C108" s="68" t="s">
        <v>32</v>
      </c>
      <c r="D108" s="33">
        <f>D110</f>
        <v>272906</v>
      </c>
      <c r="E108" s="33">
        <f>E110</f>
        <v>0</v>
      </c>
      <c r="F108" s="33">
        <f t="shared" si="56"/>
        <v>272906</v>
      </c>
      <c r="G108" s="43">
        <f>G110</f>
        <v>0</v>
      </c>
      <c r="H108" s="69">
        <f t="shared" si="62"/>
        <v>272906</v>
      </c>
      <c r="I108" s="33">
        <f t="shared" ref="I108:O108" si="65">I110</f>
        <v>262018.8</v>
      </c>
      <c r="J108" s="33">
        <f t="shared" ref="J108:L108" si="66">J110</f>
        <v>0</v>
      </c>
      <c r="K108" s="33">
        <f t="shared" si="57"/>
        <v>262018.8</v>
      </c>
      <c r="L108" s="43">
        <f t="shared" si="66"/>
        <v>0</v>
      </c>
      <c r="M108" s="69">
        <f t="shared" si="63"/>
        <v>262018.8</v>
      </c>
      <c r="N108" s="33">
        <f t="shared" si="65"/>
        <v>0</v>
      </c>
      <c r="O108" s="33">
        <f t="shared" si="65"/>
        <v>0</v>
      </c>
      <c r="P108" s="33">
        <f t="shared" si="58"/>
        <v>0</v>
      </c>
      <c r="Q108" s="43">
        <f t="shared" ref="Q108" si="67">Q110</f>
        <v>0</v>
      </c>
      <c r="R108" s="69">
        <f t="shared" si="64"/>
        <v>0</v>
      </c>
      <c r="S108" s="27"/>
      <c r="U108" s="8"/>
    </row>
    <row r="109" spans="1:21" x14ac:dyDescent="0.35">
      <c r="A109" s="66"/>
      <c r="B109" s="67" t="s">
        <v>5</v>
      </c>
      <c r="C109" s="68"/>
      <c r="D109" s="33"/>
      <c r="E109" s="33"/>
      <c r="F109" s="33"/>
      <c r="G109" s="43"/>
      <c r="H109" s="69"/>
      <c r="I109" s="33"/>
      <c r="J109" s="33"/>
      <c r="K109" s="33"/>
      <c r="L109" s="43"/>
      <c r="M109" s="69"/>
      <c r="N109" s="33"/>
      <c r="O109" s="33"/>
      <c r="P109" s="33"/>
      <c r="Q109" s="43"/>
      <c r="R109" s="69"/>
      <c r="S109" s="27"/>
      <c r="U109" s="8"/>
    </row>
    <row r="110" spans="1:21" ht="36" x14ac:dyDescent="0.35">
      <c r="A110" s="66"/>
      <c r="B110" s="67" t="s">
        <v>26</v>
      </c>
      <c r="C110" s="68"/>
      <c r="D110" s="33">
        <v>272906</v>
      </c>
      <c r="E110" s="33"/>
      <c r="F110" s="33">
        <f t="shared" si="56"/>
        <v>272906</v>
      </c>
      <c r="G110" s="43"/>
      <c r="H110" s="69">
        <f t="shared" ref="H110:H111" si="68">F110+G110</f>
        <v>272906</v>
      </c>
      <c r="I110" s="33">
        <v>262018.8</v>
      </c>
      <c r="J110" s="33"/>
      <c r="K110" s="33">
        <f t="shared" si="57"/>
        <v>262018.8</v>
      </c>
      <c r="L110" s="43"/>
      <c r="M110" s="69">
        <f t="shared" ref="M110:M111" si="69">K110+L110</f>
        <v>262018.8</v>
      </c>
      <c r="N110" s="33">
        <v>0</v>
      </c>
      <c r="O110" s="33"/>
      <c r="P110" s="33">
        <f t="shared" si="58"/>
        <v>0</v>
      </c>
      <c r="Q110" s="43"/>
      <c r="R110" s="69">
        <f t="shared" ref="R110:R111" si="70">P110+Q110</f>
        <v>0</v>
      </c>
      <c r="S110" s="27" t="s">
        <v>236</v>
      </c>
      <c r="U110" s="8"/>
    </row>
    <row r="111" spans="1:21" ht="120" customHeight="1" x14ac:dyDescent="0.35">
      <c r="A111" s="66" t="s">
        <v>151</v>
      </c>
      <c r="B111" s="67" t="s">
        <v>135</v>
      </c>
      <c r="C111" s="68" t="s">
        <v>3</v>
      </c>
      <c r="D111" s="33">
        <f>D113</f>
        <v>84835.199999999997</v>
      </c>
      <c r="E111" s="33">
        <f>E113</f>
        <v>0</v>
      </c>
      <c r="F111" s="33">
        <f t="shared" si="56"/>
        <v>84835.199999999997</v>
      </c>
      <c r="G111" s="43">
        <f>G113</f>
        <v>0</v>
      </c>
      <c r="H111" s="69">
        <f t="shared" si="68"/>
        <v>84835.199999999997</v>
      </c>
      <c r="I111" s="33">
        <f t="shared" ref="I111:O111" si="71">I113</f>
        <v>82155.399999999994</v>
      </c>
      <c r="J111" s="33">
        <f t="shared" ref="J111:L111" si="72">J113</f>
        <v>0</v>
      </c>
      <c r="K111" s="33">
        <f t="shared" si="57"/>
        <v>82155.399999999994</v>
      </c>
      <c r="L111" s="43">
        <f t="shared" si="72"/>
        <v>0</v>
      </c>
      <c r="M111" s="69">
        <f t="shared" si="69"/>
        <v>82155.399999999994</v>
      </c>
      <c r="N111" s="33">
        <f t="shared" si="71"/>
        <v>78582.2</v>
      </c>
      <c r="O111" s="33">
        <f t="shared" si="71"/>
        <v>0</v>
      </c>
      <c r="P111" s="33">
        <f t="shared" si="58"/>
        <v>78582.2</v>
      </c>
      <c r="Q111" s="43">
        <f t="shared" ref="Q111" si="73">Q113</f>
        <v>0</v>
      </c>
      <c r="R111" s="69">
        <f t="shared" si="70"/>
        <v>78582.2</v>
      </c>
      <c r="S111" s="27"/>
      <c r="U111" s="8"/>
    </row>
    <row r="112" spans="1:21" x14ac:dyDescent="0.35">
      <c r="A112" s="66"/>
      <c r="B112" s="67" t="s">
        <v>5</v>
      </c>
      <c r="C112" s="68"/>
      <c r="D112" s="33"/>
      <c r="E112" s="33"/>
      <c r="F112" s="33"/>
      <c r="G112" s="43"/>
      <c r="H112" s="69"/>
      <c r="I112" s="33"/>
      <c r="J112" s="33"/>
      <c r="K112" s="33"/>
      <c r="L112" s="43"/>
      <c r="M112" s="69"/>
      <c r="N112" s="33"/>
      <c r="O112" s="33"/>
      <c r="P112" s="33"/>
      <c r="Q112" s="43"/>
      <c r="R112" s="69"/>
      <c r="S112" s="27"/>
      <c r="U112" s="8"/>
    </row>
    <row r="113" spans="1:21" x14ac:dyDescent="0.35">
      <c r="A113" s="66"/>
      <c r="B113" s="67" t="s">
        <v>12</v>
      </c>
      <c r="C113" s="68"/>
      <c r="D113" s="33">
        <v>84835.199999999997</v>
      </c>
      <c r="E113" s="33"/>
      <c r="F113" s="33">
        <f t="shared" si="56"/>
        <v>84835.199999999997</v>
      </c>
      <c r="G113" s="43"/>
      <c r="H113" s="69">
        <f t="shared" ref="H113:H114" si="74">F113+G113</f>
        <v>84835.199999999997</v>
      </c>
      <c r="I113" s="33">
        <v>82155.399999999994</v>
      </c>
      <c r="J113" s="33"/>
      <c r="K113" s="33">
        <f t="shared" si="57"/>
        <v>82155.399999999994</v>
      </c>
      <c r="L113" s="43"/>
      <c r="M113" s="69">
        <f t="shared" ref="M113:M114" si="75">K113+L113</f>
        <v>82155.399999999994</v>
      </c>
      <c r="N113" s="33">
        <v>78582.2</v>
      </c>
      <c r="O113" s="33"/>
      <c r="P113" s="33">
        <f t="shared" si="58"/>
        <v>78582.2</v>
      </c>
      <c r="Q113" s="43"/>
      <c r="R113" s="69">
        <f t="shared" ref="R113:R114" si="76">P113+Q113</f>
        <v>78582.2</v>
      </c>
      <c r="S113" s="27" t="s">
        <v>234</v>
      </c>
      <c r="U113" s="8"/>
    </row>
    <row r="114" spans="1:21" ht="54" x14ac:dyDescent="0.35">
      <c r="A114" s="66" t="s">
        <v>152</v>
      </c>
      <c r="B114" s="67" t="s">
        <v>136</v>
      </c>
      <c r="C114" s="68" t="s">
        <v>3</v>
      </c>
      <c r="D114" s="33">
        <f>D116+D117</f>
        <v>143054.29999999999</v>
      </c>
      <c r="E114" s="33">
        <f>E116+E117</f>
        <v>0</v>
      </c>
      <c r="F114" s="33">
        <f t="shared" si="56"/>
        <v>143054.29999999999</v>
      </c>
      <c r="G114" s="43">
        <f>G116+G117</f>
        <v>0</v>
      </c>
      <c r="H114" s="69">
        <f t="shared" si="74"/>
        <v>143054.29999999999</v>
      </c>
      <c r="I114" s="33">
        <f t="shared" ref="I114:O114" si="77">I116+I117</f>
        <v>138461.1</v>
      </c>
      <c r="J114" s="33">
        <f t="shared" ref="J114:L114" si="78">J116+J117</f>
        <v>0</v>
      </c>
      <c r="K114" s="33">
        <f t="shared" si="57"/>
        <v>138461.1</v>
      </c>
      <c r="L114" s="43">
        <f t="shared" si="78"/>
        <v>0</v>
      </c>
      <c r="M114" s="69">
        <f t="shared" si="75"/>
        <v>138461.1</v>
      </c>
      <c r="N114" s="33">
        <f t="shared" si="77"/>
        <v>132336.9</v>
      </c>
      <c r="O114" s="33">
        <f t="shared" si="77"/>
        <v>0</v>
      </c>
      <c r="P114" s="33">
        <f t="shared" si="58"/>
        <v>132336.9</v>
      </c>
      <c r="Q114" s="43">
        <f t="shared" ref="Q114" si="79">Q116+Q117</f>
        <v>0</v>
      </c>
      <c r="R114" s="69">
        <f t="shared" si="76"/>
        <v>132336.9</v>
      </c>
      <c r="S114" s="27"/>
      <c r="U114" s="8"/>
    </row>
    <row r="115" spans="1:21" x14ac:dyDescent="0.35">
      <c r="A115" s="66"/>
      <c r="B115" s="67" t="s">
        <v>5</v>
      </c>
      <c r="C115" s="68"/>
      <c r="D115" s="33"/>
      <c r="E115" s="33"/>
      <c r="F115" s="33"/>
      <c r="G115" s="43"/>
      <c r="H115" s="69"/>
      <c r="I115" s="33"/>
      <c r="J115" s="33"/>
      <c r="K115" s="33"/>
      <c r="L115" s="43"/>
      <c r="M115" s="69"/>
      <c r="N115" s="33"/>
      <c r="O115" s="33"/>
      <c r="P115" s="33"/>
      <c r="Q115" s="43"/>
      <c r="R115" s="69"/>
      <c r="S115" s="27"/>
      <c r="U115" s="8"/>
    </row>
    <row r="116" spans="1:21" x14ac:dyDescent="0.35">
      <c r="A116" s="66"/>
      <c r="B116" s="67" t="s">
        <v>12</v>
      </c>
      <c r="C116" s="68"/>
      <c r="D116" s="33">
        <v>35763.599999999999</v>
      </c>
      <c r="E116" s="33"/>
      <c r="F116" s="33">
        <f t="shared" si="56"/>
        <v>35763.599999999999</v>
      </c>
      <c r="G116" s="43"/>
      <c r="H116" s="69">
        <f t="shared" ref="H116:H118" si="80">F116+G116</f>
        <v>35763.599999999999</v>
      </c>
      <c r="I116" s="33">
        <v>34615.300000000003</v>
      </c>
      <c r="J116" s="33"/>
      <c r="K116" s="33">
        <f t="shared" si="57"/>
        <v>34615.300000000003</v>
      </c>
      <c r="L116" s="43"/>
      <c r="M116" s="69">
        <f t="shared" ref="M116:M118" si="81">K116+L116</f>
        <v>34615.300000000003</v>
      </c>
      <c r="N116" s="33">
        <v>33084.199999999997</v>
      </c>
      <c r="O116" s="33"/>
      <c r="P116" s="33">
        <f t="shared" si="58"/>
        <v>33084.199999999997</v>
      </c>
      <c r="Q116" s="43"/>
      <c r="R116" s="69">
        <f t="shared" ref="R116:R118" si="82">P116+Q116</f>
        <v>33084.199999999997</v>
      </c>
      <c r="S116" s="27" t="s">
        <v>235</v>
      </c>
      <c r="U116" s="8"/>
    </row>
    <row r="117" spans="1:21" x14ac:dyDescent="0.35">
      <c r="A117" s="66"/>
      <c r="B117" s="67" t="s">
        <v>19</v>
      </c>
      <c r="C117" s="68"/>
      <c r="D117" s="33">
        <v>107290.7</v>
      </c>
      <c r="E117" s="33"/>
      <c r="F117" s="33">
        <f t="shared" si="56"/>
        <v>107290.7</v>
      </c>
      <c r="G117" s="43"/>
      <c r="H117" s="69">
        <f t="shared" si="80"/>
        <v>107290.7</v>
      </c>
      <c r="I117" s="33">
        <v>103845.8</v>
      </c>
      <c r="J117" s="33"/>
      <c r="K117" s="33">
        <f t="shared" si="57"/>
        <v>103845.8</v>
      </c>
      <c r="L117" s="43"/>
      <c r="M117" s="69">
        <f t="shared" si="81"/>
        <v>103845.8</v>
      </c>
      <c r="N117" s="33">
        <v>99252.7</v>
      </c>
      <c r="O117" s="33"/>
      <c r="P117" s="33">
        <f t="shared" si="58"/>
        <v>99252.7</v>
      </c>
      <c r="Q117" s="43"/>
      <c r="R117" s="69">
        <f t="shared" si="82"/>
        <v>99252.7</v>
      </c>
      <c r="S117" s="27" t="s">
        <v>235</v>
      </c>
      <c r="U117" s="8"/>
    </row>
    <row r="118" spans="1:21" ht="54" x14ac:dyDescent="0.35">
      <c r="A118" s="66" t="s">
        <v>153</v>
      </c>
      <c r="B118" s="67" t="s">
        <v>308</v>
      </c>
      <c r="C118" s="68" t="s">
        <v>32</v>
      </c>
      <c r="D118" s="33"/>
      <c r="E118" s="33">
        <f>E120</f>
        <v>11500.2</v>
      </c>
      <c r="F118" s="33">
        <f t="shared" si="56"/>
        <v>11500.2</v>
      </c>
      <c r="G118" s="43">
        <f>G120</f>
        <v>0</v>
      </c>
      <c r="H118" s="69">
        <f t="shared" si="80"/>
        <v>11500.2</v>
      </c>
      <c r="I118" s="33"/>
      <c r="J118" s="33">
        <f>J120</f>
        <v>583233.69999999995</v>
      </c>
      <c r="K118" s="33">
        <f t="shared" si="57"/>
        <v>583233.69999999995</v>
      </c>
      <c r="L118" s="43">
        <f>L120</f>
        <v>0</v>
      </c>
      <c r="M118" s="69">
        <f t="shared" si="81"/>
        <v>583233.69999999995</v>
      </c>
      <c r="N118" s="33"/>
      <c r="O118" s="33"/>
      <c r="P118" s="33">
        <f t="shared" si="58"/>
        <v>0</v>
      </c>
      <c r="Q118" s="43"/>
      <c r="R118" s="69">
        <f t="shared" si="82"/>
        <v>0</v>
      </c>
      <c r="S118" s="27"/>
      <c r="U118" s="8"/>
    </row>
    <row r="119" spans="1:21" x14ac:dyDescent="0.35">
      <c r="A119" s="66"/>
      <c r="B119" s="67" t="s">
        <v>5</v>
      </c>
      <c r="C119" s="68"/>
      <c r="D119" s="33"/>
      <c r="E119" s="33"/>
      <c r="F119" s="33"/>
      <c r="G119" s="43"/>
      <c r="H119" s="69"/>
      <c r="I119" s="33"/>
      <c r="J119" s="33"/>
      <c r="K119" s="33"/>
      <c r="L119" s="43"/>
      <c r="M119" s="69"/>
      <c r="N119" s="33"/>
      <c r="O119" s="33"/>
      <c r="P119" s="33"/>
      <c r="Q119" s="43"/>
      <c r="R119" s="69"/>
      <c r="S119" s="27"/>
      <c r="U119" s="8"/>
    </row>
    <row r="120" spans="1:21" ht="36" x14ac:dyDescent="0.35">
      <c r="A120" s="66"/>
      <c r="B120" s="67" t="s">
        <v>26</v>
      </c>
      <c r="C120" s="68"/>
      <c r="D120" s="33"/>
      <c r="E120" s="33">
        <v>11500.2</v>
      </c>
      <c r="F120" s="33">
        <f t="shared" si="56"/>
        <v>11500.2</v>
      </c>
      <c r="G120" s="43"/>
      <c r="H120" s="69">
        <f t="shared" ref="H120:H121" si="83">F120+G120</f>
        <v>11500.2</v>
      </c>
      <c r="I120" s="33"/>
      <c r="J120" s="33">
        <v>583233.69999999995</v>
      </c>
      <c r="K120" s="33">
        <f t="shared" si="57"/>
        <v>583233.69999999995</v>
      </c>
      <c r="L120" s="43"/>
      <c r="M120" s="69">
        <f t="shared" ref="M120:M121" si="84">K120+L120</f>
        <v>583233.69999999995</v>
      </c>
      <c r="N120" s="33"/>
      <c r="O120" s="33"/>
      <c r="P120" s="33">
        <f t="shared" si="58"/>
        <v>0</v>
      </c>
      <c r="Q120" s="43"/>
      <c r="R120" s="69">
        <f t="shared" ref="R120:R121" si="85">P120+Q120</f>
        <v>0</v>
      </c>
      <c r="S120" s="27" t="s">
        <v>236</v>
      </c>
      <c r="U120" s="8"/>
    </row>
    <row r="121" spans="1:21" ht="54" x14ac:dyDescent="0.35">
      <c r="A121" s="66" t="s">
        <v>154</v>
      </c>
      <c r="B121" s="67" t="s">
        <v>309</v>
      </c>
      <c r="C121" s="68" t="s">
        <v>32</v>
      </c>
      <c r="D121" s="33"/>
      <c r="E121" s="33">
        <f>E123</f>
        <v>11500.4</v>
      </c>
      <c r="F121" s="33">
        <f t="shared" si="56"/>
        <v>11500.4</v>
      </c>
      <c r="G121" s="43">
        <f>G123</f>
        <v>0</v>
      </c>
      <c r="H121" s="69">
        <f t="shared" si="83"/>
        <v>11500.4</v>
      </c>
      <c r="I121" s="33"/>
      <c r="J121" s="33">
        <f>J123</f>
        <v>583431.19999999995</v>
      </c>
      <c r="K121" s="33">
        <f t="shared" si="57"/>
        <v>583431.19999999995</v>
      </c>
      <c r="L121" s="43">
        <f>L123</f>
        <v>0</v>
      </c>
      <c r="M121" s="69">
        <f t="shared" si="84"/>
        <v>583431.19999999995</v>
      </c>
      <c r="N121" s="33"/>
      <c r="O121" s="33"/>
      <c r="P121" s="33">
        <f t="shared" si="58"/>
        <v>0</v>
      </c>
      <c r="Q121" s="43"/>
      <c r="R121" s="69">
        <f t="shared" si="85"/>
        <v>0</v>
      </c>
      <c r="S121" s="27"/>
      <c r="U121" s="8"/>
    </row>
    <row r="122" spans="1:21" x14ac:dyDescent="0.35">
      <c r="A122" s="66"/>
      <c r="B122" s="67" t="s">
        <v>5</v>
      </c>
      <c r="C122" s="68"/>
      <c r="D122" s="33"/>
      <c r="E122" s="33"/>
      <c r="F122" s="33"/>
      <c r="G122" s="43"/>
      <c r="H122" s="69"/>
      <c r="I122" s="33"/>
      <c r="J122" s="33"/>
      <c r="K122" s="33"/>
      <c r="L122" s="43"/>
      <c r="M122" s="69"/>
      <c r="N122" s="33"/>
      <c r="O122" s="33"/>
      <c r="P122" s="33"/>
      <c r="Q122" s="43"/>
      <c r="R122" s="69"/>
      <c r="S122" s="27"/>
      <c r="U122" s="8"/>
    </row>
    <row r="123" spans="1:21" ht="36" x14ac:dyDescent="0.35">
      <c r="A123" s="66"/>
      <c r="B123" s="67" t="s">
        <v>26</v>
      </c>
      <c r="C123" s="68"/>
      <c r="D123" s="33"/>
      <c r="E123" s="33">
        <v>11500.4</v>
      </c>
      <c r="F123" s="33">
        <f t="shared" si="56"/>
        <v>11500.4</v>
      </c>
      <c r="G123" s="43"/>
      <c r="H123" s="69">
        <f t="shared" ref="H123:H124" si="86">F123+G123</f>
        <v>11500.4</v>
      </c>
      <c r="I123" s="33"/>
      <c r="J123" s="33">
        <v>583431.19999999995</v>
      </c>
      <c r="K123" s="33">
        <f t="shared" si="57"/>
        <v>583431.19999999995</v>
      </c>
      <c r="L123" s="43"/>
      <c r="M123" s="69">
        <f t="shared" ref="M123:M124" si="87">K123+L123</f>
        <v>583431.19999999995</v>
      </c>
      <c r="N123" s="33"/>
      <c r="O123" s="33"/>
      <c r="P123" s="33">
        <f t="shared" si="58"/>
        <v>0</v>
      </c>
      <c r="Q123" s="43"/>
      <c r="R123" s="69">
        <f t="shared" ref="R123:R124" si="88">P123+Q123</f>
        <v>0</v>
      </c>
      <c r="S123" s="27" t="s">
        <v>236</v>
      </c>
      <c r="U123" s="8"/>
    </row>
    <row r="124" spans="1:21" x14ac:dyDescent="0.35">
      <c r="A124" s="66"/>
      <c r="B124" s="67" t="s">
        <v>24</v>
      </c>
      <c r="C124" s="67"/>
      <c r="D124" s="35">
        <f>D128+D132+D133+D134+D135+D136+D137+D138+D139+D140+D141+D142</f>
        <v>517225.00000000006</v>
      </c>
      <c r="E124" s="35">
        <f>E128+E132+E133+E134+E135+E136+E137+E138+E139+E140+E141+E142+E143</f>
        <v>-1474.1000000000004</v>
      </c>
      <c r="F124" s="35">
        <f t="shared" si="56"/>
        <v>515750.90000000008</v>
      </c>
      <c r="G124" s="35">
        <f>G128+G132+G133+G134+G135+G136+G137+G138+G139+G140+G141+G142+G143</f>
        <v>4011.2</v>
      </c>
      <c r="H124" s="69">
        <f t="shared" si="86"/>
        <v>519762.10000000009</v>
      </c>
      <c r="I124" s="35">
        <f t="shared" ref="I124:N124" si="89">I128+I132+I133+I134+I135+I136+I137+I138+I139+I140+I141+I142</f>
        <v>618381.4</v>
      </c>
      <c r="J124" s="35">
        <f>J128+J132+J133+J134+J135+J136+J137+J138+J139+J140+J141+J142+J143</f>
        <v>-1768.8999999999996</v>
      </c>
      <c r="K124" s="35">
        <f t="shared" si="57"/>
        <v>616612.5</v>
      </c>
      <c r="L124" s="35">
        <f>L128+L132+L133+L134+L135+L136+L137+L138+L139+L140+L141+L142+L143</f>
        <v>0</v>
      </c>
      <c r="M124" s="69">
        <f t="shared" si="87"/>
        <v>616612.5</v>
      </c>
      <c r="N124" s="35">
        <f t="shared" si="89"/>
        <v>201480.4</v>
      </c>
      <c r="O124" s="35">
        <f>O128+O132+O133+O134+O135+O136+O137+O138+O139+O140+O141+O142+O143</f>
        <v>0</v>
      </c>
      <c r="P124" s="35">
        <f t="shared" si="58"/>
        <v>201480.4</v>
      </c>
      <c r="Q124" s="35">
        <f>Q128+Q132+Q133+Q134+Q135+Q136+Q137+Q138+Q139+Q140+Q141+Q142+Q143</f>
        <v>0</v>
      </c>
      <c r="R124" s="69">
        <f t="shared" si="88"/>
        <v>201480.4</v>
      </c>
      <c r="S124" s="27"/>
      <c r="U124" s="8"/>
    </row>
    <row r="125" spans="1:21" x14ac:dyDescent="0.35">
      <c r="A125" s="66"/>
      <c r="B125" s="77" t="s">
        <v>5</v>
      </c>
      <c r="C125" s="67"/>
      <c r="D125" s="34"/>
      <c r="E125" s="35"/>
      <c r="F125" s="35"/>
      <c r="G125" s="35"/>
      <c r="H125" s="69"/>
      <c r="I125" s="35"/>
      <c r="J125" s="35"/>
      <c r="K125" s="35"/>
      <c r="L125" s="35"/>
      <c r="M125" s="69"/>
      <c r="N125" s="35"/>
      <c r="O125" s="35"/>
      <c r="P125" s="35"/>
      <c r="Q125" s="35"/>
      <c r="R125" s="69"/>
      <c r="S125" s="27"/>
      <c r="U125" s="8"/>
    </row>
    <row r="126" spans="1:21" s="16" customFormat="1" hidden="1" x14ac:dyDescent="0.35">
      <c r="A126" s="13"/>
      <c r="B126" s="17" t="s">
        <v>6</v>
      </c>
      <c r="C126" s="14"/>
      <c r="D126" s="34">
        <f>D130+D132+D133+D134+D135+D136+D137+D138+D139+D140+D141+D142</f>
        <v>433563.80000000005</v>
      </c>
      <c r="E126" s="35">
        <f>E130+E132+E133+E134+E135+E136+E137+E138+E139+E140+E141+E142+E145</f>
        <v>-1474.1</v>
      </c>
      <c r="F126" s="35">
        <f t="shared" si="56"/>
        <v>432089.70000000007</v>
      </c>
      <c r="G126" s="35">
        <f>G130+G132+G133+G134+G135+G136+G137+G138+G139+G140+G141+G142+G145</f>
        <v>4011.2</v>
      </c>
      <c r="H126" s="35">
        <f t="shared" ref="H126:H128" si="90">F126+G126</f>
        <v>436100.90000000008</v>
      </c>
      <c r="I126" s="35">
        <f t="shared" ref="I126:N126" si="91">I130+I132+I133+I134+I135+I136+I137+I138+I139+I140+I141+I142</f>
        <v>618381.4</v>
      </c>
      <c r="J126" s="35">
        <f>J130+J132+J133+J134+J135+J136+J137+J138+J139+J140+J141+J142+J145</f>
        <v>-1768.8999999999996</v>
      </c>
      <c r="K126" s="35">
        <f t="shared" si="57"/>
        <v>616612.5</v>
      </c>
      <c r="L126" s="35">
        <f>L130+L132+L133+L134+L135+L136+L137+L138+L139+L140+L141+L142+L145</f>
        <v>0</v>
      </c>
      <c r="M126" s="35">
        <f t="shared" ref="M126:M128" si="92">K126+L126</f>
        <v>616612.5</v>
      </c>
      <c r="N126" s="35">
        <f t="shared" si="91"/>
        <v>201480.4</v>
      </c>
      <c r="O126" s="35">
        <f>O130+O132+O133+O134+O135+O136+O137+O138+O139+O140+O141+O142+O145</f>
        <v>0</v>
      </c>
      <c r="P126" s="35">
        <f t="shared" si="58"/>
        <v>201480.4</v>
      </c>
      <c r="Q126" s="35">
        <f>Q130+Q132+Q133+Q134+Q135+Q136+Q137+Q138+Q139+Q140+Q141+Q142+Q145</f>
        <v>0</v>
      </c>
      <c r="R126" s="35">
        <f t="shared" ref="R126:R128" si="93">P126+Q126</f>
        <v>201480.4</v>
      </c>
      <c r="S126" s="29"/>
      <c r="T126" s="22" t="s">
        <v>51</v>
      </c>
      <c r="U126" s="15"/>
    </row>
    <row r="127" spans="1:21" x14ac:dyDescent="0.35">
      <c r="A127" s="66"/>
      <c r="B127" s="77" t="s">
        <v>12</v>
      </c>
      <c r="C127" s="67"/>
      <c r="D127" s="34">
        <f>D131</f>
        <v>83661.2</v>
      </c>
      <c r="E127" s="35">
        <f>E131+E146</f>
        <v>0</v>
      </c>
      <c r="F127" s="35">
        <f t="shared" si="56"/>
        <v>83661.2</v>
      </c>
      <c r="G127" s="35">
        <f>G131+G146</f>
        <v>0</v>
      </c>
      <c r="H127" s="69">
        <f t="shared" si="90"/>
        <v>83661.2</v>
      </c>
      <c r="I127" s="35">
        <f t="shared" ref="I127:N127" si="94">I131</f>
        <v>0</v>
      </c>
      <c r="J127" s="35">
        <f>J131+J146</f>
        <v>0</v>
      </c>
      <c r="K127" s="35">
        <f t="shared" si="57"/>
        <v>0</v>
      </c>
      <c r="L127" s="35">
        <f>L131+L146</f>
        <v>0</v>
      </c>
      <c r="M127" s="69">
        <f t="shared" si="92"/>
        <v>0</v>
      </c>
      <c r="N127" s="35">
        <f t="shared" si="94"/>
        <v>0</v>
      </c>
      <c r="O127" s="35">
        <f>O131+O146</f>
        <v>0</v>
      </c>
      <c r="P127" s="35">
        <f t="shared" si="58"/>
        <v>0</v>
      </c>
      <c r="Q127" s="35">
        <f>Q131+Q146</f>
        <v>0</v>
      </c>
      <c r="R127" s="69">
        <f t="shared" si="93"/>
        <v>0</v>
      </c>
      <c r="S127" s="27"/>
      <c r="U127" s="8"/>
    </row>
    <row r="128" spans="1:21" ht="54" x14ac:dyDescent="0.35">
      <c r="A128" s="66" t="s">
        <v>155</v>
      </c>
      <c r="B128" s="77" t="s">
        <v>99</v>
      </c>
      <c r="C128" s="68" t="s">
        <v>28</v>
      </c>
      <c r="D128" s="32">
        <f>D130+D131</f>
        <v>144161.20000000001</v>
      </c>
      <c r="E128" s="33">
        <f>E130+E131</f>
        <v>-8013.6</v>
      </c>
      <c r="F128" s="33">
        <f t="shared" si="56"/>
        <v>136147.6</v>
      </c>
      <c r="G128" s="43">
        <f>G130+G131</f>
        <v>3770.5059999999999</v>
      </c>
      <c r="H128" s="69">
        <f t="shared" si="90"/>
        <v>139918.106</v>
      </c>
      <c r="I128" s="33">
        <f t="shared" ref="I128:O128" si="95">I130+I131</f>
        <v>68900</v>
      </c>
      <c r="J128" s="33">
        <f t="shared" ref="J128:L128" si="96">J130+J131</f>
        <v>-8356.2000000000007</v>
      </c>
      <c r="K128" s="33">
        <f t="shared" si="57"/>
        <v>60543.8</v>
      </c>
      <c r="L128" s="43">
        <f t="shared" si="96"/>
        <v>0</v>
      </c>
      <c r="M128" s="69">
        <f t="shared" si="92"/>
        <v>60543.8</v>
      </c>
      <c r="N128" s="33">
        <f t="shared" si="95"/>
        <v>80000</v>
      </c>
      <c r="O128" s="33">
        <f t="shared" si="95"/>
        <v>0</v>
      </c>
      <c r="P128" s="33">
        <f t="shared" si="58"/>
        <v>80000</v>
      </c>
      <c r="Q128" s="43">
        <f t="shared" ref="Q128" si="97">Q130+Q131</f>
        <v>0</v>
      </c>
      <c r="R128" s="69">
        <f t="shared" si="93"/>
        <v>80000</v>
      </c>
      <c r="S128" s="27"/>
      <c r="U128" s="8"/>
    </row>
    <row r="129" spans="1:21" x14ac:dyDescent="0.35">
      <c r="A129" s="66"/>
      <c r="B129" s="77" t="s">
        <v>5</v>
      </c>
      <c r="C129" s="68"/>
      <c r="D129" s="32"/>
      <c r="E129" s="33"/>
      <c r="F129" s="33"/>
      <c r="G129" s="43"/>
      <c r="H129" s="69"/>
      <c r="I129" s="33"/>
      <c r="J129" s="33"/>
      <c r="K129" s="33"/>
      <c r="L129" s="43"/>
      <c r="M129" s="69"/>
      <c r="N129" s="33"/>
      <c r="O129" s="33"/>
      <c r="P129" s="33"/>
      <c r="Q129" s="43"/>
      <c r="R129" s="69"/>
      <c r="S129" s="27"/>
      <c r="U129" s="8"/>
    </row>
    <row r="130" spans="1:21" s="3" customFormat="1" hidden="1" x14ac:dyDescent="0.35">
      <c r="A130" s="1"/>
      <c r="B130" s="4" t="s">
        <v>6</v>
      </c>
      <c r="C130" s="40"/>
      <c r="D130" s="32">
        <v>60500</v>
      </c>
      <c r="E130" s="33"/>
      <c r="F130" s="33">
        <f t="shared" si="56"/>
        <v>60500</v>
      </c>
      <c r="G130" s="43">
        <v>3770.5059999999999</v>
      </c>
      <c r="H130" s="33">
        <f t="shared" ref="H130:H143" si="98">F130+G130</f>
        <v>64270.506000000001</v>
      </c>
      <c r="I130" s="33">
        <v>68900</v>
      </c>
      <c r="J130" s="33">
        <v>-8356.2000000000007</v>
      </c>
      <c r="K130" s="33">
        <f t="shared" si="57"/>
        <v>60543.8</v>
      </c>
      <c r="L130" s="43"/>
      <c r="M130" s="33">
        <f t="shared" ref="M130:M143" si="99">K130+L130</f>
        <v>60543.8</v>
      </c>
      <c r="N130" s="33">
        <v>80000</v>
      </c>
      <c r="O130" s="33"/>
      <c r="P130" s="33">
        <f t="shared" si="58"/>
        <v>80000</v>
      </c>
      <c r="Q130" s="43"/>
      <c r="R130" s="33">
        <f t="shared" ref="R130:R143" si="100">P130+Q130</f>
        <v>80000</v>
      </c>
      <c r="S130" s="27" t="s">
        <v>238</v>
      </c>
      <c r="T130" s="21" t="s">
        <v>51</v>
      </c>
      <c r="U130" s="8"/>
    </row>
    <row r="131" spans="1:21" x14ac:dyDescent="0.35">
      <c r="A131" s="66"/>
      <c r="B131" s="77" t="s">
        <v>12</v>
      </c>
      <c r="C131" s="67"/>
      <c r="D131" s="32">
        <v>83661.2</v>
      </c>
      <c r="E131" s="33">
        <v>-8013.6</v>
      </c>
      <c r="F131" s="33">
        <f t="shared" si="56"/>
        <v>75647.599999999991</v>
      </c>
      <c r="G131" s="43"/>
      <c r="H131" s="69">
        <f t="shared" si="98"/>
        <v>75647.599999999991</v>
      </c>
      <c r="I131" s="33">
        <v>0</v>
      </c>
      <c r="J131" s="33"/>
      <c r="K131" s="33">
        <f t="shared" si="57"/>
        <v>0</v>
      </c>
      <c r="L131" s="43"/>
      <c r="M131" s="69">
        <f t="shared" si="99"/>
        <v>0</v>
      </c>
      <c r="N131" s="33">
        <v>0</v>
      </c>
      <c r="O131" s="33"/>
      <c r="P131" s="33">
        <f t="shared" si="58"/>
        <v>0</v>
      </c>
      <c r="Q131" s="43"/>
      <c r="R131" s="69">
        <f t="shared" si="100"/>
        <v>0</v>
      </c>
      <c r="S131" s="27" t="s">
        <v>267</v>
      </c>
      <c r="U131" s="8"/>
    </row>
    <row r="132" spans="1:21" ht="54" x14ac:dyDescent="0.35">
      <c r="A132" s="66" t="s">
        <v>156</v>
      </c>
      <c r="B132" s="67" t="s">
        <v>100</v>
      </c>
      <c r="C132" s="68" t="s">
        <v>28</v>
      </c>
      <c r="D132" s="32">
        <v>43000</v>
      </c>
      <c r="E132" s="33"/>
      <c r="F132" s="33">
        <f t="shared" si="56"/>
        <v>43000</v>
      </c>
      <c r="G132" s="43"/>
      <c r="H132" s="69">
        <f t="shared" si="98"/>
        <v>43000</v>
      </c>
      <c r="I132" s="33">
        <v>30079.5</v>
      </c>
      <c r="J132" s="33"/>
      <c r="K132" s="33">
        <f t="shared" si="57"/>
        <v>30079.5</v>
      </c>
      <c r="L132" s="43"/>
      <c r="M132" s="69">
        <f t="shared" si="99"/>
        <v>30079.5</v>
      </c>
      <c r="N132" s="33">
        <v>29480.400000000001</v>
      </c>
      <c r="O132" s="33"/>
      <c r="P132" s="33">
        <f t="shared" si="58"/>
        <v>29480.400000000001</v>
      </c>
      <c r="Q132" s="43"/>
      <c r="R132" s="69">
        <f t="shared" si="100"/>
        <v>29480.400000000001</v>
      </c>
      <c r="S132" s="27" t="s">
        <v>239</v>
      </c>
      <c r="U132" s="8"/>
    </row>
    <row r="133" spans="1:21" ht="54" x14ac:dyDescent="0.35">
      <c r="A133" s="66" t="s">
        <v>157</v>
      </c>
      <c r="B133" s="77" t="s">
        <v>101</v>
      </c>
      <c r="C133" s="68" t="s">
        <v>28</v>
      </c>
      <c r="D133" s="32">
        <v>3673.8</v>
      </c>
      <c r="E133" s="33">
        <v>-78.5</v>
      </c>
      <c r="F133" s="33">
        <f t="shared" si="56"/>
        <v>3595.3</v>
      </c>
      <c r="G133" s="43">
        <v>240.69399999999999</v>
      </c>
      <c r="H133" s="69">
        <f t="shared" si="98"/>
        <v>3835.9940000000001</v>
      </c>
      <c r="I133" s="33">
        <v>18064.5</v>
      </c>
      <c r="J133" s="33"/>
      <c r="K133" s="33">
        <f t="shared" si="57"/>
        <v>18064.5</v>
      </c>
      <c r="L133" s="43"/>
      <c r="M133" s="69">
        <f t="shared" si="99"/>
        <v>18064.5</v>
      </c>
      <c r="N133" s="33">
        <v>0</v>
      </c>
      <c r="O133" s="33"/>
      <c r="P133" s="33">
        <f t="shared" si="58"/>
        <v>0</v>
      </c>
      <c r="Q133" s="43"/>
      <c r="R133" s="69">
        <f t="shared" si="100"/>
        <v>0</v>
      </c>
      <c r="S133" s="27" t="s">
        <v>240</v>
      </c>
      <c r="U133" s="8"/>
    </row>
    <row r="134" spans="1:21" ht="54" x14ac:dyDescent="0.35">
      <c r="A134" s="66" t="s">
        <v>158</v>
      </c>
      <c r="B134" s="77" t="s">
        <v>102</v>
      </c>
      <c r="C134" s="68" t="s">
        <v>28</v>
      </c>
      <c r="D134" s="32">
        <v>50217.2</v>
      </c>
      <c r="E134" s="33"/>
      <c r="F134" s="33">
        <f t="shared" si="56"/>
        <v>50217.2</v>
      </c>
      <c r="G134" s="43"/>
      <c r="H134" s="69">
        <f t="shared" si="98"/>
        <v>50217.2</v>
      </c>
      <c r="I134" s="33">
        <v>33915.699999999997</v>
      </c>
      <c r="J134" s="33">
        <v>-1565.6</v>
      </c>
      <c r="K134" s="33">
        <f t="shared" si="57"/>
        <v>32350.1</v>
      </c>
      <c r="L134" s="43"/>
      <c r="M134" s="69">
        <f t="shared" si="99"/>
        <v>32350.1</v>
      </c>
      <c r="N134" s="33">
        <v>0</v>
      </c>
      <c r="O134" s="33"/>
      <c r="P134" s="33">
        <f t="shared" si="58"/>
        <v>0</v>
      </c>
      <c r="Q134" s="43"/>
      <c r="R134" s="69">
        <f t="shared" si="100"/>
        <v>0</v>
      </c>
      <c r="S134" s="27" t="s">
        <v>241</v>
      </c>
      <c r="U134" s="8"/>
    </row>
    <row r="135" spans="1:21" ht="54" x14ac:dyDescent="0.35">
      <c r="A135" s="66" t="s">
        <v>159</v>
      </c>
      <c r="B135" s="77" t="s">
        <v>103</v>
      </c>
      <c r="C135" s="68" t="s">
        <v>28</v>
      </c>
      <c r="D135" s="32">
        <v>36605.5</v>
      </c>
      <c r="E135" s="33">
        <v>-765.5</v>
      </c>
      <c r="F135" s="33">
        <f t="shared" si="56"/>
        <v>35840</v>
      </c>
      <c r="G135" s="43"/>
      <c r="H135" s="69">
        <f t="shared" si="98"/>
        <v>35840</v>
      </c>
      <c r="I135" s="33">
        <v>0</v>
      </c>
      <c r="J135" s="33"/>
      <c r="K135" s="33">
        <f t="shared" si="57"/>
        <v>0</v>
      </c>
      <c r="L135" s="43"/>
      <c r="M135" s="69">
        <f t="shared" si="99"/>
        <v>0</v>
      </c>
      <c r="N135" s="33">
        <v>0</v>
      </c>
      <c r="O135" s="33"/>
      <c r="P135" s="33">
        <f t="shared" si="58"/>
        <v>0</v>
      </c>
      <c r="Q135" s="43"/>
      <c r="R135" s="69">
        <f t="shared" si="100"/>
        <v>0</v>
      </c>
      <c r="S135" s="27" t="s">
        <v>242</v>
      </c>
      <c r="U135" s="8"/>
    </row>
    <row r="136" spans="1:21" ht="54" x14ac:dyDescent="0.35">
      <c r="A136" s="66" t="s">
        <v>160</v>
      </c>
      <c r="B136" s="85" t="s">
        <v>104</v>
      </c>
      <c r="C136" s="68" t="s">
        <v>28</v>
      </c>
      <c r="D136" s="32">
        <v>0</v>
      </c>
      <c r="E136" s="33"/>
      <c r="F136" s="33">
        <f t="shared" si="56"/>
        <v>0</v>
      </c>
      <c r="G136" s="43"/>
      <c r="H136" s="69">
        <f t="shared" si="98"/>
        <v>0</v>
      </c>
      <c r="I136" s="33">
        <v>0</v>
      </c>
      <c r="J136" s="33"/>
      <c r="K136" s="33">
        <f t="shared" si="57"/>
        <v>0</v>
      </c>
      <c r="L136" s="43"/>
      <c r="M136" s="69">
        <f t="shared" si="99"/>
        <v>0</v>
      </c>
      <c r="N136" s="33">
        <v>92000</v>
      </c>
      <c r="O136" s="33"/>
      <c r="P136" s="33">
        <f t="shared" si="58"/>
        <v>92000</v>
      </c>
      <c r="Q136" s="43"/>
      <c r="R136" s="69">
        <f t="shared" si="100"/>
        <v>92000</v>
      </c>
      <c r="S136" s="27" t="s">
        <v>243</v>
      </c>
      <c r="U136" s="8"/>
    </row>
    <row r="137" spans="1:21" ht="54" x14ac:dyDescent="0.35">
      <c r="A137" s="66" t="s">
        <v>161</v>
      </c>
      <c r="B137" s="77" t="s">
        <v>105</v>
      </c>
      <c r="C137" s="68" t="s">
        <v>28</v>
      </c>
      <c r="D137" s="32">
        <v>54241.5</v>
      </c>
      <c r="E137" s="33">
        <v>-630.1</v>
      </c>
      <c r="F137" s="33">
        <f t="shared" si="56"/>
        <v>53611.4</v>
      </c>
      <c r="G137" s="43"/>
      <c r="H137" s="69">
        <f t="shared" si="98"/>
        <v>53611.4</v>
      </c>
      <c r="I137" s="33">
        <v>0</v>
      </c>
      <c r="J137" s="33"/>
      <c r="K137" s="33">
        <f t="shared" si="57"/>
        <v>0</v>
      </c>
      <c r="L137" s="43"/>
      <c r="M137" s="69">
        <f t="shared" si="99"/>
        <v>0</v>
      </c>
      <c r="N137" s="33">
        <v>0</v>
      </c>
      <c r="O137" s="33"/>
      <c r="P137" s="33">
        <f t="shared" si="58"/>
        <v>0</v>
      </c>
      <c r="Q137" s="43"/>
      <c r="R137" s="69">
        <f t="shared" si="100"/>
        <v>0</v>
      </c>
      <c r="S137" s="27" t="s">
        <v>244</v>
      </c>
      <c r="U137" s="8"/>
    </row>
    <row r="138" spans="1:21" ht="54" x14ac:dyDescent="0.35">
      <c r="A138" s="66" t="s">
        <v>162</v>
      </c>
      <c r="B138" s="77" t="s">
        <v>106</v>
      </c>
      <c r="C138" s="68" t="s">
        <v>28</v>
      </c>
      <c r="D138" s="32">
        <v>56188.4</v>
      </c>
      <c r="E138" s="33"/>
      <c r="F138" s="33">
        <f t="shared" si="56"/>
        <v>56188.4</v>
      </c>
      <c r="G138" s="43"/>
      <c r="H138" s="69">
        <f t="shared" si="98"/>
        <v>56188.4</v>
      </c>
      <c r="I138" s="33">
        <v>25289.4</v>
      </c>
      <c r="J138" s="33">
        <v>-203.3</v>
      </c>
      <c r="K138" s="33">
        <f t="shared" si="57"/>
        <v>25086.100000000002</v>
      </c>
      <c r="L138" s="43"/>
      <c r="M138" s="69">
        <f t="shared" si="99"/>
        <v>25086.100000000002</v>
      </c>
      <c r="N138" s="33">
        <v>0</v>
      </c>
      <c r="O138" s="33"/>
      <c r="P138" s="33">
        <f t="shared" si="58"/>
        <v>0</v>
      </c>
      <c r="Q138" s="43"/>
      <c r="R138" s="69">
        <f t="shared" si="100"/>
        <v>0</v>
      </c>
      <c r="S138" s="27" t="s">
        <v>245</v>
      </c>
      <c r="U138" s="8"/>
    </row>
    <row r="139" spans="1:21" ht="54" x14ac:dyDescent="0.35">
      <c r="A139" s="66" t="s">
        <v>163</v>
      </c>
      <c r="B139" s="77" t="s">
        <v>107</v>
      </c>
      <c r="C139" s="68" t="s">
        <v>28</v>
      </c>
      <c r="D139" s="32">
        <v>16975.900000000001</v>
      </c>
      <c r="E139" s="33"/>
      <c r="F139" s="33">
        <f t="shared" si="56"/>
        <v>16975.900000000001</v>
      </c>
      <c r="G139" s="43"/>
      <c r="H139" s="69">
        <f t="shared" si="98"/>
        <v>16975.900000000001</v>
      </c>
      <c r="I139" s="33">
        <v>0</v>
      </c>
      <c r="J139" s="33"/>
      <c r="K139" s="33">
        <f t="shared" si="57"/>
        <v>0</v>
      </c>
      <c r="L139" s="43"/>
      <c r="M139" s="69">
        <f t="shared" si="99"/>
        <v>0</v>
      </c>
      <c r="N139" s="33">
        <v>0</v>
      </c>
      <c r="O139" s="33"/>
      <c r="P139" s="33">
        <f t="shared" si="58"/>
        <v>0</v>
      </c>
      <c r="Q139" s="43"/>
      <c r="R139" s="69">
        <f t="shared" si="100"/>
        <v>0</v>
      </c>
      <c r="S139" s="27" t="s">
        <v>263</v>
      </c>
      <c r="U139" s="8"/>
    </row>
    <row r="140" spans="1:21" ht="54" x14ac:dyDescent="0.35">
      <c r="A140" s="66" t="s">
        <v>164</v>
      </c>
      <c r="B140" s="67" t="s">
        <v>108</v>
      </c>
      <c r="C140" s="68" t="s">
        <v>32</v>
      </c>
      <c r="D140" s="32">
        <v>4161.5</v>
      </c>
      <c r="E140" s="33"/>
      <c r="F140" s="33">
        <f t="shared" si="56"/>
        <v>4161.5</v>
      </c>
      <c r="G140" s="43"/>
      <c r="H140" s="69">
        <f t="shared" si="98"/>
        <v>4161.5</v>
      </c>
      <c r="I140" s="33">
        <v>0</v>
      </c>
      <c r="J140" s="33"/>
      <c r="K140" s="33">
        <f t="shared" si="57"/>
        <v>0</v>
      </c>
      <c r="L140" s="43"/>
      <c r="M140" s="69">
        <f t="shared" si="99"/>
        <v>0</v>
      </c>
      <c r="N140" s="33">
        <v>0</v>
      </c>
      <c r="O140" s="33"/>
      <c r="P140" s="33">
        <f t="shared" si="58"/>
        <v>0</v>
      </c>
      <c r="Q140" s="43"/>
      <c r="R140" s="69">
        <f t="shared" si="100"/>
        <v>0</v>
      </c>
      <c r="S140" s="27" t="s">
        <v>264</v>
      </c>
      <c r="U140" s="8"/>
    </row>
    <row r="141" spans="1:21" ht="54" x14ac:dyDescent="0.35">
      <c r="A141" s="66" t="s">
        <v>165</v>
      </c>
      <c r="B141" s="67" t="s">
        <v>109</v>
      </c>
      <c r="C141" s="68" t="s">
        <v>28</v>
      </c>
      <c r="D141" s="32">
        <v>96500</v>
      </c>
      <c r="E141" s="33"/>
      <c r="F141" s="33">
        <f t="shared" si="56"/>
        <v>96500</v>
      </c>
      <c r="G141" s="43"/>
      <c r="H141" s="69">
        <f t="shared" si="98"/>
        <v>96500</v>
      </c>
      <c r="I141" s="33">
        <v>365837.5</v>
      </c>
      <c r="J141" s="33"/>
      <c r="K141" s="33">
        <f t="shared" si="57"/>
        <v>365837.5</v>
      </c>
      <c r="L141" s="43"/>
      <c r="M141" s="69">
        <f t="shared" si="99"/>
        <v>365837.5</v>
      </c>
      <c r="N141" s="33">
        <v>0</v>
      </c>
      <c r="O141" s="33"/>
      <c r="P141" s="33">
        <f t="shared" si="58"/>
        <v>0</v>
      </c>
      <c r="Q141" s="43"/>
      <c r="R141" s="69">
        <f t="shared" si="100"/>
        <v>0</v>
      </c>
      <c r="S141" s="27" t="s">
        <v>265</v>
      </c>
      <c r="U141" s="8"/>
    </row>
    <row r="142" spans="1:21" ht="54" x14ac:dyDescent="0.35">
      <c r="A142" s="66" t="s">
        <v>166</v>
      </c>
      <c r="B142" s="67" t="s">
        <v>137</v>
      </c>
      <c r="C142" s="68" t="s">
        <v>32</v>
      </c>
      <c r="D142" s="33">
        <v>11500</v>
      </c>
      <c r="E142" s="33"/>
      <c r="F142" s="33">
        <f t="shared" si="56"/>
        <v>11500</v>
      </c>
      <c r="G142" s="43"/>
      <c r="H142" s="69">
        <f t="shared" si="98"/>
        <v>11500</v>
      </c>
      <c r="I142" s="33">
        <v>76294.8</v>
      </c>
      <c r="J142" s="33"/>
      <c r="K142" s="33">
        <f t="shared" si="57"/>
        <v>76294.8</v>
      </c>
      <c r="L142" s="43"/>
      <c r="M142" s="69">
        <f t="shared" si="99"/>
        <v>76294.8</v>
      </c>
      <c r="N142" s="33">
        <v>0</v>
      </c>
      <c r="O142" s="33"/>
      <c r="P142" s="33">
        <f t="shared" si="58"/>
        <v>0</v>
      </c>
      <c r="Q142" s="43"/>
      <c r="R142" s="69">
        <f t="shared" si="100"/>
        <v>0</v>
      </c>
      <c r="S142" s="27" t="s">
        <v>266</v>
      </c>
      <c r="U142" s="8"/>
    </row>
    <row r="143" spans="1:21" ht="54" x14ac:dyDescent="0.35">
      <c r="A143" s="66" t="s">
        <v>167</v>
      </c>
      <c r="B143" s="67" t="s">
        <v>314</v>
      </c>
      <c r="C143" s="68" t="s">
        <v>28</v>
      </c>
      <c r="D143" s="33"/>
      <c r="E143" s="33">
        <f>E146</f>
        <v>8013.6</v>
      </c>
      <c r="F143" s="33">
        <f t="shared" si="56"/>
        <v>8013.6</v>
      </c>
      <c r="G143" s="43">
        <f>G146</f>
        <v>0</v>
      </c>
      <c r="H143" s="69">
        <f t="shared" si="98"/>
        <v>8013.6</v>
      </c>
      <c r="I143" s="33"/>
      <c r="J143" s="33">
        <f>J145</f>
        <v>8356.2000000000007</v>
      </c>
      <c r="K143" s="33">
        <f t="shared" si="57"/>
        <v>8356.2000000000007</v>
      </c>
      <c r="L143" s="43">
        <f>L145</f>
        <v>0</v>
      </c>
      <c r="M143" s="69">
        <f t="shared" si="99"/>
        <v>8356.2000000000007</v>
      </c>
      <c r="N143" s="33"/>
      <c r="O143" s="33"/>
      <c r="P143" s="33">
        <f t="shared" si="58"/>
        <v>0</v>
      </c>
      <c r="Q143" s="43"/>
      <c r="R143" s="69">
        <f t="shared" si="100"/>
        <v>0</v>
      </c>
      <c r="S143" s="27"/>
      <c r="U143" s="8"/>
    </row>
    <row r="144" spans="1:21" x14ac:dyDescent="0.35">
      <c r="A144" s="66"/>
      <c r="B144" s="77" t="s">
        <v>5</v>
      </c>
      <c r="C144" s="68"/>
      <c r="D144" s="33"/>
      <c r="E144" s="33"/>
      <c r="F144" s="33"/>
      <c r="G144" s="43"/>
      <c r="H144" s="69"/>
      <c r="I144" s="33"/>
      <c r="J144" s="33"/>
      <c r="K144" s="33"/>
      <c r="L144" s="43"/>
      <c r="M144" s="69"/>
      <c r="N144" s="33"/>
      <c r="O144" s="33"/>
      <c r="P144" s="33"/>
      <c r="Q144" s="43"/>
      <c r="R144" s="69"/>
      <c r="S144" s="27"/>
      <c r="U144" s="8"/>
    </row>
    <row r="145" spans="1:21" s="3" customFormat="1" hidden="1" x14ac:dyDescent="0.35">
      <c r="A145" s="1"/>
      <c r="B145" s="4" t="s">
        <v>6</v>
      </c>
      <c r="C145" s="5"/>
      <c r="D145" s="33"/>
      <c r="E145" s="33"/>
      <c r="F145" s="33">
        <f t="shared" si="56"/>
        <v>0</v>
      </c>
      <c r="G145" s="43"/>
      <c r="H145" s="33">
        <f t="shared" ref="H145:H147" si="101">F145+G145</f>
        <v>0</v>
      </c>
      <c r="I145" s="33"/>
      <c r="J145" s="33">
        <v>8356.2000000000007</v>
      </c>
      <c r="K145" s="33">
        <f t="shared" si="57"/>
        <v>8356.2000000000007</v>
      </c>
      <c r="L145" s="43"/>
      <c r="M145" s="33">
        <f t="shared" ref="M145:M147" si="102">K145+L145</f>
        <v>8356.2000000000007</v>
      </c>
      <c r="N145" s="33"/>
      <c r="O145" s="33"/>
      <c r="P145" s="33">
        <f t="shared" si="58"/>
        <v>0</v>
      </c>
      <c r="Q145" s="43"/>
      <c r="R145" s="33">
        <f t="shared" ref="R145:R147" si="103">P145+Q145</f>
        <v>0</v>
      </c>
      <c r="S145" s="37">
        <v>1110543580</v>
      </c>
      <c r="T145" s="21" t="s">
        <v>51</v>
      </c>
      <c r="U145" s="8"/>
    </row>
    <row r="146" spans="1:21" x14ac:dyDescent="0.35">
      <c r="A146" s="66"/>
      <c r="B146" s="77" t="s">
        <v>12</v>
      </c>
      <c r="C146" s="68"/>
      <c r="D146" s="33"/>
      <c r="E146" s="33">
        <v>8013.6</v>
      </c>
      <c r="F146" s="33">
        <f t="shared" si="56"/>
        <v>8013.6</v>
      </c>
      <c r="G146" s="43"/>
      <c r="H146" s="69">
        <f t="shared" si="101"/>
        <v>8013.6</v>
      </c>
      <c r="I146" s="33"/>
      <c r="J146" s="33"/>
      <c r="K146" s="33">
        <f t="shared" si="57"/>
        <v>0</v>
      </c>
      <c r="L146" s="43"/>
      <c r="M146" s="69">
        <f t="shared" si="102"/>
        <v>0</v>
      </c>
      <c r="N146" s="33"/>
      <c r="O146" s="33"/>
      <c r="P146" s="33">
        <f t="shared" si="58"/>
        <v>0</v>
      </c>
      <c r="Q146" s="43"/>
      <c r="R146" s="69">
        <f t="shared" si="103"/>
        <v>0</v>
      </c>
      <c r="S146" s="27" t="s">
        <v>315</v>
      </c>
      <c r="U146" s="8"/>
    </row>
    <row r="147" spans="1:21" x14ac:dyDescent="0.35">
      <c r="A147" s="66"/>
      <c r="B147" s="67" t="s">
        <v>4</v>
      </c>
      <c r="C147" s="67"/>
      <c r="D147" s="35">
        <f>D151+D152+D153+D154+D155+D156+D157+D158+D162+D166+D170+D171+D175+D179+D183+D187+D191</f>
        <v>1068232.1000000001</v>
      </c>
      <c r="E147" s="35">
        <f>E151+E152+E153+E154+E155+E156+E157+E158+E162+E166+E170+E171+E175+E179+E183+E187+E191</f>
        <v>0</v>
      </c>
      <c r="F147" s="35">
        <f t="shared" si="56"/>
        <v>1068232.1000000001</v>
      </c>
      <c r="G147" s="35">
        <f>G151+G152+G153+G154+G155+G156+G157+G158+G162+G166+G170+G171+G175+G179+G183+G187+G191+G194</f>
        <v>30698.199999999997</v>
      </c>
      <c r="H147" s="69">
        <f t="shared" si="101"/>
        <v>1098930.3</v>
      </c>
      <c r="I147" s="35">
        <f t="shared" ref="I147:O147" si="104">I151+I152+I153+I154+I155+I156+I157+I158+I162+I166+I170+I171+I175+I179+I183+I187+I191</f>
        <v>771904.09999999986</v>
      </c>
      <c r="J147" s="35">
        <f t="shared" ref="J147" si="105">J151+J152+J153+J154+J155+J156+J157+J158+J162+J166+J170+J171+J175+J179+J183+J187+J191</f>
        <v>0</v>
      </c>
      <c r="K147" s="35">
        <f t="shared" si="57"/>
        <v>771904.09999999986</v>
      </c>
      <c r="L147" s="35">
        <f>L151+L152+L153+L154+L155+L156+L157+L158+L162+L166+L170+L171+L175+L179+L183+L187+L191+L194</f>
        <v>0</v>
      </c>
      <c r="M147" s="69">
        <f t="shared" si="102"/>
        <v>771904.09999999986</v>
      </c>
      <c r="N147" s="35">
        <f t="shared" si="104"/>
        <v>1699506.2</v>
      </c>
      <c r="O147" s="35">
        <f t="shared" si="104"/>
        <v>0</v>
      </c>
      <c r="P147" s="35">
        <f t="shared" si="58"/>
        <v>1699506.2</v>
      </c>
      <c r="Q147" s="35">
        <f>Q151+Q152+Q153+Q154+Q155+Q156+Q157+Q158+Q162+Q166+Q170+Q171+Q175+Q179+Q183+Q187+Q191+Q194</f>
        <v>0</v>
      </c>
      <c r="R147" s="69">
        <f t="shared" si="103"/>
        <v>1699506.2</v>
      </c>
      <c r="S147" s="27"/>
      <c r="U147" s="8"/>
    </row>
    <row r="148" spans="1:21" x14ac:dyDescent="0.35">
      <c r="A148" s="66"/>
      <c r="B148" s="77" t="s">
        <v>5</v>
      </c>
      <c r="C148" s="86"/>
      <c r="D148" s="34"/>
      <c r="E148" s="35"/>
      <c r="F148" s="35"/>
      <c r="G148" s="35"/>
      <c r="H148" s="69"/>
      <c r="I148" s="35"/>
      <c r="J148" s="35"/>
      <c r="K148" s="35"/>
      <c r="L148" s="35"/>
      <c r="M148" s="69"/>
      <c r="N148" s="35"/>
      <c r="O148" s="35"/>
      <c r="P148" s="35"/>
      <c r="Q148" s="35"/>
      <c r="R148" s="69"/>
      <c r="S148" s="27"/>
      <c r="U148" s="8"/>
    </row>
    <row r="149" spans="1:21" s="16" customFormat="1" hidden="1" x14ac:dyDescent="0.35">
      <c r="A149" s="13"/>
      <c r="B149" s="17" t="s">
        <v>6</v>
      </c>
      <c r="C149" s="18"/>
      <c r="D149" s="34">
        <f>D151+D152+D153+D154+D155+D156+D157+D160+D164+D168+D170+D173+D177+D181+D185+D189</f>
        <v>446886.1</v>
      </c>
      <c r="E149" s="35">
        <f>E151+E152+E153+E154+E155+E156+E157+E160+E164+E168+E170+E173+E177+E181+E185+E189</f>
        <v>0</v>
      </c>
      <c r="F149" s="35">
        <f t="shared" si="56"/>
        <v>446886.1</v>
      </c>
      <c r="G149" s="35">
        <f>G151+G152+G153+G154+G155+G156+G157+G160+G164+G168+G170+G173+G177+G181+G185+G189+G194</f>
        <v>30698.199999999997</v>
      </c>
      <c r="H149" s="35">
        <f t="shared" ref="H149:H158" si="106">F149+G149</f>
        <v>477584.3</v>
      </c>
      <c r="I149" s="35">
        <f t="shared" ref="I149:O149" si="107">I151+I152+I153+I154+I155+I156+I157+I160+I164+I168+I170+I173+I177+I181+I185+I189</f>
        <v>246904.09999999998</v>
      </c>
      <c r="J149" s="35">
        <f t="shared" ref="J149" si="108">J151+J152+J153+J154+J155+J156+J157+J160+J164+J168+J170+J173+J177+J181+J185+J189</f>
        <v>0</v>
      </c>
      <c r="K149" s="35">
        <f t="shared" si="57"/>
        <v>246904.09999999998</v>
      </c>
      <c r="L149" s="35">
        <f>L151+L152+L153+L154+L155+L156+L157+L160+L164+L168+L170+L173+L177+L181+L185+L189+L194</f>
        <v>0</v>
      </c>
      <c r="M149" s="35">
        <f t="shared" ref="M149:M158" si="109">K149+L149</f>
        <v>246904.09999999998</v>
      </c>
      <c r="N149" s="35">
        <f t="shared" si="107"/>
        <v>574506.19999999995</v>
      </c>
      <c r="O149" s="35">
        <f t="shared" si="107"/>
        <v>0</v>
      </c>
      <c r="P149" s="35">
        <f t="shared" si="58"/>
        <v>574506.19999999995</v>
      </c>
      <c r="Q149" s="35">
        <f>Q151+Q152+Q153+Q154+Q155+Q156+Q157+Q160+Q164+Q168+Q170+Q173+Q177+Q181+Q185+Q189+Q194</f>
        <v>0</v>
      </c>
      <c r="R149" s="35">
        <f t="shared" ref="R149:R158" si="110">P149+Q149</f>
        <v>574506.19999999995</v>
      </c>
      <c r="S149" s="30"/>
      <c r="T149" s="22" t="s">
        <v>51</v>
      </c>
      <c r="U149" s="15"/>
    </row>
    <row r="150" spans="1:21" x14ac:dyDescent="0.35">
      <c r="A150" s="66"/>
      <c r="B150" s="67" t="s">
        <v>20</v>
      </c>
      <c r="C150" s="86"/>
      <c r="D150" s="34">
        <f>D161+D165+D169+D174+D178+D182+D186+D193+D190</f>
        <v>621346</v>
      </c>
      <c r="E150" s="35">
        <f>E161+E165+E169+E174+E178+E182+E186+E193+E190</f>
        <v>0</v>
      </c>
      <c r="F150" s="35">
        <f t="shared" si="56"/>
        <v>621346</v>
      </c>
      <c r="G150" s="35">
        <f>G161+G165+G169+G174+G178+G182+G186+G193+G190</f>
        <v>0</v>
      </c>
      <c r="H150" s="69">
        <f t="shared" si="106"/>
        <v>621346</v>
      </c>
      <c r="I150" s="35">
        <f t="shared" ref="I150:O150" si="111">I161+I165+I169+I174+I178+I182+I186+I193+I190</f>
        <v>525000</v>
      </c>
      <c r="J150" s="35">
        <f t="shared" ref="J150:L150" si="112">J161+J165+J169+J174+J178+J182+J186+J193+J190</f>
        <v>0</v>
      </c>
      <c r="K150" s="35">
        <f t="shared" si="57"/>
        <v>525000</v>
      </c>
      <c r="L150" s="35">
        <f t="shared" si="112"/>
        <v>0</v>
      </c>
      <c r="M150" s="69">
        <f t="shared" si="109"/>
        <v>525000</v>
      </c>
      <c r="N150" s="35">
        <f t="shared" si="111"/>
        <v>1125000</v>
      </c>
      <c r="O150" s="35">
        <f t="shared" si="111"/>
        <v>0</v>
      </c>
      <c r="P150" s="35">
        <f t="shared" si="58"/>
        <v>1125000</v>
      </c>
      <c r="Q150" s="35">
        <f t="shared" ref="Q150" si="113">Q161+Q165+Q169+Q174+Q178+Q182+Q186+Q193+Q190</f>
        <v>0</v>
      </c>
      <c r="R150" s="69">
        <f t="shared" si="110"/>
        <v>1125000</v>
      </c>
      <c r="S150" s="27"/>
      <c r="U150" s="8"/>
    </row>
    <row r="151" spans="1:21" ht="54" x14ac:dyDescent="0.35">
      <c r="A151" s="66" t="s">
        <v>168</v>
      </c>
      <c r="B151" s="67" t="s">
        <v>110</v>
      </c>
      <c r="C151" s="68" t="s">
        <v>111</v>
      </c>
      <c r="D151" s="32">
        <v>11495</v>
      </c>
      <c r="E151" s="33"/>
      <c r="F151" s="33">
        <f t="shared" si="56"/>
        <v>11495</v>
      </c>
      <c r="G151" s="43"/>
      <c r="H151" s="69">
        <f t="shared" si="106"/>
        <v>11495</v>
      </c>
      <c r="I151" s="33">
        <v>0</v>
      </c>
      <c r="J151" s="33"/>
      <c r="K151" s="33">
        <f t="shared" si="57"/>
        <v>0</v>
      </c>
      <c r="L151" s="43"/>
      <c r="M151" s="69">
        <f t="shared" si="109"/>
        <v>0</v>
      </c>
      <c r="N151" s="33">
        <v>0</v>
      </c>
      <c r="O151" s="33"/>
      <c r="P151" s="33">
        <f t="shared" si="58"/>
        <v>0</v>
      </c>
      <c r="Q151" s="43"/>
      <c r="R151" s="69">
        <f t="shared" si="110"/>
        <v>0</v>
      </c>
      <c r="S151" s="27" t="s">
        <v>268</v>
      </c>
      <c r="U151" s="8"/>
    </row>
    <row r="152" spans="1:21" ht="54" x14ac:dyDescent="0.35">
      <c r="A152" s="66" t="s">
        <v>169</v>
      </c>
      <c r="B152" s="67" t="s">
        <v>112</v>
      </c>
      <c r="C152" s="86" t="s">
        <v>111</v>
      </c>
      <c r="D152" s="32">
        <v>5820.5</v>
      </c>
      <c r="E152" s="33"/>
      <c r="F152" s="33">
        <f t="shared" si="56"/>
        <v>5820.5</v>
      </c>
      <c r="G152" s="43"/>
      <c r="H152" s="69">
        <f t="shared" si="106"/>
        <v>5820.5</v>
      </c>
      <c r="I152" s="33">
        <v>0</v>
      </c>
      <c r="J152" s="33"/>
      <c r="K152" s="33">
        <f t="shared" si="57"/>
        <v>0</v>
      </c>
      <c r="L152" s="43"/>
      <c r="M152" s="69">
        <f t="shared" si="109"/>
        <v>0</v>
      </c>
      <c r="N152" s="33">
        <v>0</v>
      </c>
      <c r="O152" s="33"/>
      <c r="P152" s="33">
        <f t="shared" si="58"/>
        <v>0</v>
      </c>
      <c r="Q152" s="43"/>
      <c r="R152" s="69">
        <f t="shared" si="110"/>
        <v>0</v>
      </c>
      <c r="S152" s="27" t="s">
        <v>269</v>
      </c>
      <c r="U152" s="8"/>
    </row>
    <row r="153" spans="1:21" ht="54" x14ac:dyDescent="0.35">
      <c r="A153" s="66" t="s">
        <v>170</v>
      </c>
      <c r="B153" s="67" t="s">
        <v>113</v>
      </c>
      <c r="C153" s="87" t="s">
        <v>111</v>
      </c>
      <c r="D153" s="32">
        <v>18000</v>
      </c>
      <c r="E153" s="33"/>
      <c r="F153" s="33">
        <f t="shared" si="56"/>
        <v>18000</v>
      </c>
      <c r="G153" s="43"/>
      <c r="H153" s="69">
        <f t="shared" si="106"/>
        <v>18000</v>
      </c>
      <c r="I153" s="33">
        <v>0</v>
      </c>
      <c r="J153" s="33"/>
      <c r="K153" s="33">
        <f t="shared" si="57"/>
        <v>0</v>
      </c>
      <c r="L153" s="43"/>
      <c r="M153" s="69">
        <f t="shared" si="109"/>
        <v>0</v>
      </c>
      <c r="N153" s="33">
        <v>180000</v>
      </c>
      <c r="O153" s="33"/>
      <c r="P153" s="33">
        <f t="shared" si="58"/>
        <v>180000</v>
      </c>
      <c r="Q153" s="43"/>
      <c r="R153" s="69">
        <f t="shared" si="110"/>
        <v>180000</v>
      </c>
      <c r="S153" s="28" t="s">
        <v>270</v>
      </c>
      <c r="U153" s="8"/>
    </row>
    <row r="154" spans="1:21" ht="54" x14ac:dyDescent="0.35">
      <c r="A154" s="66" t="s">
        <v>171</v>
      </c>
      <c r="B154" s="67" t="s">
        <v>114</v>
      </c>
      <c r="C154" s="86" t="s">
        <v>111</v>
      </c>
      <c r="D154" s="32">
        <v>0</v>
      </c>
      <c r="E154" s="33"/>
      <c r="F154" s="33">
        <f t="shared" si="56"/>
        <v>0</v>
      </c>
      <c r="G154" s="43"/>
      <c r="H154" s="69">
        <f t="shared" si="106"/>
        <v>0</v>
      </c>
      <c r="I154" s="33">
        <v>7202.2</v>
      </c>
      <c r="J154" s="33"/>
      <c r="K154" s="33">
        <f t="shared" si="57"/>
        <v>7202.2</v>
      </c>
      <c r="L154" s="43"/>
      <c r="M154" s="69">
        <f t="shared" si="109"/>
        <v>7202.2</v>
      </c>
      <c r="N154" s="33">
        <v>0</v>
      </c>
      <c r="O154" s="33"/>
      <c r="P154" s="33">
        <f t="shared" si="58"/>
        <v>0</v>
      </c>
      <c r="Q154" s="43"/>
      <c r="R154" s="69">
        <f t="shared" si="110"/>
        <v>0</v>
      </c>
      <c r="S154" s="27" t="s">
        <v>271</v>
      </c>
      <c r="U154" s="8"/>
    </row>
    <row r="155" spans="1:21" ht="54" x14ac:dyDescent="0.35">
      <c r="A155" s="66" t="s">
        <v>172</v>
      </c>
      <c r="B155" s="67" t="s">
        <v>115</v>
      </c>
      <c r="C155" s="68" t="s">
        <v>111</v>
      </c>
      <c r="D155" s="32">
        <v>0</v>
      </c>
      <c r="E155" s="33"/>
      <c r="F155" s="33">
        <f t="shared" si="56"/>
        <v>0</v>
      </c>
      <c r="G155" s="43"/>
      <c r="H155" s="69">
        <f t="shared" si="106"/>
        <v>0</v>
      </c>
      <c r="I155" s="33">
        <v>9362.9</v>
      </c>
      <c r="J155" s="33"/>
      <c r="K155" s="33">
        <f t="shared" si="57"/>
        <v>9362.9</v>
      </c>
      <c r="L155" s="43"/>
      <c r="M155" s="69">
        <f t="shared" si="109"/>
        <v>9362.9</v>
      </c>
      <c r="N155" s="33">
        <v>0</v>
      </c>
      <c r="O155" s="33"/>
      <c r="P155" s="33">
        <f t="shared" si="58"/>
        <v>0</v>
      </c>
      <c r="Q155" s="43"/>
      <c r="R155" s="69">
        <f t="shared" si="110"/>
        <v>0</v>
      </c>
      <c r="S155" s="27" t="s">
        <v>272</v>
      </c>
      <c r="U155" s="8"/>
    </row>
    <row r="156" spans="1:21" ht="54" x14ac:dyDescent="0.35">
      <c r="A156" s="66" t="s">
        <v>173</v>
      </c>
      <c r="B156" s="67" t="s">
        <v>116</v>
      </c>
      <c r="C156" s="88" t="s">
        <v>111</v>
      </c>
      <c r="D156" s="32">
        <v>0</v>
      </c>
      <c r="E156" s="33"/>
      <c r="F156" s="33">
        <f t="shared" si="56"/>
        <v>0</v>
      </c>
      <c r="G156" s="43"/>
      <c r="H156" s="69">
        <f t="shared" si="106"/>
        <v>0</v>
      </c>
      <c r="I156" s="33">
        <v>7202.2</v>
      </c>
      <c r="J156" s="33"/>
      <c r="K156" s="33">
        <f t="shared" si="57"/>
        <v>7202.2</v>
      </c>
      <c r="L156" s="43"/>
      <c r="M156" s="69">
        <f t="shared" si="109"/>
        <v>7202.2</v>
      </c>
      <c r="N156" s="33">
        <v>40000</v>
      </c>
      <c r="O156" s="33"/>
      <c r="P156" s="33">
        <f t="shared" si="58"/>
        <v>40000</v>
      </c>
      <c r="Q156" s="43"/>
      <c r="R156" s="69">
        <f t="shared" si="110"/>
        <v>40000</v>
      </c>
      <c r="S156" s="27" t="s">
        <v>273</v>
      </c>
      <c r="U156" s="8"/>
    </row>
    <row r="157" spans="1:21" ht="54" x14ac:dyDescent="0.35">
      <c r="A157" s="66" t="s">
        <v>174</v>
      </c>
      <c r="B157" s="67" t="s">
        <v>117</v>
      </c>
      <c r="C157" s="88" t="s">
        <v>111</v>
      </c>
      <c r="D157" s="32">
        <v>14272.2</v>
      </c>
      <c r="E157" s="33"/>
      <c r="F157" s="33">
        <f t="shared" si="56"/>
        <v>14272.2</v>
      </c>
      <c r="G157" s="43"/>
      <c r="H157" s="69">
        <f t="shared" si="106"/>
        <v>14272.2</v>
      </c>
      <c r="I157" s="33">
        <v>0</v>
      </c>
      <c r="J157" s="33"/>
      <c r="K157" s="33">
        <f t="shared" si="57"/>
        <v>0</v>
      </c>
      <c r="L157" s="43"/>
      <c r="M157" s="69">
        <f t="shared" si="109"/>
        <v>0</v>
      </c>
      <c r="N157" s="33">
        <v>0</v>
      </c>
      <c r="O157" s="33"/>
      <c r="P157" s="33">
        <f t="shared" si="58"/>
        <v>0</v>
      </c>
      <c r="Q157" s="43"/>
      <c r="R157" s="69">
        <f t="shared" si="110"/>
        <v>0</v>
      </c>
      <c r="S157" s="27" t="s">
        <v>274</v>
      </c>
      <c r="U157" s="8"/>
    </row>
    <row r="158" spans="1:21" ht="80.25" customHeight="1" x14ac:dyDescent="0.35">
      <c r="A158" s="66" t="s">
        <v>175</v>
      </c>
      <c r="B158" s="67" t="s">
        <v>118</v>
      </c>
      <c r="C158" s="88" t="s">
        <v>111</v>
      </c>
      <c r="D158" s="32">
        <f>D160+D161</f>
        <v>0</v>
      </c>
      <c r="E158" s="33">
        <f>E160+E161</f>
        <v>0</v>
      </c>
      <c r="F158" s="33">
        <f t="shared" si="56"/>
        <v>0</v>
      </c>
      <c r="G158" s="43">
        <f>G160+G161</f>
        <v>0</v>
      </c>
      <c r="H158" s="69">
        <f t="shared" si="106"/>
        <v>0</v>
      </c>
      <c r="I158" s="33">
        <f t="shared" ref="I158:O158" si="114">I160+I161</f>
        <v>0</v>
      </c>
      <c r="J158" s="33">
        <f t="shared" ref="J158:L158" si="115">J160+J161</f>
        <v>0</v>
      </c>
      <c r="K158" s="33">
        <f t="shared" si="57"/>
        <v>0</v>
      </c>
      <c r="L158" s="43">
        <f t="shared" si="115"/>
        <v>0</v>
      </c>
      <c r="M158" s="69">
        <f t="shared" si="109"/>
        <v>0</v>
      </c>
      <c r="N158" s="33">
        <f t="shared" si="114"/>
        <v>132163.9</v>
      </c>
      <c r="O158" s="33">
        <f t="shared" si="114"/>
        <v>0</v>
      </c>
      <c r="P158" s="33">
        <f t="shared" si="58"/>
        <v>132163.9</v>
      </c>
      <c r="Q158" s="43">
        <f t="shared" ref="Q158" si="116">Q160+Q161</f>
        <v>0</v>
      </c>
      <c r="R158" s="69">
        <f t="shared" si="110"/>
        <v>132163.9</v>
      </c>
      <c r="S158" s="27"/>
      <c r="U158" s="8"/>
    </row>
    <row r="159" spans="1:21" x14ac:dyDescent="0.35">
      <c r="A159" s="66"/>
      <c r="B159" s="77" t="s">
        <v>5</v>
      </c>
      <c r="C159" s="68"/>
      <c r="D159" s="32"/>
      <c r="E159" s="33"/>
      <c r="F159" s="33"/>
      <c r="G159" s="43"/>
      <c r="H159" s="69"/>
      <c r="I159" s="33"/>
      <c r="J159" s="33"/>
      <c r="K159" s="33"/>
      <c r="L159" s="43"/>
      <c r="M159" s="69"/>
      <c r="N159" s="33"/>
      <c r="O159" s="33"/>
      <c r="P159" s="33"/>
      <c r="Q159" s="43"/>
      <c r="R159" s="69"/>
      <c r="S159" s="27"/>
      <c r="U159" s="8"/>
    </row>
    <row r="160" spans="1:21" s="3" customFormat="1" hidden="1" x14ac:dyDescent="0.35">
      <c r="A160" s="1"/>
      <c r="B160" s="4" t="s">
        <v>6</v>
      </c>
      <c r="C160" s="41"/>
      <c r="D160" s="32">
        <v>0</v>
      </c>
      <c r="E160" s="33"/>
      <c r="F160" s="33">
        <f t="shared" si="56"/>
        <v>0</v>
      </c>
      <c r="G160" s="43"/>
      <c r="H160" s="33">
        <f t="shared" ref="H160:H162" si="117">F160+G160</f>
        <v>0</v>
      </c>
      <c r="I160" s="33">
        <v>0</v>
      </c>
      <c r="J160" s="33"/>
      <c r="K160" s="33">
        <f t="shared" si="57"/>
        <v>0</v>
      </c>
      <c r="L160" s="43"/>
      <c r="M160" s="33">
        <f t="shared" ref="M160:M162" si="118">K160+L160</f>
        <v>0</v>
      </c>
      <c r="N160" s="33">
        <v>33041.1</v>
      </c>
      <c r="O160" s="33"/>
      <c r="P160" s="33">
        <f t="shared" si="58"/>
        <v>33041.1</v>
      </c>
      <c r="Q160" s="43"/>
      <c r="R160" s="33">
        <f t="shared" ref="R160:R162" si="119">P160+Q160</f>
        <v>33041.1</v>
      </c>
      <c r="S160" s="27" t="s">
        <v>275</v>
      </c>
      <c r="T160" s="21" t="s">
        <v>51</v>
      </c>
      <c r="U160" s="8"/>
    </row>
    <row r="161" spans="1:21" x14ac:dyDescent="0.35">
      <c r="A161" s="66"/>
      <c r="B161" s="67" t="s">
        <v>20</v>
      </c>
      <c r="C161" s="88"/>
      <c r="D161" s="32">
        <v>0</v>
      </c>
      <c r="E161" s="33"/>
      <c r="F161" s="33">
        <f t="shared" si="56"/>
        <v>0</v>
      </c>
      <c r="G161" s="43"/>
      <c r="H161" s="69">
        <f t="shared" si="117"/>
        <v>0</v>
      </c>
      <c r="I161" s="33">
        <v>0</v>
      </c>
      <c r="J161" s="33"/>
      <c r="K161" s="33">
        <f t="shared" si="57"/>
        <v>0</v>
      </c>
      <c r="L161" s="43"/>
      <c r="M161" s="69">
        <f t="shared" si="118"/>
        <v>0</v>
      </c>
      <c r="N161" s="33">
        <v>99122.8</v>
      </c>
      <c r="O161" s="33"/>
      <c r="P161" s="33">
        <f t="shared" si="58"/>
        <v>99122.8</v>
      </c>
      <c r="Q161" s="43"/>
      <c r="R161" s="69">
        <f t="shared" si="119"/>
        <v>99122.8</v>
      </c>
      <c r="S161" s="27" t="s">
        <v>285</v>
      </c>
      <c r="U161" s="8"/>
    </row>
    <row r="162" spans="1:21" ht="54" x14ac:dyDescent="0.35">
      <c r="A162" s="66" t="s">
        <v>176</v>
      </c>
      <c r="B162" s="67" t="s">
        <v>276</v>
      </c>
      <c r="C162" s="88" t="s">
        <v>111</v>
      </c>
      <c r="D162" s="32">
        <f>D164+D165</f>
        <v>0</v>
      </c>
      <c r="E162" s="33">
        <f>E164+E165</f>
        <v>0</v>
      </c>
      <c r="F162" s="33">
        <f t="shared" si="56"/>
        <v>0</v>
      </c>
      <c r="G162" s="43">
        <f>G164+G165</f>
        <v>0</v>
      </c>
      <c r="H162" s="69">
        <f t="shared" si="117"/>
        <v>0</v>
      </c>
      <c r="I162" s="33">
        <f t="shared" ref="I162:O162" si="120">I164+I165</f>
        <v>187200.09999999998</v>
      </c>
      <c r="J162" s="33">
        <f t="shared" ref="J162:L162" si="121">J164+J165</f>
        <v>0</v>
      </c>
      <c r="K162" s="33">
        <f t="shared" si="57"/>
        <v>187200.09999999998</v>
      </c>
      <c r="L162" s="43">
        <f t="shared" si="121"/>
        <v>0</v>
      </c>
      <c r="M162" s="69">
        <f t="shared" si="118"/>
        <v>187200.09999999998</v>
      </c>
      <c r="N162" s="33">
        <f t="shared" si="120"/>
        <v>461481.8</v>
      </c>
      <c r="O162" s="33">
        <f t="shared" si="120"/>
        <v>0</v>
      </c>
      <c r="P162" s="33">
        <f t="shared" si="58"/>
        <v>461481.8</v>
      </c>
      <c r="Q162" s="43">
        <f t="shared" ref="Q162" si="122">Q164+Q165</f>
        <v>0</v>
      </c>
      <c r="R162" s="69">
        <f t="shared" si="119"/>
        <v>461481.8</v>
      </c>
      <c r="S162" s="27"/>
      <c r="U162" s="8"/>
    </row>
    <row r="163" spans="1:21" x14ac:dyDescent="0.35">
      <c r="A163" s="66"/>
      <c r="B163" s="67" t="s">
        <v>5</v>
      </c>
      <c r="C163" s="68"/>
      <c r="D163" s="32"/>
      <c r="E163" s="33"/>
      <c r="F163" s="33"/>
      <c r="G163" s="43"/>
      <c r="H163" s="69"/>
      <c r="I163" s="33"/>
      <c r="J163" s="33"/>
      <c r="K163" s="33"/>
      <c r="L163" s="43"/>
      <c r="M163" s="69"/>
      <c r="N163" s="33"/>
      <c r="O163" s="33"/>
      <c r="P163" s="33"/>
      <c r="Q163" s="43"/>
      <c r="R163" s="69"/>
      <c r="S163" s="27"/>
      <c r="U163" s="8"/>
    </row>
    <row r="164" spans="1:21" s="3" customFormat="1" hidden="1" x14ac:dyDescent="0.35">
      <c r="A164" s="1"/>
      <c r="B164" s="4" t="s">
        <v>6</v>
      </c>
      <c r="C164" s="41"/>
      <c r="D164" s="32">
        <v>0</v>
      </c>
      <c r="E164" s="33"/>
      <c r="F164" s="33">
        <f t="shared" si="56"/>
        <v>0</v>
      </c>
      <c r="G164" s="43"/>
      <c r="H164" s="33">
        <f t="shared" ref="H164:H166" si="123">F164+G164</f>
        <v>0</v>
      </c>
      <c r="I164" s="33">
        <v>82902.599999999977</v>
      </c>
      <c r="J164" s="33"/>
      <c r="K164" s="33">
        <f t="shared" si="57"/>
        <v>82902.599999999977</v>
      </c>
      <c r="L164" s="43"/>
      <c r="M164" s="33">
        <f t="shared" ref="M164:M166" si="124">K164+L164</f>
        <v>82902.599999999977</v>
      </c>
      <c r="N164" s="33">
        <v>100000</v>
      </c>
      <c r="O164" s="33"/>
      <c r="P164" s="33">
        <f t="shared" si="58"/>
        <v>100000</v>
      </c>
      <c r="Q164" s="43"/>
      <c r="R164" s="33">
        <f t="shared" ref="R164:R166" si="125">P164+Q164</f>
        <v>100000</v>
      </c>
      <c r="S164" s="27" t="s">
        <v>277</v>
      </c>
      <c r="T164" s="21" t="s">
        <v>51</v>
      </c>
      <c r="U164" s="8"/>
    </row>
    <row r="165" spans="1:21" x14ac:dyDescent="0.35">
      <c r="A165" s="66"/>
      <c r="B165" s="67" t="s">
        <v>20</v>
      </c>
      <c r="C165" s="88"/>
      <c r="D165" s="32">
        <v>0</v>
      </c>
      <c r="E165" s="33"/>
      <c r="F165" s="33">
        <f t="shared" si="56"/>
        <v>0</v>
      </c>
      <c r="G165" s="43"/>
      <c r="H165" s="69">
        <f t="shared" si="123"/>
        <v>0</v>
      </c>
      <c r="I165" s="33">
        <v>104297.5</v>
      </c>
      <c r="J165" s="33"/>
      <c r="K165" s="33">
        <f t="shared" si="57"/>
        <v>104297.5</v>
      </c>
      <c r="L165" s="43"/>
      <c r="M165" s="69">
        <f t="shared" si="124"/>
        <v>104297.5</v>
      </c>
      <c r="N165" s="33">
        <v>361481.8</v>
      </c>
      <c r="O165" s="33"/>
      <c r="P165" s="33">
        <f t="shared" si="58"/>
        <v>361481.8</v>
      </c>
      <c r="Q165" s="43"/>
      <c r="R165" s="69">
        <f t="shared" si="125"/>
        <v>361481.8</v>
      </c>
      <c r="S165" s="27" t="s">
        <v>285</v>
      </c>
      <c r="U165" s="8"/>
    </row>
    <row r="166" spans="1:21" ht="54" x14ac:dyDescent="0.35">
      <c r="A166" s="66" t="s">
        <v>177</v>
      </c>
      <c r="B166" s="67" t="s">
        <v>119</v>
      </c>
      <c r="C166" s="88" t="s">
        <v>111</v>
      </c>
      <c r="D166" s="32">
        <f>D168+D169</f>
        <v>368198.39999999997</v>
      </c>
      <c r="E166" s="33">
        <f>E168+E169</f>
        <v>0</v>
      </c>
      <c r="F166" s="33">
        <f t="shared" si="56"/>
        <v>368198.39999999997</v>
      </c>
      <c r="G166" s="43">
        <f>G168+G169</f>
        <v>16885.599999999999</v>
      </c>
      <c r="H166" s="69">
        <f t="shared" si="123"/>
        <v>385083.99999999994</v>
      </c>
      <c r="I166" s="33">
        <f t="shared" ref="I166:O166" si="126">I168+I169</f>
        <v>439063.3</v>
      </c>
      <c r="J166" s="33">
        <f t="shared" ref="J166:L166" si="127">J168+J169</f>
        <v>0</v>
      </c>
      <c r="K166" s="33">
        <f t="shared" si="57"/>
        <v>439063.3</v>
      </c>
      <c r="L166" s="43">
        <f t="shared" si="127"/>
        <v>0</v>
      </c>
      <c r="M166" s="69">
        <f t="shared" si="124"/>
        <v>439063.3</v>
      </c>
      <c r="N166" s="33">
        <f t="shared" si="126"/>
        <v>780860.5</v>
      </c>
      <c r="O166" s="33">
        <f t="shared" si="126"/>
        <v>0</v>
      </c>
      <c r="P166" s="33">
        <f t="shared" si="58"/>
        <v>780860.5</v>
      </c>
      <c r="Q166" s="43">
        <f t="shared" ref="Q166" si="128">Q168+Q169</f>
        <v>0</v>
      </c>
      <c r="R166" s="69">
        <f t="shared" si="125"/>
        <v>780860.5</v>
      </c>
      <c r="S166" s="27"/>
      <c r="U166" s="8"/>
    </row>
    <row r="167" spans="1:21" x14ac:dyDescent="0.35">
      <c r="A167" s="66"/>
      <c r="B167" s="67" t="s">
        <v>5</v>
      </c>
      <c r="C167" s="68"/>
      <c r="D167" s="32"/>
      <c r="E167" s="33"/>
      <c r="F167" s="33"/>
      <c r="G167" s="43"/>
      <c r="H167" s="69"/>
      <c r="I167" s="33"/>
      <c r="J167" s="33"/>
      <c r="K167" s="33"/>
      <c r="L167" s="43"/>
      <c r="M167" s="69"/>
      <c r="N167" s="33"/>
      <c r="O167" s="33"/>
      <c r="P167" s="33"/>
      <c r="Q167" s="43"/>
      <c r="R167" s="69"/>
      <c r="S167" s="27"/>
      <c r="U167" s="8"/>
    </row>
    <row r="168" spans="1:21" s="3" customFormat="1" hidden="1" x14ac:dyDescent="0.35">
      <c r="A168" s="1"/>
      <c r="B168" s="4" t="s">
        <v>6</v>
      </c>
      <c r="C168" s="7"/>
      <c r="D168" s="32">
        <v>222989.79999999996</v>
      </c>
      <c r="E168" s="33"/>
      <c r="F168" s="33">
        <f t="shared" si="56"/>
        <v>222989.79999999996</v>
      </c>
      <c r="G168" s="43">
        <f>5305+11580.6</f>
        <v>16885.599999999999</v>
      </c>
      <c r="H168" s="33">
        <f t="shared" ref="H168:H171" si="129">F168+G168</f>
        <v>239875.39999999997</v>
      </c>
      <c r="I168" s="33">
        <v>109765.79999999999</v>
      </c>
      <c r="J168" s="33"/>
      <c r="K168" s="33">
        <f t="shared" si="57"/>
        <v>109765.79999999999</v>
      </c>
      <c r="L168" s="43"/>
      <c r="M168" s="33">
        <f t="shared" ref="M168:M171" si="130">K168+L168</f>
        <v>109765.79999999999</v>
      </c>
      <c r="N168" s="33">
        <v>195215.1</v>
      </c>
      <c r="O168" s="33"/>
      <c r="P168" s="33">
        <f t="shared" si="58"/>
        <v>195215.1</v>
      </c>
      <c r="Q168" s="43"/>
      <c r="R168" s="33">
        <f t="shared" ref="R168:R171" si="131">P168+Q168</f>
        <v>195215.1</v>
      </c>
      <c r="S168" s="27" t="s">
        <v>278</v>
      </c>
      <c r="T168" s="21" t="s">
        <v>51</v>
      </c>
      <c r="U168" s="8"/>
    </row>
    <row r="169" spans="1:21" x14ac:dyDescent="0.35">
      <c r="A169" s="66"/>
      <c r="B169" s="67" t="s">
        <v>20</v>
      </c>
      <c r="C169" s="87"/>
      <c r="D169" s="32">
        <v>145208.6</v>
      </c>
      <c r="E169" s="33"/>
      <c r="F169" s="33">
        <f t="shared" si="56"/>
        <v>145208.6</v>
      </c>
      <c r="G169" s="43"/>
      <c r="H169" s="69">
        <f t="shared" si="129"/>
        <v>145208.6</v>
      </c>
      <c r="I169" s="33">
        <v>329297.5</v>
      </c>
      <c r="J169" s="33"/>
      <c r="K169" s="33">
        <f t="shared" si="57"/>
        <v>329297.5</v>
      </c>
      <c r="L169" s="43"/>
      <c r="M169" s="69">
        <f t="shared" si="130"/>
        <v>329297.5</v>
      </c>
      <c r="N169" s="33">
        <v>585645.4</v>
      </c>
      <c r="O169" s="33"/>
      <c r="P169" s="33">
        <f t="shared" si="58"/>
        <v>585645.4</v>
      </c>
      <c r="Q169" s="43"/>
      <c r="R169" s="69">
        <f t="shared" si="131"/>
        <v>585645.4</v>
      </c>
      <c r="S169" s="27" t="s">
        <v>285</v>
      </c>
      <c r="U169" s="8"/>
    </row>
    <row r="170" spans="1:21" ht="54" x14ac:dyDescent="0.35">
      <c r="A170" s="66" t="s">
        <v>178</v>
      </c>
      <c r="B170" s="67" t="s">
        <v>120</v>
      </c>
      <c r="C170" s="86" t="s">
        <v>111</v>
      </c>
      <c r="D170" s="32">
        <v>21398.400000000001</v>
      </c>
      <c r="E170" s="33"/>
      <c r="F170" s="33">
        <f t="shared" si="56"/>
        <v>21398.400000000001</v>
      </c>
      <c r="G170" s="43"/>
      <c r="H170" s="69">
        <f t="shared" si="129"/>
        <v>21398.400000000001</v>
      </c>
      <c r="I170" s="33">
        <v>0</v>
      </c>
      <c r="J170" s="33"/>
      <c r="K170" s="33">
        <f t="shared" si="57"/>
        <v>0</v>
      </c>
      <c r="L170" s="43"/>
      <c r="M170" s="69">
        <f t="shared" si="130"/>
        <v>0</v>
      </c>
      <c r="N170" s="33">
        <v>0</v>
      </c>
      <c r="O170" s="33"/>
      <c r="P170" s="33">
        <f t="shared" si="58"/>
        <v>0</v>
      </c>
      <c r="Q170" s="43"/>
      <c r="R170" s="69">
        <f t="shared" si="131"/>
        <v>0</v>
      </c>
      <c r="S170" s="27" t="s">
        <v>279</v>
      </c>
      <c r="U170" s="8"/>
    </row>
    <row r="171" spans="1:21" ht="54" x14ac:dyDescent="0.35">
      <c r="A171" s="66" t="s">
        <v>179</v>
      </c>
      <c r="B171" s="67" t="s">
        <v>121</v>
      </c>
      <c r="C171" s="68" t="s">
        <v>111</v>
      </c>
      <c r="D171" s="32">
        <f>D173+D174</f>
        <v>35000</v>
      </c>
      <c r="E171" s="33">
        <f>E173+E174</f>
        <v>0</v>
      </c>
      <c r="F171" s="33">
        <f t="shared" si="56"/>
        <v>35000</v>
      </c>
      <c r="G171" s="43">
        <f>G173+G174</f>
        <v>0</v>
      </c>
      <c r="H171" s="69">
        <f t="shared" si="129"/>
        <v>35000</v>
      </c>
      <c r="I171" s="33">
        <f t="shared" ref="I171:O171" si="132">I173+I174</f>
        <v>105000</v>
      </c>
      <c r="J171" s="33">
        <f t="shared" ref="J171:L171" si="133">J173+J174</f>
        <v>0</v>
      </c>
      <c r="K171" s="33">
        <f t="shared" si="57"/>
        <v>105000</v>
      </c>
      <c r="L171" s="43">
        <f t="shared" si="133"/>
        <v>0</v>
      </c>
      <c r="M171" s="69">
        <f t="shared" si="130"/>
        <v>105000</v>
      </c>
      <c r="N171" s="33">
        <f t="shared" si="132"/>
        <v>105000</v>
      </c>
      <c r="O171" s="33">
        <f t="shared" si="132"/>
        <v>0</v>
      </c>
      <c r="P171" s="33">
        <f t="shared" si="58"/>
        <v>105000</v>
      </c>
      <c r="Q171" s="43">
        <f t="shared" ref="Q171" si="134">Q173+Q174</f>
        <v>0</v>
      </c>
      <c r="R171" s="69">
        <f t="shared" si="131"/>
        <v>105000</v>
      </c>
      <c r="S171" s="27"/>
      <c r="U171" s="8"/>
    </row>
    <row r="172" spans="1:21" x14ac:dyDescent="0.35">
      <c r="A172" s="66"/>
      <c r="B172" s="67" t="s">
        <v>5</v>
      </c>
      <c r="C172" s="86"/>
      <c r="D172" s="32"/>
      <c r="E172" s="33"/>
      <c r="F172" s="33"/>
      <c r="G172" s="43"/>
      <c r="H172" s="69"/>
      <c r="I172" s="33"/>
      <c r="J172" s="33"/>
      <c r="K172" s="33"/>
      <c r="L172" s="43"/>
      <c r="M172" s="69"/>
      <c r="N172" s="33"/>
      <c r="O172" s="33"/>
      <c r="P172" s="33"/>
      <c r="Q172" s="43"/>
      <c r="R172" s="69"/>
      <c r="S172" s="27"/>
      <c r="U172" s="8"/>
    </row>
    <row r="173" spans="1:21" s="3" customFormat="1" hidden="1" x14ac:dyDescent="0.35">
      <c r="A173" s="1"/>
      <c r="B173" s="4" t="s">
        <v>6</v>
      </c>
      <c r="C173" s="2"/>
      <c r="D173" s="32">
        <v>26250</v>
      </c>
      <c r="E173" s="33"/>
      <c r="F173" s="33">
        <f t="shared" ref="F173:F243" si="135">D173+E173</f>
        <v>26250</v>
      </c>
      <c r="G173" s="43"/>
      <c r="H173" s="33">
        <f t="shared" ref="H173:H175" si="136">F173+G173</f>
        <v>26250</v>
      </c>
      <c r="I173" s="33">
        <v>26250</v>
      </c>
      <c r="J173" s="33"/>
      <c r="K173" s="33">
        <f t="shared" ref="K173:K243" si="137">I173+J173</f>
        <v>26250</v>
      </c>
      <c r="L173" s="43"/>
      <c r="M173" s="33">
        <f t="shared" ref="M173:M175" si="138">K173+L173</f>
        <v>26250</v>
      </c>
      <c r="N173" s="33">
        <v>26250</v>
      </c>
      <c r="O173" s="33"/>
      <c r="P173" s="33">
        <f t="shared" ref="P173:P243" si="139">N173+O173</f>
        <v>26250</v>
      </c>
      <c r="Q173" s="43"/>
      <c r="R173" s="33">
        <f t="shared" ref="R173:R175" si="140">P173+Q173</f>
        <v>26250</v>
      </c>
      <c r="S173" s="28" t="s">
        <v>280</v>
      </c>
      <c r="T173" s="21" t="s">
        <v>51</v>
      </c>
      <c r="U173" s="8"/>
    </row>
    <row r="174" spans="1:21" x14ac:dyDescent="0.35">
      <c r="A174" s="66"/>
      <c r="B174" s="67" t="s">
        <v>20</v>
      </c>
      <c r="C174" s="86"/>
      <c r="D174" s="32">
        <v>8750</v>
      </c>
      <c r="E174" s="33"/>
      <c r="F174" s="33">
        <f t="shared" si="135"/>
        <v>8750</v>
      </c>
      <c r="G174" s="43"/>
      <c r="H174" s="69">
        <f t="shared" si="136"/>
        <v>8750</v>
      </c>
      <c r="I174" s="33">
        <v>78750</v>
      </c>
      <c r="J174" s="33"/>
      <c r="K174" s="33">
        <f t="shared" si="137"/>
        <v>78750</v>
      </c>
      <c r="L174" s="43"/>
      <c r="M174" s="69">
        <f t="shared" si="138"/>
        <v>78750</v>
      </c>
      <c r="N174" s="33">
        <v>78750</v>
      </c>
      <c r="O174" s="33"/>
      <c r="P174" s="33">
        <f t="shared" si="139"/>
        <v>78750</v>
      </c>
      <c r="Q174" s="43"/>
      <c r="R174" s="69">
        <f t="shared" si="140"/>
        <v>78750</v>
      </c>
      <c r="S174" s="27" t="s">
        <v>285</v>
      </c>
      <c r="U174" s="8"/>
    </row>
    <row r="175" spans="1:21" ht="54" x14ac:dyDescent="0.35">
      <c r="A175" s="66" t="s">
        <v>180</v>
      </c>
      <c r="B175" s="67" t="s">
        <v>122</v>
      </c>
      <c r="C175" s="68" t="s">
        <v>111</v>
      </c>
      <c r="D175" s="32">
        <f>D177+D178</f>
        <v>0</v>
      </c>
      <c r="E175" s="33">
        <f>E177+E178</f>
        <v>0</v>
      </c>
      <c r="F175" s="33">
        <f t="shared" si="135"/>
        <v>0</v>
      </c>
      <c r="G175" s="43">
        <f>G177+G178</f>
        <v>0</v>
      </c>
      <c r="H175" s="69">
        <f t="shared" si="136"/>
        <v>0</v>
      </c>
      <c r="I175" s="33">
        <f t="shared" ref="I175:O175" si="141">I177+I178</f>
        <v>8664.7000000000007</v>
      </c>
      <c r="J175" s="33">
        <f t="shared" ref="J175:L175" si="142">J177+J178</f>
        <v>0</v>
      </c>
      <c r="K175" s="33">
        <f t="shared" si="137"/>
        <v>8664.7000000000007</v>
      </c>
      <c r="L175" s="43">
        <f t="shared" si="142"/>
        <v>0</v>
      </c>
      <c r="M175" s="69">
        <f t="shared" si="138"/>
        <v>8664.7000000000007</v>
      </c>
      <c r="N175" s="33">
        <f t="shared" si="141"/>
        <v>0</v>
      </c>
      <c r="O175" s="33">
        <f t="shared" si="141"/>
        <v>0</v>
      </c>
      <c r="P175" s="33">
        <f t="shared" si="139"/>
        <v>0</v>
      </c>
      <c r="Q175" s="43">
        <f t="shared" ref="Q175" si="143">Q177+Q178</f>
        <v>0</v>
      </c>
      <c r="R175" s="69">
        <f t="shared" si="140"/>
        <v>0</v>
      </c>
      <c r="S175" s="27"/>
      <c r="U175" s="8"/>
    </row>
    <row r="176" spans="1:21" x14ac:dyDescent="0.35">
      <c r="A176" s="66"/>
      <c r="B176" s="67" t="s">
        <v>5</v>
      </c>
      <c r="C176" s="68"/>
      <c r="D176" s="32"/>
      <c r="E176" s="33"/>
      <c r="F176" s="33"/>
      <c r="G176" s="43"/>
      <c r="H176" s="69"/>
      <c r="I176" s="33"/>
      <c r="J176" s="33"/>
      <c r="K176" s="33"/>
      <c r="L176" s="43"/>
      <c r="M176" s="69"/>
      <c r="N176" s="33"/>
      <c r="O176" s="33"/>
      <c r="P176" s="33"/>
      <c r="Q176" s="43"/>
      <c r="R176" s="69"/>
      <c r="S176" s="27"/>
      <c r="U176" s="8"/>
    </row>
    <row r="177" spans="1:21" s="3" customFormat="1" hidden="1" x14ac:dyDescent="0.35">
      <c r="A177" s="1"/>
      <c r="B177" s="4" t="s">
        <v>6</v>
      </c>
      <c r="C177" s="40"/>
      <c r="D177" s="32">
        <v>0</v>
      </c>
      <c r="E177" s="33"/>
      <c r="F177" s="33">
        <f t="shared" si="135"/>
        <v>0</v>
      </c>
      <c r="G177" s="43"/>
      <c r="H177" s="33">
        <f t="shared" ref="H177:H179" si="144">F177+G177</f>
        <v>0</v>
      </c>
      <c r="I177" s="33">
        <v>2166.1999999999998</v>
      </c>
      <c r="J177" s="33"/>
      <c r="K177" s="33">
        <f t="shared" si="137"/>
        <v>2166.1999999999998</v>
      </c>
      <c r="L177" s="43"/>
      <c r="M177" s="33">
        <f t="shared" ref="M177:M179" si="145">K177+L177</f>
        <v>2166.1999999999998</v>
      </c>
      <c r="N177" s="33">
        <v>0</v>
      </c>
      <c r="O177" s="33"/>
      <c r="P177" s="33">
        <f t="shared" si="139"/>
        <v>0</v>
      </c>
      <c r="Q177" s="43"/>
      <c r="R177" s="33">
        <f t="shared" ref="R177:R179" si="146">P177+Q177</f>
        <v>0</v>
      </c>
      <c r="S177" s="27" t="s">
        <v>281</v>
      </c>
      <c r="T177" s="21" t="s">
        <v>51</v>
      </c>
      <c r="U177" s="8"/>
    </row>
    <row r="178" spans="1:21" x14ac:dyDescent="0.35">
      <c r="A178" s="66"/>
      <c r="B178" s="67" t="s">
        <v>20</v>
      </c>
      <c r="C178" s="67"/>
      <c r="D178" s="32">
        <v>0</v>
      </c>
      <c r="E178" s="33"/>
      <c r="F178" s="33">
        <f t="shared" si="135"/>
        <v>0</v>
      </c>
      <c r="G178" s="43"/>
      <c r="H178" s="69">
        <f t="shared" si="144"/>
        <v>0</v>
      </c>
      <c r="I178" s="33">
        <v>6498.5</v>
      </c>
      <c r="J178" s="33"/>
      <c r="K178" s="33">
        <f t="shared" si="137"/>
        <v>6498.5</v>
      </c>
      <c r="L178" s="43"/>
      <c r="M178" s="69">
        <f t="shared" si="145"/>
        <v>6498.5</v>
      </c>
      <c r="N178" s="33">
        <v>0</v>
      </c>
      <c r="O178" s="33"/>
      <c r="P178" s="33">
        <f t="shared" si="139"/>
        <v>0</v>
      </c>
      <c r="Q178" s="43"/>
      <c r="R178" s="69">
        <f t="shared" si="146"/>
        <v>0</v>
      </c>
      <c r="S178" s="27" t="s">
        <v>285</v>
      </c>
      <c r="U178" s="8"/>
    </row>
    <row r="179" spans="1:21" ht="54" x14ac:dyDescent="0.35">
      <c r="A179" s="66" t="s">
        <v>181</v>
      </c>
      <c r="B179" s="67" t="s">
        <v>123</v>
      </c>
      <c r="C179" s="67" t="s">
        <v>111</v>
      </c>
      <c r="D179" s="32">
        <f>D181+D182</f>
        <v>0</v>
      </c>
      <c r="E179" s="33">
        <f>E181+E182</f>
        <v>0</v>
      </c>
      <c r="F179" s="33">
        <f t="shared" si="135"/>
        <v>0</v>
      </c>
      <c r="G179" s="43">
        <f>G181+G182</f>
        <v>0</v>
      </c>
      <c r="H179" s="69">
        <f t="shared" si="144"/>
        <v>0</v>
      </c>
      <c r="I179" s="33">
        <f t="shared" ref="I179:O179" si="147">I181+I182</f>
        <v>8208.7000000000007</v>
      </c>
      <c r="J179" s="33">
        <f t="shared" ref="J179:L179" si="148">J181+J182</f>
        <v>0</v>
      </c>
      <c r="K179" s="33">
        <f t="shared" si="137"/>
        <v>8208.7000000000007</v>
      </c>
      <c r="L179" s="43">
        <f t="shared" si="148"/>
        <v>0</v>
      </c>
      <c r="M179" s="69">
        <f t="shared" si="145"/>
        <v>8208.7000000000007</v>
      </c>
      <c r="N179" s="33">
        <f t="shared" si="147"/>
        <v>0</v>
      </c>
      <c r="O179" s="33">
        <f t="shared" si="147"/>
        <v>0</v>
      </c>
      <c r="P179" s="33">
        <f t="shared" si="139"/>
        <v>0</v>
      </c>
      <c r="Q179" s="43">
        <f t="shared" ref="Q179" si="149">Q181+Q182</f>
        <v>0</v>
      </c>
      <c r="R179" s="69">
        <f t="shared" si="146"/>
        <v>0</v>
      </c>
      <c r="S179" s="27"/>
      <c r="U179" s="8"/>
    </row>
    <row r="180" spans="1:21" x14ac:dyDescent="0.35">
      <c r="A180" s="66"/>
      <c r="B180" s="67" t="s">
        <v>5</v>
      </c>
      <c r="C180" s="68"/>
      <c r="D180" s="32"/>
      <c r="E180" s="33"/>
      <c r="F180" s="33"/>
      <c r="G180" s="43"/>
      <c r="H180" s="69"/>
      <c r="I180" s="33"/>
      <c r="J180" s="33"/>
      <c r="K180" s="33"/>
      <c r="L180" s="43"/>
      <c r="M180" s="69"/>
      <c r="N180" s="33"/>
      <c r="O180" s="33"/>
      <c r="P180" s="33"/>
      <c r="Q180" s="43"/>
      <c r="R180" s="69"/>
      <c r="S180" s="27"/>
      <c r="U180" s="8"/>
    </row>
    <row r="181" spans="1:21" s="3" customFormat="1" hidden="1" x14ac:dyDescent="0.35">
      <c r="A181" s="1"/>
      <c r="B181" s="4" t="s">
        <v>6</v>
      </c>
      <c r="C181" s="40"/>
      <c r="D181" s="32">
        <v>0</v>
      </c>
      <c r="E181" s="33"/>
      <c r="F181" s="33">
        <f t="shared" si="135"/>
        <v>0</v>
      </c>
      <c r="G181" s="43"/>
      <c r="H181" s="33">
        <f t="shared" ref="H181:H183" si="150">F181+G181</f>
        <v>0</v>
      </c>
      <c r="I181" s="33">
        <v>2052.1999999999998</v>
      </c>
      <c r="J181" s="33"/>
      <c r="K181" s="33">
        <f t="shared" si="137"/>
        <v>2052.1999999999998</v>
      </c>
      <c r="L181" s="43"/>
      <c r="M181" s="33">
        <f t="shared" ref="M181:M183" si="151">K181+L181</f>
        <v>2052.1999999999998</v>
      </c>
      <c r="N181" s="33">
        <v>0</v>
      </c>
      <c r="O181" s="33"/>
      <c r="P181" s="33">
        <f t="shared" si="139"/>
        <v>0</v>
      </c>
      <c r="Q181" s="43"/>
      <c r="R181" s="33">
        <f t="shared" ref="R181:R183" si="152">P181+Q181</f>
        <v>0</v>
      </c>
      <c r="S181" s="27" t="s">
        <v>282</v>
      </c>
      <c r="T181" s="21" t="s">
        <v>51</v>
      </c>
      <c r="U181" s="8"/>
    </row>
    <row r="182" spans="1:21" x14ac:dyDescent="0.35">
      <c r="A182" s="66"/>
      <c r="B182" s="67" t="s">
        <v>20</v>
      </c>
      <c r="C182" s="67"/>
      <c r="D182" s="32">
        <v>0</v>
      </c>
      <c r="E182" s="33"/>
      <c r="F182" s="33">
        <f t="shared" si="135"/>
        <v>0</v>
      </c>
      <c r="G182" s="43"/>
      <c r="H182" s="69">
        <f t="shared" si="150"/>
        <v>0</v>
      </c>
      <c r="I182" s="33">
        <v>6156.5</v>
      </c>
      <c r="J182" s="33"/>
      <c r="K182" s="33">
        <f t="shared" si="137"/>
        <v>6156.5</v>
      </c>
      <c r="L182" s="43"/>
      <c r="M182" s="69">
        <f t="shared" si="151"/>
        <v>6156.5</v>
      </c>
      <c r="N182" s="33">
        <v>0</v>
      </c>
      <c r="O182" s="33"/>
      <c r="P182" s="33">
        <f t="shared" si="139"/>
        <v>0</v>
      </c>
      <c r="Q182" s="43"/>
      <c r="R182" s="69">
        <f t="shared" si="152"/>
        <v>0</v>
      </c>
      <c r="S182" s="27" t="s">
        <v>285</v>
      </c>
      <c r="U182" s="8"/>
    </row>
    <row r="183" spans="1:21" ht="54" x14ac:dyDescent="0.35">
      <c r="A183" s="66" t="s">
        <v>182</v>
      </c>
      <c r="B183" s="67" t="s">
        <v>124</v>
      </c>
      <c r="C183" s="67" t="s">
        <v>111</v>
      </c>
      <c r="D183" s="32">
        <f>D185+D186</f>
        <v>235920.4</v>
      </c>
      <c r="E183" s="33">
        <f>E185+E186</f>
        <v>0</v>
      </c>
      <c r="F183" s="33">
        <f t="shared" si="135"/>
        <v>235920.4</v>
      </c>
      <c r="G183" s="43">
        <f>G185+G186</f>
        <v>0</v>
      </c>
      <c r="H183" s="69">
        <f t="shared" si="150"/>
        <v>235920.4</v>
      </c>
      <c r="I183" s="33">
        <f t="shared" ref="I183:O183" si="153">I185+I186</f>
        <v>0</v>
      </c>
      <c r="J183" s="33">
        <f t="shared" ref="J183:L183" si="154">J185+J186</f>
        <v>0</v>
      </c>
      <c r="K183" s="33">
        <f t="shared" si="137"/>
        <v>0</v>
      </c>
      <c r="L183" s="43">
        <f t="shared" si="154"/>
        <v>0</v>
      </c>
      <c r="M183" s="69">
        <f t="shared" si="151"/>
        <v>0</v>
      </c>
      <c r="N183" s="33">
        <f t="shared" si="153"/>
        <v>0</v>
      </c>
      <c r="O183" s="33">
        <f t="shared" si="153"/>
        <v>0</v>
      </c>
      <c r="P183" s="33">
        <f t="shared" si="139"/>
        <v>0</v>
      </c>
      <c r="Q183" s="43">
        <f t="shared" ref="Q183" si="155">Q185+Q186</f>
        <v>0</v>
      </c>
      <c r="R183" s="69">
        <f t="shared" si="152"/>
        <v>0</v>
      </c>
      <c r="S183" s="27"/>
      <c r="U183" s="8"/>
    </row>
    <row r="184" spans="1:21" x14ac:dyDescent="0.35">
      <c r="A184" s="66"/>
      <c r="B184" s="67" t="s">
        <v>5</v>
      </c>
      <c r="C184" s="68"/>
      <c r="D184" s="32"/>
      <c r="E184" s="33"/>
      <c r="F184" s="33"/>
      <c r="G184" s="43"/>
      <c r="H184" s="69"/>
      <c r="I184" s="33"/>
      <c r="J184" s="33"/>
      <c r="K184" s="33"/>
      <c r="L184" s="43"/>
      <c r="M184" s="69"/>
      <c r="N184" s="33"/>
      <c r="O184" s="33"/>
      <c r="P184" s="33"/>
      <c r="Q184" s="43"/>
      <c r="R184" s="69"/>
      <c r="S184" s="27"/>
      <c r="U184" s="8"/>
    </row>
    <row r="185" spans="1:21" s="3" customFormat="1" hidden="1" x14ac:dyDescent="0.35">
      <c r="A185" s="1"/>
      <c r="B185" s="4" t="s">
        <v>6</v>
      </c>
      <c r="C185" s="40"/>
      <c r="D185" s="32">
        <v>58980.1</v>
      </c>
      <c r="E185" s="33"/>
      <c r="F185" s="33">
        <f t="shared" si="135"/>
        <v>58980.1</v>
      </c>
      <c r="G185" s="43"/>
      <c r="H185" s="33">
        <f t="shared" ref="H185:H187" si="156">F185+G185</f>
        <v>58980.1</v>
      </c>
      <c r="I185" s="33">
        <v>0</v>
      </c>
      <c r="J185" s="33"/>
      <c r="K185" s="33">
        <f t="shared" si="137"/>
        <v>0</v>
      </c>
      <c r="L185" s="43"/>
      <c r="M185" s="33">
        <f t="shared" ref="M185:M187" si="157">K185+L185</f>
        <v>0</v>
      </c>
      <c r="N185" s="33">
        <v>0</v>
      </c>
      <c r="O185" s="33"/>
      <c r="P185" s="33">
        <f t="shared" si="139"/>
        <v>0</v>
      </c>
      <c r="Q185" s="43"/>
      <c r="R185" s="33">
        <f t="shared" ref="R185:R187" si="158">P185+Q185</f>
        <v>0</v>
      </c>
      <c r="S185" s="27" t="s">
        <v>284</v>
      </c>
      <c r="T185" s="21" t="s">
        <v>51</v>
      </c>
      <c r="U185" s="8"/>
    </row>
    <row r="186" spans="1:21" x14ac:dyDescent="0.35">
      <c r="A186" s="66"/>
      <c r="B186" s="67" t="s">
        <v>20</v>
      </c>
      <c r="C186" s="67"/>
      <c r="D186" s="32">
        <v>176940.3</v>
      </c>
      <c r="E186" s="33"/>
      <c r="F186" s="33">
        <f t="shared" si="135"/>
        <v>176940.3</v>
      </c>
      <c r="G186" s="43"/>
      <c r="H186" s="69">
        <f t="shared" si="156"/>
        <v>176940.3</v>
      </c>
      <c r="I186" s="33">
        <v>0</v>
      </c>
      <c r="J186" s="33"/>
      <c r="K186" s="33">
        <f t="shared" si="137"/>
        <v>0</v>
      </c>
      <c r="L186" s="43"/>
      <c r="M186" s="69">
        <f t="shared" si="157"/>
        <v>0</v>
      </c>
      <c r="N186" s="33">
        <v>0</v>
      </c>
      <c r="O186" s="33"/>
      <c r="P186" s="33">
        <f t="shared" si="139"/>
        <v>0</v>
      </c>
      <c r="Q186" s="43"/>
      <c r="R186" s="69">
        <f t="shared" si="158"/>
        <v>0</v>
      </c>
      <c r="S186" s="27" t="s">
        <v>285</v>
      </c>
      <c r="U186" s="8"/>
    </row>
    <row r="187" spans="1:21" ht="54" x14ac:dyDescent="0.35">
      <c r="A187" s="66" t="s">
        <v>183</v>
      </c>
      <c r="B187" s="67" t="s">
        <v>125</v>
      </c>
      <c r="C187" s="67" t="s">
        <v>111</v>
      </c>
      <c r="D187" s="32">
        <f>D189+D190</f>
        <v>270720.40000000002</v>
      </c>
      <c r="E187" s="33">
        <f>E189+E190</f>
        <v>0</v>
      </c>
      <c r="F187" s="33">
        <f t="shared" si="135"/>
        <v>270720.40000000002</v>
      </c>
      <c r="G187" s="43">
        <f>G189+G190</f>
        <v>0</v>
      </c>
      <c r="H187" s="69">
        <f t="shared" si="156"/>
        <v>270720.40000000002</v>
      </c>
      <c r="I187" s="33">
        <f t="shared" ref="I187:O187" si="159">I189+I190</f>
        <v>0</v>
      </c>
      <c r="J187" s="33">
        <f t="shared" ref="J187:L187" si="160">J189+J190</f>
        <v>0</v>
      </c>
      <c r="K187" s="33">
        <f t="shared" si="137"/>
        <v>0</v>
      </c>
      <c r="L187" s="43">
        <f t="shared" si="160"/>
        <v>0</v>
      </c>
      <c r="M187" s="69">
        <f t="shared" si="157"/>
        <v>0</v>
      </c>
      <c r="N187" s="33">
        <f t="shared" si="159"/>
        <v>0</v>
      </c>
      <c r="O187" s="33">
        <f t="shared" si="159"/>
        <v>0</v>
      </c>
      <c r="P187" s="33">
        <f t="shared" si="139"/>
        <v>0</v>
      </c>
      <c r="Q187" s="43">
        <f t="shared" ref="Q187" si="161">Q189+Q190</f>
        <v>0</v>
      </c>
      <c r="R187" s="69">
        <f t="shared" si="158"/>
        <v>0</v>
      </c>
      <c r="S187" s="27"/>
      <c r="U187" s="8"/>
    </row>
    <row r="188" spans="1:21" x14ac:dyDescent="0.35">
      <c r="A188" s="66"/>
      <c r="B188" s="67" t="s">
        <v>5</v>
      </c>
      <c r="C188" s="67"/>
      <c r="D188" s="32"/>
      <c r="E188" s="33"/>
      <c r="F188" s="33"/>
      <c r="G188" s="43"/>
      <c r="H188" s="69"/>
      <c r="I188" s="33"/>
      <c r="J188" s="33"/>
      <c r="K188" s="33"/>
      <c r="L188" s="43"/>
      <c r="M188" s="69"/>
      <c r="N188" s="33"/>
      <c r="O188" s="33"/>
      <c r="P188" s="33"/>
      <c r="Q188" s="43"/>
      <c r="R188" s="69"/>
      <c r="S188" s="27"/>
      <c r="U188" s="8"/>
    </row>
    <row r="189" spans="1:21" s="3" customFormat="1" hidden="1" x14ac:dyDescent="0.35">
      <c r="A189" s="1"/>
      <c r="B189" s="40" t="s">
        <v>6</v>
      </c>
      <c r="C189" s="40"/>
      <c r="D189" s="32">
        <v>67680.100000000006</v>
      </c>
      <c r="E189" s="33"/>
      <c r="F189" s="33">
        <f t="shared" si="135"/>
        <v>67680.100000000006</v>
      </c>
      <c r="G189" s="43"/>
      <c r="H189" s="33">
        <f t="shared" ref="H189:H191" si="162">F189+G189</f>
        <v>67680.100000000006</v>
      </c>
      <c r="I189" s="33">
        <v>0</v>
      </c>
      <c r="J189" s="33"/>
      <c r="K189" s="33">
        <f t="shared" si="137"/>
        <v>0</v>
      </c>
      <c r="L189" s="43"/>
      <c r="M189" s="33">
        <f t="shared" ref="M189:M191" si="163">K189+L189</f>
        <v>0</v>
      </c>
      <c r="N189" s="33">
        <v>0</v>
      </c>
      <c r="O189" s="33"/>
      <c r="P189" s="33">
        <f t="shared" si="139"/>
        <v>0</v>
      </c>
      <c r="Q189" s="43"/>
      <c r="R189" s="33">
        <f t="shared" ref="R189:R191" si="164">P189+Q189</f>
        <v>0</v>
      </c>
      <c r="S189" s="27" t="s">
        <v>283</v>
      </c>
      <c r="T189" s="21" t="s">
        <v>51</v>
      </c>
      <c r="U189" s="8"/>
    </row>
    <row r="190" spans="1:21" x14ac:dyDescent="0.35">
      <c r="A190" s="66"/>
      <c r="B190" s="67" t="s">
        <v>20</v>
      </c>
      <c r="C190" s="67"/>
      <c r="D190" s="32">
        <v>203040.3</v>
      </c>
      <c r="E190" s="33"/>
      <c r="F190" s="33">
        <f t="shared" si="135"/>
        <v>203040.3</v>
      </c>
      <c r="G190" s="43"/>
      <c r="H190" s="69">
        <f t="shared" si="162"/>
        <v>203040.3</v>
      </c>
      <c r="I190" s="33">
        <v>0</v>
      </c>
      <c r="J190" s="33"/>
      <c r="K190" s="33">
        <f t="shared" si="137"/>
        <v>0</v>
      </c>
      <c r="L190" s="43"/>
      <c r="M190" s="69">
        <f t="shared" si="163"/>
        <v>0</v>
      </c>
      <c r="N190" s="33">
        <v>0</v>
      </c>
      <c r="O190" s="33"/>
      <c r="P190" s="33">
        <f t="shared" si="139"/>
        <v>0</v>
      </c>
      <c r="Q190" s="43"/>
      <c r="R190" s="69">
        <f t="shared" si="164"/>
        <v>0</v>
      </c>
      <c r="S190" s="27" t="s">
        <v>285</v>
      </c>
      <c r="U190" s="8"/>
    </row>
    <row r="191" spans="1:21" ht="54" x14ac:dyDescent="0.35">
      <c r="A191" s="66" t="s">
        <v>184</v>
      </c>
      <c r="B191" s="67" t="s">
        <v>126</v>
      </c>
      <c r="C191" s="68" t="s">
        <v>111</v>
      </c>
      <c r="D191" s="32">
        <f>D193</f>
        <v>87406.8</v>
      </c>
      <c r="E191" s="33">
        <f>E193</f>
        <v>0</v>
      </c>
      <c r="F191" s="33">
        <f t="shared" si="135"/>
        <v>87406.8</v>
      </c>
      <c r="G191" s="43">
        <f>G193</f>
        <v>0</v>
      </c>
      <c r="H191" s="69">
        <f t="shared" si="162"/>
        <v>87406.8</v>
      </c>
      <c r="I191" s="33">
        <f t="shared" ref="I191:O191" si="165">I193</f>
        <v>0</v>
      </c>
      <c r="J191" s="33">
        <f t="shared" ref="J191:L191" si="166">J193</f>
        <v>0</v>
      </c>
      <c r="K191" s="33">
        <f t="shared" si="137"/>
        <v>0</v>
      </c>
      <c r="L191" s="43">
        <f t="shared" si="166"/>
        <v>0</v>
      </c>
      <c r="M191" s="69">
        <f t="shared" si="163"/>
        <v>0</v>
      </c>
      <c r="N191" s="33">
        <f t="shared" si="165"/>
        <v>0</v>
      </c>
      <c r="O191" s="33">
        <f t="shared" si="165"/>
        <v>0</v>
      </c>
      <c r="P191" s="33">
        <f t="shared" si="139"/>
        <v>0</v>
      </c>
      <c r="Q191" s="43">
        <f t="shared" ref="Q191" si="167">Q193</f>
        <v>0</v>
      </c>
      <c r="R191" s="69">
        <f t="shared" si="164"/>
        <v>0</v>
      </c>
      <c r="S191" s="27"/>
      <c r="U191" s="8"/>
    </row>
    <row r="192" spans="1:21" x14ac:dyDescent="0.35">
      <c r="A192" s="66"/>
      <c r="B192" s="67" t="s">
        <v>5</v>
      </c>
      <c r="C192" s="67"/>
      <c r="D192" s="32"/>
      <c r="E192" s="33"/>
      <c r="F192" s="33"/>
      <c r="G192" s="43"/>
      <c r="H192" s="69"/>
      <c r="I192" s="33"/>
      <c r="J192" s="33"/>
      <c r="K192" s="33"/>
      <c r="L192" s="43"/>
      <c r="M192" s="69"/>
      <c r="N192" s="33"/>
      <c r="O192" s="33"/>
      <c r="P192" s="33"/>
      <c r="Q192" s="43"/>
      <c r="R192" s="69"/>
      <c r="S192" s="27"/>
      <c r="U192" s="8"/>
    </row>
    <row r="193" spans="1:21" x14ac:dyDescent="0.35">
      <c r="A193" s="66"/>
      <c r="B193" s="67" t="s">
        <v>20</v>
      </c>
      <c r="C193" s="67"/>
      <c r="D193" s="32">
        <v>87406.8</v>
      </c>
      <c r="E193" s="33"/>
      <c r="F193" s="33">
        <f t="shared" si="135"/>
        <v>87406.8</v>
      </c>
      <c r="G193" s="43"/>
      <c r="H193" s="69">
        <f t="shared" ref="H193:H198" si="168">F193+G193</f>
        <v>87406.8</v>
      </c>
      <c r="I193" s="33">
        <v>0</v>
      </c>
      <c r="J193" s="33"/>
      <c r="K193" s="33">
        <f t="shared" si="137"/>
        <v>0</v>
      </c>
      <c r="L193" s="43"/>
      <c r="M193" s="69">
        <f t="shared" ref="M193:M198" si="169">K193+L193</f>
        <v>0</v>
      </c>
      <c r="N193" s="33">
        <v>0</v>
      </c>
      <c r="O193" s="33"/>
      <c r="P193" s="33">
        <f t="shared" si="139"/>
        <v>0</v>
      </c>
      <c r="Q193" s="43"/>
      <c r="R193" s="69">
        <f t="shared" ref="R193:R198" si="170">P193+Q193</f>
        <v>0</v>
      </c>
      <c r="S193" s="27" t="s">
        <v>285</v>
      </c>
      <c r="U193" s="8"/>
    </row>
    <row r="194" spans="1:21" ht="54" x14ac:dyDescent="0.35">
      <c r="A194" s="66" t="s">
        <v>185</v>
      </c>
      <c r="B194" s="67" t="s">
        <v>323</v>
      </c>
      <c r="C194" s="67" t="s">
        <v>111</v>
      </c>
      <c r="D194" s="32"/>
      <c r="E194" s="33"/>
      <c r="F194" s="33"/>
      <c r="G194" s="43">
        <v>13812.6</v>
      </c>
      <c r="H194" s="69">
        <f>F194+G194</f>
        <v>13812.6</v>
      </c>
      <c r="I194" s="33"/>
      <c r="J194" s="33"/>
      <c r="K194" s="33"/>
      <c r="L194" s="43"/>
      <c r="M194" s="69">
        <f t="shared" si="169"/>
        <v>0</v>
      </c>
      <c r="N194" s="33"/>
      <c r="O194" s="33"/>
      <c r="P194" s="33"/>
      <c r="Q194" s="43"/>
      <c r="R194" s="69">
        <f t="shared" si="170"/>
        <v>0</v>
      </c>
      <c r="S194" s="27" t="s">
        <v>322</v>
      </c>
      <c r="U194" s="8"/>
    </row>
    <row r="195" spans="1:21" x14ac:dyDescent="0.35">
      <c r="A195" s="66"/>
      <c r="B195" s="67" t="s">
        <v>21</v>
      </c>
      <c r="C195" s="86"/>
      <c r="D195" s="35">
        <f>D196+D197</f>
        <v>458741.8</v>
      </c>
      <c r="E195" s="35">
        <f>E196+E197</f>
        <v>0</v>
      </c>
      <c r="F195" s="35">
        <f t="shared" si="135"/>
        <v>458741.8</v>
      </c>
      <c r="G195" s="35">
        <f>G196+G197</f>
        <v>25282.13</v>
      </c>
      <c r="H195" s="69">
        <f t="shared" si="168"/>
        <v>484023.93</v>
      </c>
      <c r="I195" s="35">
        <f t="shared" ref="I195:O195" si="171">I196+I197</f>
        <v>0</v>
      </c>
      <c r="J195" s="35">
        <f t="shared" ref="J195:L195" si="172">J196+J197</f>
        <v>0</v>
      </c>
      <c r="K195" s="35">
        <f t="shared" si="137"/>
        <v>0</v>
      </c>
      <c r="L195" s="35">
        <f t="shared" si="172"/>
        <v>0</v>
      </c>
      <c r="M195" s="69">
        <f t="shared" si="169"/>
        <v>0</v>
      </c>
      <c r="N195" s="35">
        <f t="shared" si="171"/>
        <v>0</v>
      </c>
      <c r="O195" s="35">
        <f t="shared" si="171"/>
        <v>0</v>
      </c>
      <c r="P195" s="35">
        <f t="shared" si="139"/>
        <v>0</v>
      </c>
      <c r="Q195" s="35">
        <f t="shared" ref="Q195" si="173">Q196+Q197</f>
        <v>0</v>
      </c>
      <c r="R195" s="69">
        <f t="shared" si="170"/>
        <v>0</v>
      </c>
      <c r="S195" s="27"/>
      <c r="U195" s="8"/>
    </row>
    <row r="196" spans="1:21" ht="54" x14ac:dyDescent="0.35">
      <c r="A196" s="124" t="s">
        <v>186</v>
      </c>
      <c r="B196" s="126" t="s">
        <v>131</v>
      </c>
      <c r="C196" s="68" t="s">
        <v>32</v>
      </c>
      <c r="D196" s="33">
        <v>444760</v>
      </c>
      <c r="E196" s="33"/>
      <c r="F196" s="33">
        <f t="shared" si="135"/>
        <v>444760</v>
      </c>
      <c r="G196" s="57">
        <f>25282.13+361.599-361.599</f>
        <v>25282.13</v>
      </c>
      <c r="H196" s="69">
        <f t="shared" si="168"/>
        <v>470042.13</v>
      </c>
      <c r="I196" s="33">
        <v>0</v>
      </c>
      <c r="J196" s="33"/>
      <c r="K196" s="33">
        <f t="shared" si="137"/>
        <v>0</v>
      </c>
      <c r="L196" s="57"/>
      <c r="M196" s="69">
        <f t="shared" si="169"/>
        <v>0</v>
      </c>
      <c r="N196" s="33">
        <v>0</v>
      </c>
      <c r="O196" s="33"/>
      <c r="P196" s="33">
        <f t="shared" si="139"/>
        <v>0</v>
      </c>
      <c r="Q196" s="57"/>
      <c r="R196" s="69">
        <f t="shared" si="170"/>
        <v>0</v>
      </c>
      <c r="S196" s="27" t="s">
        <v>286</v>
      </c>
      <c r="U196" s="8"/>
    </row>
    <row r="197" spans="1:21" ht="72" x14ac:dyDescent="0.35">
      <c r="A197" s="125"/>
      <c r="B197" s="127"/>
      <c r="C197" s="68" t="s">
        <v>33</v>
      </c>
      <c r="D197" s="33">
        <v>13981.8</v>
      </c>
      <c r="E197" s="33"/>
      <c r="F197" s="33">
        <f t="shared" si="135"/>
        <v>13981.8</v>
      </c>
      <c r="G197" s="43"/>
      <c r="H197" s="69">
        <f t="shared" si="168"/>
        <v>13981.8</v>
      </c>
      <c r="I197" s="33">
        <v>0</v>
      </c>
      <c r="J197" s="33"/>
      <c r="K197" s="33">
        <f t="shared" si="137"/>
        <v>0</v>
      </c>
      <c r="L197" s="43"/>
      <c r="M197" s="69">
        <f t="shared" si="169"/>
        <v>0</v>
      </c>
      <c r="N197" s="33">
        <v>0</v>
      </c>
      <c r="O197" s="33"/>
      <c r="P197" s="33">
        <f t="shared" si="139"/>
        <v>0</v>
      </c>
      <c r="Q197" s="43"/>
      <c r="R197" s="69">
        <f t="shared" si="170"/>
        <v>0</v>
      </c>
      <c r="S197" s="27" t="s">
        <v>286</v>
      </c>
      <c r="U197" s="8"/>
    </row>
    <row r="198" spans="1:21" x14ac:dyDescent="0.35">
      <c r="A198" s="66"/>
      <c r="B198" s="89" t="s">
        <v>7</v>
      </c>
      <c r="C198" s="89"/>
      <c r="D198" s="35">
        <f>D202+D203+D204+D205++D209+D210+D211+D212</f>
        <v>372844.10000000003</v>
      </c>
      <c r="E198" s="35">
        <f>E202+E203+E204+E205++E209+E210+E211+E212</f>
        <v>-47211.199999999997</v>
      </c>
      <c r="F198" s="35">
        <f t="shared" si="135"/>
        <v>325632.90000000002</v>
      </c>
      <c r="G198" s="35">
        <f>G202+G203+G204+G205++G209+G210+G211+G212+G213</f>
        <v>51941.006000000001</v>
      </c>
      <c r="H198" s="69">
        <f t="shared" si="168"/>
        <v>377573.90600000002</v>
      </c>
      <c r="I198" s="35">
        <f t="shared" ref="I198:O198" si="174">I202+I203+I204+I205++I209+I210+I211+I212</f>
        <v>753833.4</v>
      </c>
      <c r="J198" s="35">
        <f t="shared" ref="J198" si="175">J202+J203+J204+J205++J209+J210+J211+J212</f>
        <v>47211.199999999997</v>
      </c>
      <c r="K198" s="35">
        <f t="shared" si="137"/>
        <v>801044.6</v>
      </c>
      <c r="L198" s="35">
        <f>L202+L203+L204+L205++L209+L210+L211+L212+L213</f>
        <v>0</v>
      </c>
      <c r="M198" s="69">
        <f t="shared" si="169"/>
        <v>801044.6</v>
      </c>
      <c r="N198" s="35">
        <f t="shared" si="174"/>
        <v>339837.2</v>
      </c>
      <c r="O198" s="35">
        <f t="shared" si="174"/>
        <v>0</v>
      </c>
      <c r="P198" s="35">
        <f t="shared" si="139"/>
        <v>339837.2</v>
      </c>
      <c r="Q198" s="35">
        <f>Q202+Q203+Q204+Q205++Q209+Q210+Q211+Q212+Q213</f>
        <v>0</v>
      </c>
      <c r="R198" s="69">
        <f t="shared" si="170"/>
        <v>339837.2</v>
      </c>
      <c r="S198" s="27"/>
      <c r="U198" s="8"/>
    </row>
    <row r="199" spans="1:21" x14ac:dyDescent="0.35">
      <c r="A199" s="66"/>
      <c r="B199" s="67" t="s">
        <v>5</v>
      </c>
      <c r="C199" s="89"/>
      <c r="D199" s="35"/>
      <c r="E199" s="35"/>
      <c r="F199" s="35"/>
      <c r="G199" s="35"/>
      <c r="H199" s="69"/>
      <c r="I199" s="35"/>
      <c r="J199" s="35"/>
      <c r="K199" s="35"/>
      <c r="L199" s="35"/>
      <c r="M199" s="69"/>
      <c r="N199" s="35"/>
      <c r="O199" s="35"/>
      <c r="P199" s="35"/>
      <c r="Q199" s="35"/>
      <c r="R199" s="69"/>
      <c r="S199" s="27"/>
      <c r="U199" s="8"/>
    </row>
    <row r="200" spans="1:21" s="16" customFormat="1" hidden="1" x14ac:dyDescent="0.35">
      <c r="A200" s="13"/>
      <c r="B200" s="14" t="s">
        <v>6</v>
      </c>
      <c r="C200" s="19"/>
      <c r="D200" s="35">
        <f>D202+D203+D204+D207+D209+D210+D211+D212</f>
        <v>372844.10000000003</v>
      </c>
      <c r="E200" s="35">
        <f>E202+E203+E204+E207+E209+E210+E211+E212</f>
        <v>-47211.199999999997</v>
      </c>
      <c r="F200" s="35">
        <f t="shared" si="135"/>
        <v>325632.90000000002</v>
      </c>
      <c r="G200" s="35">
        <f>G202+G203+G204+G207+G209+G210+G211+G212+G213</f>
        <v>51941.006000000001</v>
      </c>
      <c r="H200" s="35">
        <f t="shared" ref="H200:H205" si="176">F200+G200</f>
        <v>377573.90600000002</v>
      </c>
      <c r="I200" s="35">
        <f t="shared" ref="I200:O200" si="177">I202+I203+I204+I207+I209+I210+I211+I212</f>
        <v>701621</v>
      </c>
      <c r="J200" s="35">
        <f t="shared" ref="J200" si="178">J202+J203+J204+J207+J209+J210+J211+J212</f>
        <v>47211.199999999997</v>
      </c>
      <c r="K200" s="35">
        <f t="shared" si="137"/>
        <v>748832.2</v>
      </c>
      <c r="L200" s="35">
        <f>L202+L203+L204+L207+L209+L210+L211+L212+L213</f>
        <v>0</v>
      </c>
      <c r="M200" s="35">
        <f t="shared" ref="M200:M205" si="179">K200+L200</f>
        <v>748832.2</v>
      </c>
      <c r="N200" s="35">
        <f t="shared" si="177"/>
        <v>339837.2</v>
      </c>
      <c r="O200" s="35">
        <f t="shared" si="177"/>
        <v>0</v>
      </c>
      <c r="P200" s="35">
        <f t="shared" si="139"/>
        <v>339837.2</v>
      </c>
      <c r="Q200" s="35">
        <f>Q202+Q203+Q204+Q207+Q209+Q210+Q211+Q212+Q213</f>
        <v>0</v>
      </c>
      <c r="R200" s="35">
        <f t="shared" ref="R200:R205" si="180">P200+Q200</f>
        <v>339837.2</v>
      </c>
      <c r="S200" s="29"/>
      <c r="T200" s="22" t="s">
        <v>51</v>
      </c>
      <c r="U200" s="15"/>
    </row>
    <row r="201" spans="1:21" x14ac:dyDescent="0.35">
      <c r="A201" s="66"/>
      <c r="B201" s="67" t="s">
        <v>30</v>
      </c>
      <c r="C201" s="89"/>
      <c r="D201" s="35">
        <f>D208</f>
        <v>0</v>
      </c>
      <c r="E201" s="35">
        <f>E208</f>
        <v>0</v>
      </c>
      <c r="F201" s="35">
        <f t="shared" si="135"/>
        <v>0</v>
      </c>
      <c r="G201" s="35">
        <f>G208</f>
        <v>0</v>
      </c>
      <c r="H201" s="69">
        <f t="shared" si="176"/>
        <v>0</v>
      </c>
      <c r="I201" s="35">
        <f t="shared" ref="I201:O201" si="181">I208</f>
        <v>52212.4</v>
      </c>
      <c r="J201" s="35">
        <f t="shared" ref="J201:L201" si="182">J208</f>
        <v>0</v>
      </c>
      <c r="K201" s="35">
        <f t="shared" si="137"/>
        <v>52212.4</v>
      </c>
      <c r="L201" s="35">
        <f t="shared" si="182"/>
        <v>0</v>
      </c>
      <c r="M201" s="69">
        <f t="shared" si="179"/>
        <v>52212.4</v>
      </c>
      <c r="N201" s="35">
        <f t="shared" si="181"/>
        <v>0</v>
      </c>
      <c r="O201" s="35">
        <f t="shared" si="181"/>
        <v>0</v>
      </c>
      <c r="P201" s="35">
        <f t="shared" si="139"/>
        <v>0</v>
      </c>
      <c r="Q201" s="35">
        <f t="shared" ref="Q201" si="183">Q208</f>
        <v>0</v>
      </c>
      <c r="R201" s="69">
        <f t="shared" si="180"/>
        <v>0</v>
      </c>
      <c r="S201" s="27"/>
      <c r="U201" s="8"/>
    </row>
    <row r="202" spans="1:21" ht="54" x14ac:dyDescent="0.35">
      <c r="A202" s="124" t="s">
        <v>187</v>
      </c>
      <c r="B202" s="126" t="s">
        <v>127</v>
      </c>
      <c r="C202" s="68" t="s">
        <v>32</v>
      </c>
      <c r="D202" s="33">
        <v>195888.6</v>
      </c>
      <c r="E202" s="33"/>
      <c r="F202" s="33">
        <f t="shared" si="135"/>
        <v>195888.6</v>
      </c>
      <c r="G202" s="43">
        <v>49700.256999999998</v>
      </c>
      <c r="H202" s="69">
        <f t="shared" si="176"/>
        <v>245588.85700000002</v>
      </c>
      <c r="I202" s="33">
        <v>0</v>
      </c>
      <c r="J202" s="33"/>
      <c r="K202" s="33">
        <f t="shared" si="137"/>
        <v>0</v>
      </c>
      <c r="L202" s="43"/>
      <c r="M202" s="69">
        <f t="shared" si="179"/>
        <v>0</v>
      </c>
      <c r="N202" s="33">
        <v>0</v>
      </c>
      <c r="O202" s="33"/>
      <c r="P202" s="33">
        <f t="shared" si="139"/>
        <v>0</v>
      </c>
      <c r="Q202" s="43"/>
      <c r="R202" s="69">
        <f t="shared" si="180"/>
        <v>0</v>
      </c>
      <c r="S202" s="27" t="s">
        <v>287</v>
      </c>
      <c r="U202" s="8"/>
    </row>
    <row r="203" spans="1:21" ht="54" x14ac:dyDescent="0.35">
      <c r="A203" s="125"/>
      <c r="B203" s="127"/>
      <c r="C203" s="68" t="s">
        <v>34</v>
      </c>
      <c r="D203" s="33">
        <v>4480.7</v>
      </c>
      <c r="E203" s="33"/>
      <c r="F203" s="33">
        <f t="shared" si="135"/>
        <v>4480.7</v>
      </c>
      <c r="G203" s="43"/>
      <c r="H203" s="69">
        <f t="shared" si="176"/>
        <v>4480.7</v>
      </c>
      <c r="I203" s="33">
        <v>0</v>
      </c>
      <c r="J203" s="33"/>
      <c r="K203" s="33">
        <f t="shared" si="137"/>
        <v>0</v>
      </c>
      <c r="L203" s="43"/>
      <c r="M203" s="69">
        <f t="shared" si="179"/>
        <v>0</v>
      </c>
      <c r="N203" s="33">
        <v>0</v>
      </c>
      <c r="O203" s="33"/>
      <c r="P203" s="33">
        <f t="shared" si="139"/>
        <v>0</v>
      </c>
      <c r="Q203" s="43"/>
      <c r="R203" s="69">
        <f t="shared" si="180"/>
        <v>0</v>
      </c>
      <c r="S203" s="27" t="s">
        <v>287</v>
      </c>
      <c r="U203" s="8"/>
    </row>
    <row r="204" spans="1:21" ht="54" x14ac:dyDescent="0.35">
      <c r="A204" s="124" t="s">
        <v>188</v>
      </c>
      <c r="B204" s="130" t="s">
        <v>288</v>
      </c>
      <c r="C204" s="68" t="s">
        <v>34</v>
      </c>
      <c r="D204" s="33">
        <v>0</v>
      </c>
      <c r="E204" s="33"/>
      <c r="F204" s="33">
        <f t="shared" si="135"/>
        <v>0</v>
      </c>
      <c r="G204" s="43"/>
      <c r="H204" s="69">
        <f t="shared" si="176"/>
        <v>0</v>
      </c>
      <c r="I204" s="33">
        <v>55213.3</v>
      </c>
      <c r="J204" s="33"/>
      <c r="K204" s="33">
        <f t="shared" si="137"/>
        <v>55213.3</v>
      </c>
      <c r="L204" s="43"/>
      <c r="M204" s="69">
        <f t="shared" si="179"/>
        <v>55213.3</v>
      </c>
      <c r="N204" s="33">
        <v>0</v>
      </c>
      <c r="O204" s="33"/>
      <c r="P204" s="33">
        <f t="shared" si="139"/>
        <v>0</v>
      </c>
      <c r="Q204" s="43"/>
      <c r="R204" s="69">
        <f t="shared" si="180"/>
        <v>0</v>
      </c>
      <c r="S204" s="27" t="s">
        <v>289</v>
      </c>
      <c r="U204" s="8"/>
    </row>
    <row r="205" spans="1:21" ht="54" x14ac:dyDescent="0.35">
      <c r="A205" s="125"/>
      <c r="B205" s="131"/>
      <c r="C205" s="68" t="s">
        <v>32</v>
      </c>
      <c r="D205" s="33">
        <f>D207+D208</f>
        <v>168913.1</v>
      </c>
      <c r="E205" s="33">
        <f>E207+E208</f>
        <v>-47211.199999999997</v>
      </c>
      <c r="F205" s="33">
        <f t="shared" si="135"/>
        <v>121701.90000000001</v>
      </c>
      <c r="G205" s="57">
        <f>G207+G208</f>
        <v>184.89799999999991</v>
      </c>
      <c r="H205" s="69">
        <f t="shared" si="176"/>
        <v>121886.79800000001</v>
      </c>
      <c r="I205" s="33">
        <f>I207+I208</f>
        <v>354156.30000000005</v>
      </c>
      <c r="J205" s="33">
        <f t="shared" ref="J205:L205" si="184">J207+J208</f>
        <v>47211.199999999997</v>
      </c>
      <c r="K205" s="33">
        <f t="shared" si="137"/>
        <v>401367.50000000006</v>
      </c>
      <c r="L205" s="57">
        <f t="shared" si="184"/>
        <v>0</v>
      </c>
      <c r="M205" s="69">
        <f t="shared" si="179"/>
        <v>401367.50000000006</v>
      </c>
      <c r="N205" s="33">
        <f t="shared" ref="N205:O205" si="185">N207+N208</f>
        <v>0</v>
      </c>
      <c r="O205" s="33">
        <f t="shared" si="185"/>
        <v>0</v>
      </c>
      <c r="P205" s="33">
        <f t="shared" si="139"/>
        <v>0</v>
      </c>
      <c r="Q205" s="57">
        <f t="shared" ref="Q205" si="186">Q207+Q208</f>
        <v>0</v>
      </c>
      <c r="R205" s="69">
        <f t="shared" si="180"/>
        <v>0</v>
      </c>
      <c r="S205" s="27"/>
      <c r="U205" s="8"/>
    </row>
    <row r="206" spans="1:21" x14ac:dyDescent="0.35">
      <c r="A206" s="90"/>
      <c r="B206" s="67" t="s">
        <v>5</v>
      </c>
      <c r="C206" s="68"/>
      <c r="D206" s="33"/>
      <c r="E206" s="33"/>
      <c r="F206" s="33"/>
      <c r="G206" s="43"/>
      <c r="H206" s="69"/>
      <c r="I206" s="33"/>
      <c r="J206" s="33"/>
      <c r="K206" s="33"/>
      <c r="L206" s="43"/>
      <c r="M206" s="69"/>
      <c r="N206" s="33"/>
      <c r="O206" s="33"/>
      <c r="P206" s="33"/>
      <c r="Q206" s="43"/>
      <c r="R206" s="69"/>
      <c r="S206" s="27"/>
      <c r="U206" s="8"/>
    </row>
    <row r="207" spans="1:21" s="58" customFormat="1" ht="21" hidden="1" customHeight="1" x14ac:dyDescent="0.35">
      <c r="A207" s="61"/>
      <c r="B207" s="56" t="s">
        <v>6</v>
      </c>
      <c r="C207" s="59"/>
      <c r="D207" s="33">
        <v>168913.1</v>
      </c>
      <c r="E207" s="33">
        <v>-47211.199999999997</v>
      </c>
      <c r="F207" s="33">
        <f t="shared" si="135"/>
        <v>121701.90000000001</v>
      </c>
      <c r="G207" s="57">
        <f>184.898+1208.599-1208.599</f>
        <v>184.89799999999991</v>
      </c>
      <c r="H207" s="57">
        <f t="shared" ref="H207:H231" si="187">F207+G207</f>
        <v>121886.79800000001</v>
      </c>
      <c r="I207" s="33">
        <v>301943.90000000002</v>
      </c>
      <c r="J207" s="33">
        <v>47211.199999999997</v>
      </c>
      <c r="K207" s="33">
        <f t="shared" si="137"/>
        <v>349155.10000000003</v>
      </c>
      <c r="L207" s="57"/>
      <c r="M207" s="57">
        <f t="shared" ref="M207:M231" si="188">K207+L207</f>
        <v>349155.10000000003</v>
      </c>
      <c r="N207" s="33">
        <v>0</v>
      </c>
      <c r="O207" s="33"/>
      <c r="P207" s="33">
        <f t="shared" si="139"/>
        <v>0</v>
      </c>
      <c r="Q207" s="57"/>
      <c r="R207" s="57">
        <f t="shared" ref="R207:R231" si="189">P207+Q207</f>
        <v>0</v>
      </c>
      <c r="S207" s="27" t="s">
        <v>289</v>
      </c>
      <c r="T207" s="21" t="s">
        <v>51</v>
      </c>
      <c r="U207" s="8"/>
    </row>
    <row r="208" spans="1:21" x14ac:dyDescent="0.35">
      <c r="A208" s="90"/>
      <c r="B208" s="67" t="s">
        <v>30</v>
      </c>
      <c r="C208" s="68"/>
      <c r="D208" s="33">
        <v>0</v>
      </c>
      <c r="E208" s="33"/>
      <c r="F208" s="33">
        <f t="shared" si="135"/>
        <v>0</v>
      </c>
      <c r="G208" s="43"/>
      <c r="H208" s="69">
        <f t="shared" si="187"/>
        <v>0</v>
      </c>
      <c r="I208" s="33">
        <v>52212.4</v>
      </c>
      <c r="J208" s="33"/>
      <c r="K208" s="33">
        <f t="shared" si="137"/>
        <v>52212.4</v>
      </c>
      <c r="L208" s="43"/>
      <c r="M208" s="69">
        <f t="shared" si="188"/>
        <v>52212.4</v>
      </c>
      <c r="N208" s="33">
        <v>0</v>
      </c>
      <c r="O208" s="33"/>
      <c r="P208" s="33">
        <f t="shared" si="139"/>
        <v>0</v>
      </c>
      <c r="Q208" s="43"/>
      <c r="R208" s="69">
        <f t="shared" si="189"/>
        <v>0</v>
      </c>
      <c r="S208" s="27" t="s">
        <v>289</v>
      </c>
      <c r="U208" s="8"/>
    </row>
    <row r="209" spans="1:21" ht="54" x14ac:dyDescent="0.35">
      <c r="A209" s="66" t="s">
        <v>189</v>
      </c>
      <c r="B209" s="67" t="s">
        <v>128</v>
      </c>
      <c r="C209" s="68" t="s">
        <v>32</v>
      </c>
      <c r="D209" s="33">
        <v>3500</v>
      </c>
      <c r="E209" s="33"/>
      <c r="F209" s="33">
        <f t="shared" si="135"/>
        <v>3500</v>
      </c>
      <c r="G209" s="43"/>
      <c r="H209" s="69">
        <f t="shared" si="187"/>
        <v>3500</v>
      </c>
      <c r="I209" s="33">
        <v>0</v>
      </c>
      <c r="J209" s="33"/>
      <c r="K209" s="33">
        <f t="shared" si="137"/>
        <v>0</v>
      </c>
      <c r="L209" s="43"/>
      <c r="M209" s="69">
        <f t="shared" si="188"/>
        <v>0</v>
      </c>
      <c r="N209" s="33">
        <v>224073.8</v>
      </c>
      <c r="O209" s="33"/>
      <c r="P209" s="33">
        <f t="shared" si="139"/>
        <v>224073.8</v>
      </c>
      <c r="Q209" s="43"/>
      <c r="R209" s="69">
        <f t="shared" si="189"/>
        <v>224073.8</v>
      </c>
      <c r="S209" s="27" t="s">
        <v>290</v>
      </c>
      <c r="U209" s="8"/>
    </row>
    <row r="210" spans="1:21" ht="54" x14ac:dyDescent="0.35">
      <c r="A210" s="66" t="s">
        <v>190</v>
      </c>
      <c r="B210" s="67" t="s">
        <v>129</v>
      </c>
      <c r="C210" s="68" t="s">
        <v>32</v>
      </c>
      <c r="D210" s="33">
        <v>61.7</v>
      </c>
      <c r="E210" s="33"/>
      <c r="F210" s="33">
        <f t="shared" si="135"/>
        <v>61.7</v>
      </c>
      <c r="G210" s="43"/>
      <c r="H210" s="69">
        <f t="shared" si="187"/>
        <v>61.7</v>
      </c>
      <c r="I210" s="33">
        <v>244606.1</v>
      </c>
      <c r="J210" s="33"/>
      <c r="K210" s="33">
        <f t="shared" si="137"/>
        <v>244606.1</v>
      </c>
      <c r="L210" s="43"/>
      <c r="M210" s="69">
        <f t="shared" si="188"/>
        <v>244606.1</v>
      </c>
      <c r="N210" s="33">
        <v>103801.60000000001</v>
      </c>
      <c r="O210" s="33"/>
      <c r="P210" s="33">
        <f t="shared" si="139"/>
        <v>103801.60000000001</v>
      </c>
      <c r="Q210" s="43"/>
      <c r="R210" s="69">
        <f t="shared" si="189"/>
        <v>103801.60000000001</v>
      </c>
      <c r="S210" s="27" t="s">
        <v>291</v>
      </c>
      <c r="U210" s="8"/>
    </row>
    <row r="211" spans="1:21" ht="54" x14ac:dyDescent="0.35">
      <c r="A211" s="66" t="s">
        <v>191</v>
      </c>
      <c r="B211" s="67" t="s">
        <v>292</v>
      </c>
      <c r="C211" s="68" t="s">
        <v>32</v>
      </c>
      <c r="D211" s="33">
        <v>0</v>
      </c>
      <c r="E211" s="33"/>
      <c r="F211" s="33">
        <f t="shared" si="135"/>
        <v>0</v>
      </c>
      <c r="G211" s="43"/>
      <c r="H211" s="69">
        <f t="shared" si="187"/>
        <v>0</v>
      </c>
      <c r="I211" s="33">
        <v>0</v>
      </c>
      <c r="J211" s="33"/>
      <c r="K211" s="33">
        <f t="shared" si="137"/>
        <v>0</v>
      </c>
      <c r="L211" s="43"/>
      <c r="M211" s="69">
        <f t="shared" si="188"/>
        <v>0</v>
      </c>
      <c r="N211" s="33">
        <v>11961.8</v>
      </c>
      <c r="O211" s="33"/>
      <c r="P211" s="33">
        <f t="shared" si="139"/>
        <v>11961.8</v>
      </c>
      <c r="Q211" s="43"/>
      <c r="R211" s="69">
        <f t="shared" si="189"/>
        <v>11961.8</v>
      </c>
      <c r="S211" s="27" t="s">
        <v>293</v>
      </c>
      <c r="U211" s="8"/>
    </row>
    <row r="212" spans="1:21" ht="54" x14ac:dyDescent="0.35">
      <c r="A212" s="66" t="s">
        <v>192</v>
      </c>
      <c r="B212" s="67" t="s">
        <v>130</v>
      </c>
      <c r="C212" s="68" t="s">
        <v>32</v>
      </c>
      <c r="D212" s="33">
        <v>0</v>
      </c>
      <c r="E212" s="33"/>
      <c r="F212" s="33">
        <f t="shared" si="135"/>
        <v>0</v>
      </c>
      <c r="G212" s="43"/>
      <c r="H212" s="69">
        <f t="shared" si="187"/>
        <v>0</v>
      </c>
      <c r="I212" s="33">
        <v>99857.7</v>
      </c>
      <c r="J212" s="33"/>
      <c r="K212" s="33">
        <f t="shared" si="137"/>
        <v>99857.7</v>
      </c>
      <c r="L212" s="43"/>
      <c r="M212" s="69">
        <f t="shared" si="188"/>
        <v>99857.7</v>
      </c>
      <c r="N212" s="33">
        <v>0</v>
      </c>
      <c r="O212" s="33"/>
      <c r="P212" s="33">
        <f t="shared" si="139"/>
        <v>0</v>
      </c>
      <c r="Q212" s="43"/>
      <c r="R212" s="69">
        <f t="shared" si="189"/>
        <v>0</v>
      </c>
      <c r="S212" s="27" t="s">
        <v>294</v>
      </c>
      <c r="U212" s="8"/>
    </row>
    <row r="213" spans="1:21" ht="54" x14ac:dyDescent="0.35">
      <c r="A213" s="66" t="s">
        <v>193</v>
      </c>
      <c r="B213" s="67" t="s">
        <v>330</v>
      </c>
      <c r="C213" s="68" t="s">
        <v>32</v>
      </c>
      <c r="D213" s="33"/>
      <c r="E213" s="33"/>
      <c r="F213" s="33"/>
      <c r="G213" s="43">
        <v>2055.8510000000001</v>
      </c>
      <c r="H213" s="69">
        <f t="shared" si="187"/>
        <v>2055.8510000000001</v>
      </c>
      <c r="I213" s="33"/>
      <c r="J213" s="33"/>
      <c r="K213" s="33"/>
      <c r="L213" s="43"/>
      <c r="M213" s="69">
        <f t="shared" si="188"/>
        <v>0</v>
      </c>
      <c r="N213" s="33"/>
      <c r="O213" s="33"/>
      <c r="P213" s="33"/>
      <c r="Q213" s="43"/>
      <c r="R213" s="69">
        <f t="shared" si="189"/>
        <v>0</v>
      </c>
      <c r="S213" s="37" t="s">
        <v>331</v>
      </c>
      <c r="U213" s="8"/>
    </row>
    <row r="214" spans="1:21" x14ac:dyDescent="0.35">
      <c r="A214" s="66"/>
      <c r="B214" s="67" t="s">
        <v>15</v>
      </c>
      <c r="C214" s="86"/>
      <c r="D214" s="35">
        <f>D215+D216+D217+D218+D219+D220+D221+D222+D223+D224+D225</f>
        <v>28465</v>
      </c>
      <c r="E214" s="35">
        <f>E215+E216+E217+E218+E219+E220+E221+E222+E223+E224+E225+E226</f>
        <v>0</v>
      </c>
      <c r="F214" s="35">
        <f t="shared" si="135"/>
        <v>28465</v>
      </c>
      <c r="G214" s="35">
        <f>G215+G216+G217+G218+G219+G220+G221+G222+G223+G224+G225+G226+G227+G228</f>
        <v>430.62</v>
      </c>
      <c r="H214" s="69">
        <f t="shared" si="187"/>
        <v>28895.62</v>
      </c>
      <c r="I214" s="35">
        <f>I215+I216+I217+I218+I219+I220+I221+I222+I223+I224+I225</f>
        <v>109028.69999999998</v>
      </c>
      <c r="J214" s="35">
        <f>J215+J216+J217+J218+J219+J220+J221+J222+J223+J224+J225+J226</f>
        <v>-968.39999999999964</v>
      </c>
      <c r="K214" s="35">
        <f t="shared" si="137"/>
        <v>108060.29999999999</v>
      </c>
      <c r="L214" s="35">
        <f>L215+L216+L217+L218+L219+L220+L221+L222+L223+L224+L225+L226+L227+L228</f>
        <v>0</v>
      </c>
      <c r="M214" s="69">
        <f t="shared" si="188"/>
        <v>108060.29999999999</v>
      </c>
      <c r="N214" s="35">
        <f t="shared" ref="N214" si="190">N215+N216+N217+N218+N219+N220+N221+N222+N223+N224+N225</f>
        <v>182623.4</v>
      </c>
      <c r="O214" s="35">
        <f>O215+O216+O217+O218+O219+O220+O221+O222+O223+O224+O225+O226</f>
        <v>-1866.5</v>
      </c>
      <c r="P214" s="35">
        <f t="shared" si="139"/>
        <v>180756.9</v>
      </c>
      <c r="Q214" s="35">
        <f>Q215+Q216+Q217+Q218+Q219+Q220+Q221+Q222+Q223+Q224+Q225+Q226+Q227+Q228</f>
        <v>0</v>
      </c>
      <c r="R214" s="69">
        <f t="shared" si="189"/>
        <v>180756.9</v>
      </c>
      <c r="S214" s="27"/>
      <c r="U214" s="8"/>
    </row>
    <row r="215" spans="1:21" ht="54" x14ac:dyDescent="0.35">
      <c r="A215" s="66" t="s">
        <v>256</v>
      </c>
      <c r="B215" s="67" t="s">
        <v>132</v>
      </c>
      <c r="C215" s="68" t="s">
        <v>32</v>
      </c>
      <c r="D215" s="33">
        <v>0</v>
      </c>
      <c r="E215" s="33"/>
      <c r="F215" s="33">
        <f t="shared" si="135"/>
        <v>0</v>
      </c>
      <c r="G215" s="43"/>
      <c r="H215" s="69">
        <f t="shared" si="187"/>
        <v>0</v>
      </c>
      <c r="I215" s="33">
        <v>94683.9</v>
      </c>
      <c r="J215" s="33">
        <v>0</v>
      </c>
      <c r="K215" s="33">
        <f t="shared" si="137"/>
        <v>94683.9</v>
      </c>
      <c r="L215" s="43">
        <v>0</v>
      </c>
      <c r="M215" s="69">
        <f t="shared" si="188"/>
        <v>94683.9</v>
      </c>
      <c r="N215" s="33">
        <v>166194.4</v>
      </c>
      <c r="O215" s="33">
        <f>-166194.4+164968.9</f>
        <v>-1225.5</v>
      </c>
      <c r="P215" s="33">
        <f t="shared" si="139"/>
        <v>164968.9</v>
      </c>
      <c r="Q215" s="43"/>
      <c r="R215" s="69">
        <f t="shared" si="189"/>
        <v>164968.9</v>
      </c>
      <c r="S215" s="27" t="s">
        <v>295</v>
      </c>
      <c r="U215" s="8"/>
    </row>
    <row r="216" spans="1:21" s="3" customFormat="1" ht="54" hidden="1" x14ac:dyDescent="0.35">
      <c r="A216" s="1" t="s">
        <v>257</v>
      </c>
      <c r="B216" s="40" t="s">
        <v>246</v>
      </c>
      <c r="C216" s="5" t="s">
        <v>32</v>
      </c>
      <c r="D216" s="33">
        <v>0</v>
      </c>
      <c r="E216" s="33"/>
      <c r="F216" s="33">
        <f t="shared" si="135"/>
        <v>0</v>
      </c>
      <c r="G216" s="43"/>
      <c r="H216" s="33">
        <f t="shared" si="187"/>
        <v>0</v>
      </c>
      <c r="I216" s="33">
        <v>7172.4</v>
      </c>
      <c r="J216" s="33">
        <v>-7172.4</v>
      </c>
      <c r="K216" s="33">
        <f t="shared" si="137"/>
        <v>0</v>
      </c>
      <c r="L216" s="43"/>
      <c r="M216" s="33">
        <f t="shared" si="188"/>
        <v>0</v>
      </c>
      <c r="N216" s="33">
        <v>0</v>
      </c>
      <c r="O216" s="33"/>
      <c r="P216" s="33">
        <f t="shared" si="139"/>
        <v>0</v>
      </c>
      <c r="Q216" s="43"/>
      <c r="R216" s="33">
        <f t="shared" si="189"/>
        <v>0</v>
      </c>
      <c r="S216" s="27" t="s">
        <v>296</v>
      </c>
      <c r="T216" s="21" t="s">
        <v>51</v>
      </c>
      <c r="U216" s="8"/>
    </row>
    <row r="217" spans="1:21" ht="54" x14ac:dyDescent="0.35">
      <c r="A217" s="66" t="s">
        <v>257</v>
      </c>
      <c r="B217" s="67" t="s">
        <v>247</v>
      </c>
      <c r="C217" s="68" t="s">
        <v>32</v>
      </c>
      <c r="D217" s="33">
        <v>0</v>
      </c>
      <c r="E217" s="33"/>
      <c r="F217" s="33">
        <f t="shared" si="135"/>
        <v>0</v>
      </c>
      <c r="G217" s="43"/>
      <c r="H217" s="69">
        <f t="shared" si="187"/>
        <v>0</v>
      </c>
      <c r="I217" s="33">
        <v>7172.4</v>
      </c>
      <c r="J217" s="33">
        <v>-1574.9</v>
      </c>
      <c r="K217" s="33">
        <f t="shared" si="137"/>
        <v>5597.5</v>
      </c>
      <c r="L217" s="43"/>
      <c r="M217" s="69">
        <f t="shared" si="188"/>
        <v>5597.5</v>
      </c>
      <c r="N217" s="33">
        <v>0</v>
      </c>
      <c r="O217" s="33"/>
      <c r="P217" s="33">
        <f t="shared" si="139"/>
        <v>0</v>
      </c>
      <c r="Q217" s="43"/>
      <c r="R217" s="69">
        <f t="shared" si="189"/>
        <v>0</v>
      </c>
      <c r="S217" s="27" t="s">
        <v>297</v>
      </c>
      <c r="U217" s="8"/>
    </row>
    <row r="218" spans="1:21" ht="54" x14ac:dyDescent="0.35">
      <c r="A218" s="66" t="s">
        <v>258</v>
      </c>
      <c r="B218" s="67" t="s">
        <v>248</v>
      </c>
      <c r="C218" s="68" t="s">
        <v>32</v>
      </c>
      <c r="D218" s="33">
        <v>2261.4</v>
      </c>
      <c r="E218" s="33"/>
      <c r="F218" s="33">
        <f t="shared" si="135"/>
        <v>2261.4</v>
      </c>
      <c r="G218" s="43"/>
      <c r="H218" s="69">
        <f t="shared" si="187"/>
        <v>2261.4</v>
      </c>
      <c r="I218" s="33">
        <v>0</v>
      </c>
      <c r="J218" s="33"/>
      <c r="K218" s="33">
        <f t="shared" si="137"/>
        <v>0</v>
      </c>
      <c r="L218" s="43"/>
      <c r="M218" s="69">
        <f t="shared" si="188"/>
        <v>0</v>
      </c>
      <c r="N218" s="33">
        <v>0</v>
      </c>
      <c r="O218" s="33"/>
      <c r="P218" s="33">
        <f t="shared" si="139"/>
        <v>0</v>
      </c>
      <c r="Q218" s="43"/>
      <c r="R218" s="69">
        <f t="shared" si="189"/>
        <v>0</v>
      </c>
      <c r="S218" s="27" t="s">
        <v>298</v>
      </c>
      <c r="U218" s="8"/>
    </row>
    <row r="219" spans="1:21" s="3" customFormat="1" ht="54" hidden="1" x14ac:dyDescent="0.35">
      <c r="A219" s="1" t="s">
        <v>260</v>
      </c>
      <c r="B219" s="40" t="s">
        <v>249</v>
      </c>
      <c r="C219" s="5" t="s">
        <v>32</v>
      </c>
      <c r="D219" s="33">
        <v>574.9</v>
      </c>
      <c r="E219" s="33">
        <v>-574.9</v>
      </c>
      <c r="F219" s="33">
        <f t="shared" si="135"/>
        <v>0</v>
      </c>
      <c r="G219" s="43"/>
      <c r="H219" s="33">
        <f t="shared" si="187"/>
        <v>0</v>
      </c>
      <c r="I219" s="33">
        <v>0</v>
      </c>
      <c r="J219" s="33"/>
      <c r="K219" s="33">
        <f t="shared" si="137"/>
        <v>0</v>
      </c>
      <c r="L219" s="43"/>
      <c r="M219" s="33">
        <f t="shared" si="188"/>
        <v>0</v>
      </c>
      <c r="N219" s="33">
        <v>7574</v>
      </c>
      <c r="O219" s="33">
        <v>-7574</v>
      </c>
      <c r="P219" s="33">
        <f t="shared" si="139"/>
        <v>0</v>
      </c>
      <c r="Q219" s="43"/>
      <c r="R219" s="33">
        <f t="shared" si="189"/>
        <v>0</v>
      </c>
      <c r="S219" s="27" t="s">
        <v>299</v>
      </c>
      <c r="T219" s="21" t="s">
        <v>51</v>
      </c>
      <c r="U219" s="8"/>
    </row>
    <row r="220" spans="1:21" ht="54" x14ac:dyDescent="0.35">
      <c r="A220" s="66" t="s">
        <v>259</v>
      </c>
      <c r="B220" s="67" t="s">
        <v>250</v>
      </c>
      <c r="C220" s="68" t="s">
        <v>32</v>
      </c>
      <c r="D220" s="33">
        <v>0</v>
      </c>
      <c r="E220" s="33"/>
      <c r="F220" s="33">
        <f t="shared" si="135"/>
        <v>0</v>
      </c>
      <c r="G220" s="43"/>
      <c r="H220" s="69">
        <f t="shared" si="187"/>
        <v>0</v>
      </c>
      <c r="I220" s="33">
        <v>0</v>
      </c>
      <c r="J220" s="33"/>
      <c r="K220" s="33">
        <f t="shared" si="137"/>
        <v>0</v>
      </c>
      <c r="L220" s="43"/>
      <c r="M220" s="69">
        <f t="shared" si="188"/>
        <v>0</v>
      </c>
      <c r="N220" s="33">
        <v>640.5</v>
      </c>
      <c r="O220" s="33"/>
      <c r="P220" s="33">
        <f t="shared" si="139"/>
        <v>640.5</v>
      </c>
      <c r="Q220" s="43"/>
      <c r="R220" s="69">
        <f t="shared" si="189"/>
        <v>640.5</v>
      </c>
      <c r="S220" s="27" t="s">
        <v>300</v>
      </c>
      <c r="U220" s="8"/>
    </row>
    <row r="221" spans="1:21" ht="54" x14ac:dyDescent="0.35">
      <c r="A221" s="66" t="s">
        <v>260</v>
      </c>
      <c r="B221" s="67" t="s">
        <v>251</v>
      </c>
      <c r="C221" s="68" t="s">
        <v>32</v>
      </c>
      <c r="D221" s="33">
        <v>0</v>
      </c>
      <c r="E221" s="33"/>
      <c r="F221" s="33">
        <f t="shared" si="135"/>
        <v>0</v>
      </c>
      <c r="G221" s="43"/>
      <c r="H221" s="69">
        <f t="shared" si="187"/>
        <v>0</v>
      </c>
      <c r="I221" s="33">
        <v>0</v>
      </c>
      <c r="J221" s="33">
        <v>606.5</v>
      </c>
      <c r="K221" s="33">
        <f t="shared" si="137"/>
        <v>606.5</v>
      </c>
      <c r="L221" s="43"/>
      <c r="M221" s="69">
        <f t="shared" si="188"/>
        <v>606.5</v>
      </c>
      <c r="N221" s="33">
        <v>640.5</v>
      </c>
      <c r="O221" s="33">
        <v>6933</v>
      </c>
      <c r="P221" s="33">
        <f t="shared" si="139"/>
        <v>7573.5</v>
      </c>
      <c r="Q221" s="43"/>
      <c r="R221" s="69">
        <f t="shared" si="189"/>
        <v>7573.5</v>
      </c>
      <c r="S221" s="27" t="s">
        <v>301</v>
      </c>
      <c r="U221" s="8"/>
    </row>
    <row r="222" spans="1:21" ht="54" x14ac:dyDescent="0.35">
      <c r="A222" s="66" t="s">
        <v>261</v>
      </c>
      <c r="B222" s="67" t="s">
        <v>252</v>
      </c>
      <c r="C222" s="68" t="s">
        <v>32</v>
      </c>
      <c r="D222" s="33">
        <v>574.9</v>
      </c>
      <c r="E222" s="33"/>
      <c r="F222" s="33">
        <f t="shared" si="135"/>
        <v>574.9</v>
      </c>
      <c r="G222" s="43"/>
      <c r="H222" s="69">
        <f t="shared" si="187"/>
        <v>574.9</v>
      </c>
      <c r="I222" s="33">
        <v>0</v>
      </c>
      <c r="J222" s="33">
        <v>7172.4</v>
      </c>
      <c r="K222" s="33">
        <f t="shared" si="137"/>
        <v>7172.4</v>
      </c>
      <c r="L222" s="43"/>
      <c r="M222" s="69">
        <f t="shared" si="188"/>
        <v>7172.4</v>
      </c>
      <c r="N222" s="33">
        <v>7574</v>
      </c>
      <c r="O222" s="33">
        <v>-7574</v>
      </c>
      <c r="P222" s="33">
        <f t="shared" si="139"/>
        <v>0</v>
      </c>
      <c r="Q222" s="43"/>
      <c r="R222" s="69">
        <f t="shared" si="189"/>
        <v>0</v>
      </c>
      <c r="S222" s="27" t="s">
        <v>302</v>
      </c>
      <c r="U222" s="8"/>
    </row>
    <row r="223" spans="1:21" ht="54" x14ac:dyDescent="0.35">
      <c r="A223" s="66" t="s">
        <v>262</v>
      </c>
      <c r="B223" s="67" t="s">
        <v>253</v>
      </c>
      <c r="C223" s="68" t="s">
        <v>32</v>
      </c>
      <c r="D223" s="33">
        <v>7937.8</v>
      </c>
      <c r="E223" s="33"/>
      <c r="F223" s="33">
        <f t="shared" si="135"/>
        <v>7937.8</v>
      </c>
      <c r="G223" s="43"/>
      <c r="H223" s="69">
        <f t="shared" si="187"/>
        <v>7937.8</v>
      </c>
      <c r="I223" s="33">
        <v>0</v>
      </c>
      <c r="J223" s="33"/>
      <c r="K223" s="33">
        <f t="shared" si="137"/>
        <v>0</v>
      </c>
      <c r="L223" s="43"/>
      <c r="M223" s="69">
        <f t="shared" si="188"/>
        <v>0</v>
      </c>
      <c r="N223" s="33">
        <v>0</v>
      </c>
      <c r="O223" s="33"/>
      <c r="P223" s="33">
        <f t="shared" si="139"/>
        <v>0</v>
      </c>
      <c r="Q223" s="43"/>
      <c r="R223" s="69">
        <f t="shared" si="189"/>
        <v>0</v>
      </c>
      <c r="S223" s="27" t="s">
        <v>303</v>
      </c>
      <c r="U223" s="8"/>
    </row>
    <row r="224" spans="1:21" ht="54" x14ac:dyDescent="0.35">
      <c r="A224" s="66" t="s">
        <v>336</v>
      </c>
      <c r="B224" s="67" t="s">
        <v>254</v>
      </c>
      <c r="C224" s="68" t="s">
        <v>32</v>
      </c>
      <c r="D224" s="33">
        <v>8382.9</v>
      </c>
      <c r="E224" s="33"/>
      <c r="F224" s="33">
        <f t="shared" si="135"/>
        <v>8382.9</v>
      </c>
      <c r="G224" s="43"/>
      <c r="H224" s="69">
        <f t="shared" si="187"/>
        <v>8382.9</v>
      </c>
      <c r="I224" s="33">
        <v>0</v>
      </c>
      <c r="J224" s="33"/>
      <c r="K224" s="33">
        <f t="shared" si="137"/>
        <v>0</v>
      </c>
      <c r="L224" s="43"/>
      <c r="M224" s="69">
        <f t="shared" si="188"/>
        <v>0</v>
      </c>
      <c r="N224" s="33">
        <v>0</v>
      </c>
      <c r="O224" s="33"/>
      <c r="P224" s="33">
        <f t="shared" si="139"/>
        <v>0</v>
      </c>
      <c r="Q224" s="43"/>
      <c r="R224" s="69">
        <f t="shared" si="189"/>
        <v>0</v>
      </c>
      <c r="S224" s="27" t="s">
        <v>304</v>
      </c>
      <c r="U224" s="8"/>
    </row>
    <row r="225" spans="1:21" ht="54" x14ac:dyDescent="0.35">
      <c r="A225" s="66" t="s">
        <v>337</v>
      </c>
      <c r="B225" s="67" t="s">
        <v>255</v>
      </c>
      <c r="C225" s="68" t="s">
        <v>32</v>
      </c>
      <c r="D225" s="33">
        <v>8733.1</v>
      </c>
      <c r="E225" s="33"/>
      <c r="F225" s="33">
        <f t="shared" si="135"/>
        <v>8733.1</v>
      </c>
      <c r="G225" s="43"/>
      <c r="H225" s="69">
        <f t="shared" si="187"/>
        <v>8733.1</v>
      </c>
      <c r="I225" s="33">
        <v>0</v>
      </c>
      <c r="J225" s="33"/>
      <c r="K225" s="33">
        <f t="shared" si="137"/>
        <v>0</v>
      </c>
      <c r="L225" s="43"/>
      <c r="M225" s="69">
        <f t="shared" si="188"/>
        <v>0</v>
      </c>
      <c r="N225" s="33">
        <v>0</v>
      </c>
      <c r="O225" s="33"/>
      <c r="P225" s="33">
        <f t="shared" si="139"/>
        <v>0</v>
      </c>
      <c r="Q225" s="43"/>
      <c r="R225" s="69">
        <f t="shared" si="189"/>
        <v>0</v>
      </c>
      <c r="S225" s="27" t="s">
        <v>305</v>
      </c>
      <c r="U225" s="8"/>
    </row>
    <row r="226" spans="1:21" ht="54" x14ac:dyDescent="0.35">
      <c r="A226" s="66" t="s">
        <v>338</v>
      </c>
      <c r="B226" s="67" t="s">
        <v>311</v>
      </c>
      <c r="C226" s="68" t="s">
        <v>32</v>
      </c>
      <c r="D226" s="33"/>
      <c r="E226" s="33">
        <v>574.9</v>
      </c>
      <c r="F226" s="33">
        <f t="shared" si="135"/>
        <v>574.9</v>
      </c>
      <c r="G226" s="43"/>
      <c r="H226" s="69">
        <f t="shared" si="187"/>
        <v>574.9</v>
      </c>
      <c r="I226" s="33"/>
      <c r="J226" s="33"/>
      <c r="K226" s="33">
        <f t="shared" si="137"/>
        <v>0</v>
      </c>
      <c r="L226" s="43"/>
      <c r="M226" s="69">
        <f t="shared" si="188"/>
        <v>0</v>
      </c>
      <c r="N226" s="33"/>
      <c r="O226" s="33">
        <v>7574</v>
      </c>
      <c r="P226" s="33">
        <f t="shared" si="139"/>
        <v>7574</v>
      </c>
      <c r="Q226" s="43"/>
      <c r="R226" s="69">
        <f t="shared" si="189"/>
        <v>7574</v>
      </c>
      <c r="S226" s="37" t="s">
        <v>312</v>
      </c>
      <c r="U226" s="8"/>
    </row>
    <row r="227" spans="1:21" ht="54" x14ac:dyDescent="0.35">
      <c r="A227" s="66" t="s">
        <v>339</v>
      </c>
      <c r="B227" s="67" t="s">
        <v>325</v>
      </c>
      <c r="C227" s="68" t="s">
        <v>32</v>
      </c>
      <c r="D227" s="33"/>
      <c r="E227" s="33"/>
      <c r="F227" s="33"/>
      <c r="G227" s="43">
        <v>397.92099999999999</v>
      </c>
      <c r="H227" s="69">
        <f t="shared" si="187"/>
        <v>397.92099999999999</v>
      </c>
      <c r="I227" s="33"/>
      <c r="J227" s="33"/>
      <c r="K227" s="33"/>
      <c r="L227" s="43"/>
      <c r="M227" s="69">
        <f t="shared" si="188"/>
        <v>0</v>
      </c>
      <c r="N227" s="33"/>
      <c r="O227" s="33"/>
      <c r="P227" s="33"/>
      <c r="Q227" s="43"/>
      <c r="R227" s="69">
        <f t="shared" si="189"/>
        <v>0</v>
      </c>
      <c r="S227" s="37" t="s">
        <v>324</v>
      </c>
      <c r="U227" s="8"/>
    </row>
    <row r="228" spans="1:21" ht="54" x14ac:dyDescent="0.35">
      <c r="A228" s="66" t="s">
        <v>340</v>
      </c>
      <c r="B228" s="67" t="s">
        <v>326</v>
      </c>
      <c r="C228" s="68" t="s">
        <v>32</v>
      </c>
      <c r="D228" s="33"/>
      <c r="E228" s="33"/>
      <c r="F228" s="33"/>
      <c r="G228" s="43">
        <v>32.698999999999998</v>
      </c>
      <c r="H228" s="69">
        <f t="shared" si="187"/>
        <v>32.698999999999998</v>
      </c>
      <c r="I228" s="33"/>
      <c r="J228" s="33"/>
      <c r="K228" s="33"/>
      <c r="L228" s="43"/>
      <c r="M228" s="69">
        <f t="shared" si="188"/>
        <v>0</v>
      </c>
      <c r="N228" s="33"/>
      <c r="O228" s="33"/>
      <c r="P228" s="33"/>
      <c r="Q228" s="43"/>
      <c r="R228" s="69">
        <f t="shared" si="189"/>
        <v>0</v>
      </c>
      <c r="S228" s="37" t="s">
        <v>327</v>
      </c>
      <c r="U228" s="8"/>
    </row>
    <row r="229" spans="1:21" s="16" customFormat="1" hidden="1" x14ac:dyDescent="0.35">
      <c r="A229" s="13"/>
      <c r="B229" s="51" t="s">
        <v>335</v>
      </c>
      <c r="C229" s="20"/>
      <c r="D229" s="35"/>
      <c r="E229" s="35"/>
      <c r="F229" s="35"/>
      <c r="G229" s="35">
        <f>G230</f>
        <v>0</v>
      </c>
      <c r="H229" s="35">
        <f t="shared" ref="H229:J229" si="191">H230</f>
        <v>0</v>
      </c>
      <c r="I229" s="35">
        <f t="shared" si="191"/>
        <v>0</v>
      </c>
      <c r="J229" s="35">
        <f t="shared" si="191"/>
        <v>0</v>
      </c>
      <c r="K229" s="35"/>
      <c r="L229" s="35">
        <f>-L230</f>
        <v>0</v>
      </c>
      <c r="M229" s="35">
        <f>-M230</f>
        <v>0</v>
      </c>
      <c r="N229" s="35"/>
      <c r="O229" s="35"/>
      <c r="P229" s="35"/>
      <c r="Q229" s="35">
        <f>Q230</f>
        <v>0</v>
      </c>
      <c r="R229" s="35">
        <f>R230</f>
        <v>0</v>
      </c>
      <c r="S229" s="53"/>
      <c r="T229" s="22" t="s">
        <v>51</v>
      </c>
      <c r="U229" s="15"/>
    </row>
    <row r="230" spans="1:21" s="3" customFormat="1" ht="54" hidden="1" x14ac:dyDescent="0.35">
      <c r="A230" s="1"/>
      <c r="B230" s="52" t="s">
        <v>332</v>
      </c>
      <c r="C230" s="5" t="s">
        <v>333</v>
      </c>
      <c r="D230" s="33"/>
      <c r="E230" s="33"/>
      <c r="F230" s="33"/>
      <c r="G230" s="33"/>
      <c r="H230" s="33">
        <f t="shared" si="187"/>
        <v>0</v>
      </c>
      <c r="I230" s="33"/>
      <c r="J230" s="33"/>
      <c r="K230" s="33"/>
      <c r="L230" s="33"/>
      <c r="M230" s="33">
        <f t="shared" si="188"/>
        <v>0</v>
      </c>
      <c r="N230" s="33"/>
      <c r="O230" s="33"/>
      <c r="P230" s="33"/>
      <c r="Q230" s="33"/>
      <c r="R230" s="33">
        <f t="shared" ref="R230" si="192">P230+Q230</f>
        <v>0</v>
      </c>
      <c r="S230" s="37" t="s">
        <v>334</v>
      </c>
      <c r="T230" s="21" t="s">
        <v>51</v>
      </c>
      <c r="U230" s="8"/>
    </row>
    <row r="231" spans="1:21" x14ac:dyDescent="0.35">
      <c r="A231" s="91"/>
      <c r="B231" s="67" t="s">
        <v>8</v>
      </c>
      <c r="C231" s="67"/>
      <c r="D231" s="35">
        <f>D18+D83+D124+D147+D195+D198+D214</f>
        <v>5390307.2000000002</v>
      </c>
      <c r="E231" s="35">
        <f>E18+E83+E124+E147+E195+E198+E214</f>
        <v>-8893.5129999999263</v>
      </c>
      <c r="F231" s="35">
        <f t="shared" si="135"/>
        <v>5381413.6869999999</v>
      </c>
      <c r="G231" s="35">
        <f>G18+G83+G124+G147+G195+G198+G214+G229</f>
        <v>343377.679</v>
      </c>
      <c r="H231" s="69">
        <f t="shared" si="187"/>
        <v>5724791.3660000004</v>
      </c>
      <c r="I231" s="35">
        <f>I18+I83+I124+I147+I195+I198+I214</f>
        <v>9388941.6999999993</v>
      </c>
      <c r="J231" s="35">
        <f>J18+J83+J124+J147+J195+J198+J214</f>
        <v>583481.68999999994</v>
      </c>
      <c r="K231" s="35">
        <f t="shared" si="137"/>
        <v>9972423.3899999987</v>
      </c>
      <c r="L231" s="35">
        <f>L18+L83+L124+L147+L195+L198+L214+L229</f>
        <v>106538.943</v>
      </c>
      <c r="M231" s="69">
        <f t="shared" si="188"/>
        <v>10078962.332999999</v>
      </c>
      <c r="N231" s="35">
        <f>N18+N83+N124+N147+N195+N198+N214</f>
        <v>4222513.8000000007</v>
      </c>
      <c r="O231" s="35">
        <f>O18+O83+O124+O147+O195+O198+O214</f>
        <v>50756.650000000023</v>
      </c>
      <c r="P231" s="35">
        <f t="shared" si="139"/>
        <v>4273270.4500000011</v>
      </c>
      <c r="Q231" s="35">
        <f>Q18+Q83+Q124+Q147+Q195+Q198+Q214+Q229</f>
        <v>130724.838</v>
      </c>
      <c r="R231" s="69">
        <f t="shared" si="189"/>
        <v>4403995.2880000016</v>
      </c>
      <c r="S231" s="27"/>
      <c r="U231" s="8"/>
    </row>
    <row r="232" spans="1:21" x14ac:dyDescent="0.35">
      <c r="A232" s="91"/>
      <c r="B232" s="92" t="s">
        <v>9</v>
      </c>
      <c r="C232" s="93"/>
      <c r="D232" s="33"/>
      <c r="E232" s="33"/>
      <c r="F232" s="33"/>
      <c r="G232" s="43"/>
      <c r="H232" s="69"/>
      <c r="I232" s="33"/>
      <c r="J232" s="33"/>
      <c r="K232" s="33"/>
      <c r="L232" s="43"/>
      <c r="M232" s="69"/>
      <c r="N232" s="33"/>
      <c r="O232" s="33"/>
      <c r="P232" s="33"/>
      <c r="Q232" s="43"/>
      <c r="R232" s="69"/>
      <c r="S232" s="27"/>
      <c r="U232" s="8"/>
    </row>
    <row r="233" spans="1:21" x14ac:dyDescent="0.35">
      <c r="A233" s="91"/>
      <c r="B233" s="92" t="s">
        <v>20</v>
      </c>
      <c r="C233" s="94"/>
      <c r="D233" s="33">
        <f>D150</f>
        <v>621346</v>
      </c>
      <c r="E233" s="33">
        <f>E150</f>
        <v>0</v>
      </c>
      <c r="F233" s="33">
        <f t="shared" si="135"/>
        <v>621346</v>
      </c>
      <c r="G233" s="43">
        <f>G150</f>
        <v>0</v>
      </c>
      <c r="H233" s="69">
        <f t="shared" ref="H233:H236" si="193">F233+G233</f>
        <v>621346</v>
      </c>
      <c r="I233" s="33">
        <f>I150</f>
        <v>525000</v>
      </c>
      <c r="J233" s="33">
        <f>J150</f>
        <v>0</v>
      </c>
      <c r="K233" s="33">
        <f t="shared" si="137"/>
        <v>525000</v>
      </c>
      <c r="L233" s="43">
        <f>L150</f>
        <v>0</v>
      </c>
      <c r="M233" s="69">
        <f t="shared" ref="M233:M236" si="194">K233+L233</f>
        <v>525000</v>
      </c>
      <c r="N233" s="33">
        <f>N150</f>
        <v>1125000</v>
      </c>
      <c r="O233" s="33">
        <f>O150</f>
        <v>0</v>
      </c>
      <c r="P233" s="33">
        <f t="shared" si="139"/>
        <v>1125000</v>
      </c>
      <c r="Q233" s="43">
        <f>Q150</f>
        <v>0</v>
      </c>
      <c r="R233" s="69">
        <f t="shared" ref="R233:R236" si="195">P233+Q233</f>
        <v>1125000</v>
      </c>
      <c r="S233" s="27"/>
      <c r="U233" s="8"/>
    </row>
    <row r="234" spans="1:21" x14ac:dyDescent="0.35">
      <c r="A234" s="91"/>
      <c r="B234" s="92" t="s">
        <v>12</v>
      </c>
      <c r="C234" s="94"/>
      <c r="D234" s="33">
        <f>D21+D86+D127+D201</f>
        <v>449555.10000000003</v>
      </c>
      <c r="E234" s="33">
        <f>E21+E86+E127+E201</f>
        <v>-66895.599999999991</v>
      </c>
      <c r="F234" s="33">
        <f t="shared" si="135"/>
        <v>382659.50000000006</v>
      </c>
      <c r="G234" s="43">
        <f>G21+G86+G127+G201</f>
        <v>0</v>
      </c>
      <c r="H234" s="69">
        <f t="shared" si="193"/>
        <v>382659.50000000006</v>
      </c>
      <c r="I234" s="33">
        <f>I21+I86+I127+I201</f>
        <v>283053.8</v>
      </c>
      <c r="J234" s="33">
        <f>J21+J86+J127+J201</f>
        <v>50521.599999999999</v>
      </c>
      <c r="K234" s="33">
        <f t="shared" si="137"/>
        <v>333575.39999999997</v>
      </c>
      <c r="L234" s="43">
        <f>L21+L86+L127+L201</f>
        <v>0</v>
      </c>
      <c r="M234" s="69">
        <f t="shared" si="194"/>
        <v>333575.39999999997</v>
      </c>
      <c r="N234" s="33">
        <f>N21+N86+N127+N201</f>
        <v>368128.70000000007</v>
      </c>
      <c r="O234" s="33">
        <f>O21+O86+O127+O201</f>
        <v>0</v>
      </c>
      <c r="P234" s="33">
        <f t="shared" si="139"/>
        <v>368128.70000000007</v>
      </c>
      <c r="Q234" s="43">
        <f>Q21+Q86+Q127+Q201</f>
        <v>0</v>
      </c>
      <c r="R234" s="69">
        <f t="shared" si="195"/>
        <v>368128.70000000007</v>
      </c>
      <c r="S234" s="27"/>
      <c r="U234" s="8"/>
    </row>
    <row r="235" spans="1:21" x14ac:dyDescent="0.35">
      <c r="A235" s="91"/>
      <c r="B235" s="92" t="s">
        <v>19</v>
      </c>
      <c r="C235" s="94"/>
      <c r="D235" s="33">
        <f>D22+D87</f>
        <v>562558.19999999995</v>
      </c>
      <c r="E235" s="33">
        <f>E22+E87</f>
        <v>129888.70000000001</v>
      </c>
      <c r="F235" s="33">
        <f t="shared" si="135"/>
        <v>692446.89999999991</v>
      </c>
      <c r="G235" s="43">
        <f>G22+G87</f>
        <v>0</v>
      </c>
      <c r="H235" s="69">
        <f t="shared" si="193"/>
        <v>692446.89999999991</v>
      </c>
      <c r="I235" s="33">
        <f>I22+I87</f>
        <v>103845.8</v>
      </c>
      <c r="J235" s="33">
        <f>J22+J87</f>
        <v>959911</v>
      </c>
      <c r="K235" s="33">
        <f t="shared" si="137"/>
        <v>1063756.8</v>
      </c>
      <c r="L235" s="43">
        <f>L22+L87</f>
        <v>0</v>
      </c>
      <c r="M235" s="69">
        <f t="shared" si="194"/>
        <v>1063756.8</v>
      </c>
      <c r="N235" s="33">
        <f>N22+N87</f>
        <v>99252.7</v>
      </c>
      <c r="O235" s="33">
        <f>O22+O87</f>
        <v>0</v>
      </c>
      <c r="P235" s="33">
        <f t="shared" si="139"/>
        <v>99252.7</v>
      </c>
      <c r="Q235" s="43">
        <f>Q22+Q87</f>
        <v>0</v>
      </c>
      <c r="R235" s="69">
        <f t="shared" si="195"/>
        <v>99252.7</v>
      </c>
      <c r="S235" s="27"/>
      <c r="U235" s="8"/>
    </row>
    <row r="236" spans="1:21" x14ac:dyDescent="0.35">
      <c r="A236" s="91"/>
      <c r="B236" s="111" t="s">
        <v>26</v>
      </c>
      <c r="C236" s="112"/>
      <c r="D236" s="33">
        <f>D88</f>
        <v>1138038.3</v>
      </c>
      <c r="E236" s="33">
        <f>E88</f>
        <v>-344676.79999999993</v>
      </c>
      <c r="F236" s="33">
        <f t="shared" si="135"/>
        <v>793361.50000000012</v>
      </c>
      <c r="G236" s="43">
        <f>G88</f>
        <v>0</v>
      </c>
      <c r="H236" s="69">
        <f t="shared" si="193"/>
        <v>793361.50000000012</v>
      </c>
      <c r="I236" s="33">
        <f>I88</f>
        <v>4740174.3999999994</v>
      </c>
      <c r="J236" s="33">
        <f>J88</f>
        <v>-250718.5</v>
      </c>
      <c r="K236" s="33">
        <f t="shared" si="137"/>
        <v>4489455.8999999994</v>
      </c>
      <c r="L236" s="43">
        <f>L88</f>
        <v>0</v>
      </c>
      <c r="M236" s="69">
        <f t="shared" si="194"/>
        <v>4489455.8999999994</v>
      </c>
      <c r="N236" s="33">
        <f>N88</f>
        <v>0</v>
      </c>
      <c r="O236" s="33">
        <f>O88</f>
        <v>0</v>
      </c>
      <c r="P236" s="33">
        <f t="shared" si="139"/>
        <v>0</v>
      </c>
      <c r="Q236" s="43">
        <f>Q88</f>
        <v>0</v>
      </c>
      <c r="R236" s="69">
        <f t="shared" si="195"/>
        <v>0</v>
      </c>
      <c r="S236" s="27"/>
      <c r="U236" s="8"/>
    </row>
    <row r="237" spans="1:21" x14ac:dyDescent="0.35">
      <c r="A237" s="91"/>
      <c r="B237" s="111" t="s">
        <v>10</v>
      </c>
      <c r="C237" s="112"/>
      <c r="D237" s="33"/>
      <c r="E237" s="33"/>
      <c r="F237" s="33"/>
      <c r="G237" s="43"/>
      <c r="H237" s="69"/>
      <c r="I237" s="43">
        <f t="shared" ref="I237:O237" si="196">I231-I233-I234-I235-I236</f>
        <v>3736867.6999999983</v>
      </c>
      <c r="J237" s="33">
        <f t="shared" si="196"/>
        <v>-176232.41000000003</v>
      </c>
      <c r="K237" s="33"/>
      <c r="L237" s="43"/>
      <c r="M237" s="69"/>
      <c r="N237" s="43">
        <f t="shared" si="196"/>
        <v>2630132.4000000004</v>
      </c>
      <c r="O237" s="33">
        <f t="shared" si="196"/>
        <v>50756.650000000023</v>
      </c>
      <c r="P237" s="33"/>
      <c r="Q237" s="43"/>
      <c r="R237" s="69"/>
      <c r="S237" s="27"/>
      <c r="U237" s="8"/>
    </row>
    <row r="238" spans="1:21" x14ac:dyDescent="0.35">
      <c r="A238" s="91"/>
      <c r="B238" s="111" t="s">
        <v>14</v>
      </c>
      <c r="C238" s="112"/>
      <c r="D238" s="33">
        <f>D89+D90+D91+D92+D94+D95+D96+D97+D98+D99+D100+D23+D24+D25+D26+D30+D39+D45+D50+D51+D52+D53+D54+D58+D63+D75+D77+D79+D81+D102+D140+D196+D202+D209+D210+D211+D212+D215+D108+D142+D216+D217+D218+D219+D220+D221+D222+D223+D224+D225+D205</f>
        <v>2342969.5999999996</v>
      </c>
      <c r="E238" s="33">
        <f>E89+E90+E91+E92+E94+E95+E96+E97+E98+E99+E100+E23+E24+E25+E26+E30+E39+E45+E50+E51+E52+E53+E54+E58+E63+E75+E77+E79+E81+E102+E140+E196+E202+E209+E210+E211+E212+E215+E108+E142+E216+E217+E218+E219+E220+E221+E222+E223+E224+E225+E205+E226+E121+E118</f>
        <v>56204.829000000012</v>
      </c>
      <c r="F238" s="33">
        <f t="shared" si="135"/>
        <v>2399174.4289999995</v>
      </c>
      <c r="G238" s="43">
        <f>G89+G90+G91+G92+G94+G95+G96+G97+G98+G99+G100+G23+G24+G25+G26+G30+G39+G45+G50+G51+G52+G53+G54+G58+G63+G75+G77+G79+G81+G102+G140+G196+G202+G209+G210+G211+G212+G215+G108+G142+G216+G217+G218+G219+G220+G221+G222+G223+G224+G225+G205+G226+G121+G118+G227+G228+G82+G213</f>
        <v>87038.617999999973</v>
      </c>
      <c r="H238" s="69">
        <f t="shared" ref="H238:H245" si="197">F238+G238</f>
        <v>2486213.0469999993</v>
      </c>
      <c r="I238" s="33">
        <f>I89+I90+I91+I92+I94+I95+I96+I97+I98+I99+I100+I23+I24+I25+I26+I30+I39+I45+I50+I51+I52+I53+I54+I58+I63+I75+I77+I79+I81+I102+I140+I196+I202+I209+I210+I211+I212+I215+I108+I142+I216+I217+I218+I219+I220+I221+I222+I223+I224+I225+I205+I226+I121+I118</f>
        <v>3170945.1999999993</v>
      </c>
      <c r="J238" s="33">
        <f>J89+J90+J91+J92+J94+J95+J96+J97+J98+J99+J100+J23+J24+J25+J26+J30+J39+J45+J50+J51+J52+J53+J54+J58+J63+J75+J77+J79+J81+J102+J140+J196+J202+J209+J210+J211+J212+J215+J108+J142+J216+J217+J218+J219+J220+J221+J222+J223+J224+J225+J205+J226+J121+J118</f>
        <v>1950964.39</v>
      </c>
      <c r="K238" s="33">
        <f t="shared" si="137"/>
        <v>5121909.5899999989</v>
      </c>
      <c r="L238" s="43">
        <f>L89+L90+L91+L92+L94+L95+L96+L97+L98+L99+L100+L23+L24+L25+L26+L30+L39+L45+L50+L51+L52+L53+L54+L58+L63+L75+L77+L79+L81+L102+L140+L196+L202+L209+L210+L211+L212+L215+L108+L142+L216+L217+L218+L219+L220+L221+L222+L223+L224+L225+L205+L226+L121+L118+L227+L228+L82+L213</f>
        <v>106538.943</v>
      </c>
      <c r="M238" s="69">
        <f t="shared" ref="M238:M245" si="198">K238+L238</f>
        <v>5228448.5329999989</v>
      </c>
      <c r="N238" s="33">
        <f>N89+N90+N91+N92+N94+N95+N96+N97+N98+N99+N100+N23+N24+N25+N26+N30+N39+N45+N50+N51+N52+N53+N54+N58+N63+N75+N77+N79+N81+N102+N140+N196+N202+N209+N210+N211+N212+N215+N108+N142+N216+N217+N218+N219+N220+N221+N222+N223+N224+N225+N205+N226+N121+N118</f>
        <v>1459698.1</v>
      </c>
      <c r="O238" s="33">
        <f>O89+O90+O91+O92+O94+O95+O96+O97+O98+O99+O100+O23+O24+O25+O26+O30+O39+O45+O50+O51+O52+O53+O54+O58+O63+O75+O77+O79+O81+O102+O140+O196+O202+O209+O210+O211+O212+O215+O108+O142+O216+O217+O218+O219+O220+O221+O222+O223+O224+O225+O205+O226+O121+O118</f>
        <v>50756.650000000023</v>
      </c>
      <c r="P238" s="33">
        <f t="shared" si="139"/>
        <v>1510454.75</v>
      </c>
      <c r="Q238" s="43">
        <f>Q89+Q90+Q91+Q92+Q94+Q95+Q96+Q97+Q98+Q99+Q100+Q23+Q24+Q25+Q26+Q30+Q39+Q45+Q50+Q51+Q52+Q53+Q54+Q58+Q63+Q75+Q77+Q79+Q81+Q102+Q140+Q196+Q202+Q209+Q210+Q211+Q212+Q215+Q108+Q142+Q216+Q217+Q218+Q219+Q220+Q221+Q222+Q223+Q224+Q225+Q205+Q226+Q121+Q118+Q227+Q228+Q82+Q213</f>
        <v>130724.838</v>
      </c>
      <c r="R238" s="69">
        <f t="shared" ref="R238:R245" si="199">P238+Q238</f>
        <v>1641179.588</v>
      </c>
      <c r="S238" s="27"/>
      <c r="U238" s="8"/>
    </row>
    <row r="239" spans="1:21" x14ac:dyDescent="0.35">
      <c r="A239" s="91"/>
      <c r="B239" s="111" t="s">
        <v>3</v>
      </c>
      <c r="C239" s="112"/>
      <c r="D239" s="33">
        <f>D103+D111+D114</f>
        <v>1339312.3999999999</v>
      </c>
      <c r="E239" s="33">
        <f>E103+E111+E114</f>
        <v>-367677.39999999997</v>
      </c>
      <c r="F239" s="33">
        <f t="shared" si="135"/>
        <v>971635</v>
      </c>
      <c r="G239" s="43">
        <f>G103+G111+G114</f>
        <v>221518.28200000001</v>
      </c>
      <c r="H239" s="69">
        <f t="shared" si="197"/>
        <v>1193153.2820000001</v>
      </c>
      <c r="I239" s="33">
        <f>I103+I111+I114</f>
        <v>4798565.1999999993</v>
      </c>
      <c r="J239" s="33">
        <f>J103+J111+J114</f>
        <v>-1417383.4</v>
      </c>
      <c r="K239" s="33">
        <f t="shared" si="137"/>
        <v>3381181.7999999993</v>
      </c>
      <c r="L239" s="43">
        <f>L103+L111+L114</f>
        <v>0</v>
      </c>
      <c r="M239" s="69">
        <f t="shared" si="198"/>
        <v>3381181.7999999993</v>
      </c>
      <c r="N239" s="33">
        <f>N103+N111+N114</f>
        <v>860608.79999999993</v>
      </c>
      <c r="O239" s="33">
        <f>O103+O111+O114</f>
        <v>0</v>
      </c>
      <c r="P239" s="33">
        <f t="shared" si="139"/>
        <v>860608.79999999993</v>
      </c>
      <c r="Q239" s="43">
        <f>Q103+Q111+Q114</f>
        <v>0</v>
      </c>
      <c r="R239" s="69">
        <f t="shared" si="199"/>
        <v>860608.79999999993</v>
      </c>
      <c r="S239" s="27"/>
      <c r="U239" s="8"/>
    </row>
    <row r="240" spans="1:21" x14ac:dyDescent="0.35">
      <c r="A240" s="91"/>
      <c r="B240" s="111" t="s">
        <v>28</v>
      </c>
      <c r="C240" s="112"/>
      <c r="D240" s="33">
        <f>D128+D132+D133+D134+D135+D136+D137+D138+D139+D151+D152+D153+D154+D155+D156+D157+D158+D162+D166+D170+D171+D175+D179+D183+D187+D191+D141</f>
        <v>1569795.6000000003</v>
      </c>
      <c r="E240" s="33">
        <f>E128+E132+E133+E134+E135+E136+E137+E138+E139+E151+E152+E153+E154+E155+E156+E157+E158+E162+E166+E170+E171+E175+E179+E183+E187+E191+E141+E143</f>
        <v>-1474.1000000000004</v>
      </c>
      <c r="F240" s="33">
        <f t="shared" si="135"/>
        <v>1568321.5000000002</v>
      </c>
      <c r="G240" s="43">
        <f>G128+G132+G133+G134+G135+G136+G137+G138+G139+G151+G152+G153+G154+G155+G156+G157+G158+G162+G166+G170+G171+G175+G179+G183+G187+G191+G141+G143+G194</f>
        <v>34709.4</v>
      </c>
      <c r="H240" s="69">
        <f t="shared" si="197"/>
        <v>1603030.9000000001</v>
      </c>
      <c r="I240" s="33">
        <f>I128+I132+I133+I134+I135+I136+I137+I138+I139+I151+I152+I153+I154+I155+I156+I157+I158+I162+I166+I170+I171+I175+I179+I183+I187+I191+I141</f>
        <v>1313990.7</v>
      </c>
      <c r="J240" s="33">
        <f>J128+J132+J133+J134+J135+J136+J137+J138+J139+J151+J152+J153+J154+J155+J156+J157+J158+J162+J166+J170+J171+J175+J179+J183+J187+J191+J141+J143</f>
        <v>-1768.8999999999996</v>
      </c>
      <c r="K240" s="33">
        <f t="shared" si="137"/>
        <v>1312221.8</v>
      </c>
      <c r="L240" s="43">
        <f>L128+L132+L133+L134+L135+L136+L137+L138+L139+L151+L152+L153+L154+L155+L156+L157+L158+L162+L166+L170+L171+L175+L179+L183+L187+L191+L141+L143+L194</f>
        <v>0</v>
      </c>
      <c r="M240" s="69">
        <f t="shared" si="198"/>
        <v>1312221.8</v>
      </c>
      <c r="N240" s="33">
        <f>N128+N132+N133+N134+N135+N136+N137+N138+N139+N151+N152+N153+N154+N155+N156+N157+N158+N162+N166+N170+N171+N175+N179+N183+N187+N191+N141</f>
        <v>1900986.6</v>
      </c>
      <c r="O240" s="33">
        <f>O128+O132+O133+O134+O135+O136+O137+O138+O139+O151+O152+O153+O154+O155+O156+O157+O158+O162+O166+O170+O171+O175+O179+O183+O187+O191+O141+O143</f>
        <v>0</v>
      </c>
      <c r="P240" s="33">
        <f t="shared" si="139"/>
        <v>1900986.6</v>
      </c>
      <c r="Q240" s="43">
        <f>Q128+Q132+Q133+Q134+Q135+Q136+Q137+Q138+Q139+Q151+Q152+Q153+Q154+Q155+Q156+Q157+Q158+Q162+Q166+Q170+Q171+Q175+Q179+Q183+Q187+Q191+Q141+Q143+Q194</f>
        <v>0</v>
      </c>
      <c r="R240" s="69">
        <f t="shared" si="199"/>
        <v>1900986.6</v>
      </c>
      <c r="S240" s="27"/>
      <c r="U240" s="8"/>
    </row>
    <row r="241" spans="1:20" x14ac:dyDescent="0.35">
      <c r="A241" s="95"/>
      <c r="B241" s="111" t="s">
        <v>11</v>
      </c>
      <c r="C241" s="112"/>
      <c r="D241" s="33">
        <f>D35+D68+D69+D70+D71+D72+D73+D74+D76+D78+D80</f>
        <v>113474.1</v>
      </c>
      <c r="E241" s="33">
        <f>E35+E68+E69+E70+E71+E72+E73+E74+E76+E78+E80+E40</f>
        <v>256356.158</v>
      </c>
      <c r="F241" s="33">
        <f t="shared" si="135"/>
        <v>369830.25800000003</v>
      </c>
      <c r="G241" s="43">
        <f>G35+G68+G69+G70+G71+G72+G73+G74+G76+G78+G80+G40</f>
        <v>111.379</v>
      </c>
      <c r="H241" s="69">
        <f t="shared" si="197"/>
        <v>369941.63700000005</v>
      </c>
      <c r="I241" s="33">
        <f>I35+I68+I69+I70+I71+I72+I73+I74+I76+I78+I80</f>
        <v>50227.299999999996</v>
      </c>
      <c r="J241" s="33">
        <f>J35+J68+J69+J70+J71+J72+J73+J74+J76+J78+J80+J40</f>
        <v>0</v>
      </c>
      <c r="K241" s="33">
        <f t="shared" si="137"/>
        <v>50227.299999999996</v>
      </c>
      <c r="L241" s="43">
        <f>L35+L68+L69+L70+L71+L72+L73+L74+L76+L78+L80+L40</f>
        <v>0</v>
      </c>
      <c r="M241" s="69">
        <f t="shared" si="198"/>
        <v>50227.299999999996</v>
      </c>
      <c r="N241" s="33">
        <f>N35+N68+N69+N70+N71+N72+N73+N74+N76+N78+N80</f>
        <v>1220.3</v>
      </c>
      <c r="O241" s="33">
        <f>O35+O68+O69+O70+O71+O72+O73+O74+O76+O78+O80+O40</f>
        <v>0</v>
      </c>
      <c r="P241" s="33">
        <f t="shared" si="139"/>
        <v>1220.3</v>
      </c>
      <c r="Q241" s="43">
        <f>Q35+Q68+Q69+Q70+Q71+Q72+Q73+Q74+Q76+Q78+Q80+Q40</f>
        <v>0</v>
      </c>
      <c r="R241" s="69">
        <f t="shared" si="199"/>
        <v>1220.3</v>
      </c>
      <c r="S241" s="27"/>
    </row>
    <row r="242" spans="1:20" x14ac:dyDescent="0.35">
      <c r="A242" s="95"/>
      <c r="B242" s="96" t="s">
        <v>33</v>
      </c>
      <c r="C242" s="97"/>
      <c r="D242" s="33">
        <f>D197</f>
        <v>13981.8</v>
      </c>
      <c r="E242" s="33">
        <f>E197</f>
        <v>0</v>
      </c>
      <c r="F242" s="33">
        <f t="shared" si="135"/>
        <v>13981.8</v>
      </c>
      <c r="G242" s="43">
        <f>G197</f>
        <v>0</v>
      </c>
      <c r="H242" s="69">
        <f t="shared" si="197"/>
        <v>13981.8</v>
      </c>
      <c r="I242" s="33">
        <f>I197</f>
        <v>0</v>
      </c>
      <c r="J242" s="33">
        <f>J197</f>
        <v>0</v>
      </c>
      <c r="K242" s="33">
        <f t="shared" si="137"/>
        <v>0</v>
      </c>
      <c r="L242" s="43">
        <f>L197</f>
        <v>0</v>
      </c>
      <c r="M242" s="69">
        <f t="shared" si="198"/>
        <v>0</v>
      </c>
      <c r="N242" s="33">
        <f>N197</f>
        <v>0</v>
      </c>
      <c r="O242" s="33">
        <f>O197</f>
        <v>0</v>
      </c>
      <c r="P242" s="33">
        <f t="shared" si="139"/>
        <v>0</v>
      </c>
      <c r="Q242" s="43">
        <f>Q197</f>
        <v>0</v>
      </c>
      <c r="R242" s="69">
        <f t="shared" si="199"/>
        <v>0</v>
      </c>
      <c r="S242" s="27"/>
    </row>
    <row r="243" spans="1:20" x14ac:dyDescent="0.35">
      <c r="A243" s="95"/>
      <c r="B243" s="96" t="s">
        <v>34</v>
      </c>
      <c r="C243" s="97"/>
      <c r="D243" s="33">
        <f>D203+D204</f>
        <v>4480.7</v>
      </c>
      <c r="E243" s="33">
        <f>E203+E204</f>
        <v>0</v>
      </c>
      <c r="F243" s="33">
        <f t="shared" si="135"/>
        <v>4480.7</v>
      </c>
      <c r="G243" s="43">
        <f>G203+G204</f>
        <v>0</v>
      </c>
      <c r="H243" s="69">
        <f t="shared" si="197"/>
        <v>4480.7</v>
      </c>
      <c r="I243" s="33">
        <f t="shared" ref="I243:N243" si="200">I203+I204</f>
        <v>55213.3</v>
      </c>
      <c r="J243" s="33">
        <f t="shared" si="200"/>
        <v>0</v>
      </c>
      <c r="K243" s="33">
        <f t="shared" si="137"/>
        <v>55213.3</v>
      </c>
      <c r="L243" s="43">
        <f t="shared" ref="L243" si="201">L203+L204</f>
        <v>0</v>
      </c>
      <c r="M243" s="69">
        <f t="shared" si="198"/>
        <v>55213.3</v>
      </c>
      <c r="N243" s="33">
        <f t="shared" si="200"/>
        <v>0</v>
      </c>
      <c r="O243" s="33">
        <f>O203+O204</f>
        <v>0</v>
      </c>
      <c r="P243" s="33">
        <f t="shared" si="139"/>
        <v>0</v>
      </c>
      <c r="Q243" s="43">
        <f>Q203+Q204</f>
        <v>0</v>
      </c>
      <c r="R243" s="69">
        <f t="shared" si="199"/>
        <v>0</v>
      </c>
      <c r="S243" s="27"/>
    </row>
    <row r="244" spans="1:20" x14ac:dyDescent="0.35">
      <c r="A244" s="95"/>
      <c r="B244" s="96" t="s">
        <v>39</v>
      </c>
      <c r="C244" s="97"/>
      <c r="D244" s="33">
        <f>D93</f>
        <v>6293</v>
      </c>
      <c r="E244" s="33">
        <f>E93+E101</f>
        <v>47697</v>
      </c>
      <c r="F244" s="33">
        <f t="shared" ref="F244" si="202">D244+E244</f>
        <v>53990</v>
      </c>
      <c r="G244" s="43">
        <f>G93+G101</f>
        <v>0</v>
      </c>
      <c r="H244" s="69">
        <f t="shared" si="197"/>
        <v>53990</v>
      </c>
      <c r="I244" s="33">
        <f>I93</f>
        <v>0</v>
      </c>
      <c r="J244" s="33">
        <f>J93+J101</f>
        <v>51669.599999999999</v>
      </c>
      <c r="K244" s="33">
        <f t="shared" ref="K244" si="203">I244+J244</f>
        <v>51669.599999999999</v>
      </c>
      <c r="L244" s="43">
        <f>L93+L101</f>
        <v>0</v>
      </c>
      <c r="M244" s="69">
        <f t="shared" si="198"/>
        <v>51669.599999999999</v>
      </c>
      <c r="N244" s="33">
        <f>N93</f>
        <v>0</v>
      </c>
      <c r="O244" s="33">
        <f>O93+O101</f>
        <v>0</v>
      </c>
      <c r="P244" s="33">
        <f t="shared" ref="P244" si="204">N244+O244</f>
        <v>0</v>
      </c>
      <c r="Q244" s="43">
        <f>Q93+Q101</f>
        <v>0</v>
      </c>
      <c r="R244" s="69">
        <f t="shared" si="199"/>
        <v>0</v>
      </c>
      <c r="S244" s="27"/>
    </row>
    <row r="245" spans="1:20" s="3" customFormat="1" hidden="1" x14ac:dyDescent="0.35">
      <c r="A245" s="9"/>
      <c r="B245" s="101" t="s">
        <v>333</v>
      </c>
      <c r="C245" s="102"/>
      <c r="D245" s="33"/>
      <c r="E245" s="33"/>
      <c r="F245" s="33"/>
      <c r="G245" s="43">
        <f>G230</f>
        <v>0</v>
      </c>
      <c r="H245" s="33">
        <f t="shared" si="197"/>
        <v>0</v>
      </c>
      <c r="I245" s="33"/>
      <c r="J245" s="33"/>
      <c r="K245" s="33"/>
      <c r="L245" s="43">
        <f>L230</f>
        <v>0</v>
      </c>
      <c r="M245" s="33">
        <f t="shared" si="198"/>
        <v>0</v>
      </c>
      <c r="N245" s="33"/>
      <c r="O245" s="33"/>
      <c r="P245" s="33"/>
      <c r="Q245" s="43">
        <f>Q230</f>
        <v>0</v>
      </c>
      <c r="R245" s="33">
        <f t="shared" si="199"/>
        <v>0</v>
      </c>
      <c r="S245" s="27"/>
      <c r="T245" s="21" t="s">
        <v>51</v>
      </c>
    </row>
    <row r="246" spans="1:20" x14ac:dyDescent="0.35">
      <c r="D246" s="12"/>
      <c r="E246" s="12">
        <f>E231-E238-E239-E240-E241-E242-E243-E244</f>
        <v>0</v>
      </c>
      <c r="F246" s="12"/>
      <c r="G246" s="44">
        <f>G231-G238-G239-G240-G241-G242-G243-G244-G245</f>
        <v>3.7189806789683644E-11</v>
      </c>
      <c r="H246" s="98"/>
      <c r="I246" s="44">
        <f t="shared" ref="I246:Q246" si="205">I231-I238-I239-I240-I241-I242-I243-I244-I245</f>
        <v>7.9307937994599342E-10</v>
      </c>
      <c r="J246" s="44">
        <f t="shared" si="205"/>
        <v>-4.3655745685100555E-11</v>
      </c>
      <c r="K246" s="44">
        <f t="shared" si="205"/>
        <v>4.2928149923682213E-10</v>
      </c>
      <c r="L246" s="44">
        <f t="shared" si="205"/>
        <v>0</v>
      </c>
      <c r="M246" s="98"/>
      <c r="N246" s="44">
        <f t="shared" si="205"/>
        <v>7.4510353442747146E-10</v>
      </c>
      <c r="O246" s="44">
        <f t="shared" si="205"/>
        <v>0</v>
      </c>
      <c r="P246" s="44">
        <f t="shared" si="205"/>
        <v>1.2107648217352107E-9</v>
      </c>
      <c r="Q246" s="44">
        <f t="shared" si="205"/>
        <v>0</v>
      </c>
      <c r="R246" s="98"/>
      <c r="S246" s="31"/>
    </row>
    <row r="247" spans="1:20" x14ac:dyDescent="0.35">
      <c r="D247" s="12"/>
      <c r="E247" s="12"/>
      <c r="F247" s="12"/>
      <c r="G247" s="44"/>
      <c r="H247" s="98"/>
      <c r="I247" s="12"/>
      <c r="J247" s="12"/>
      <c r="K247" s="12"/>
      <c r="L247" s="44"/>
      <c r="M247" s="98"/>
      <c r="N247" s="12"/>
      <c r="O247" s="12"/>
      <c r="P247" s="12"/>
      <c r="Q247" s="44"/>
      <c r="R247" s="98"/>
      <c r="S247" s="31"/>
    </row>
    <row r="248" spans="1:20" x14ac:dyDescent="0.35">
      <c r="D248" s="12"/>
      <c r="E248" s="12"/>
      <c r="F248" s="12"/>
      <c r="G248" s="44"/>
      <c r="H248" s="98"/>
      <c r="I248" s="12"/>
      <c r="J248" s="12"/>
      <c r="K248" s="12"/>
      <c r="L248" s="44"/>
      <c r="M248" s="98"/>
      <c r="N248" s="12"/>
      <c r="O248" s="12"/>
      <c r="P248" s="12"/>
      <c r="Q248" s="44"/>
      <c r="R248" s="98"/>
      <c r="S248" s="31"/>
    </row>
    <row r="249" spans="1:20" x14ac:dyDescent="0.35">
      <c r="D249" s="12"/>
      <c r="E249" s="12"/>
      <c r="F249" s="12"/>
      <c r="G249" s="44"/>
      <c r="H249" s="98"/>
      <c r="I249" s="12"/>
      <c r="J249" s="12"/>
      <c r="K249" s="12"/>
      <c r="L249" s="44"/>
      <c r="M249" s="98"/>
      <c r="N249" s="12"/>
      <c r="O249" s="12"/>
      <c r="P249" s="12"/>
      <c r="Q249" s="44"/>
      <c r="R249" s="98"/>
      <c r="S249" s="31"/>
    </row>
  </sheetData>
  <autoFilter ref="A17:U246">
    <filterColumn colId="19">
      <filters blank="1"/>
    </filterColumn>
  </autoFilter>
  <mergeCells count="41">
    <mergeCell ref="A204:A205"/>
    <mergeCell ref="B204:B205"/>
    <mergeCell ref="B236:C236"/>
    <mergeCell ref="B237:C237"/>
    <mergeCell ref="B238:C238"/>
    <mergeCell ref="A79:A80"/>
    <mergeCell ref="B79:B80"/>
    <mergeCell ref="A196:A197"/>
    <mergeCell ref="B196:B197"/>
    <mergeCell ref="A202:A203"/>
    <mergeCell ref="B202:B203"/>
    <mergeCell ref="A75:A76"/>
    <mergeCell ref="B75:B76"/>
    <mergeCell ref="A77:A78"/>
    <mergeCell ref="B77:B78"/>
    <mergeCell ref="A40:A45"/>
    <mergeCell ref="A11:R11"/>
    <mergeCell ref="Q16:Q17"/>
    <mergeCell ref="A12:R13"/>
    <mergeCell ref="A16:A17"/>
    <mergeCell ref="B16:B17"/>
    <mergeCell ref="C16:C17"/>
    <mergeCell ref="H16:H17"/>
    <mergeCell ref="M16:M17"/>
    <mergeCell ref="R16:R17"/>
    <mergeCell ref="M4:R4"/>
    <mergeCell ref="B245:C245"/>
    <mergeCell ref="P16:P17"/>
    <mergeCell ref="E16:E17"/>
    <mergeCell ref="F16:F17"/>
    <mergeCell ref="J16:J17"/>
    <mergeCell ref="K16:K17"/>
    <mergeCell ref="O16:O17"/>
    <mergeCell ref="I16:I17"/>
    <mergeCell ref="N16:N17"/>
    <mergeCell ref="D16:D17"/>
    <mergeCell ref="G16:G17"/>
    <mergeCell ref="L16:L17"/>
    <mergeCell ref="B239:C239"/>
    <mergeCell ref="B240:C240"/>
    <mergeCell ref="B241:C241"/>
  </mergeCells>
  <printOptions horizontalCentered="1"/>
  <pageMargins left="0.78740157480314965" right="0.11811023622047245" top="0.15748031496062992" bottom="0.39370078740157483" header="0.51181102362204722" footer="0.15748031496062992"/>
  <pageSetup paperSize="9" scale="57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2022-02-22T09:41:53Z</cp:lastPrinted>
  <dcterms:created xsi:type="dcterms:W3CDTF">2014-02-04T08:37:28Z</dcterms:created>
  <dcterms:modified xsi:type="dcterms:W3CDTF">2022-02-22T09:41:56Z</dcterms:modified>
</cp:coreProperties>
</file>