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Приложение № 8" sheetId="1" r:id="rId1"/>
  </sheets>
  <definedNames>
    <definedName name="_xlnm._FilterDatabase" localSheetId="0" hidden="1">'Приложение № 8'!$A$17:$AJ$233</definedName>
    <definedName name="_xlnm.Print_Titles" localSheetId="0">'Приложение № 8'!$16:$17</definedName>
    <definedName name="_xlnm.Print_Area" localSheetId="0">'Приложение № 8'!$A$1:$AH$233</definedName>
  </definedNames>
  <calcPr calcId="152511"/>
</workbook>
</file>

<file path=xl/calcChain.xml><?xml version="1.0" encoding="utf-8"?>
<calcChain xmlns="http://schemas.openxmlformats.org/spreadsheetml/2006/main">
  <c r="AG121" i="1" l="1"/>
  <c r="AG201" i="1"/>
  <c r="AG107" i="1"/>
  <c r="AG135" i="1"/>
  <c r="AE129" i="1" l="1"/>
  <c r="AG230" i="1"/>
  <c r="AG227" i="1"/>
  <c r="AG224" i="1"/>
  <c r="AG221" i="1"/>
  <c r="AG218" i="1"/>
  <c r="AG215" i="1"/>
  <c r="AG206" i="1"/>
  <c r="AG203" i="1"/>
  <c r="AG199" i="1"/>
  <c r="AG195" i="1"/>
  <c r="AG189" i="1"/>
  <c r="AG185" i="1"/>
  <c r="AG182" i="1"/>
  <c r="AG178" i="1"/>
  <c r="AG175" i="1"/>
  <c r="AG172" i="1"/>
  <c r="AG169" i="1"/>
  <c r="AG166" i="1"/>
  <c r="AG163" i="1"/>
  <c r="AG160" i="1"/>
  <c r="AG157" i="1"/>
  <c r="AG151" i="1"/>
  <c r="AG148" i="1"/>
  <c r="AG145" i="1"/>
  <c r="AG139" i="1"/>
  <c r="AG136" i="1"/>
  <c r="AG133" i="1"/>
  <c r="AG130" i="1"/>
  <c r="AG127" i="1"/>
  <c r="AG124" i="1"/>
  <c r="AG118" i="1"/>
  <c r="AG112" i="1"/>
  <c r="AG109" i="1"/>
  <c r="AG105" i="1"/>
  <c r="AG102" i="1"/>
  <c r="AG98" i="1"/>
  <c r="AG95" i="1"/>
  <c r="AG92" i="1"/>
  <c r="AG89" i="1"/>
  <c r="AG79" i="1"/>
  <c r="AG73" i="1"/>
  <c r="AG64" i="1"/>
  <c r="AG61" i="1"/>
  <c r="AG58" i="1"/>
  <c r="AG55" i="1"/>
  <c r="AG52" i="1"/>
  <c r="AG49" i="1"/>
  <c r="AG46" i="1"/>
  <c r="AG43" i="1"/>
  <c r="AG40" i="1"/>
  <c r="AG37" i="1"/>
  <c r="AG32" i="1"/>
  <c r="AG29" i="1"/>
  <c r="AG23" i="1"/>
  <c r="AG19" i="1"/>
  <c r="AG181" i="1" l="1"/>
  <c r="AG18" i="1"/>
  <c r="AE54" i="1"/>
  <c r="AE39" i="1"/>
  <c r="AE94" i="1"/>
  <c r="AE208" i="1"/>
  <c r="AE227" i="1"/>
  <c r="AE135" i="1"/>
  <c r="AE120" i="1"/>
  <c r="AE197" i="1"/>
  <c r="AG233" i="1" l="1"/>
  <c r="AE201" i="1"/>
  <c r="AE230" i="1" l="1"/>
  <c r="AE224" i="1"/>
  <c r="AE221" i="1"/>
  <c r="AE218" i="1"/>
  <c r="AE215" i="1"/>
  <c r="AE206" i="1"/>
  <c r="AE203" i="1"/>
  <c r="AE199" i="1"/>
  <c r="AE195" i="1"/>
  <c r="AE189" i="1"/>
  <c r="AE185" i="1"/>
  <c r="AE182" i="1"/>
  <c r="AE178" i="1"/>
  <c r="AE175" i="1"/>
  <c r="AE172" i="1"/>
  <c r="AE169" i="1"/>
  <c r="AE166" i="1"/>
  <c r="AE163" i="1"/>
  <c r="AE160" i="1"/>
  <c r="AE157" i="1"/>
  <c r="AE151" i="1"/>
  <c r="AE148" i="1"/>
  <c r="AE145" i="1"/>
  <c r="AE139" i="1"/>
  <c r="AE136" i="1"/>
  <c r="AE133" i="1"/>
  <c r="AE130" i="1"/>
  <c r="AE127" i="1"/>
  <c r="AE124" i="1"/>
  <c r="AE118" i="1"/>
  <c r="AE112" i="1"/>
  <c r="AE109" i="1"/>
  <c r="AE105" i="1"/>
  <c r="AE102" i="1"/>
  <c r="AE98" i="1"/>
  <c r="AE95" i="1"/>
  <c r="AE92" i="1"/>
  <c r="AE89" i="1"/>
  <c r="AE79" i="1"/>
  <c r="AE73" i="1"/>
  <c r="AE64" i="1"/>
  <c r="AE61" i="1"/>
  <c r="AE58" i="1"/>
  <c r="AE55" i="1"/>
  <c r="AE52" i="1"/>
  <c r="AE49" i="1"/>
  <c r="AE46" i="1"/>
  <c r="AE43" i="1"/>
  <c r="AE40" i="1"/>
  <c r="AE37" i="1"/>
  <c r="AE32" i="1"/>
  <c r="AE29" i="1"/>
  <c r="AE23" i="1"/>
  <c r="AE19" i="1"/>
  <c r="AE181" i="1" l="1"/>
  <c r="AE18" i="1"/>
  <c r="AC129" i="1"/>
  <c r="AE233" i="1" l="1"/>
  <c r="AC185" i="1"/>
  <c r="S206" i="1" l="1"/>
  <c r="AC63" i="1" l="1"/>
  <c r="AC61" i="1" s="1"/>
  <c r="AC206" i="1"/>
  <c r="AC51" i="1"/>
  <c r="AC203" i="1"/>
  <c r="AC230" i="1"/>
  <c r="AC224" i="1"/>
  <c r="AC221" i="1"/>
  <c r="AC218" i="1"/>
  <c r="AC215" i="1"/>
  <c r="AC199" i="1"/>
  <c r="AC195" i="1"/>
  <c r="AC189" i="1"/>
  <c r="AC182" i="1"/>
  <c r="AC178" i="1"/>
  <c r="AC175" i="1"/>
  <c r="AC172" i="1"/>
  <c r="AC169" i="1"/>
  <c r="AC166" i="1"/>
  <c r="AC163" i="1"/>
  <c r="AC160" i="1"/>
  <c r="AC157" i="1"/>
  <c r="AC151" i="1"/>
  <c r="AC148" i="1"/>
  <c r="AC145" i="1"/>
  <c r="AC139" i="1"/>
  <c r="AC136" i="1"/>
  <c r="AC133" i="1"/>
  <c r="AC130" i="1"/>
  <c r="AC127" i="1"/>
  <c r="AC124" i="1"/>
  <c r="AC112" i="1"/>
  <c r="AC109" i="1"/>
  <c r="AC105" i="1"/>
  <c r="AC102" i="1"/>
  <c r="AC98" i="1"/>
  <c r="AC95" i="1"/>
  <c r="AC92" i="1"/>
  <c r="AC89" i="1"/>
  <c r="AC79" i="1"/>
  <c r="AC73" i="1"/>
  <c r="AC64" i="1"/>
  <c r="AC58" i="1"/>
  <c r="AC55" i="1"/>
  <c r="AC52" i="1"/>
  <c r="AC49" i="1"/>
  <c r="AC46" i="1"/>
  <c r="AC43" i="1"/>
  <c r="AC40" i="1"/>
  <c r="AC37" i="1"/>
  <c r="AC32" i="1"/>
  <c r="AC29" i="1"/>
  <c r="AC23" i="1"/>
  <c r="AC19" i="1"/>
  <c r="AC18" i="1" l="1"/>
  <c r="AC118" i="1"/>
  <c r="AC181" i="1"/>
  <c r="AA224" i="1"/>
  <c r="Z226" i="1"/>
  <c r="AB226" i="1" s="1"/>
  <c r="AD226" i="1" s="1"/>
  <c r="AF226" i="1" s="1"/>
  <c r="AH226" i="1" s="1"/>
  <c r="Y224" i="1"/>
  <c r="Z224" i="1" s="1"/>
  <c r="AC233" i="1" l="1"/>
  <c r="AB224" i="1"/>
  <c r="AD224" i="1" s="1"/>
  <c r="AF224" i="1" s="1"/>
  <c r="AH224" i="1" s="1"/>
  <c r="AA201" i="1"/>
  <c r="AA21" i="1" l="1"/>
  <c r="AA120" i="1"/>
  <c r="AA107" i="1"/>
  <c r="AA135" i="1"/>
  <c r="AA42" i="1"/>
  <c r="AA39" i="1"/>
  <c r="AA189" i="1" l="1"/>
  <c r="AA75" i="1"/>
  <c r="AA197" i="1"/>
  <c r="AA230" i="1" l="1"/>
  <c r="AA221" i="1"/>
  <c r="AA218" i="1"/>
  <c r="AA215" i="1"/>
  <c r="AA199" i="1"/>
  <c r="AA195" i="1"/>
  <c r="AA182" i="1"/>
  <c r="AA178" i="1"/>
  <c r="AA175" i="1"/>
  <c r="AA172" i="1"/>
  <c r="AA169" i="1"/>
  <c r="AA166" i="1"/>
  <c r="AA163" i="1"/>
  <c r="AA160" i="1"/>
  <c r="AA157" i="1"/>
  <c r="AA151" i="1"/>
  <c r="AA148" i="1"/>
  <c r="AA145" i="1"/>
  <c r="AA139" i="1"/>
  <c r="AA136" i="1"/>
  <c r="AA133" i="1"/>
  <c r="AA130" i="1"/>
  <c r="AA127" i="1"/>
  <c r="AA124" i="1"/>
  <c r="AA118" i="1"/>
  <c r="AA112" i="1"/>
  <c r="AA109" i="1"/>
  <c r="AA105" i="1"/>
  <c r="AA102" i="1"/>
  <c r="AA98" i="1"/>
  <c r="AA95" i="1"/>
  <c r="AA92" i="1"/>
  <c r="AA89" i="1"/>
  <c r="AA79" i="1"/>
  <c r="AA73" i="1"/>
  <c r="AA64" i="1"/>
  <c r="AA61" i="1"/>
  <c r="AA58" i="1"/>
  <c r="AA55" i="1"/>
  <c r="AA52" i="1"/>
  <c r="AA49" i="1"/>
  <c r="AA46" i="1"/>
  <c r="AA43" i="1"/>
  <c r="AA40" i="1"/>
  <c r="AA37" i="1"/>
  <c r="AA32" i="1"/>
  <c r="AA29" i="1"/>
  <c r="AA23" i="1"/>
  <c r="AA19" i="1"/>
  <c r="AA181" i="1" l="1"/>
  <c r="AA18" i="1"/>
  <c r="Y129" i="1"/>
  <c r="AA233" i="1" l="1"/>
  <c r="Y91" i="1"/>
  <c r="Y63" i="1" l="1"/>
  <c r="Y51" i="1" l="1"/>
  <c r="Y42" i="1"/>
  <c r="Y39" i="1"/>
  <c r="Y215" i="1"/>
  <c r="Y166" i="1"/>
  <c r="Y163" i="1"/>
  <c r="Y160" i="1"/>
  <c r="Y157" i="1"/>
  <c r="Y230" i="1" l="1"/>
  <c r="Y221" i="1"/>
  <c r="Y218" i="1"/>
  <c r="Y199" i="1"/>
  <c r="Y195" i="1"/>
  <c r="Y182" i="1"/>
  <c r="Y178" i="1"/>
  <c r="Y175" i="1"/>
  <c r="Y172" i="1"/>
  <c r="Y169" i="1"/>
  <c r="Y151" i="1"/>
  <c r="Y148" i="1"/>
  <c r="Y145" i="1"/>
  <c r="Y139" i="1"/>
  <c r="Y136" i="1"/>
  <c r="Y130" i="1"/>
  <c r="Y127" i="1"/>
  <c r="Y124" i="1"/>
  <c r="Y118" i="1"/>
  <c r="Y112" i="1"/>
  <c r="Y109" i="1"/>
  <c r="Y105" i="1"/>
  <c r="Y102" i="1"/>
  <c r="Y98" i="1"/>
  <c r="Y95" i="1"/>
  <c r="Y92" i="1"/>
  <c r="Y89" i="1"/>
  <c r="Y79" i="1"/>
  <c r="Y73" i="1"/>
  <c r="Y64" i="1"/>
  <c r="Y61" i="1"/>
  <c r="Y58" i="1"/>
  <c r="Y55" i="1"/>
  <c r="Y52" i="1"/>
  <c r="Y49" i="1"/>
  <c r="Y46" i="1"/>
  <c r="Y43" i="1"/>
  <c r="Y40" i="1"/>
  <c r="Y37" i="1"/>
  <c r="Y32" i="1"/>
  <c r="Y29" i="1"/>
  <c r="Y23" i="1"/>
  <c r="Y19" i="1"/>
  <c r="Y181" i="1" l="1"/>
  <c r="Y133" i="1"/>
  <c r="Y18" i="1" s="1"/>
  <c r="W63" i="1"/>
  <c r="W107" i="1"/>
  <c r="W201" i="1"/>
  <c r="X180" i="1"/>
  <c r="Z180" i="1" s="1"/>
  <c r="AB180" i="1" s="1"/>
  <c r="AD180" i="1" s="1"/>
  <c r="AF180" i="1" s="1"/>
  <c r="AH180" i="1" s="1"/>
  <c r="W178" i="1"/>
  <c r="X178" i="1" s="1"/>
  <c r="Z178" i="1" s="1"/>
  <c r="AB178" i="1" s="1"/>
  <c r="AD178" i="1" s="1"/>
  <c r="AF178" i="1" s="1"/>
  <c r="AH178" i="1" s="1"/>
  <c r="W34" i="1"/>
  <c r="X36" i="1"/>
  <c r="Z36" i="1" s="1"/>
  <c r="AB36" i="1" s="1"/>
  <c r="AD36" i="1" s="1"/>
  <c r="AF36" i="1" s="1"/>
  <c r="AH36" i="1" s="1"/>
  <c r="W32" i="1"/>
  <c r="X35" i="1"/>
  <c r="Z35" i="1" s="1"/>
  <c r="AB35" i="1" s="1"/>
  <c r="AD35" i="1" s="1"/>
  <c r="AF35" i="1" s="1"/>
  <c r="AH35" i="1" s="1"/>
  <c r="W108" i="1"/>
  <c r="W135" i="1"/>
  <c r="Y233" i="1" l="1"/>
  <c r="W223" i="1"/>
  <c r="W230" i="1"/>
  <c r="W221" i="1"/>
  <c r="W218" i="1"/>
  <c r="W199" i="1"/>
  <c r="W195" i="1"/>
  <c r="W182" i="1"/>
  <c r="W175" i="1"/>
  <c r="W172" i="1"/>
  <c r="W169" i="1"/>
  <c r="W151" i="1"/>
  <c r="W148" i="1"/>
  <c r="W145" i="1"/>
  <c r="W139" i="1"/>
  <c r="W136" i="1"/>
  <c r="W133" i="1"/>
  <c r="W130" i="1"/>
  <c r="W127" i="1"/>
  <c r="W124" i="1"/>
  <c r="W118" i="1"/>
  <c r="W112" i="1"/>
  <c r="W109" i="1"/>
  <c r="W105" i="1"/>
  <c r="W102" i="1"/>
  <c r="W98" i="1"/>
  <c r="W95" i="1"/>
  <c r="W92" i="1"/>
  <c r="W89" i="1"/>
  <c r="W79" i="1"/>
  <c r="W73" i="1"/>
  <c r="W64" i="1"/>
  <c r="W61" i="1"/>
  <c r="W58" i="1"/>
  <c r="W55" i="1"/>
  <c r="W52" i="1"/>
  <c r="W49" i="1"/>
  <c r="W46" i="1"/>
  <c r="W43" i="1"/>
  <c r="W40" i="1"/>
  <c r="W37" i="1"/>
  <c r="W29" i="1"/>
  <c r="W23" i="1"/>
  <c r="W19" i="1"/>
  <c r="U151" i="1"/>
  <c r="U25" i="1"/>
  <c r="U148" i="1"/>
  <c r="U169" i="1"/>
  <c r="U136" i="1"/>
  <c r="U102" i="1"/>
  <c r="U135" i="1"/>
  <c r="U60" i="1"/>
  <c r="U57" i="1"/>
  <c r="U55" i="1" s="1"/>
  <c r="U184" i="1"/>
  <c r="U54" i="1"/>
  <c r="U120" i="1"/>
  <c r="U51" i="1"/>
  <c r="U49" i="1" s="1"/>
  <c r="U45" i="1"/>
  <c r="U42" i="1"/>
  <c r="U39" i="1"/>
  <c r="U223" i="1"/>
  <c r="U221" i="1" s="1"/>
  <c r="U197" i="1"/>
  <c r="U195" i="1" s="1"/>
  <c r="U230" i="1"/>
  <c r="U218" i="1"/>
  <c r="U199" i="1"/>
  <c r="U182" i="1"/>
  <c r="U175" i="1"/>
  <c r="U172" i="1"/>
  <c r="U145" i="1"/>
  <c r="U139" i="1"/>
  <c r="U133" i="1"/>
  <c r="U130" i="1"/>
  <c r="U127" i="1"/>
  <c r="U124" i="1"/>
  <c r="U118" i="1"/>
  <c r="U112" i="1"/>
  <c r="U109" i="1"/>
  <c r="U105" i="1"/>
  <c r="U98" i="1"/>
  <c r="U95" i="1"/>
  <c r="U92" i="1"/>
  <c r="U89" i="1"/>
  <c r="U79" i="1"/>
  <c r="U73" i="1"/>
  <c r="U64" i="1"/>
  <c r="U61" i="1"/>
  <c r="U58" i="1"/>
  <c r="U52" i="1"/>
  <c r="U46" i="1"/>
  <c r="U43" i="1"/>
  <c r="U40" i="1"/>
  <c r="U37" i="1"/>
  <c r="U32" i="1"/>
  <c r="U29" i="1"/>
  <c r="U23" i="1"/>
  <c r="U19" i="1"/>
  <c r="T134" i="1"/>
  <c r="S230" i="1"/>
  <c r="S221" i="1"/>
  <c r="S218" i="1"/>
  <c r="S199" i="1"/>
  <c r="S195" i="1"/>
  <c r="S182" i="1"/>
  <c r="S175" i="1"/>
  <c r="S172" i="1"/>
  <c r="S145" i="1"/>
  <c r="S139" i="1"/>
  <c r="S133" i="1"/>
  <c r="S130" i="1"/>
  <c r="S127" i="1"/>
  <c r="S124" i="1"/>
  <c r="S118" i="1"/>
  <c r="S112" i="1"/>
  <c r="S109" i="1"/>
  <c r="S105" i="1"/>
  <c r="S98" i="1"/>
  <c r="S95" i="1"/>
  <c r="S92" i="1"/>
  <c r="S89" i="1"/>
  <c r="S79" i="1"/>
  <c r="S73" i="1"/>
  <c r="S64" i="1"/>
  <c r="S61" i="1"/>
  <c r="S58" i="1"/>
  <c r="S55" i="1"/>
  <c r="S52" i="1"/>
  <c r="S49" i="1"/>
  <c r="S46" i="1"/>
  <c r="S43" i="1"/>
  <c r="S40" i="1"/>
  <c r="S37" i="1"/>
  <c r="S32" i="1"/>
  <c r="S29" i="1"/>
  <c r="S23" i="1"/>
  <c r="S19" i="1"/>
  <c r="Q107" i="1"/>
  <c r="R108" i="1"/>
  <c r="T108" i="1" s="1"/>
  <c r="V108" i="1" s="1"/>
  <c r="X108" i="1" s="1"/>
  <c r="Z108" i="1" s="1"/>
  <c r="AB108" i="1" s="1"/>
  <c r="AD108" i="1" s="1"/>
  <c r="AF108" i="1" s="1"/>
  <c r="AH108" i="1" s="1"/>
  <c r="Q105" i="1"/>
  <c r="Q197" i="1"/>
  <c r="Q195" i="1" s="1"/>
  <c r="R198" i="1"/>
  <c r="T198" i="1" s="1"/>
  <c r="V198" i="1" s="1"/>
  <c r="X198" i="1" s="1"/>
  <c r="Z198" i="1" s="1"/>
  <c r="AB198" i="1" s="1"/>
  <c r="AD198" i="1" s="1"/>
  <c r="AF198" i="1" s="1"/>
  <c r="AH198" i="1" s="1"/>
  <c r="R82" i="1"/>
  <c r="T82" i="1" s="1"/>
  <c r="V82" i="1" s="1"/>
  <c r="X82" i="1" s="1"/>
  <c r="Z82" i="1" s="1"/>
  <c r="AB82" i="1" s="1"/>
  <c r="AD82" i="1" s="1"/>
  <c r="AF82" i="1" s="1"/>
  <c r="AH82" i="1" s="1"/>
  <c r="Q79" i="1"/>
  <c r="Q66" i="1"/>
  <c r="Q64" i="1" s="1"/>
  <c r="Q232" i="1"/>
  <c r="R232" i="1" s="1"/>
  <c r="T232" i="1" s="1"/>
  <c r="V232" i="1" s="1"/>
  <c r="X232" i="1" s="1"/>
  <c r="Z232" i="1" s="1"/>
  <c r="AB232" i="1" s="1"/>
  <c r="AD232" i="1" s="1"/>
  <c r="AF232" i="1" s="1"/>
  <c r="AH232" i="1" s="1"/>
  <c r="Q230" i="1"/>
  <c r="R230" i="1" s="1"/>
  <c r="T230" i="1" s="1"/>
  <c r="W18" i="1" l="1"/>
  <c r="W181" i="1"/>
  <c r="U181" i="1"/>
  <c r="V230" i="1"/>
  <c r="X230" i="1" s="1"/>
  <c r="Z230" i="1" s="1"/>
  <c r="AB230" i="1" s="1"/>
  <c r="AD230" i="1" s="1"/>
  <c r="AF230" i="1" s="1"/>
  <c r="AH230" i="1" s="1"/>
  <c r="U18" i="1"/>
  <c r="S181" i="1"/>
  <c r="S18" i="1"/>
  <c r="Q34" i="1"/>
  <c r="Q32" i="1" s="1"/>
  <c r="Q25" i="1"/>
  <c r="Q124" i="1"/>
  <c r="Q91" i="1"/>
  <c r="Q89" i="1" s="1"/>
  <c r="Q109" i="1"/>
  <c r="Q23" i="1"/>
  <c r="Q57" i="1"/>
  <c r="Q42" i="1"/>
  <c r="Q40" i="1" s="1"/>
  <c r="Q45" i="1"/>
  <c r="Q184" i="1"/>
  <c r="Q182" i="1" s="1"/>
  <c r="Q118" i="1"/>
  <c r="Q63" i="1"/>
  <c r="Q61" i="1" s="1"/>
  <c r="Q100" i="1"/>
  <c r="R101" i="1"/>
  <c r="T101" i="1" s="1"/>
  <c r="V101" i="1" s="1"/>
  <c r="X101" i="1" s="1"/>
  <c r="Z101" i="1" s="1"/>
  <c r="AB101" i="1" s="1"/>
  <c r="AD101" i="1" s="1"/>
  <c r="AF101" i="1" s="1"/>
  <c r="AH101" i="1" s="1"/>
  <c r="Q98" i="1"/>
  <c r="Q147" i="1"/>
  <c r="Q145" i="1" s="1"/>
  <c r="Q199" i="1"/>
  <c r="Q92" i="1"/>
  <c r="Q135" i="1"/>
  <c r="Q133" i="1" s="1"/>
  <c r="Q95" i="1"/>
  <c r="Q172" i="1"/>
  <c r="Q218" i="1"/>
  <c r="R218" i="1" s="1"/>
  <c r="T218" i="1" s="1"/>
  <c r="V218" i="1" s="1"/>
  <c r="X218" i="1" s="1"/>
  <c r="Z218" i="1" s="1"/>
  <c r="AB218" i="1" s="1"/>
  <c r="AD218" i="1" s="1"/>
  <c r="AF218" i="1" s="1"/>
  <c r="AH218" i="1" s="1"/>
  <c r="R220" i="1"/>
  <c r="T220" i="1" s="1"/>
  <c r="V220" i="1" s="1"/>
  <c r="X220" i="1" s="1"/>
  <c r="Z220" i="1" s="1"/>
  <c r="AB220" i="1" s="1"/>
  <c r="AD220" i="1" s="1"/>
  <c r="AF220" i="1" s="1"/>
  <c r="AH220" i="1" s="1"/>
  <c r="Q221" i="1"/>
  <c r="Q29" i="1"/>
  <c r="Q141" i="1"/>
  <c r="Q139" i="1" s="1"/>
  <c r="Q130" i="1"/>
  <c r="Q112" i="1"/>
  <c r="Q39" i="1"/>
  <c r="Q73" i="1"/>
  <c r="Q19" i="1"/>
  <c r="Q175" i="1"/>
  <c r="R175" i="1" s="1"/>
  <c r="T175" i="1" s="1"/>
  <c r="V175" i="1" s="1"/>
  <c r="X175" i="1" s="1"/>
  <c r="Z175" i="1" s="1"/>
  <c r="AB175" i="1" s="1"/>
  <c r="AD175" i="1" s="1"/>
  <c r="AF175" i="1" s="1"/>
  <c r="AH175" i="1" s="1"/>
  <c r="R177" i="1"/>
  <c r="T177" i="1" s="1"/>
  <c r="V177" i="1" s="1"/>
  <c r="X177" i="1" s="1"/>
  <c r="Z177" i="1" s="1"/>
  <c r="AB177" i="1" s="1"/>
  <c r="AD177" i="1" s="1"/>
  <c r="AF177" i="1" s="1"/>
  <c r="AH177" i="1" s="1"/>
  <c r="Q127" i="1"/>
  <c r="Q58" i="1"/>
  <c r="Q55" i="1"/>
  <c r="Q52" i="1"/>
  <c r="Q49" i="1"/>
  <c r="Q46" i="1"/>
  <c r="Q43" i="1"/>
  <c r="Q37" i="1"/>
  <c r="O107" i="1"/>
  <c r="O45" i="1"/>
  <c r="O184" i="1"/>
  <c r="O182" i="1" s="1"/>
  <c r="O181" i="1" s="1"/>
  <c r="O129" i="1"/>
  <c r="O127" i="1" s="1"/>
  <c r="O105" i="1"/>
  <c r="O58" i="1"/>
  <c r="O55" i="1"/>
  <c r="O52" i="1"/>
  <c r="O49" i="1"/>
  <c r="O46" i="1"/>
  <c r="O43" i="1"/>
  <c r="O40" i="1"/>
  <c r="O37" i="1"/>
  <c r="C209" i="1"/>
  <c r="E209" i="1"/>
  <c r="F209" i="1"/>
  <c r="H209" i="1"/>
  <c r="I209" i="1"/>
  <c r="J209" i="1"/>
  <c r="M209" i="1"/>
  <c r="D211" i="1"/>
  <c r="G211" i="1"/>
  <c r="L211" i="1"/>
  <c r="K211" i="1" s="1"/>
  <c r="L209" i="1" l="1"/>
  <c r="Q181" i="1"/>
  <c r="W233" i="1"/>
  <c r="U233" i="1"/>
  <c r="S233" i="1"/>
  <c r="Q18" i="1"/>
  <c r="Q233" i="1" s="1"/>
  <c r="K209" i="1"/>
  <c r="G209" i="1"/>
  <c r="D209" i="1"/>
  <c r="O18" i="1"/>
  <c r="O233" i="1" s="1"/>
  <c r="N209" i="1"/>
  <c r="N211" i="1"/>
  <c r="N101" i="1"/>
  <c r="M98" i="1"/>
  <c r="N202" i="1"/>
  <c r="P202" i="1" s="1"/>
  <c r="R202" i="1" s="1"/>
  <c r="T202" i="1" s="1"/>
  <c r="V202" i="1" s="1"/>
  <c r="X202" i="1" s="1"/>
  <c r="Z202" i="1" s="1"/>
  <c r="AB202" i="1" s="1"/>
  <c r="AD202" i="1" s="1"/>
  <c r="M199" i="1"/>
  <c r="M227" i="1"/>
  <c r="M221" i="1"/>
  <c r="M212" i="1"/>
  <c r="M206" i="1"/>
  <c r="M203" i="1"/>
  <c r="M195" i="1"/>
  <c r="M192" i="1"/>
  <c r="M189" i="1"/>
  <c r="M185" i="1"/>
  <c r="M182" i="1"/>
  <c r="M172" i="1"/>
  <c r="M169" i="1"/>
  <c r="M166" i="1"/>
  <c r="M163" i="1"/>
  <c r="M160" i="1"/>
  <c r="M157" i="1"/>
  <c r="M151" i="1"/>
  <c r="M148" i="1"/>
  <c r="M145" i="1"/>
  <c r="M142" i="1"/>
  <c r="M139" i="1"/>
  <c r="M136" i="1"/>
  <c r="M133" i="1"/>
  <c r="M130" i="1"/>
  <c r="M127" i="1"/>
  <c r="M124" i="1"/>
  <c r="M121" i="1"/>
  <c r="M118" i="1"/>
  <c r="M115" i="1"/>
  <c r="M112" i="1"/>
  <c r="M109" i="1"/>
  <c r="M105" i="1"/>
  <c r="M102" i="1"/>
  <c r="M95" i="1"/>
  <c r="M92" i="1"/>
  <c r="M89" i="1"/>
  <c r="M86" i="1"/>
  <c r="M76" i="1"/>
  <c r="M73" i="1"/>
  <c r="M70" i="1"/>
  <c r="M67" i="1"/>
  <c r="M61" i="1"/>
  <c r="M58" i="1"/>
  <c r="M55" i="1"/>
  <c r="M52" i="1"/>
  <c r="M49" i="1"/>
  <c r="M46" i="1"/>
  <c r="M43" i="1"/>
  <c r="M40" i="1"/>
  <c r="M37" i="1"/>
  <c r="M32" i="1"/>
  <c r="M29" i="1"/>
  <c r="M23" i="1"/>
  <c r="M19" i="1"/>
  <c r="C201" i="1"/>
  <c r="J135" i="1"/>
  <c r="J123" i="1"/>
  <c r="J214" i="1"/>
  <c r="J39" i="1"/>
  <c r="J174" i="1"/>
  <c r="L174" i="1" s="1"/>
  <c r="K174" i="1" s="1"/>
  <c r="J197" i="1"/>
  <c r="J51" i="1"/>
  <c r="L51" i="1" s="1"/>
  <c r="K51" i="1" s="1"/>
  <c r="J187" i="1"/>
  <c r="J60" i="1"/>
  <c r="J57" i="1"/>
  <c r="J54" i="1"/>
  <c r="J48" i="1"/>
  <c r="J126" i="1"/>
  <c r="J124" i="1" s="1"/>
  <c r="J184" i="1"/>
  <c r="J114" i="1"/>
  <c r="L114" i="1" s="1"/>
  <c r="K114" i="1" s="1"/>
  <c r="J42" i="1"/>
  <c r="J45" i="1"/>
  <c r="L45" i="1" s="1"/>
  <c r="K45" i="1" s="1"/>
  <c r="J21" i="1"/>
  <c r="L21" i="1" s="1"/>
  <c r="K21" i="1" s="1"/>
  <c r="L22" i="1"/>
  <c r="K22" i="1" s="1"/>
  <c r="L25" i="1"/>
  <c r="K25" i="1" s="1"/>
  <c r="L28" i="1"/>
  <c r="K28" i="1" s="1"/>
  <c r="L31" i="1"/>
  <c r="K31" i="1" s="1"/>
  <c r="L34" i="1"/>
  <c r="K34" i="1" s="1"/>
  <c r="L39" i="1"/>
  <c r="K39" i="1" s="1"/>
  <c r="L42" i="1"/>
  <c r="K42" i="1" s="1"/>
  <c r="L48" i="1"/>
  <c r="K48" i="1" s="1"/>
  <c r="L54" i="1"/>
  <c r="K54" i="1" s="1"/>
  <c r="L57" i="1"/>
  <c r="K57" i="1" s="1"/>
  <c r="L60" i="1"/>
  <c r="K60" i="1" s="1"/>
  <c r="L63" i="1"/>
  <c r="K63" i="1" s="1"/>
  <c r="L66" i="1"/>
  <c r="K66" i="1" s="1"/>
  <c r="L69" i="1"/>
  <c r="K69" i="1" s="1"/>
  <c r="L72" i="1"/>
  <c r="K72" i="1" s="1"/>
  <c r="L75" i="1"/>
  <c r="K75" i="1" s="1"/>
  <c r="L78" i="1"/>
  <c r="K78" i="1" s="1"/>
  <c r="L81" i="1"/>
  <c r="K81" i="1" s="1"/>
  <c r="L85" i="1"/>
  <c r="K85" i="1" s="1"/>
  <c r="L88" i="1"/>
  <c r="K88" i="1" s="1"/>
  <c r="L91" i="1"/>
  <c r="K91" i="1" s="1"/>
  <c r="L94" i="1"/>
  <c r="K94" i="1" s="1"/>
  <c r="L97" i="1"/>
  <c r="K97" i="1" s="1"/>
  <c r="L100" i="1"/>
  <c r="K100" i="1" s="1"/>
  <c r="L104" i="1"/>
  <c r="K104" i="1" s="1"/>
  <c r="L107" i="1"/>
  <c r="K107" i="1" s="1"/>
  <c r="L111" i="1"/>
  <c r="K111" i="1" s="1"/>
  <c r="L117" i="1"/>
  <c r="K117" i="1" s="1"/>
  <c r="L120" i="1"/>
  <c r="K120" i="1" s="1"/>
  <c r="L123" i="1"/>
  <c r="K123" i="1" s="1"/>
  <c r="L129" i="1"/>
  <c r="K129" i="1" s="1"/>
  <c r="L132" i="1"/>
  <c r="K132" i="1" s="1"/>
  <c r="L135" i="1"/>
  <c r="K135" i="1" s="1"/>
  <c r="L138" i="1"/>
  <c r="K138" i="1" s="1"/>
  <c r="L141" i="1"/>
  <c r="K141" i="1" s="1"/>
  <c r="L144" i="1"/>
  <c r="K144" i="1" s="1"/>
  <c r="L147" i="1"/>
  <c r="K147" i="1" s="1"/>
  <c r="L150" i="1"/>
  <c r="K150" i="1" s="1"/>
  <c r="L153" i="1"/>
  <c r="K153" i="1" s="1"/>
  <c r="L156" i="1"/>
  <c r="K156" i="1" s="1"/>
  <c r="L159" i="1"/>
  <c r="K159" i="1" s="1"/>
  <c r="L162" i="1"/>
  <c r="K162" i="1" s="1"/>
  <c r="L165" i="1"/>
  <c r="K165" i="1" s="1"/>
  <c r="L168" i="1"/>
  <c r="K168" i="1" s="1"/>
  <c r="L171" i="1"/>
  <c r="K171" i="1" s="1"/>
  <c r="L184" i="1"/>
  <c r="K184" i="1" s="1"/>
  <c r="L187" i="1"/>
  <c r="K187" i="1" s="1"/>
  <c r="L188" i="1"/>
  <c r="K188" i="1" s="1"/>
  <c r="L191" i="1"/>
  <c r="K191" i="1" s="1"/>
  <c r="L194" i="1"/>
  <c r="K194" i="1" s="1"/>
  <c r="L197" i="1"/>
  <c r="K197" i="1" s="1"/>
  <c r="L201" i="1"/>
  <c r="K201" i="1" s="1"/>
  <c r="L205" i="1"/>
  <c r="K205" i="1" s="1"/>
  <c r="L208" i="1"/>
  <c r="K208" i="1" s="1"/>
  <c r="L214" i="1"/>
  <c r="K214" i="1" s="1"/>
  <c r="L217" i="1"/>
  <c r="K217" i="1" s="1"/>
  <c r="L223" i="1"/>
  <c r="K223" i="1" s="1"/>
  <c r="L226" i="1"/>
  <c r="K226" i="1" s="1"/>
  <c r="L229" i="1"/>
  <c r="K229" i="1" s="1"/>
  <c r="J227" i="1"/>
  <c r="J224" i="1"/>
  <c r="J221" i="1"/>
  <c r="J215" i="1"/>
  <c r="J212" i="1"/>
  <c r="J206" i="1"/>
  <c r="J203" i="1"/>
  <c r="J199" i="1"/>
  <c r="J195" i="1"/>
  <c r="J192" i="1"/>
  <c r="J189" i="1"/>
  <c r="J185" i="1"/>
  <c r="J182" i="1"/>
  <c r="J169" i="1"/>
  <c r="J166" i="1"/>
  <c r="J163" i="1"/>
  <c r="J160" i="1"/>
  <c r="J157" i="1"/>
  <c r="J154" i="1"/>
  <c r="J151" i="1"/>
  <c r="J148" i="1"/>
  <c r="J145" i="1"/>
  <c r="J142" i="1"/>
  <c r="J139" i="1"/>
  <c r="J136" i="1"/>
  <c r="J133" i="1"/>
  <c r="J130" i="1"/>
  <c r="J127" i="1"/>
  <c r="J121" i="1"/>
  <c r="J118" i="1"/>
  <c r="J115" i="1"/>
  <c r="J112" i="1"/>
  <c r="J109" i="1"/>
  <c r="J105" i="1"/>
  <c r="J102" i="1"/>
  <c r="J98" i="1"/>
  <c r="J95" i="1"/>
  <c r="J92" i="1"/>
  <c r="J89" i="1"/>
  <c r="J86" i="1"/>
  <c r="J83" i="1"/>
  <c r="J79" i="1"/>
  <c r="J76" i="1"/>
  <c r="J73" i="1"/>
  <c r="J70" i="1"/>
  <c r="J67" i="1"/>
  <c r="J64" i="1"/>
  <c r="J61" i="1"/>
  <c r="J58" i="1"/>
  <c r="J55" i="1"/>
  <c r="J52" i="1"/>
  <c r="J49" i="1"/>
  <c r="J46" i="1"/>
  <c r="J40" i="1"/>
  <c r="J37" i="1"/>
  <c r="J32" i="1"/>
  <c r="J29" i="1"/>
  <c r="J26" i="1"/>
  <c r="J23" i="1"/>
  <c r="J19" i="1"/>
  <c r="G229" i="1"/>
  <c r="D229" i="1"/>
  <c r="I227" i="1"/>
  <c r="H227" i="1"/>
  <c r="F227" i="1"/>
  <c r="E227" i="1"/>
  <c r="C227" i="1"/>
  <c r="G226" i="1"/>
  <c r="D226" i="1"/>
  <c r="I224" i="1"/>
  <c r="H224" i="1"/>
  <c r="F224" i="1"/>
  <c r="E224" i="1"/>
  <c r="C224" i="1"/>
  <c r="G223" i="1"/>
  <c r="D223" i="1"/>
  <c r="I221" i="1"/>
  <c r="H221" i="1"/>
  <c r="F221" i="1"/>
  <c r="E221" i="1"/>
  <c r="C221" i="1"/>
  <c r="G217" i="1"/>
  <c r="M215" i="1" s="1"/>
  <c r="D217" i="1"/>
  <c r="I215" i="1"/>
  <c r="H215" i="1"/>
  <c r="F215" i="1"/>
  <c r="E215" i="1"/>
  <c r="C215" i="1"/>
  <c r="L221" i="1" l="1"/>
  <c r="K221" i="1" s="1"/>
  <c r="L227" i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AH227" i="1" s="1"/>
  <c r="J43" i="1"/>
  <c r="L126" i="1"/>
  <c r="K126" i="1" s="1"/>
  <c r="J172" i="1"/>
  <c r="L172" i="1" s="1"/>
  <c r="K172" i="1" s="1"/>
  <c r="G224" i="1"/>
  <c r="M181" i="1"/>
  <c r="N21" i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N25" i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N34" i="1"/>
  <c r="P34" i="1" s="1"/>
  <c r="R34" i="1" s="1"/>
  <c r="T34" i="1" s="1"/>
  <c r="V34" i="1" s="1"/>
  <c r="X34" i="1" s="1"/>
  <c r="Z34" i="1" s="1"/>
  <c r="AB34" i="1" s="1"/>
  <c r="AD34" i="1" s="1"/>
  <c r="AF34" i="1" s="1"/>
  <c r="AH34" i="1" s="1"/>
  <c r="N42" i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N48" i="1"/>
  <c r="P48" i="1" s="1"/>
  <c r="R48" i="1" s="1"/>
  <c r="T48" i="1" s="1"/>
  <c r="V48" i="1" s="1"/>
  <c r="X48" i="1" s="1"/>
  <c r="Z48" i="1" s="1"/>
  <c r="AB48" i="1" s="1"/>
  <c r="AD48" i="1" s="1"/>
  <c r="AF48" i="1" s="1"/>
  <c r="AH48" i="1" s="1"/>
  <c r="N54" i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N60" i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N72" i="1"/>
  <c r="P72" i="1" s="1"/>
  <c r="R72" i="1" s="1"/>
  <c r="T72" i="1" s="1"/>
  <c r="V72" i="1" s="1"/>
  <c r="X72" i="1" s="1"/>
  <c r="Z72" i="1" s="1"/>
  <c r="AB72" i="1" s="1"/>
  <c r="AD72" i="1" s="1"/>
  <c r="AF72" i="1" s="1"/>
  <c r="AH72" i="1" s="1"/>
  <c r="N78" i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N91" i="1"/>
  <c r="P91" i="1" s="1"/>
  <c r="R91" i="1" s="1"/>
  <c r="T91" i="1" s="1"/>
  <c r="V91" i="1" s="1"/>
  <c r="X91" i="1" s="1"/>
  <c r="Z91" i="1" s="1"/>
  <c r="AB91" i="1" s="1"/>
  <c r="AD91" i="1" s="1"/>
  <c r="AF91" i="1" s="1"/>
  <c r="AH91" i="1" s="1"/>
  <c r="N97" i="1"/>
  <c r="P97" i="1" s="1"/>
  <c r="R97" i="1" s="1"/>
  <c r="T97" i="1" s="1"/>
  <c r="V97" i="1" s="1"/>
  <c r="X97" i="1" s="1"/>
  <c r="Z97" i="1" s="1"/>
  <c r="AB97" i="1" s="1"/>
  <c r="AD97" i="1" s="1"/>
  <c r="AF97" i="1" s="1"/>
  <c r="AH97" i="1" s="1"/>
  <c r="N104" i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N111" i="1"/>
  <c r="P111" i="1" s="1"/>
  <c r="R111" i="1" s="1"/>
  <c r="T111" i="1" s="1"/>
  <c r="V111" i="1" s="1"/>
  <c r="X111" i="1" s="1"/>
  <c r="Z111" i="1" s="1"/>
  <c r="AB111" i="1" s="1"/>
  <c r="AD111" i="1" s="1"/>
  <c r="AF111" i="1" s="1"/>
  <c r="AH111" i="1" s="1"/>
  <c r="N117" i="1"/>
  <c r="P117" i="1" s="1"/>
  <c r="R117" i="1" s="1"/>
  <c r="T117" i="1" s="1"/>
  <c r="V117" i="1" s="1"/>
  <c r="X117" i="1" s="1"/>
  <c r="Z117" i="1" s="1"/>
  <c r="AB117" i="1" s="1"/>
  <c r="AD117" i="1" s="1"/>
  <c r="AF117" i="1" s="1"/>
  <c r="AH117" i="1" s="1"/>
  <c r="N132" i="1"/>
  <c r="P132" i="1" s="1"/>
  <c r="R132" i="1" s="1"/>
  <c r="T132" i="1" s="1"/>
  <c r="V132" i="1" s="1"/>
  <c r="X132" i="1" s="1"/>
  <c r="Z132" i="1" s="1"/>
  <c r="AB132" i="1" s="1"/>
  <c r="AD132" i="1" s="1"/>
  <c r="AF132" i="1" s="1"/>
  <c r="AH132" i="1" s="1"/>
  <c r="N138" i="1"/>
  <c r="P138" i="1" s="1"/>
  <c r="R138" i="1" s="1"/>
  <c r="T138" i="1" s="1"/>
  <c r="V138" i="1" s="1"/>
  <c r="X138" i="1" s="1"/>
  <c r="Z138" i="1" s="1"/>
  <c r="AB138" i="1" s="1"/>
  <c r="AD138" i="1" s="1"/>
  <c r="AF138" i="1" s="1"/>
  <c r="AH138" i="1" s="1"/>
  <c r="N144" i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N150" i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N159" i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N165" i="1"/>
  <c r="P165" i="1" s="1"/>
  <c r="R165" i="1" s="1"/>
  <c r="T165" i="1" s="1"/>
  <c r="V165" i="1" s="1"/>
  <c r="X165" i="1" s="1"/>
  <c r="Z165" i="1" s="1"/>
  <c r="AB165" i="1" s="1"/>
  <c r="AD165" i="1" s="1"/>
  <c r="AF165" i="1" s="1"/>
  <c r="AH165" i="1" s="1"/>
  <c r="N171" i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N184" i="1"/>
  <c r="P184" i="1" s="1"/>
  <c r="R184" i="1" s="1"/>
  <c r="T184" i="1" s="1"/>
  <c r="V184" i="1" s="1"/>
  <c r="X184" i="1" s="1"/>
  <c r="Z184" i="1" s="1"/>
  <c r="AB184" i="1" s="1"/>
  <c r="AD184" i="1" s="1"/>
  <c r="AF184" i="1" s="1"/>
  <c r="AH184" i="1" s="1"/>
  <c r="N188" i="1"/>
  <c r="P188" i="1" s="1"/>
  <c r="R188" i="1" s="1"/>
  <c r="T188" i="1" s="1"/>
  <c r="V188" i="1" s="1"/>
  <c r="X188" i="1" s="1"/>
  <c r="Z188" i="1" s="1"/>
  <c r="AB188" i="1" s="1"/>
  <c r="AD188" i="1" s="1"/>
  <c r="AF188" i="1" s="1"/>
  <c r="AH188" i="1" s="1"/>
  <c r="N194" i="1"/>
  <c r="P194" i="1" s="1"/>
  <c r="R194" i="1" s="1"/>
  <c r="T194" i="1" s="1"/>
  <c r="V194" i="1" s="1"/>
  <c r="X194" i="1" s="1"/>
  <c r="Z194" i="1" s="1"/>
  <c r="AB194" i="1" s="1"/>
  <c r="AD194" i="1" s="1"/>
  <c r="AF194" i="1" s="1"/>
  <c r="AH194" i="1" s="1"/>
  <c r="N197" i="1"/>
  <c r="P197" i="1" s="1"/>
  <c r="R197" i="1" s="1"/>
  <c r="T197" i="1" s="1"/>
  <c r="V197" i="1" s="1"/>
  <c r="X197" i="1" s="1"/>
  <c r="Z197" i="1" s="1"/>
  <c r="AB197" i="1" s="1"/>
  <c r="AD197" i="1" s="1"/>
  <c r="AF197" i="1" s="1"/>
  <c r="AH197" i="1" s="1"/>
  <c r="N208" i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N214" i="1"/>
  <c r="P214" i="1" s="1"/>
  <c r="R214" i="1" s="1"/>
  <c r="T214" i="1" s="1"/>
  <c r="V214" i="1" s="1"/>
  <c r="X214" i="1" s="1"/>
  <c r="Z214" i="1" s="1"/>
  <c r="AB214" i="1" s="1"/>
  <c r="AD214" i="1" s="1"/>
  <c r="AF214" i="1" s="1"/>
  <c r="AH214" i="1" s="1"/>
  <c r="N223" i="1"/>
  <c r="P223" i="1" s="1"/>
  <c r="R223" i="1" s="1"/>
  <c r="T223" i="1" s="1"/>
  <c r="V223" i="1" s="1"/>
  <c r="X223" i="1" s="1"/>
  <c r="Z223" i="1" s="1"/>
  <c r="AB223" i="1" s="1"/>
  <c r="AD223" i="1" s="1"/>
  <c r="AF223" i="1" s="1"/>
  <c r="AH223" i="1" s="1"/>
  <c r="N22" i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N31" i="1"/>
  <c r="P31" i="1" s="1"/>
  <c r="R31" i="1" s="1"/>
  <c r="T31" i="1" s="1"/>
  <c r="V31" i="1" s="1"/>
  <c r="X31" i="1" s="1"/>
  <c r="Z31" i="1" s="1"/>
  <c r="AB31" i="1" s="1"/>
  <c r="AD31" i="1" s="1"/>
  <c r="AF31" i="1" s="1"/>
  <c r="AH31" i="1" s="1"/>
  <c r="N39" i="1"/>
  <c r="P39" i="1" s="1"/>
  <c r="R39" i="1" s="1"/>
  <c r="T39" i="1" s="1"/>
  <c r="V39" i="1" s="1"/>
  <c r="X39" i="1" s="1"/>
  <c r="Z39" i="1" s="1"/>
  <c r="AB39" i="1" s="1"/>
  <c r="AD39" i="1" s="1"/>
  <c r="AF39" i="1" s="1"/>
  <c r="AH39" i="1" s="1"/>
  <c r="N45" i="1"/>
  <c r="P45" i="1" s="1"/>
  <c r="R45" i="1" s="1"/>
  <c r="T45" i="1" s="1"/>
  <c r="V45" i="1" s="1"/>
  <c r="X45" i="1" s="1"/>
  <c r="Z45" i="1" s="1"/>
  <c r="AB45" i="1" s="1"/>
  <c r="AD45" i="1" s="1"/>
  <c r="AF45" i="1" s="1"/>
  <c r="AH45" i="1" s="1"/>
  <c r="N51" i="1"/>
  <c r="P51" i="1" s="1"/>
  <c r="R51" i="1" s="1"/>
  <c r="T51" i="1" s="1"/>
  <c r="V51" i="1" s="1"/>
  <c r="X51" i="1" s="1"/>
  <c r="Z51" i="1" s="1"/>
  <c r="AB51" i="1" s="1"/>
  <c r="AD51" i="1" s="1"/>
  <c r="AF51" i="1" s="1"/>
  <c r="AH51" i="1" s="1"/>
  <c r="N57" i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N63" i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N69" i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N75" i="1"/>
  <c r="P75" i="1" s="1"/>
  <c r="R75" i="1" s="1"/>
  <c r="T75" i="1" s="1"/>
  <c r="V75" i="1" s="1"/>
  <c r="X75" i="1" s="1"/>
  <c r="Z75" i="1" s="1"/>
  <c r="AB75" i="1" s="1"/>
  <c r="AD75" i="1" s="1"/>
  <c r="AF75" i="1" s="1"/>
  <c r="AH75" i="1" s="1"/>
  <c r="N88" i="1"/>
  <c r="P88" i="1" s="1"/>
  <c r="R88" i="1" s="1"/>
  <c r="T88" i="1" s="1"/>
  <c r="V88" i="1" s="1"/>
  <c r="X88" i="1" s="1"/>
  <c r="Z88" i="1" s="1"/>
  <c r="AB88" i="1" s="1"/>
  <c r="AD88" i="1" s="1"/>
  <c r="AF88" i="1" s="1"/>
  <c r="AH88" i="1" s="1"/>
  <c r="N94" i="1"/>
  <c r="P94" i="1" s="1"/>
  <c r="R94" i="1" s="1"/>
  <c r="T94" i="1" s="1"/>
  <c r="V94" i="1" s="1"/>
  <c r="X94" i="1" s="1"/>
  <c r="Z94" i="1" s="1"/>
  <c r="AB94" i="1" s="1"/>
  <c r="AD94" i="1" s="1"/>
  <c r="AF94" i="1" s="1"/>
  <c r="AH94" i="1" s="1"/>
  <c r="N100" i="1"/>
  <c r="P100" i="1" s="1"/>
  <c r="R100" i="1" s="1"/>
  <c r="T100" i="1" s="1"/>
  <c r="V100" i="1" s="1"/>
  <c r="X100" i="1" s="1"/>
  <c r="Z100" i="1" s="1"/>
  <c r="AB100" i="1" s="1"/>
  <c r="AD100" i="1" s="1"/>
  <c r="AF100" i="1" s="1"/>
  <c r="AH100" i="1" s="1"/>
  <c r="N107" i="1"/>
  <c r="P107" i="1" s="1"/>
  <c r="R107" i="1" s="1"/>
  <c r="T107" i="1" s="1"/>
  <c r="V107" i="1" s="1"/>
  <c r="X107" i="1" s="1"/>
  <c r="Z107" i="1" s="1"/>
  <c r="AB107" i="1" s="1"/>
  <c r="AD107" i="1" s="1"/>
  <c r="AF107" i="1" s="1"/>
  <c r="AH107" i="1" s="1"/>
  <c r="N114" i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N120" i="1"/>
  <c r="P120" i="1" s="1"/>
  <c r="R120" i="1" s="1"/>
  <c r="T120" i="1" s="1"/>
  <c r="V120" i="1" s="1"/>
  <c r="X120" i="1" s="1"/>
  <c r="Z120" i="1" s="1"/>
  <c r="AB120" i="1" s="1"/>
  <c r="AD120" i="1" s="1"/>
  <c r="AF120" i="1" s="1"/>
  <c r="AH120" i="1" s="1"/>
  <c r="N123" i="1"/>
  <c r="P123" i="1" s="1"/>
  <c r="R123" i="1" s="1"/>
  <c r="T123" i="1" s="1"/>
  <c r="V123" i="1" s="1"/>
  <c r="X123" i="1" s="1"/>
  <c r="Z123" i="1" s="1"/>
  <c r="AB123" i="1" s="1"/>
  <c r="AD123" i="1" s="1"/>
  <c r="AF123" i="1" s="1"/>
  <c r="AH123" i="1" s="1"/>
  <c r="N129" i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N135" i="1"/>
  <c r="P135" i="1" s="1"/>
  <c r="R135" i="1" s="1"/>
  <c r="T135" i="1" s="1"/>
  <c r="V135" i="1" s="1"/>
  <c r="X135" i="1" s="1"/>
  <c r="Z135" i="1" s="1"/>
  <c r="AB135" i="1" s="1"/>
  <c r="AD135" i="1" s="1"/>
  <c r="AF135" i="1" s="1"/>
  <c r="AH135" i="1" s="1"/>
  <c r="N141" i="1"/>
  <c r="P141" i="1" s="1"/>
  <c r="R141" i="1" s="1"/>
  <c r="T141" i="1" s="1"/>
  <c r="V141" i="1" s="1"/>
  <c r="X141" i="1" s="1"/>
  <c r="Z141" i="1" s="1"/>
  <c r="AB141" i="1" s="1"/>
  <c r="AD141" i="1" s="1"/>
  <c r="AF141" i="1" s="1"/>
  <c r="AH141" i="1" s="1"/>
  <c r="N147" i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N153" i="1"/>
  <c r="P153" i="1" s="1"/>
  <c r="R153" i="1" s="1"/>
  <c r="T153" i="1" s="1"/>
  <c r="V153" i="1" s="1"/>
  <c r="X153" i="1" s="1"/>
  <c r="Z153" i="1" s="1"/>
  <c r="AB153" i="1" s="1"/>
  <c r="AD153" i="1" s="1"/>
  <c r="AF153" i="1" s="1"/>
  <c r="AH153" i="1" s="1"/>
  <c r="N162" i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N168" i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N174" i="1"/>
  <c r="P174" i="1" s="1"/>
  <c r="R174" i="1" s="1"/>
  <c r="T174" i="1" s="1"/>
  <c r="V174" i="1" s="1"/>
  <c r="X174" i="1" s="1"/>
  <c r="Z174" i="1" s="1"/>
  <c r="AB174" i="1" s="1"/>
  <c r="AD174" i="1" s="1"/>
  <c r="AF174" i="1" s="1"/>
  <c r="AH174" i="1" s="1"/>
  <c r="N187" i="1"/>
  <c r="P187" i="1" s="1"/>
  <c r="R187" i="1" s="1"/>
  <c r="T187" i="1" s="1"/>
  <c r="V187" i="1" s="1"/>
  <c r="X187" i="1" s="1"/>
  <c r="Z187" i="1" s="1"/>
  <c r="AB187" i="1" s="1"/>
  <c r="AD187" i="1" s="1"/>
  <c r="AF187" i="1" s="1"/>
  <c r="AH187" i="1" s="1"/>
  <c r="N191" i="1"/>
  <c r="P191" i="1" s="1"/>
  <c r="R191" i="1" s="1"/>
  <c r="T191" i="1" s="1"/>
  <c r="V191" i="1" s="1"/>
  <c r="X191" i="1" s="1"/>
  <c r="Z191" i="1" s="1"/>
  <c r="AB191" i="1" s="1"/>
  <c r="AD191" i="1" s="1"/>
  <c r="AF191" i="1" s="1"/>
  <c r="AH191" i="1" s="1"/>
  <c r="N201" i="1"/>
  <c r="N205" i="1"/>
  <c r="P205" i="1" s="1"/>
  <c r="R205" i="1" s="1"/>
  <c r="T205" i="1" s="1"/>
  <c r="V205" i="1" s="1"/>
  <c r="X205" i="1" s="1"/>
  <c r="Z205" i="1" s="1"/>
  <c r="AB205" i="1" s="1"/>
  <c r="AD205" i="1" s="1"/>
  <c r="AF205" i="1" s="1"/>
  <c r="AH205" i="1" s="1"/>
  <c r="N217" i="1"/>
  <c r="P217" i="1" s="1"/>
  <c r="R217" i="1" s="1"/>
  <c r="T217" i="1" s="1"/>
  <c r="V217" i="1" s="1"/>
  <c r="X217" i="1" s="1"/>
  <c r="Z217" i="1" s="1"/>
  <c r="AB217" i="1" s="1"/>
  <c r="AD217" i="1" s="1"/>
  <c r="AF217" i="1" s="1"/>
  <c r="AH217" i="1" s="1"/>
  <c r="N229" i="1"/>
  <c r="P229" i="1" s="1"/>
  <c r="R229" i="1" s="1"/>
  <c r="T229" i="1" s="1"/>
  <c r="V229" i="1" s="1"/>
  <c r="X229" i="1" s="1"/>
  <c r="Z229" i="1" s="1"/>
  <c r="AB229" i="1" s="1"/>
  <c r="AD229" i="1" s="1"/>
  <c r="AF229" i="1" s="1"/>
  <c r="AH229" i="1" s="1"/>
  <c r="K227" i="1"/>
  <c r="L215" i="1"/>
  <c r="N215" i="1" s="1"/>
  <c r="P215" i="1" s="1"/>
  <c r="R215" i="1" s="1"/>
  <c r="T215" i="1" s="1"/>
  <c r="V215" i="1" s="1"/>
  <c r="X215" i="1" s="1"/>
  <c r="Z215" i="1" s="1"/>
  <c r="AB215" i="1" s="1"/>
  <c r="AD215" i="1" s="1"/>
  <c r="AF215" i="1" s="1"/>
  <c r="AH215" i="1" s="1"/>
  <c r="L224" i="1"/>
  <c r="G215" i="1"/>
  <c r="J181" i="1"/>
  <c r="G221" i="1"/>
  <c r="D221" i="1"/>
  <c r="D227" i="1"/>
  <c r="D224" i="1"/>
  <c r="G227" i="1"/>
  <c r="D215" i="1"/>
  <c r="N221" i="1" l="1"/>
  <c r="P221" i="1" s="1"/>
  <c r="R221" i="1" s="1"/>
  <c r="T221" i="1" s="1"/>
  <c r="V221" i="1" s="1"/>
  <c r="X221" i="1" s="1"/>
  <c r="Z221" i="1" s="1"/>
  <c r="AB221" i="1" s="1"/>
  <c r="AD221" i="1" s="1"/>
  <c r="AF221" i="1" s="1"/>
  <c r="AH221" i="1" s="1"/>
  <c r="N224" i="1"/>
  <c r="M224" i="1" s="1"/>
  <c r="N126" i="1"/>
  <c r="P126" i="1" s="1"/>
  <c r="R126" i="1" s="1"/>
  <c r="T126" i="1" s="1"/>
  <c r="V126" i="1" s="1"/>
  <c r="X126" i="1" s="1"/>
  <c r="Z126" i="1" s="1"/>
  <c r="AB126" i="1" s="1"/>
  <c r="AD126" i="1" s="1"/>
  <c r="AF126" i="1" s="1"/>
  <c r="AH126" i="1" s="1"/>
  <c r="K215" i="1"/>
  <c r="J18" i="1"/>
  <c r="J233" i="1" s="1"/>
  <c r="N172" i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N199" i="1"/>
  <c r="P199" i="1" s="1"/>
  <c r="R199" i="1" s="1"/>
  <c r="T199" i="1" s="1"/>
  <c r="V199" i="1" s="1"/>
  <c r="X199" i="1" s="1"/>
  <c r="Z199" i="1" s="1"/>
  <c r="AB199" i="1" s="1"/>
  <c r="AD199" i="1" s="1"/>
  <c r="P201" i="1"/>
  <c r="R201" i="1" s="1"/>
  <c r="T201" i="1" s="1"/>
  <c r="V201" i="1" s="1"/>
  <c r="X201" i="1" s="1"/>
  <c r="Z201" i="1" s="1"/>
  <c r="AB201" i="1" s="1"/>
  <c r="AD201" i="1" s="1"/>
  <c r="AF201" i="1" s="1"/>
  <c r="K224" i="1"/>
  <c r="G171" i="1"/>
  <c r="D171" i="1"/>
  <c r="I169" i="1"/>
  <c r="H169" i="1"/>
  <c r="F169" i="1"/>
  <c r="E169" i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AH169" i="1" s="1"/>
  <c r="C169" i="1"/>
  <c r="AF199" i="1" l="1"/>
  <c r="AH201" i="1"/>
  <c r="AH199" i="1" s="1"/>
  <c r="G169" i="1"/>
  <c r="K169" i="1"/>
  <c r="D169" i="1"/>
  <c r="G168" i="1"/>
  <c r="D168" i="1"/>
  <c r="I166" i="1"/>
  <c r="H166" i="1"/>
  <c r="F166" i="1"/>
  <c r="E166" i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C166" i="1"/>
  <c r="G165" i="1"/>
  <c r="D165" i="1"/>
  <c r="I163" i="1"/>
  <c r="H163" i="1"/>
  <c r="F163" i="1"/>
  <c r="E163" i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C163" i="1"/>
  <c r="G162" i="1"/>
  <c r="D162" i="1"/>
  <c r="I160" i="1"/>
  <c r="H160" i="1"/>
  <c r="F160" i="1"/>
  <c r="E160" i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AH160" i="1" s="1"/>
  <c r="C160" i="1"/>
  <c r="G159" i="1"/>
  <c r="D159" i="1"/>
  <c r="I157" i="1"/>
  <c r="H157" i="1"/>
  <c r="F157" i="1"/>
  <c r="E157" i="1"/>
  <c r="L157" i="1" s="1"/>
  <c r="N157" i="1" s="1"/>
  <c r="P157" i="1" s="1"/>
  <c r="R157" i="1" s="1"/>
  <c r="T157" i="1" s="1"/>
  <c r="V157" i="1" s="1"/>
  <c r="X157" i="1" s="1"/>
  <c r="Z157" i="1" s="1"/>
  <c r="AB157" i="1" s="1"/>
  <c r="AD157" i="1" s="1"/>
  <c r="AF157" i="1" s="1"/>
  <c r="AH157" i="1" s="1"/>
  <c r="C157" i="1"/>
  <c r="G156" i="1"/>
  <c r="N156" i="1" s="1"/>
  <c r="M156" i="1" s="1"/>
  <c r="D156" i="1"/>
  <c r="I154" i="1"/>
  <c r="H154" i="1"/>
  <c r="F154" i="1"/>
  <c r="E154" i="1"/>
  <c r="L154" i="1" s="1"/>
  <c r="C154" i="1"/>
  <c r="G153" i="1"/>
  <c r="D153" i="1"/>
  <c r="I151" i="1"/>
  <c r="H151" i="1"/>
  <c r="F151" i="1"/>
  <c r="E151" i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C151" i="1"/>
  <c r="G150" i="1"/>
  <c r="D150" i="1"/>
  <c r="I148" i="1"/>
  <c r="H148" i="1"/>
  <c r="F148" i="1"/>
  <c r="E148" i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C148" i="1"/>
  <c r="G147" i="1"/>
  <c r="D147" i="1"/>
  <c r="I145" i="1"/>
  <c r="H145" i="1"/>
  <c r="F145" i="1"/>
  <c r="E145" i="1"/>
  <c r="L145" i="1" s="1"/>
  <c r="N145" i="1" s="1"/>
  <c r="P145" i="1" s="1"/>
  <c r="R145" i="1" s="1"/>
  <c r="T145" i="1" s="1"/>
  <c r="V145" i="1" s="1"/>
  <c r="X145" i="1" s="1"/>
  <c r="Z145" i="1" s="1"/>
  <c r="AB145" i="1" s="1"/>
  <c r="AD145" i="1" s="1"/>
  <c r="AF145" i="1" s="1"/>
  <c r="AH145" i="1" s="1"/>
  <c r="C145" i="1"/>
  <c r="G144" i="1"/>
  <c r="D144" i="1"/>
  <c r="I142" i="1"/>
  <c r="H142" i="1"/>
  <c r="F142" i="1"/>
  <c r="E142" i="1"/>
  <c r="L142" i="1" s="1"/>
  <c r="N142" i="1" s="1"/>
  <c r="P142" i="1" s="1"/>
  <c r="R142" i="1" s="1"/>
  <c r="T142" i="1" s="1"/>
  <c r="V142" i="1" s="1"/>
  <c r="X142" i="1" s="1"/>
  <c r="Z142" i="1" s="1"/>
  <c r="AB142" i="1" s="1"/>
  <c r="AD142" i="1" s="1"/>
  <c r="AF142" i="1" s="1"/>
  <c r="AH142" i="1" s="1"/>
  <c r="C142" i="1"/>
  <c r="G141" i="1"/>
  <c r="D141" i="1"/>
  <c r="I139" i="1"/>
  <c r="H139" i="1"/>
  <c r="F139" i="1"/>
  <c r="E139" i="1"/>
  <c r="C139" i="1"/>
  <c r="G138" i="1"/>
  <c r="D138" i="1"/>
  <c r="I136" i="1"/>
  <c r="H136" i="1"/>
  <c r="F136" i="1"/>
  <c r="E136" i="1"/>
  <c r="L136" i="1" s="1"/>
  <c r="N136" i="1" s="1"/>
  <c r="P136" i="1" s="1"/>
  <c r="R136" i="1" s="1"/>
  <c r="T136" i="1" s="1"/>
  <c r="V136" i="1" s="1"/>
  <c r="X136" i="1" s="1"/>
  <c r="Z136" i="1" s="1"/>
  <c r="AB136" i="1" s="1"/>
  <c r="AD136" i="1" s="1"/>
  <c r="AF136" i="1" s="1"/>
  <c r="AH136" i="1" s="1"/>
  <c r="C136" i="1"/>
  <c r="K166" i="1" l="1"/>
  <c r="G166" i="1"/>
  <c r="G136" i="1"/>
  <c r="G139" i="1"/>
  <c r="G142" i="1"/>
  <c r="K145" i="1"/>
  <c r="G148" i="1"/>
  <c r="G154" i="1"/>
  <c r="N154" i="1" s="1"/>
  <c r="M154" i="1" s="1"/>
  <c r="G160" i="1"/>
  <c r="D139" i="1"/>
  <c r="L139" i="1"/>
  <c r="K151" i="1"/>
  <c r="K157" i="1"/>
  <c r="K163" i="1"/>
  <c r="K136" i="1"/>
  <c r="K142" i="1"/>
  <c r="K148" i="1"/>
  <c r="K154" i="1"/>
  <c r="K160" i="1"/>
  <c r="G151" i="1"/>
  <c r="G157" i="1"/>
  <c r="G163" i="1"/>
  <c r="D166" i="1"/>
  <c r="D136" i="1"/>
  <c r="D151" i="1"/>
  <c r="D157" i="1"/>
  <c r="D163" i="1"/>
  <c r="G145" i="1"/>
  <c r="D148" i="1"/>
  <c r="D154" i="1"/>
  <c r="D160" i="1"/>
  <c r="D145" i="1"/>
  <c r="D142" i="1"/>
  <c r="G135" i="1"/>
  <c r="D135" i="1"/>
  <c r="I133" i="1"/>
  <c r="H133" i="1"/>
  <c r="F133" i="1"/>
  <c r="E133" i="1"/>
  <c r="L133" i="1" s="1"/>
  <c r="N133" i="1" s="1"/>
  <c r="P133" i="1" s="1"/>
  <c r="R133" i="1" s="1"/>
  <c r="T133" i="1" s="1"/>
  <c r="V133" i="1" s="1"/>
  <c r="X133" i="1" s="1"/>
  <c r="Z133" i="1" s="1"/>
  <c r="AB133" i="1" s="1"/>
  <c r="AD133" i="1" s="1"/>
  <c r="AF133" i="1" s="1"/>
  <c r="AH133" i="1" s="1"/>
  <c r="C133" i="1"/>
  <c r="G132" i="1"/>
  <c r="D132" i="1"/>
  <c r="I130" i="1"/>
  <c r="H130" i="1"/>
  <c r="F130" i="1"/>
  <c r="E130" i="1"/>
  <c r="L130" i="1" s="1"/>
  <c r="N130" i="1" s="1"/>
  <c r="P130" i="1" s="1"/>
  <c r="R130" i="1" s="1"/>
  <c r="T130" i="1" s="1"/>
  <c r="V130" i="1" s="1"/>
  <c r="X130" i="1" s="1"/>
  <c r="Z130" i="1" s="1"/>
  <c r="AB130" i="1" s="1"/>
  <c r="AD130" i="1" s="1"/>
  <c r="AF130" i="1" s="1"/>
  <c r="AH130" i="1" s="1"/>
  <c r="C130" i="1"/>
  <c r="G129" i="1"/>
  <c r="D129" i="1"/>
  <c r="I127" i="1"/>
  <c r="H127" i="1"/>
  <c r="F127" i="1"/>
  <c r="E127" i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AF127" i="1" s="1"/>
  <c r="AH127" i="1" s="1"/>
  <c r="C127" i="1"/>
  <c r="G126" i="1"/>
  <c r="D126" i="1"/>
  <c r="I124" i="1"/>
  <c r="H124" i="1"/>
  <c r="F124" i="1"/>
  <c r="E124" i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C124" i="1"/>
  <c r="G123" i="1"/>
  <c r="D123" i="1"/>
  <c r="I121" i="1"/>
  <c r="H121" i="1"/>
  <c r="F121" i="1"/>
  <c r="E121" i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C121" i="1"/>
  <c r="G120" i="1"/>
  <c r="D120" i="1"/>
  <c r="I118" i="1"/>
  <c r="H118" i="1"/>
  <c r="F118" i="1"/>
  <c r="E118" i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C118" i="1"/>
  <c r="G117" i="1"/>
  <c r="D117" i="1"/>
  <c r="I115" i="1"/>
  <c r="H115" i="1"/>
  <c r="F115" i="1"/>
  <c r="E115" i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AF115" i="1" s="1"/>
  <c r="AH115" i="1" s="1"/>
  <c r="C115" i="1"/>
  <c r="G114" i="1"/>
  <c r="D114" i="1"/>
  <c r="I112" i="1"/>
  <c r="H112" i="1"/>
  <c r="F112" i="1"/>
  <c r="E112" i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AF112" i="1" s="1"/>
  <c r="AH112" i="1" s="1"/>
  <c r="C112" i="1"/>
  <c r="G111" i="1"/>
  <c r="D111" i="1"/>
  <c r="I109" i="1"/>
  <c r="H109" i="1"/>
  <c r="F109" i="1"/>
  <c r="E109" i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F109" i="1" s="1"/>
  <c r="AH109" i="1" s="1"/>
  <c r="C109" i="1"/>
  <c r="G21" i="1"/>
  <c r="G22" i="1"/>
  <c r="G25" i="1"/>
  <c r="G28" i="1"/>
  <c r="G31" i="1"/>
  <c r="G34" i="1"/>
  <c r="G39" i="1"/>
  <c r="G42" i="1"/>
  <c r="G45" i="1"/>
  <c r="G48" i="1"/>
  <c r="G51" i="1"/>
  <c r="G54" i="1"/>
  <c r="G57" i="1"/>
  <c r="G60" i="1"/>
  <c r="G63" i="1"/>
  <c r="G66" i="1"/>
  <c r="G69" i="1"/>
  <c r="G72" i="1"/>
  <c r="G75" i="1"/>
  <c r="G78" i="1"/>
  <c r="G81" i="1"/>
  <c r="G85" i="1"/>
  <c r="G88" i="1"/>
  <c r="G91" i="1"/>
  <c r="G94" i="1"/>
  <c r="G97" i="1"/>
  <c r="G100" i="1"/>
  <c r="G104" i="1"/>
  <c r="G107" i="1"/>
  <c r="G184" i="1"/>
  <c r="G187" i="1"/>
  <c r="G188" i="1"/>
  <c r="G191" i="1"/>
  <c r="G194" i="1"/>
  <c r="G197" i="1"/>
  <c r="G201" i="1"/>
  <c r="G205" i="1"/>
  <c r="G208" i="1"/>
  <c r="G214" i="1"/>
  <c r="D21" i="1"/>
  <c r="D22" i="1"/>
  <c r="D25" i="1"/>
  <c r="D28" i="1"/>
  <c r="D31" i="1"/>
  <c r="D34" i="1"/>
  <c r="D39" i="1"/>
  <c r="D42" i="1"/>
  <c r="D45" i="1"/>
  <c r="D48" i="1"/>
  <c r="D51" i="1"/>
  <c r="D54" i="1"/>
  <c r="D57" i="1"/>
  <c r="D60" i="1"/>
  <c r="D63" i="1"/>
  <c r="D66" i="1"/>
  <c r="D69" i="1"/>
  <c r="D72" i="1"/>
  <c r="D75" i="1"/>
  <c r="D78" i="1"/>
  <c r="D81" i="1"/>
  <c r="D85" i="1"/>
  <c r="D88" i="1"/>
  <c r="D91" i="1"/>
  <c r="D94" i="1"/>
  <c r="D97" i="1"/>
  <c r="D100" i="1"/>
  <c r="D104" i="1"/>
  <c r="D107" i="1"/>
  <c r="D184" i="1"/>
  <c r="D187" i="1"/>
  <c r="D188" i="1"/>
  <c r="D191" i="1"/>
  <c r="D194" i="1"/>
  <c r="D197" i="1"/>
  <c r="D201" i="1"/>
  <c r="D205" i="1"/>
  <c r="D208" i="1"/>
  <c r="D214" i="1"/>
  <c r="H212" i="1"/>
  <c r="H206" i="1"/>
  <c r="H203" i="1"/>
  <c r="H199" i="1"/>
  <c r="H195" i="1"/>
  <c r="H192" i="1"/>
  <c r="H189" i="1"/>
  <c r="H185" i="1"/>
  <c r="H182" i="1"/>
  <c r="H105" i="1"/>
  <c r="H102" i="1"/>
  <c r="H98" i="1"/>
  <c r="H95" i="1"/>
  <c r="H92" i="1"/>
  <c r="H89" i="1"/>
  <c r="H86" i="1"/>
  <c r="H83" i="1"/>
  <c r="H79" i="1"/>
  <c r="H76" i="1"/>
  <c r="H73" i="1"/>
  <c r="H70" i="1"/>
  <c r="H67" i="1"/>
  <c r="H64" i="1"/>
  <c r="H61" i="1"/>
  <c r="H58" i="1"/>
  <c r="H55" i="1"/>
  <c r="H52" i="1"/>
  <c r="H49" i="1"/>
  <c r="H46" i="1"/>
  <c r="H43" i="1"/>
  <c r="H40" i="1"/>
  <c r="H37" i="1"/>
  <c r="H32" i="1"/>
  <c r="H29" i="1"/>
  <c r="H26" i="1"/>
  <c r="H23" i="1"/>
  <c r="H19" i="1"/>
  <c r="E212" i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AH212" i="1" s="1"/>
  <c r="E206" i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E203" i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E199" i="1"/>
  <c r="L199" i="1" s="1"/>
  <c r="E195" i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AF195" i="1" s="1"/>
  <c r="AH195" i="1" s="1"/>
  <c r="E192" i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E189" i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AH189" i="1" s="1"/>
  <c r="E185" i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E182" i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E105" i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E102" i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E98" i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E95" i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AH95" i="1" s="1"/>
  <c r="E92" i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H92" i="1" s="1"/>
  <c r="E89" i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F89" i="1" s="1"/>
  <c r="AH89" i="1" s="1"/>
  <c r="E86" i="1"/>
  <c r="L86" i="1" s="1"/>
  <c r="N86" i="1" s="1"/>
  <c r="P86" i="1" s="1"/>
  <c r="R86" i="1" s="1"/>
  <c r="T86" i="1" s="1"/>
  <c r="V86" i="1" s="1"/>
  <c r="X86" i="1" s="1"/>
  <c r="Z86" i="1" s="1"/>
  <c r="AB86" i="1" s="1"/>
  <c r="AD86" i="1" s="1"/>
  <c r="AF86" i="1" s="1"/>
  <c r="AH86" i="1" s="1"/>
  <c r="E83" i="1"/>
  <c r="L83" i="1" s="1"/>
  <c r="E79" i="1"/>
  <c r="L79" i="1" s="1"/>
  <c r="E76" i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E73" i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E70" i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E67" i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AF67" i="1" s="1"/>
  <c r="AH67" i="1" s="1"/>
  <c r="E64" i="1"/>
  <c r="L64" i="1" s="1"/>
  <c r="E61" i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E58" i="1"/>
  <c r="L58" i="1" s="1"/>
  <c r="N58" i="1" s="1"/>
  <c r="P58" i="1" s="1"/>
  <c r="R58" i="1" s="1"/>
  <c r="T58" i="1" s="1"/>
  <c r="V58" i="1" s="1"/>
  <c r="X58" i="1" s="1"/>
  <c r="Z58" i="1" s="1"/>
  <c r="AB58" i="1" s="1"/>
  <c r="AD58" i="1" s="1"/>
  <c r="AF58" i="1" s="1"/>
  <c r="AH58" i="1" s="1"/>
  <c r="E55" i="1"/>
  <c r="L55" i="1" s="1"/>
  <c r="N55" i="1" s="1"/>
  <c r="P55" i="1" s="1"/>
  <c r="R55" i="1" s="1"/>
  <c r="T55" i="1" s="1"/>
  <c r="V55" i="1" s="1"/>
  <c r="X55" i="1" s="1"/>
  <c r="Z55" i="1" s="1"/>
  <c r="AB55" i="1" s="1"/>
  <c r="AD55" i="1" s="1"/>
  <c r="AF55" i="1" s="1"/>
  <c r="AH55" i="1" s="1"/>
  <c r="E52" i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AF52" i="1" s="1"/>
  <c r="AH52" i="1" s="1"/>
  <c r="E49" i="1"/>
  <c r="L49" i="1" s="1"/>
  <c r="N49" i="1" s="1"/>
  <c r="P49" i="1" s="1"/>
  <c r="R49" i="1" s="1"/>
  <c r="T49" i="1" s="1"/>
  <c r="V49" i="1" s="1"/>
  <c r="X49" i="1" s="1"/>
  <c r="Z49" i="1" s="1"/>
  <c r="AB49" i="1" s="1"/>
  <c r="AD49" i="1" s="1"/>
  <c r="AF49" i="1" s="1"/>
  <c r="AH49" i="1" s="1"/>
  <c r="E46" i="1"/>
  <c r="L46" i="1" s="1"/>
  <c r="N46" i="1" s="1"/>
  <c r="P46" i="1" s="1"/>
  <c r="R46" i="1" s="1"/>
  <c r="T46" i="1" s="1"/>
  <c r="V46" i="1" s="1"/>
  <c r="X46" i="1" s="1"/>
  <c r="Z46" i="1" s="1"/>
  <c r="AB46" i="1" s="1"/>
  <c r="AD46" i="1" s="1"/>
  <c r="AF46" i="1" s="1"/>
  <c r="AH46" i="1" s="1"/>
  <c r="E43" i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AH43" i="1" s="1"/>
  <c r="E40" i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AH40" i="1" s="1"/>
  <c r="E37" i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AH37" i="1" s="1"/>
  <c r="E32" i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AF32" i="1" s="1"/>
  <c r="AH32" i="1" s="1"/>
  <c r="E29" i="1"/>
  <c r="L29" i="1" s="1"/>
  <c r="N29" i="1" s="1"/>
  <c r="P29" i="1" s="1"/>
  <c r="R29" i="1" s="1"/>
  <c r="T29" i="1" s="1"/>
  <c r="V29" i="1" s="1"/>
  <c r="X29" i="1" s="1"/>
  <c r="Z29" i="1" s="1"/>
  <c r="AB29" i="1" s="1"/>
  <c r="AD29" i="1" s="1"/>
  <c r="AF29" i="1" s="1"/>
  <c r="AH29" i="1" s="1"/>
  <c r="E26" i="1"/>
  <c r="L26" i="1" s="1"/>
  <c r="E23" i="1"/>
  <c r="L23" i="1" s="1"/>
  <c r="N23" i="1" s="1"/>
  <c r="P23" i="1" s="1"/>
  <c r="R23" i="1" s="1"/>
  <c r="T23" i="1" s="1"/>
  <c r="V23" i="1" s="1"/>
  <c r="X23" i="1" s="1"/>
  <c r="Z23" i="1" s="1"/>
  <c r="AB23" i="1" s="1"/>
  <c r="AD23" i="1" s="1"/>
  <c r="AF23" i="1" s="1"/>
  <c r="AH23" i="1" s="1"/>
  <c r="E19" i="1"/>
  <c r="I212" i="1"/>
  <c r="I206" i="1"/>
  <c r="I203" i="1"/>
  <c r="I199" i="1"/>
  <c r="I195" i="1"/>
  <c r="I192" i="1"/>
  <c r="I189" i="1"/>
  <c r="I185" i="1"/>
  <c r="I182" i="1"/>
  <c r="I105" i="1"/>
  <c r="I102" i="1"/>
  <c r="I98" i="1"/>
  <c r="I95" i="1"/>
  <c r="I92" i="1"/>
  <c r="I89" i="1"/>
  <c r="I86" i="1"/>
  <c r="I83" i="1"/>
  <c r="I79" i="1"/>
  <c r="I76" i="1"/>
  <c r="I73" i="1"/>
  <c r="I70" i="1"/>
  <c r="I67" i="1"/>
  <c r="I64" i="1"/>
  <c r="I61" i="1"/>
  <c r="I58" i="1"/>
  <c r="I55" i="1"/>
  <c r="I52" i="1"/>
  <c r="I49" i="1"/>
  <c r="I46" i="1"/>
  <c r="I43" i="1"/>
  <c r="I40" i="1"/>
  <c r="I37" i="1"/>
  <c r="I32" i="1"/>
  <c r="I29" i="1"/>
  <c r="I26" i="1"/>
  <c r="I23" i="1"/>
  <c r="I19" i="1"/>
  <c r="F212" i="1"/>
  <c r="C212" i="1"/>
  <c r="F206" i="1"/>
  <c r="C206" i="1"/>
  <c r="F203" i="1"/>
  <c r="C203" i="1"/>
  <c r="F199" i="1"/>
  <c r="C199" i="1"/>
  <c r="F195" i="1"/>
  <c r="C195" i="1"/>
  <c r="F192" i="1"/>
  <c r="C192" i="1"/>
  <c r="F189" i="1"/>
  <c r="C189" i="1"/>
  <c r="F185" i="1"/>
  <c r="C185" i="1"/>
  <c r="F182" i="1"/>
  <c r="C182" i="1"/>
  <c r="F105" i="1"/>
  <c r="C105" i="1"/>
  <c r="F102" i="1"/>
  <c r="C102" i="1"/>
  <c r="F98" i="1"/>
  <c r="C98" i="1"/>
  <c r="F95" i="1"/>
  <c r="C95" i="1"/>
  <c r="F92" i="1"/>
  <c r="C92" i="1"/>
  <c r="F89" i="1"/>
  <c r="C89" i="1"/>
  <c r="F86" i="1"/>
  <c r="C86" i="1"/>
  <c r="F83" i="1"/>
  <c r="C83" i="1"/>
  <c r="F79" i="1"/>
  <c r="C79" i="1"/>
  <c r="F76" i="1"/>
  <c r="C76" i="1"/>
  <c r="F73" i="1"/>
  <c r="C73" i="1"/>
  <c r="F70" i="1"/>
  <c r="C70" i="1"/>
  <c r="F67" i="1"/>
  <c r="C67" i="1"/>
  <c r="F64" i="1"/>
  <c r="C64" i="1"/>
  <c r="F61" i="1"/>
  <c r="C61" i="1"/>
  <c r="F58" i="1"/>
  <c r="C58" i="1"/>
  <c r="F55" i="1"/>
  <c r="C55" i="1"/>
  <c r="F52" i="1"/>
  <c r="C52" i="1"/>
  <c r="F49" i="1"/>
  <c r="C49" i="1"/>
  <c r="F46" i="1"/>
  <c r="C46" i="1"/>
  <c r="F43" i="1"/>
  <c r="C43" i="1"/>
  <c r="F40" i="1"/>
  <c r="C40" i="1"/>
  <c r="F37" i="1"/>
  <c r="C37" i="1"/>
  <c r="F32" i="1"/>
  <c r="C32" i="1"/>
  <c r="F29" i="1"/>
  <c r="C29" i="1"/>
  <c r="F26" i="1"/>
  <c r="C26" i="1"/>
  <c r="F23" i="1"/>
  <c r="C23" i="1"/>
  <c r="F19" i="1"/>
  <c r="C19" i="1"/>
  <c r="AF181" i="1" l="1"/>
  <c r="AH182" i="1"/>
  <c r="AH181" i="1" s="1"/>
  <c r="C18" i="1"/>
  <c r="F181" i="1"/>
  <c r="F18" i="1"/>
  <c r="K139" i="1"/>
  <c r="N139" i="1"/>
  <c r="P139" i="1" s="1"/>
  <c r="R139" i="1" s="1"/>
  <c r="T139" i="1" s="1"/>
  <c r="V139" i="1" s="1"/>
  <c r="X139" i="1" s="1"/>
  <c r="Z139" i="1" s="1"/>
  <c r="AB139" i="1" s="1"/>
  <c r="AD139" i="1" s="1"/>
  <c r="AF139" i="1" s="1"/>
  <c r="AH139" i="1" s="1"/>
  <c r="K133" i="1"/>
  <c r="K112" i="1"/>
  <c r="I18" i="1"/>
  <c r="H18" i="1"/>
  <c r="G115" i="1"/>
  <c r="C181" i="1"/>
  <c r="C233" i="1" s="1"/>
  <c r="K121" i="1"/>
  <c r="K127" i="1"/>
  <c r="E18" i="1"/>
  <c r="L18" i="1" s="1"/>
  <c r="L19" i="1"/>
  <c r="K26" i="1"/>
  <c r="K32" i="1"/>
  <c r="K40" i="1"/>
  <c r="K46" i="1"/>
  <c r="K52" i="1"/>
  <c r="K58" i="1"/>
  <c r="K64" i="1"/>
  <c r="K70" i="1"/>
  <c r="K76" i="1"/>
  <c r="K83" i="1"/>
  <c r="K89" i="1"/>
  <c r="K95" i="1"/>
  <c r="K102" i="1"/>
  <c r="K182" i="1"/>
  <c r="K189" i="1"/>
  <c r="K195" i="1"/>
  <c r="K203" i="1"/>
  <c r="K118" i="1"/>
  <c r="K124" i="1"/>
  <c r="K130" i="1"/>
  <c r="K23" i="1"/>
  <c r="K29" i="1"/>
  <c r="K37" i="1"/>
  <c r="K43" i="1"/>
  <c r="K49" i="1"/>
  <c r="K55" i="1"/>
  <c r="K61" i="1"/>
  <c r="K67" i="1"/>
  <c r="K73" i="1"/>
  <c r="K79" i="1"/>
  <c r="K86" i="1"/>
  <c r="K92" i="1"/>
  <c r="K98" i="1"/>
  <c r="K105" i="1"/>
  <c r="K185" i="1"/>
  <c r="K192" i="1"/>
  <c r="K199" i="1"/>
  <c r="K206" i="1"/>
  <c r="K212" i="1"/>
  <c r="K109" i="1"/>
  <c r="K115" i="1"/>
  <c r="G109" i="1"/>
  <c r="G112" i="1"/>
  <c r="D121" i="1"/>
  <c r="G124" i="1"/>
  <c r="G130" i="1"/>
  <c r="H181" i="1"/>
  <c r="G118" i="1"/>
  <c r="G121" i="1"/>
  <c r="G127" i="1"/>
  <c r="D130" i="1"/>
  <c r="G133" i="1"/>
  <c r="D115" i="1"/>
  <c r="I181" i="1"/>
  <c r="E181" i="1"/>
  <c r="D133" i="1"/>
  <c r="D127" i="1"/>
  <c r="D124" i="1"/>
  <c r="D118" i="1"/>
  <c r="D112" i="1"/>
  <c r="D109" i="1"/>
  <c r="D19" i="1"/>
  <c r="D26" i="1"/>
  <c r="D32" i="1"/>
  <c r="D40" i="1"/>
  <c r="D46" i="1"/>
  <c r="D52" i="1"/>
  <c r="D58" i="1"/>
  <c r="D64" i="1"/>
  <c r="D70" i="1"/>
  <c r="D76" i="1"/>
  <c r="D83" i="1"/>
  <c r="D89" i="1"/>
  <c r="D95" i="1"/>
  <c r="D102" i="1"/>
  <c r="D185" i="1"/>
  <c r="D192" i="1"/>
  <c r="D199" i="1"/>
  <c r="D206" i="1"/>
  <c r="D212" i="1"/>
  <c r="G23" i="1"/>
  <c r="G29" i="1"/>
  <c r="G37" i="1"/>
  <c r="G43" i="1"/>
  <c r="G49" i="1"/>
  <c r="G55" i="1"/>
  <c r="G61" i="1"/>
  <c r="G67" i="1"/>
  <c r="G73" i="1"/>
  <c r="G79" i="1"/>
  <c r="G86" i="1"/>
  <c r="G92" i="1"/>
  <c r="G98" i="1"/>
  <c r="G105" i="1"/>
  <c r="G185" i="1"/>
  <c r="G192" i="1"/>
  <c r="G199" i="1"/>
  <c r="G206" i="1"/>
  <c r="G212" i="1"/>
  <c r="D23" i="1"/>
  <c r="D29" i="1"/>
  <c r="D37" i="1"/>
  <c r="D43" i="1"/>
  <c r="D49" i="1"/>
  <c r="D55" i="1"/>
  <c r="D61" i="1"/>
  <c r="D67" i="1"/>
  <c r="D73" i="1"/>
  <c r="D79" i="1"/>
  <c r="D86" i="1"/>
  <c r="D92" i="1"/>
  <c r="D98" i="1"/>
  <c r="D105" i="1"/>
  <c r="D182" i="1"/>
  <c r="D189" i="1"/>
  <c r="D195" i="1"/>
  <c r="D203" i="1"/>
  <c r="G19" i="1"/>
  <c r="G26" i="1"/>
  <c r="G32" i="1"/>
  <c r="G40" i="1"/>
  <c r="G46" i="1"/>
  <c r="G52" i="1"/>
  <c r="G58" i="1"/>
  <c r="G64" i="1"/>
  <c r="G70" i="1"/>
  <c r="G76" i="1"/>
  <c r="G83" i="1"/>
  <c r="G89" i="1"/>
  <c r="G95" i="1"/>
  <c r="G102" i="1"/>
  <c r="G189" i="1"/>
  <c r="G195" i="1"/>
  <c r="G203" i="1"/>
  <c r="G181" i="1"/>
  <c r="G182" i="1"/>
  <c r="K18" i="1" l="1"/>
  <c r="I233" i="1"/>
  <c r="G18" i="1"/>
  <c r="F233" i="1"/>
  <c r="K19" i="1"/>
  <c r="N19" i="1"/>
  <c r="P19" i="1" s="1"/>
  <c r="R19" i="1" s="1"/>
  <c r="T19" i="1" s="1"/>
  <c r="V19" i="1" s="1"/>
  <c r="X19" i="1" s="1"/>
  <c r="Z19" i="1" s="1"/>
  <c r="AB19" i="1" s="1"/>
  <c r="AD19" i="1" s="1"/>
  <c r="AF19" i="1" s="1"/>
  <c r="AH19" i="1" s="1"/>
  <c r="D181" i="1"/>
  <c r="L181" i="1"/>
  <c r="H233" i="1"/>
  <c r="E233" i="1"/>
  <c r="D18" i="1"/>
  <c r="G233" i="1" l="1"/>
  <c r="K181" i="1"/>
  <c r="N181" i="1"/>
  <c r="P181" i="1" s="1"/>
  <c r="R181" i="1" s="1"/>
  <c r="T181" i="1" s="1"/>
  <c r="V181" i="1" s="1"/>
  <c r="X181" i="1" s="1"/>
  <c r="Z181" i="1" s="1"/>
  <c r="AB181" i="1" s="1"/>
  <c r="AD181" i="1" s="1"/>
  <c r="D233" i="1"/>
  <c r="L233" i="1"/>
  <c r="K233" i="1" s="1"/>
  <c r="M64" i="1"/>
  <c r="N64" i="1" s="1"/>
  <c r="P64" i="1" s="1"/>
  <c r="R64" i="1" s="1"/>
  <c r="T64" i="1" s="1"/>
  <c r="V64" i="1" s="1"/>
  <c r="X64" i="1" s="1"/>
  <c r="Z64" i="1" s="1"/>
  <c r="AB64" i="1" s="1"/>
  <c r="AD64" i="1" s="1"/>
  <c r="AF64" i="1" s="1"/>
  <c r="AH64" i="1" s="1"/>
  <c r="N66" i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N28" i="1"/>
  <c r="M26" i="1"/>
  <c r="N26" i="1" s="1"/>
  <c r="M83" i="1"/>
  <c r="N83" i="1" s="1"/>
  <c r="P83" i="1" s="1"/>
  <c r="R83" i="1" s="1"/>
  <c r="T83" i="1" s="1"/>
  <c r="V83" i="1" s="1"/>
  <c r="X83" i="1" s="1"/>
  <c r="Z83" i="1" s="1"/>
  <c r="AB83" i="1" s="1"/>
  <c r="AD83" i="1" s="1"/>
  <c r="AF83" i="1" s="1"/>
  <c r="AH83" i="1" s="1"/>
  <c r="N85" i="1"/>
  <c r="P85" i="1" s="1"/>
  <c r="R85" i="1" s="1"/>
  <c r="T85" i="1" s="1"/>
  <c r="V85" i="1" s="1"/>
  <c r="X85" i="1" s="1"/>
  <c r="Z85" i="1" s="1"/>
  <c r="AB85" i="1" s="1"/>
  <c r="AD85" i="1" s="1"/>
  <c r="AF85" i="1" s="1"/>
  <c r="AH85" i="1" s="1"/>
  <c r="M79" i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N81" i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M18" i="1" l="1"/>
  <c r="N18" i="1" s="1"/>
  <c r="M233" i="1" l="1"/>
  <c r="N233" i="1"/>
  <c r="P233" i="1" s="1"/>
  <c r="R233" i="1" s="1"/>
  <c r="T233" i="1" s="1"/>
  <c r="V233" i="1" s="1"/>
  <c r="X233" i="1" s="1"/>
  <c r="Z233" i="1" s="1"/>
  <c r="AB233" i="1" s="1"/>
  <c r="AD233" i="1" s="1"/>
  <c r="P18" i="1"/>
  <c r="R18" i="1" s="1"/>
  <c r="T18" i="1" s="1"/>
  <c r="V18" i="1" s="1"/>
  <c r="X18" i="1" s="1"/>
  <c r="Z18" i="1" s="1"/>
  <c r="AB18" i="1" s="1"/>
  <c r="AD18" i="1" s="1"/>
  <c r="AF18" i="1" s="1"/>
  <c r="AF233" i="1" l="1"/>
  <c r="AH18" i="1"/>
  <c r="AH233" i="1" s="1"/>
</calcChain>
</file>

<file path=xl/sharedStrings.xml><?xml version="1.0" encoding="utf-8"?>
<sst xmlns="http://schemas.openxmlformats.org/spreadsheetml/2006/main" count="322" uniqueCount="156">
  <si>
    <t xml:space="preserve">Перечень </t>
  </si>
  <si>
    <t>№ п/п</t>
  </si>
  <si>
    <t>Название программы</t>
  </si>
  <si>
    <t>2013 год</t>
  </si>
  <si>
    <t>2014 год</t>
  </si>
  <si>
    <t>изменения</t>
  </si>
  <si>
    <t>Ведомственные целевые программы - всего, в том числе:</t>
  </si>
  <si>
    <t>"Лицензирование образовательных учреждений города Перми"</t>
  </si>
  <si>
    <t>в том числе:</t>
  </si>
  <si>
    <t>местный бюджет</t>
  </si>
  <si>
    <t>краевой бюджет</t>
  </si>
  <si>
    <t>"Организация дорожного движения в городе Перми"</t>
  </si>
  <si>
    <t>"Развитие Ленинского района города Перми"</t>
  </si>
  <si>
    <t>"Развитие Свердловского района города Перми"</t>
  </si>
  <si>
    <t>"Развитие Мотовилихинского района города Перми"</t>
  </si>
  <si>
    <t>"Развитие Дзержинского района города Перми"</t>
  </si>
  <si>
    <t>"Развитие Индустриального района города Перми"</t>
  </si>
  <si>
    <t>"Развитие Кировского района города Перми"</t>
  </si>
  <si>
    <t>"Развитие Орджоникидзевского района города Перми"</t>
  </si>
  <si>
    <t>"Развитие поселка Новые Ляды"</t>
  </si>
  <si>
    <t>"Светлый город"</t>
  </si>
  <si>
    <t>"Обеспечение жильем молодых семей в городе Перми на 2011-2015 годы"</t>
  </si>
  <si>
    <t>"Пермский трамвай"</t>
  </si>
  <si>
    <t>"Переход на электронный документооборот в сфере управления финансами города Перми"</t>
  </si>
  <si>
    <t>"Развитие муниципальной службы в администрации города в 2012-2014 годах"</t>
  </si>
  <si>
    <t>"Приведение в нормативное состояние спортивных объектов города Перми"</t>
  </si>
  <si>
    <t>"Развитие системы образования города  Перми"</t>
  </si>
  <si>
    <t>"Дети - будущее культурной столицы"</t>
  </si>
  <si>
    <t>"Приведение в нормативное состояние учреждений в сфере культуры"</t>
  </si>
  <si>
    <t>Долгосрочные целевые  программы - всего, в том числе:</t>
  </si>
  <si>
    <t>"Организация и обустройство мест массового отдыха жителей города Перми"</t>
  </si>
  <si>
    <t>"Организация оздоровления, отдыха и занятости детей города Перми"</t>
  </si>
  <si>
    <t>"Социальная поддержка населения города Перми"</t>
  </si>
  <si>
    <t>"Молодежь города Перми"</t>
  </si>
  <si>
    <t>"Развитие физической культуры и спорта в городе Перми"</t>
  </si>
  <si>
    <t>"Сокращение очередности в детские сады"</t>
  </si>
  <si>
    <t>Итого по  программам</t>
  </si>
  <si>
    <t>«Сопровождение автоматизированной информационной системы обеспечения градостроительной деятельности»</t>
  </si>
  <si>
    <t>"Газификация в микрорайонах индивидуальной застройки города Перми на 2012 - 2017 годы"</t>
  </si>
  <si>
    <t>"Развитие физической культуры и массового спорта в городе Перми"</t>
  </si>
  <si>
    <t>"Преобразование территории набережной реки Камы"</t>
  </si>
  <si>
    <t>"Обеспечение платности и законности использования земли на территории города Перми"</t>
  </si>
  <si>
    <t>"Наполнение автоматизированной информационной системы обеспечения градостроительной деятельности"</t>
  </si>
  <si>
    <t>«Восстановление автомобильных дорог общего пользования местного значения города Перми»</t>
  </si>
  <si>
    <t>2015 год (I чтение)</t>
  </si>
  <si>
    <t>проект</t>
  </si>
  <si>
    <t>2014 год (I чтение)</t>
  </si>
  <si>
    <t>"Управление муниципальным жилищным фондом города Перми"</t>
  </si>
  <si>
    <t>"Повышение эффективности управления имущественным комплексом административных зданий (помещений) города Перми в 2013-2015 годах"</t>
  </si>
  <si>
    <t>"Развитие архивного дела в городе Перми в 2013-2015 годах"</t>
  </si>
  <si>
    <t>"Обустройство пешеходных зон в городе Перми"</t>
  </si>
  <si>
    <t>"Обеспечение и развитие театрально-концертной деятельности муниципальных учреждений культуры города Перми"</t>
  </si>
  <si>
    <t>"Сохранение, использование и популяризация объектов культурного наследия (памятников истории и культуры) города Перми"</t>
  </si>
  <si>
    <t>"Городские культурно-массовые мероприятия"</t>
  </si>
  <si>
    <t>"Регулирование численности безнадзорных собак и кошек на территории города Перми"</t>
  </si>
  <si>
    <t>"Управление и распоряжение муниципальным имуществом города Перми"</t>
  </si>
  <si>
    <t>"Реализация природоохранных мероприятий на территории города Перми на 2013-2015 годы"</t>
  </si>
  <si>
    <t>"Охрана, защита, воспроизводство городских лесов и обустройство мест отдыха на 2013-2015 годы"</t>
  </si>
  <si>
    <t>"Капитальный ремонт общего имущества в многоквартирных домах в городе Перми"</t>
  </si>
  <si>
    <t>Организация ритуальных услуг и содержание мест захоронения в городе Перми на 2013-2015 годы"</t>
  </si>
  <si>
    <t>"Формирование рыночных механизмов и института собственников в сфере управления многоквартирными домами в городе Перми на 2013-2015 годы"</t>
  </si>
  <si>
    <t>"Обеспечение условий для развития систем коммунальной инфраструктуры"</t>
  </si>
  <si>
    <t>"Капитальный ремонт фасадов многоквартирных домов центральных улиц в городе Перми"</t>
  </si>
  <si>
    <t>"Создание эффективной системы обращения с твердыми бытовыми отходами на период 2012-2020 годы"</t>
  </si>
  <si>
    <t>"Энергосбережение и повышение энергетической эффективности города Перми на период 2011-2015 годы"</t>
  </si>
  <si>
    <t>"Эффективное управление муниципальной долей собственности в многоквартирных домах в городе Перми"</t>
  </si>
  <si>
    <t>Долгосрочная целевая программа по развитию взаимодействия органов городского самоуправления и некоммерческих организаций в городе Перми "Общественное участие на 2010-2013 годы"</t>
  </si>
  <si>
    <t>"Обустройство подходов к объектам социальной сферы"</t>
  </si>
  <si>
    <t>"Развитие малого и среднего предпринимательства в городе Перми на 2009-2015 годы"</t>
  </si>
  <si>
    <t>"Обеспечение первичных мер пожарной безопасности на территории города Перми на 2010-2016 годы"</t>
  </si>
  <si>
    <t xml:space="preserve">   ведомственных и долгосрочных целевых программ на 2013 год</t>
  </si>
  <si>
    <t>с учетом изменений</t>
  </si>
  <si>
    <t>Поправки ко II чтению 2013 год</t>
  </si>
  <si>
    <t>"Создание условий и реализация услуги дополнительного образования детей инженерно-технической направленности в МАОУ "СОШ № 16" г.Перми</t>
  </si>
  <si>
    <t>"Создание условий и реализация услуги дополнительного образования детей по направлению "Информационно-коммуникационные технологии" в МАОУ "СОШ № 10" г.Перми</t>
  </si>
  <si>
    <t>"Создание условий и реализация услуги дополнительного образования детей дизайнерской направленности в МАОУ "СОШ № 43" г.Перми</t>
  </si>
  <si>
    <t>"Создание условий и реализация услуги дополнительного образования культурно-эстетической направленности детей спортсменов, занимающихся киокусинкай в МАОУ "СОШ № 32" им.Г.А.Сборщикова" г.Перми</t>
  </si>
  <si>
    <t>тыс. руб.</t>
  </si>
  <si>
    <t>796 50 00</t>
  </si>
  <si>
    <t>796 55 00</t>
  </si>
  <si>
    <t>796 56 00</t>
  </si>
  <si>
    <t>от 18.12.2012 № 300</t>
  </si>
  <si>
    <t>тыс.руб.</t>
  </si>
  <si>
    <t>796 05 01</t>
  </si>
  <si>
    <t>796 52 00</t>
  </si>
  <si>
    <t>"Разработка документации по планировке территории города Перми"</t>
  </si>
  <si>
    <t>«Капитальный ремонт территорий Пермского планетария и видовой площадки в Мотовилихинском районе города Перми»</t>
  </si>
  <si>
    <t>796 67 00</t>
  </si>
  <si>
    <t>796 28 00</t>
  </si>
  <si>
    <t>796 34 00</t>
  </si>
  <si>
    <t>796 35 00</t>
  </si>
  <si>
    <t>796 36 00</t>
  </si>
  <si>
    <t>796 31 00</t>
  </si>
  <si>
    <t>796 33 00</t>
  </si>
  <si>
    <t>796 37 00</t>
  </si>
  <si>
    <t>796 32 00</t>
  </si>
  <si>
    <t>796 38 00</t>
  </si>
  <si>
    <t>797 04 00</t>
  </si>
  <si>
    <t>796 10 00</t>
  </si>
  <si>
    <t>"Создание условий для повышения эффективности деятельности администрации города Перми за счет применения информационных технологий на 2012-2015 годы"</t>
  </si>
  <si>
    <t>796 03 00</t>
  </si>
  <si>
    <t>796 16 00</t>
  </si>
  <si>
    <t>796 53 00</t>
  </si>
  <si>
    <t>796 11 00</t>
  </si>
  <si>
    <t>797 14 00</t>
  </si>
  <si>
    <t>«Безопасный город»</t>
  </si>
  <si>
    <t>797 05 00</t>
  </si>
  <si>
    <t>796 20 00</t>
  </si>
  <si>
    <t>796 47 00</t>
  </si>
  <si>
    <t>796 54 00</t>
  </si>
  <si>
    <t>796 09 00</t>
  </si>
  <si>
    <t>797 03 00</t>
  </si>
  <si>
    <t>796 58 00</t>
  </si>
  <si>
    <t>796 49 00</t>
  </si>
  <si>
    <t>522 20 00</t>
  </si>
  <si>
    <t>796 05 02</t>
  </si>
  <si>
    <t>796 07 00</t>
  </si>
  <si>
    <t>796 19 00</t>
  </si>
  <si>
    <t>797 06 00</t>
  </si>
  <si>
    <t>796 06 00</t>
  </si>
  <si>
    <t>796 14 00</t>
  </si>
  <si>
    <t>796 46 00</t>
  </si>
  <si>
    <t>796 51 00</t>
  </si>
  <si>
    <t>796 08 00</t>
  </si>
  <si>
    <t>"Снос и реконструкция многоквартирных домов в целях развития застроенных территорий города Перми на 2009-2015 годы"</t>
  </si>
  <si>
    <t>797 08 00</t>
  </si>
  <si>
    <t>796 43 00</t>
  </si>
  <si>
    <t>2013 год (решение комитета № 19 от 18.042013)</t>
  </si>
  <si>
    <t>2013 год (с учетом решения комитета)</t>
  </si>
  <si>
    <t>"Переселение граждан города Перми из  аварийного жилищного фонда"</t>
  </si>
  <si>
    <t>796 15 00</t>
  </si>
  <si>
    <t>796 66 00</t>
  </si>
  <si>
    <t>796 59 00</t>
  </si>
  <si>
    <t>796 60 00</t>
  </si>
  <si>
    <t>Пермской городской Думы</t>
  </si>
  <si>
    <t>к решению</t>
  </si>
  <si>
    <t>ПРИЛОЖЕНИЕ № 15</t>
  </si>
  <si>
    <t>федеральный бюджет</t>
  </si>
  <si>
    <t>098 02 02</t>
  </si>
  <si>
    <t>098 02 01</t>
  </si>
  <si>
    <t>Модернизация образовательных программ дополнительного образования детей в городе Перми</t>
  </si>
  <si>
    <t>796 68 00</t>
  </si>
  <si>
    <t>796 62 00</t>
  </si>
  <si>
    <t>796 63 00</t>
  </si>
  <si>
    <t>796 64 00</t>
  </si>
  <si>
    <t>796 65 00</t>
  </si>
  <si>
    <t>797 13 00</t>
  </si>
  <si>
    <t>Долгосрочная целевая программа "Профилактика правонарушений на территории города Перми на 2013-2015 годы"</t>
  </si>
  <si>
    <t>797 19 00</t>
  </si>
  <si>
    <t>"Планировка территорий и благоустройство центральных улиц города Перми"</t>
  </si>
  <si>
    <t>797 07 00</t>
  </si>
  <si>
    <t>797 15 00</t>
  </si>
  <si>
    <t>797 18 00</t>
  </si>
  <si>
    <t>797 09 00</t>
  </si>
  <si>
    <t>521 02 26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</si>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</sst>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/>
    <xf numFmtId="164" fontId="1" fillId="2" borderId="1" xfId="0" applyNumberFormat="1" applyFont="1" applyFill="1" applyBorder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3" fillId="3" borderId="1" xfId="0" applyNumberFormat="1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64" fontId="1" fillId="4" borderId="1" xfId="0" applyNumberFormat="1" applyFont="1" applyFill="1" applyBorder="1"/>
    <xf numFmtId="164" fontId="1" fillId="4" borderId="5" xfId="0" applyNumberFormat="1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164" fontId="1" fillId="5" borderId="1" xfId="0" applyNumberFormat="1" applyFont="1" applyFill="1" applyBorder="1"/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233"/>
  <sheetViews>
    <sheetView tabSelected="1" topLeftCell="A2" zoomScaleNormal="100" workbookViewId="0">
      <selection activeCell="AM32" sqref="AM32"/>
    </sheetView>
  </sheetViews>
  <sheetFormatPr defaultRowHeight="15.75" x14ac:dyDescent="0.25"/>
  <cols>
    <col min="1" max="1" width="7.140625" style="14" customWidth="1"/>
    <col min="2" max="2" width="72.85546875" style="14" customWidth="1"/>
    <col min="3" max="3" width="14.140625" style="1" hidden="1" customWidth="1"/>
    <col min="4" max="4" width="14.85546875" style="1" hidden="1" customWidth="1"/>
    <col min="5" max="5" width="14.140625" style="1" hidden="1" customWidth="1"/>
    <col min="6" max="6" width="14.42578125" style="1" hidden="1" customWidth="1"/>
    <col min="7" max="7" width="15.140625" style="1" hidden="1" customWidth="1"/>
    <col min="8" max="9" width="14.42578125" style="1" hidden="1" customWidth="1"/>
    <col min="10" max="10" width="16" style="1" hidden="1" customWidth="1"/>
    <col min="11" max="12" width="15" style="1" hidden="1" customWidth="1"/>
    <col min="13" max="18" width="15" style="14" hidden="1" customWidth="1"/>
    <col min="19" max="19" width="18.5703125" style="14" hidden="1" customWidth="1"/>
    <col min="20" max="22" width="15" style="14" hidden="1" customWidth="1"/>
    <col min="23" max="23" width="14.7109375" style="14" hidden="1" customWidth="1"/>
    <col min="24" max="25" width="14.5703125" style="14" hidden="1" customWidth="1"/>
    <col min="26" max="26" width="14.42578125" style="14" hidden="1" customWidth="1"/>
    <col min="27" max="27" width="14.5703125" style="14" hidden="1" customWidth="1"/>
    <col min="28" max="28" width="14.7109375" style="14" hidden="1" customWidth="1"/>
    <col min="29" max="29" width="14.5703125" style="14" hidden="1" customWidth="1"/>
    <col min="30" max="30" width="14.42578125" style="14" hidden="1" customWidth="1"/>
    <col min="31" max="31" width="14.85546875" style="14" hidden="1" customWidth="1"/>
    <col min="32" max="32" width="15" style="14" hidden="1" customWidth="1"/>
    <col min="33" max="33" width="15.140625" style="14" hidden="1" customWidth="1"/>
    <col min="34" max="34" width="15" style="14" customWidth="1"/>
    <col min="35" max="36" width="10.140625" style="14" hidden="1" customWidth="1"/>
    <col min="37" max="37" width="10" style="14" customWidth="1"/>
    <col min="38" max="39" width="9.140625" style="14" customWidth="1"/>
    <col min="40" max="16384" width="9.140625" style="14"/>
  </cols>
  <sheetData>
    <row r="1" spans="1:35" hidden="1" x14ac:dyDescent="0.25">
      <c r="C1" s="14"/>
      <c r="D1" s="14"/>
      <c r="E1" s="14"/>
      <c r="F1" s="14"/>
      <c r="G1" s="14"/>
      <c r="H1" s="14"/>
      <c r="I1" s="14"/>
      <c r="J1" s="14"/>
      <c r="K1" s="14"/>
      <c r="L1" s="14"/>
      <c r="N1" s="19"/>
      <c r="O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5" x14ac:dyDescent="0.25">
      <c r="C2" s="14"/>
      <c r="D2" s="14"/>
      <c r="E2" s="14"/>
      <c r="F2" s="14"/>
      <c r="G2" s="14"/>
      <c r="H2" s="14"/>
      <c r="I2" s="14"/>
      <c r="J2" s="14"/>
      <c r="K2" s="14"/>
      <c r="L2" s="14"/>
      <c r="N2" s="19"/>
      <c r="O2" s="19"/>
      <c r="Q2" s="19"/>
      <c r="R2" s="19"/>
      <c r="S2" s="19"/>
      <c r="T2" s="19"/>
      <c r="U2" s="19"/>
      <c r="W2" s="19"/>
      <c r="Y2" s="19"/>
      <c r="AA2" s="19"/>
      <c r="AC2" s="19"/>
      <c r="AE2" s="19"/>
      <c r="AG2" s="19"/>
      <c r="AH2" s="19" t="s">
        <v>155</v>
      </c>
    </row>
    <row r="3" spans="1:35" x14ac:dyDescent="0.25">
      <c r="C3" s="14"/>
      <c r="D3" s="14"/>
      <c r="E3" s="14"/>
      <c r="F3" s="14"/>
      <c r="G3" s="14"/>
      <c r="H3" s="14"/>
      <c r="I3" s="14"/>
      <c r="J3" s="14"/>
      <c r="K3" s="14"/>
      <c r="L3" s="14"/>
      <c r="N3" s="19"/>
      <c r="O3" s="19"/>
      <c r="Q3" s="19"/>
      <c r="R3" s="19"/>
      <c r="S3" s="19"/>
      <c r="T3" s="19"/>
      <c r="U3" s="19"/>
      <c r="W3" s="19"/>
      <c r="Y3" s="19"/>
      <c r="AA3" s="19"/>
      <c r="AC3" s="19"/>
      <c r="AE3" s="19"/>
      <c r="AG3" s="19"/>
      <c r="AH3" s="19" t="s">
        <v>135</v>
      </c>
    </row>
    <row r="4" spans="1:35" x14ac:dyDescent="0.25">
      <c r="C4" s="14"/>
      <c r="D4" s="14"/>
      <c r="E4" s="14"/>
      <c r="F4" s="14"/>
      <c r="G4" s="14"/>
      <c r="H4" s="14"/>
      <c r="I4" s="14"/>
      <c r="J4" s="14"/>
      <c r="K4" s="14"/>
      <c r="L4" s="14"/>
      <c r="N4" s="19"/>
      <c r="O4" s="19"/>
      <c r="Q4" s="19"/>
      <c r="S4" s="19"/>
      <c r="T4" s="19"/>
      <c r="U4" s="19"/>
      <c r="W4" s="19"/>
      <c r="Y4" s="19"/>
      <c r="AA4" s="19"/>
      <c r="AC4" s="19"/>
      <c r="AE4" s="19"/>
      <c r="AG4" s="19"/>
      <c r="AH4" s="19" t="s">
        <v>134</v>
      </c>
    </row>
    <row r="5" spans="1:35" x14ac:dyDescent="0.25">
      <c r="C5" s="14"/>
      <c r="D5" s="14"/>
      <c r="E5" s="14"/>
      <c r="F5" s="14"/>
      <c r="G5" s="14"/>
      <c r="H5" s="14"/>
      <c r="I5" s="14"/>
      <c r="J5" s="14"/>
      <c r="K5" s="14"/>
      <c r="L5" s="14"/>
      <c r="N5" s="19"/>
      <c r="O5" s="19"/>
      <c r="Q5" s="19"/>
      <c r="S5" s="19"/>
      <c r="T5" s="19"/>
      <c r="U5" s="19"/>
      <c r="W5" s="19"/>
      <c r="Y5" s="19"/>
      <c r="AA5" s="19"/>
      <c r="AC5" s="19"/>
      <c r="AE5" s="19"/>
      <c r="AG5" s="19"/>
      <c r="AH5" s="19"/>
    </row>
    <row r="6" spans="1:35" x14ac:dyDescent="0.25"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35" ht="15.75" customHeight="1" x14ac:dyDescent="0.2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19"/>
      <c r="N7" s="19"/>
      <c r="O7" s="19"/>
      <c r="Q7" s="19"/>
      <c r="S7" s="19"/>
      <c r="T7" s="19"/>
      <c r="U7" s="19"/>
      <c r="W7" s="19"/>
      <c r="Y7" s="19"/>
      <c r="AA7" s="19"/>
      <c r="AC7" s="19"/>
      <c r="AE7" s="19"/>
      <c r="AG7" s="19"/>
      <c r="AH7" s="19" t="s">
        <v>136</v>
      </c>
      <c r="AI7" s="19"/>
    </row>
    <row r="8" spans="1:35" ht="15.75" customHeight="1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19"/>
      <c r="N8" s="19"/>
      <c r="O8" s="19"/>
      <c r="Q8" s="19"/>
      <c r="S8" s="19"/>
      <c r="T8" s="19"/>
      <c r="U8" s="19"/>
      <c r="W8" s="19"/>
      <c r="Y8" s="19"/>
      <c r="AA8" s="19"/>
      <c r="AC8" s="19"/>
      <c r="AE8" s="19"/>
      <c r="AG8" s="19"/>
      <c r="AH8" s="19" t="s">
        <v>135</v>
      </c>
      <c r="AI8" s="19"/>
    </row>
    <row r="9" spans="1:35" ht="15.75" customHeigh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19"/>
      <c r="N9" s="19"/>
      <c r="O9" s="19"/>
      <c r="Q9" s="19"/>
      <c r="S9" s="19"/>
      <c r="T9" s="19"/>
      <c r="U9" s="19"/>
      <c r="W9" s="19"/>
      <c r="Y9" s="19"/>
      <c r="AA9" s="19"/>
      <c r="AC9" s="19"/>
      <c r="AE9" s="19"/>
      <c r="AG9" s="19"/>
      <c r="AH9" s="19" t="s">
        <v>134</v>
      </c>
      <c r="AI9" s="19"/>
    </row>
    <row r="10" spans="1:35" ht="15.75" customHeight="1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9"/>
      <c r="N10" s="19"/>
      <c r="O10" s="19"/>
      <c r="Q10" s="19"/>
      <c r="S10" s="19"/>
      <c r="T10" s="19"/>
      <c r="U10" s="19"/>
      <c r="W10" s="19"/>
      <c r="Y10" s="19"/>
      <c r="AA10" s="19"/>
      <c r="AC10" s="19"/>
      <c r="AE10" s="19"/>
      <c r="AG10" s="19"/>
      <c r="AH10" s="19" t="s">
        <v>81</v>
      </c>
      <c r="AI10" s="19"/>
    </row>
    <row r="11" spans="1:35" ht="15.75" customHeight="1" x14ac:dyDescent="0.25"/>
    <row r="12" spans="1:35" ht="15.75" customHeight="1" x14ac:dyDescent="0.25">
      <c r="A12" s="54" t="s">
        <v>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41"/>
      <c r="AC12" s="42"/>
      <c r="AD12" s="42"/>
      <c r="AE12" s="44"/>
      <c r="AG12" s="46"/>
      <c r="AH12" s="49"/>
      <c r="AI12" s="49"/>
    </row>
    <row r="13" spans="1:35" ht="15.75" customHeight="1" x14ac:dyDescent="0.25">
      <c r="A13" s="54" t="s">
        <v>70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41"/>
      <c r="AC13" s="42"/>
      <c r="AD13" s="42"/>
      <c r="AE13" s="44"/>
      <c r="AG13" s="46"/>
      <c r="AH13" s="49"/>
      <c r="AI13" s="49"/>
    </row>
    <row r="14" spans="1:35" ht="15" customHeight="1" x14ac:dyDescent="0.25">
      <c r="A14" s="3"/>
      <c r="B14" s="3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35" x14ac:dyDescent="0.25">
      <c r="B15" s="4"/>
      <c r="L15" s="2" t="s">
        <v>77</v>
      </c>
      <c r="M15" s="19"/>
      <c r="N15" s="19"/>
      <c r="O15" s="19"/>
      <c r="Q15" s="19"/>
      <c r="S15" s="19"/>
      <c r="T15" s="19"/>
      <c r="U15" s="19"/>
      <c r="W15" s="19"/>
      <c r="Y15" s="19"/>
      <c r="AA15" s="19"/>
      <c r="AC15" s="19"/>
      <c r="AE15" s="19"/>
      <c r="AG15" s="19"/>
      <c r="AH15" s="19" t="s">
        <v>82</v>
      </c>
      <c r="AI15" s="19"/>
    </row>
    <row r="16" spans="1:35" ht="36" customHeight="1" x14ac:dyDescent="0.25">
      <c r="A16" s="58" t="s">
        <v>1</v>
      </c>
      <c r="B16" s="58" t="s">
        <v>2</v>
      </c>
      <c r="C16" s="60" t="s">
        <v>3</v>
      </c>
      <c r="D16" s="57" t="s">
        <v>3</v>
      </c>
      <c r="E16" s="57"/>
      <c r="F16" s="60" t="s">
        <v>4</v>
      </c>
      <c r="G16" s="57" t="s">
        <v>46</v>
      </c>
      <c r="H16" s="57"/>
      <c r="I16" s="55" t="s">
        <v>44</v>
      </c>
      <c r="J16" s="55" t="s">
        <v>72</v>
      </c>
      <c r="K16" s="57" t="s">
        <v>3</v>
      </c>
      <c r="L16" s="57"/>
      <c r="M16" s="57" t="s">
        <v>3</v>
      </c>
      <c r="N16" s="57"/>
      <c r="O16" s="57" t="s">
        <v>3</v>
      </c>
      <c r="P16" s="57"/>
      <c r="Q16" s="57" t="s">
        <v>3</v>
      </c>
      <c r="R16" s="57"/>
      <c r="S16" s="58" t="s">
        <v>127</v>
      </c>
      <c r="T16" s="55" t="s">
        <v>128</v>
      </c>
      <c r="U16" s="57" t="s">
        <v>3</v>
      </c>
      <c r="V16" s="57"/>
      <c r="W16" s="50" t="s">
        <v>3</v>
      </c>
      <c r="X16" s="51"/>
      <c r="Y16" s="50" t="s">
        <v>3</v>
      </c>
      <c r="Z16" s="51"/>
      <c r="AA16" s="50" t="s">
        <v>3</v>
      </c>
      <c r="AB16" s="51"/>
      <c r="AC16" s="50" t="s">
        <v>3</v>
      </c>
      <c r="AD16" s="51"/>
      <c r="AE16" s="50" t="s">
        <v>3</v>
      </c>
      <c r="AF16" s="51"/>
      <c r="AG16" s="50" t="s">
        <v>3</v>
      </c>
      <c r="AH16" s="51"/>
      <c r="AI16" s="15"/>
    </row>
    <row r="17" spans="1:36" ht="31.5" x14ac:dyDescent="0.25">
      <c r="A17" s="58"/>
      <c r="B17" s="58"/>
      <c r="C17" s="61"/>
      <c r="D17" s="11" t="s">
        <v>5</v>
      </c>
      <c r="E17" s="12" t="s">
        <v>71</v>
      </c>
      <c r="F17" s="61"/>
      <c r="G17" s="11" t="s">
        <v>5</v>
      </c>
      <c r="H17" s="11" t="s">
        <v>45</v>
      </c>
      <c r="I17" s="56"/>
      <c r="J17" s="56"/>
      <c r="K17" s="11" t="s">
        <v>5</v>
      </c>
      <c r="L17" s="12" t="s">
        <v>71</v>
      </c>
      <c r="M17" s="23" t="s">
        <v>5</v>
      </c>
      <c r="N17" s="24" t="s">
        <v>71</v>
      </c>
      <c r="O17" s="25" t="s">
        <v>5</v>
      </c>
      <c r="P17" s="26" t="s">
        <v>71</v>
      </c>
      <c r="Q17" s="25" t="s">
        <v>5</v>
      </c>
      <c r="R17" s="26" t="s">
        <v>71</v>
      </c>
      <c r="S17" s="58"/>
      <c r="T17" s="56"/>
      <c r="U17" s="33" t="s">
        <v>5</v>
      </c>
      <c r="V17" s="34" t="s">
        <v>71</v>
      </c>
      <c r="W17" s="52"/>
      <c r="X17" s="53"/>
      <c r="Y17" s="52"/>
      <c r="Z17" s="53"/>
      <c r="AA17" s="52"/>
      <c r="AB17" s="53"/>
      <c r="AC17" s="52"/>
      <c r="AD17" s="53"/>
      <c r="AE17" s="52"/>
      <c r="AF17" s="53"/>
      <c r="AG17" s="52"/>
      <c r="AH17" s="53"/>
      <c r="AI17" s="16"/>
    </row>
    <row r="18" spans="1:36" x14ac:dyDescent="0.25">
      <c r="A18" s="5"/>
      <c r="B18" s="48" t="s">
        <v>6</v>
      </c>
      <c r="C18" s="7">
        <f>C19+C23+C26+C29+C32+C37+C40+C43+C46+C49+C52+C55+C58+C61+C64+C67+C70+C73+C76+C79+C83+C86+C89+C92+C95+C98+C102+C105</f>
        <v>3075075.2309999997</v>
      </c>
      <c r="D18" s="7">
        <f t="shared" ref="D18:D83" si="0">E18-C18</f>
        <v>1559624.6690000007</v>
      </c>
      <c r="E18" s="7">
        <f>E19+E23+E26+E29+E32+E37+E40+E43+E46+E49+E52+E55+E58+E61+E64+E67+E70+E73+E76+E79+E83+E86+E89+E92+E95+E98+E102+E105+E109+E112+E115+E118+E121+E124+E127+E130+E133+E136+E139+E142+E145+E148+E151+E154+E157+E160+E163+E166+E169</f>
        <v>4634699.9000000004</v>
      </c>
      <c r="F18" s="7">
        <f>F19+F23+F26+F29+F32+F37+F40+F43+F46+F49+F52+F55+F58+F61+F64+F67+F70+F73+F76+F79+F83+F86+F89+F92+F95+F98+F102+F105</f>
        <v>3121847.666999999</v>
      </c>
      <c r="G18" s="7">
        <f t="shared" ref="G18:G83" si="1">H18-F18</f>
        <v>847711.03300000168</v>
      </c>
      <c r="H18" s="7">
        <f>H19+H23+H26+H29+H32+H37+H40+H43+H46+H49+H52+H55+H58+H61+H64+H67+H70+H73+H76+H79+H83+H86+H89+H92+H95+H98+H102+H105+H109+H112+H115+H118+H121+H124+H127+H130+H133+H136+H139+H142+H145+H148+H151+H154+H157+H160+H163+H166+H169</f>
        <v>3969558.7000000007</v>
      </c>
      <c r="I18" s="7">
        <f>I19+I23+I26+I29+I32+I37+I40+I43+I46+I49+I52+I55+I58+I61+I64+I67+I70+I73+I76+I79+I83+I86+I89+I92+I95+I98+I102+I105+I109+I112+I115+I118+I121+I124+I127+I130+I133+I136+I139+I142+I145+I148+I151+I154+I157+I160+I163+I166+I169</f>
        <v>3939635.6999999993</v>
      </c>
      <c r="J18" s="7">
        <f>J19+J23+J26+J29+J32+J37+J40+J43+J46+J49+J52+J55+J58+J61+J64+J67+J70+J73+J76+J79+J83+J86+J89+J92+J95+J98+J102+J105+J109+J112+J115+J118+J121+J124+J127+J130+J133+J136+J139+J142+J145+J148+J151+J154+J157+J160+J163+J166+J169+J172</f>
        <v>146775.19999999998</v>
      </c>
      <c r="K18" s="9">
        <f>L18-C18</f>
        <v>1706399.8690000009</v>
      </c>
      <c r="L18" s="9">
        <f>E18+J18</f>
        <v>4781475.1000000006</v>
      </c>
      <c r="M18" s="9">
        <f>M19+M23+M26+M29+M32+M37+M40+M43+M46+M49+M52+M55+M58+M61+M64+M67+M70+M73+M76+M79+M83+M86+M89+M92+M95+M98+M102+M105+M109+M112+M115+M118+M121+M124+M127+M130+M133+M136+M139+M142+M145+M148+M151+M157+M160+M163+M166+M169+M172</f>
        <v>-245500</v>
      </c>
      <c r="N18" s="9">
        <f>L18+M18</f>
        <v>4535975.1000000006</v>
      </c>
      <c r="O18" s="9">
        <f>O19+O23+O26+O29+O32+O37+O40+O43+O46+O49+O52+O55+O58+O61+O64+O67+O70+O73+O76+O79+O83+O86+O89+O92+O95+O98+O102+O105+O109+O112+O115+O118+O121+O124+O127+O130+O133+O136+O139+O142+O145+O148+O151+O157+O160+O163+O166+O169+O172</f>
        <v>25302.898000000016</v>
      </c>
      <c r="P18" s="9">
        <f>N18+O18</f>
        <v>4561277.9980000006</v>
      </c>
      <c r="Q18" s="9">
        <f>Q19+Q23+Q26+Q29+Q32+Q37+Q40+Q43+Q46+Q49+Q52+Q55+Q58+Q61+Q64+Q67+Q70+Q73+Q76+Q79+Q83+Q86+Q89+Q92+Q95+Q98+Q102+Q105+Q109+Q112+Q115+Q118+Q121+Q124+Q127+Q130+Q133+Q136+Q139+Q142+Q145+Q148+Q151+Q157+Q160+Q163+Q166+Q169+Q172+Q175</f>
        <v>651130.94199999992</v>
      </c>
      <c r="R18" s="9">
        <f>P18+Q18</f>
        <v>5212408.9400000004</v>
      </c>
      <c r="S18" s="9">
        <f>S19+S23+S26+S29+S32+S37+S40+S43+S46+S49+S52+S55+S58+S61+S64+S67+S70+S73+S76+S79+S83+S86+S89+S92+S95+S98+S102+S105+S109+S112+S115+S118+S121+S124+S127+S130+S133+S136+S139+S142+S145+S148+S151+S157+S160+S163+S166+S169+S172+S175</f>
        <v>-22078.334000000003</v>
      </c>
      <c r="T18" s="9">
        <f t="shared" ref="T18:T25" si="2">R18+S18</f>
        <v>5190330.6060000006</v>
      </c>
      <c r="U18" s="9">
        <f>U19+U23+U26+U29+U32+U37+U40+U43+U46+U49+U52+U55+U58+U61+U64+U67+U70+U73+U76+U79+U83+U86+U89+U92+U95+U98+U102+U105+U109+U112+U115+U118+U121+U124+U127+U130+U133+U136+U139+U142+U145+U148+U151+U157+U160+U163+U166+U169+U172+U175</f>
        <v>-47126.294999999991</v>
      </c>
      <c r="V18" s="35">
        <f t="shared" ref="V18:V19" si="3">T18+U18</f>
        <v>5143204.3110000007</v>
      </c>
      <c r="W18" s="9">
        <f>W19+W23+W26+W29+W32+W37+W40+W43+W46+W49+W52+W55+W58+W61+W64+W67+W70+W73+W76+W79+W83+W86+W89+W92+W95+W98+W102+W105+W109+W112+W115+W118+W121+W124+W127+W130+W133+W136+W139+W142+W145+W148+W151+W157+W160+W163+W166+W169+W172+W175+W178</f>
        <v>439280.34400000004</v>
      </c>
      <c r="X18" s="18">
        <f t="shared" ref="X18:X19" si="4">V18+W18</f>
        <v>5582484.6550000012</v>
      </c>
      <c r="Y18" s="9">
        <f>Y19+Y23+Y26+Y29+Y32+Y37+Y40+Y43+Y46+Y49+Y52+Y55+Y58+Y61+Y64+Y67+Y70+Y73+Y76+Y79+Y83+Y86+Y89+Y92+Y95+Y98+Y102+Y105+Y109+Y112+Y115+Y118+Y121+Y124+Y127+Y130+Y133+Y136+Y139+Y142+Y145+Y148+Y151+Y157+Y160+Y163+Y166+Y169+Y172+Y175+Y178</f>
        <v>68168.414999999994</v>
      </c>
      <c r="Z18" s="9">
        <f t="shared" ref="Z18:Z19" si="5">X18+Y18</f>
        <v>5650653.0700000012</v>
      </c>
      <c r="AA18" s="9">
        <f>AA19+AA23+AA26+AA29+AA32+AA37+AA40+AA43+AA46+AA49+AA52+AA55+AA58+AA61+AA64+AA67+AA70+AA73+AA76+AA79+AA83+AA86+AA89+AA92+AA95+AA98+AA102+AA105+AA109+AA112+AA115+AA118+AA121+AA124+AA127+AA130+AA133+AA136+AA139+AA142+AA145+AA148+AA151+AA157+AA160+AA163+AA166+AA169+AA172+AA175+AA178</f>
        <v>24117.385000000002</v>
      </c>
      <c r="AB18" s="9">
        <f t="shared" ref="AB18:AB19" si="6">Z18+AA18</f>
        <v>5674770.455000001</v>
      </c>
      <c r="AC18" s="9">
        <f>AC19+AC23+AC26+AC29+AC32+AC37+AC40+AC43+AC46+AC49+AC52+AC55+AC58+AC61+AC64+AC67+AC70+AC73+AC76+AC79+AC83+AC86+AC89+AC92+AC95+AC98+AC102+AC105+AC109+AC112+AC115+AC118+AC121+AC124+AC127+AC130+AC133+AC136+AC139+AC142+AC145+AC148+AC151+AC157+AC160+AC163+AC166+AC169+AC172+AC175+AC178</f>
        <v>-9791.6840000000011</v>
      </c>
      <c r="AD18" s="9">
        <f t="shared" ref="AD18:AD19" si="7">AB18+AC18</f>
        <v>5664978.7710000006</v>
      </c>
      <c r="AE18" s="9">
        <f>AE19+AE23+AE26+AE29+AE32+AE37+AE40+AE43+AE46+AE49+AE52+AE55+AE58+AE61+AE64+AE67+AE70+AE73+AE76+AE79+AE83+AE86+AE89+AE92+AE95+AE98+AE102+AE105+AE109+AE112+AE115+AE118+AE121+AE124+AE127+AE130+AE133+AE136+AE139+AE142+AE145+AE148+AE151+AE157+AE160+AE163+AE166+AE169+AE172+AE175+AE178</f>
        <v>-19532.758999999998</v>
      </c>
      <c r="AF18" s="9">
        <f t="shared" ref="AF18:AF19" si="8">AD18+AE18</f>
        <v>5645446.012000001</v>
      </c>
      <c r="AG18" s="9">
        <f>AG19+AG23+AG26+AG29+AG32+AG37+AG40+AG43+AG46+AG49+AG52+AG55+AG58+AG61+AG64+AG67+AG70+AG73+AG76+AG79+AG83+AG86+AG89+AG92+AG95+AG98+AG102+AG105+AG109+AG112+AG115+AG118+AG121+AG124+AG127+AG130+AG133+AG136+AG139+AG142+AG145+AG148+AG151+AG157+AG160+AG163+AG166+AG169+AG172+AG175+AG178</f>
        <v>-3122.0369999999998</v>
      </c>
      <c r="AH18" s="9">
        <f t="shared" ref="AH18:AH19" si="9">AF18+AG18</f>
        <v>5642323.9750000015</v>
      </c>
      <c r="AI18" s="17"/>
    </row>
    <row r="19" spans="1:36" x14ac:dyDescent="0.25">
      <c r="A19" s="48">
        <v>1</v>
      </c>
      <c r="B19" s="47" t="s">
        <v>7</v>
      </c>
      <c r="C19" s="36">
        <f>C21+C22</f>
        <v>90000</v>
      </c>
      <c r="D19" s="36">
        <f t="shared" si="0"/>
        <v>434500</v>
      </c>
      <c r="E19" s="36">
        <f>E21+E22</f>
        <v>524500</v>
      </c>
      <c r="F19" s="36">
        <f>F21+F22</f>
        <v>251158.39999999999</v>
      </c>
      <c r="G19" s="36">
        <f t="shared" si="1"/>
        <v>-84000</v>
      </c>
      <c r="H19" s="36">
        <f>H21+H22</f>
        <v>167158.39999999999</v>
      </c>
      <c r="I19" s="36">
        <f>I21+I22</f>
        <v>100002.2</v>
      </c>
      <c r="J19" s="36">
        <f>J21+J22</f>
        <v>70000</v>
      </c>
      <c r="K19" s="38">
        <f t="shared" ref="K19:K85" si="10">L19-C19</f>
        <v>504500</v>
      </c>
      <c r="L19" s="38">
        <f t="shared" ref="L19:L85" si="11">E19+J19</f>
        <v>594500</v>
      </c>
      <c r="M19" s="38">
        <f>M21+M22</f>
        <v>-244500</v>
      </c>
      <c r="N19" s="38">
        <f t="shared" ref="N19:N85" si="12">L19+M19</f>
        <v>350000</v>
      </c>
      <c r="O19" s="38"/>
      <c r="P19" s="38">
        <f t="shared" ref="P19:P25" si="13">N19+O19</f>
        <v>350000</v>
      </c>
      <c r="Q19" s="38">
        <f>Q21+Q22</f>
        <v>26416.561000000002</v>
      </c>
      <c r="R19" s="38">
        <f t="shared" ref="R19" si="14">P19+Q19</f>
        <v>376416.56099999999</v>
      </c>
      <c r="S19" s="38">
        <f>S21+S22</f>
        <v>0</v>
      </c>
      <c r="T19" s="38">
        <f t="shared" si="2"/>
        <v>376416.56099999999</v>
      </c>
      <c r="U19" s="38">
        <f>U21+U22</f>
        <v>0</v>
      </c>
      <c r="V19" s="39">
        <f t="shared" si="3"/>
        <v>376416.56099999999</v>
      </c>
      <c r="W19" s="38">
        <f>W21+W22</f>
        <v>59762.552000000003</v>
      </c>
      <c r="X19" s="38">
        <f t="shared" si="4"/>
        <v>436179.11300000001</v>
      </c>
      <c r="Y19" s="9">
        <f>Y21+Y22</f>
        <v>0</v>
      </c>
      <c r="Z19" s="9">
        <f t="shared" si="5"/>
        <v>436179.11300000001</v>
      </c>
      <c r="AA19" s="9">
        <f>AA21+AA22</f>
        <v>47400</v>
      </c>
      <c r="AB19" s="9">
        <f t="shared" si="6"/>
        <v>483579.11300000001</v>
      </c>
      <c r="AC19" s="9">
        <f>AC21+AC22</f>
        <v>0</v>
      </c>
      <c r="AD19" s="9">
        <f t="shared" si="7"/>
        <v>483579.11300000001</v>
      </c>
      <c r="AE19" s="9">
        <f>AE21+AE22</f>
        <v>0</v>
      </c>
      <c r="AF19" s="9">
        <f t="shared" si="8"/>
        <v>483579.11300000001</v>
      </c>
      <c r="AG19" s="9">
        <f>AG21+AG22</f>
        <v>0</v>
      </c>
      <c r="AH19" s="9">
        <f t="shared" si="9"/>
        <v>483579.11300000001</v>
      </c>
      <c r="AI19" s="17" t="s">
        <v>88</v>
      </c>
    </row>
    <row r="20" spans="1:36" x14ac:dyDescent="0.25">
      <c r="A20" s="48"/>
      <c r="B20" s="6" t="s">
        <v>8</v>
      </c>
      <c r="C20" s="36"/>
      <c r="D20" s="36"/>
      <c r="E20" s="36"/>
      <c r="F20" s="36"/>
      <c r="G20" s="36"/>
      <c r="H20" s="36"/>
      <c r="I20" s="36"/>
      <c r="J20" s="36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8"/>
      <c r="X20" s="38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7"/>
    </row>
    <row r="21" spans="1:36" x14ac:dyDescent="0.25">
      <c r="A21" s="48"/>
      <c r="B21" s="6" t="s">
        <v>9</v>
      </c>
      <c r="C21" s="36">
        <v>90000</v>
      </c>
      <c r="D21" s="36">
        <f t="shared" si="0"/>
        <v>31626.399999999994</v>
      </c>
      <c r="E21" s="36">
        <v>121626.4</v>
      </c>
      <c r="F21" s="36">
        <v>251158.39999999999</v>
      </c>
      <c r="G21" s="36">
        <f t="shared" si="1"/>
        <v>-84000</v>
      </c>
      <c r="H21" s="36">
        <v>167158.39999999999</v>
      </c>
      <c r="I21" s="36">
        <v>100002.2</v>
      </c>
      <c r="J21" s="36">
        <f>70000</f>
        <v>70000</v>
      </c>
      <c r="K21" s="38">
        <f t="shared" si="10"/>
        <v>101626.4</v>
      </c>
      <c r="L21" s="38">
        <f t="shared" si="11"/>
        <v>191626.4</v>
      </c>
      <c r="M21" s="38"/>
      <c r="N21" s="38">
        <f t="shared" si="12"/>
        <v>191626.4</v>
      </c>
      <c r="O21" s="38"/>
      <c r="P21" s="38">
        <f t="shared" si="13"/>
        <v>191626.4</v>
      </c>
      <c r="Q21" s="38">
        <v>216.56100000000001</v>
      </c>
      <c r="R21" s="38">
        <f t="shared" ref="R21:R23" si="15">P21+Q21</f>
        <v>191842.96099999998</v>
      </c>
      <c r="S21" s="38">
        <v>26200</v>
      </c>
      <c r="T21" s="38">
        <f t="shared" si="2"/>
        <v>218042.96099999998</v>
      </c>
      <c r="U21" s="38"/>
      <c r="V21" s="39">
        <f t="shared" ref="V21:V23" si="16">T21+U21</f>
        <v>218042.96099999998</v>
      </c>
      <c r="W21" s="38">
        <v>2500</v>
      </c>
      <c r="X21" s="38">
        <f t="shared" ref="X21:X23" si="17">V21+W21</f>
        <v>220542.96099999998</v>
      </c>
      <c r="Y21" s="9"/>
      <c r="Z21" s="9">
        <f t="shared" ref="Z21:Z23" si="18">X21+Y21</f>
        <v>220542.96099999998</v>
      </c>
      <c r="AA21" s="9">
        <f>7400+40000</f>
        <v>47400</v>
      </c>
      <c r="AB21" s="9">
        <f t="shared" ref="AB21:AB23" si="19">Z21+AA21</f>
        <v>267942.96100000001</v>
      </c>
      <c r="AC21" s="9"/>
      <c r="AD21" s="9">
        <f t="shared" ref="AD21:AD23" si="20">AB21+AC21</f>
        <v>267942.96100000001</v>
      </c>
      <c r="AE21" s="9"/>
      <c r="AF21" s="9">
        <f t="shared" ref="AF21:AF23" si="21">AD21+AE21</f>
        <v>267942.96100000001</v>
      </c>
      <c r="AG21" s="9"/>
      <c r="AH21" s="9">
        <f t="shared" ref="AH21:AH23" si="22">AF21+AG21</f>
        <v>267942.96100000001</v>
      </c>
      <c r="AI21" s="17"/>
    </row>
    <row r="22" spans="1:36" x14ac:dyDescent="0.25">
      <c r="A22" s="48"/>
      <c r="B22" s="6" t="s">
        <v>10</v>
      </c>
      <c r="C22" s="36"/>
      <c r="D22" s="36">
        <f t="shared" si="0"/>
        <v>402873.59999999998</v>
      </c>
      <c r="E22" s="36">
        <v>402873.59999999998</v>
      </c>
      <c r="F22" s="36"/>
      <c r="G22" s="36">
        <f t="shared" si="1"/>
        <v>0</v>
      </c>
      <c r="H22" s="36"/>
      <c r="I22" s="36"/>
      <c r="J22" s="36"/>
      <c r="K22" s="38">
        <f t="shared" si="10"/>
        <v>402873.59999999998</v>
      </c>
      <c r="L22" s="38">
        <f t="shared" si="11"/>
        <v>402873.59999999998</v>
      </c>
      <c r="M22" s="38">
        <v>-244500</v>
      </c>
      <c r="N22" s="38">
        <f t="shared" si="12"/>
        <v>158373.59999999998</v>
      </c>
      <c r="O22" s="38"/>
      <c r="P22" s="38">
        <f t="shared" si="13"/>
        <v>158373.59999999998</v>
      </c>
      <c r="Q22" s="38">
        <v>26200</v>
      </c>
      <c r="R22" s="38">
        <f t="shared" si="15"/>
        <v>184573.59999999998</v>
      </c>
      <c r="S22" s="38">
        <v>-26200</v>
      </c>
      <c r="T22" s="38">
        <f t="shared" si="2"/>
        <v>158373.59999999998</v>
      </c>
      <c r="U22" s="38"/>
      <c r="V22" s="39">
        <f t="shared" si="16"/>
        <v>158373.59999999998</v>
      </c>
      <c r="W22" s="38">
        <v>57262.552000000003</v>
      </c>
      <c r="X22" s="38">
        <f t="shared" si="17"/>
        <v>215636.15199999997</v>
      </c>
      <c r="Y22" s="9"/>
      <c r="Z22" s="9">
        <f t="shared" si="18"/>
        <v>215636.15199999997</v>
      </c>
      <c r="AA22" s="9"/>
      <c r="AB22" s="9">
        <f t="shared" si="19"/>
        <v>215636.15199999997</v>
      </c>
      <c r="AC22" s="9"/>
      <c r="AD22" s="9">
        <f t="shared" si="20"/>
        <v>215636.15199999997</v>
      </c>
      <c r="AE22" s="9"/>
      <c r="AF22" s="9">
        <f t="shared" si="21"/>
        <v>215636.15199999997</v>
      </c>
      <c r="AG22" s="9"/>
      <c r="AH22" s="9">
        <f t="shared" si="22"/>
        <v>215636.15199999997</v>
      </c>
      <c r="AI22" s="17"/>
    </row>
    <row r="23" spans="1:36" x14ac:dyDescent="0.25">
      <c r="A23" s="48">
        <v>2</v>
      </c>
      <c r="B23" s="47" t="s">
        <v>11</v>
      </c>
      <c r="C23" s="7">
        <f>C25</f>
        <v>51019.3</v>
      </c>
      <c r="D23" s="7">
        <f t="shared" si="0"/>
        <v>57932.2</v>
      </c>
      <c r="E23" s="7">
        <f>E25</f>
        <v>108951.5</v>
      </c>
      <c r="F23" s="7">
        <f>F25</f>
        <v>50496.7</v>
      </c>
      <c r="G23" s="7">
        <f t="shared" si="1"/>
        <v>59469</v>
      </c>
      <c r="H23" s="7">
        <f>H25</f>
        <v>109965.7</v>
      </c>
      <c r="I23" s="7">
        <f>I25</f>
        <v>110504.4</v>
      </c>
      <c r="J23" s="7">
        <f>J25</f>
        <v>0</v>
      </c>
      <c r="K23" s="9">
        <f t="shared" si="10"/>
        <v>57932.2</v>
      </c>
      <c r="L23" s="9">
        <f t="shared" si="11"/>
        <v>108951.5</v>
      </c>
      <c r="M23" s="9">
        <f>M25</f>
        <v>0</v>
      </c>
      <c r="N23" s="9">
        <f t="shared" si="12"/>
        <v>108951.5</v>
      </c>
      <c r="O23" s="9"/>
      <c r="P23" s="9">
        <f t="shared" si="13"/>
        <v>108951.5</v>
      </c>
      <c r="Q23" s="29">
        <f>Q25</f>
        <v>20758.809000000001</v>
      </c>
      <c r="R23" s="29">
        <f t="shared" si="15"/>
        <v>129710.30900000001</v>
      </c>
      <c r="S23" s="29">
        <f>S25</f>
        <v>-6042.6</v>
      </c>
      <c r="T23" s="9">
        <f t="shared" si="2"/>
        <v>123667.709</v>
      </c>
      <c r="U23" s="9">
        <f>U25</f>
        <v>-811.73400000000004</v>
      </c>
      <c r="V23" s="35">
        <f t="shared" si="16"/>
        <v>122855.97500000001</v>
      </c>
      <c r="W23" s="9">
        <f>W25</f>
        <v>0</v>
      </c>
      <c r="X23" s="9">
        <f t="shared" si="17"/>
        <v>122855.97500000001</v>
      </c>
      <c r="Y23" s="9">
        <f>Y25</f>
        <v>0</v>
      </c>
      <c r="Z23" s="9">
        <f t="shared" si="18"/>
        <v>122855.97500000001</v>
      </c>
      <c r="AA23" s="9">
        <f>AA25</f>
        <v>0</v>
      </c>
      <c r="AB23" s="9">
        <f t="shared" si="19"/>
        <v>122855.97500000001</v>
      </c>
      <c r="AC23" s="9">
        <f>AC25</f>
        <v>0</v>
      </c>
      <c r="AD23" s="9">
        <f t="shared" si="20"/>
        <v>122855.97500000001</v>
      </c>
      <c r="AE23" s="9">
        <f>AE25</f>
        <v>0</v>
      </c>
      <c r="AF23" s="9">
        <f t="shared" si="21"/>
        <v>122855.97500000001</v>
      </c>
      <c r="AG23" s="9">
        <f>AG25</f>
        <v>0</v>
      </c>
      <c r="AH23" s="9">
        <f t="shared" si="22"/>
        <v>122855.97500000001</v>
      </c>
      <c r="AI23" s="17" t="s">
        <v>119</v>
      </c>
    </row>
    <row r="24" spans="1:36" x14ac:dyDescent="0.25">
      <c r="A24" s="48"/>
      <c r="B24" s="6" t="s">
        <v>8</v>
      </c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9"/>
      <c r="O24" s="9"/>
      <c r="P24" s="9"/>
      <c r="Q24" s="29"/>
      <c r="R24" s="29"/>
      <c r="S24" s="29"/>
      <c r="T24" s="9"/>
      <c r="U24" s="9"/>
      <c r="V24" s="35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7"/>
    </row>
    <row r="25" spans="1:36" x14ac:dyDescent="0.25">
      <c r="A25" s="48"/>
      <c r="B25" s="6" t="s">
        <v>9</v>
      </c>
      <c r="C25" s="7">
        <v>51019.3</v>
      </c>
      <c r="D25" s="7">
        <f t="shared" si="0"/>
        <v>57932.2</v>
      </c>
      <c r="E25" s="7">
        <v>108951.5</v>
      </c>
      <c r="F25" s="7">
        <v>50496.7</v>
      </c>
      <c r="G25" s="7">
        <f t="shared" si="1"/>
        <v>59469</v>
      </c>
      <c r="H25" s="7">
        <v>109965.7</v>
      </c>
      <c r="I25" s="7">
        <v>110504.4</v>
      </c>
      <c r="J25" s="7"/>
      <c r="K25" s="9">
        <f t="shared" si="10"/>
        <v>57932.2</v>
      </c>
      <c r="L25" s="9">
        <f t="shared" si="11"/>
        <v>108951.5</v>
      </c>
      <c r="M25" s="9"/>
      <c r="N25" s="9">
        <f t="shared" si="12"/>
        <v>108951.5</v>
      </c>
      <c r="O25" s="9"/>
      <c r="P25" s="9">
        <f t="shared" si="13"/>
        <v>108951.5</v>
      </c>
      <c r="Q25" s="29">
        <f>14059.97+1333.947+2.161+2562.731+2800</f>
        <v>20758.809000000001</v>
      </c>
      <c r="R25" s="29">
        <f t="shared" ref="R25" si="23">P25+Q25</f>
        <v>129710.30900000001</v>
      </c>
      <c r="S25" s="29">
        <v>-6042.6</v>
      </c>
      <c r="T25" s="9">
        <f t="shared" si="2"/>
        <v>123667.709</v>
      </c>
      <c r="U25" s="9">
        <f>-811.734</f>
        <v>-811.73400000000004</v>
      </c>
      <c r="V25" s="35">
        <f t="shared" ref="V25" si="24">T25+U25</f>
        <v>122855.97500000001</v>
      </c>
      <c r="W25" s="9"/>
      <c r="X25" s="9">
        <f t="shared" ref="X25" si="25">V25+W25</f>
        <v>122855.97500000001</v>
      </c>
      <c r="Y25" s="9"/>
      <c r="Z25" s="9">
        <f t="shared" ref="Z25" si="26">X25+Y25</f>
        <v>122855.97500000001</v>
      </c>
      <c r="AA25" s="9"/>
      <c r="AB25" s="9">
        <f t="shared" ref="AB25" si="27">Z25+AA25</f>
        <v>122855.97500000001</v>
      </c>
      <c r="AC25" s="9"/>
      <c r="AD25" s="9">
        <f t="shared" ref="AD25" si="28">AB25+AC25</f>
        <v>122855.97500000001</v>
      </c>
      <c r="AE25" s="9"/>
      <c r="AF25" s="9">
        <f t="shared" ref="AF25" si="29">AD25+AE25</f>
        <v>122855.97500000001</v>
      </c>
      <c r="AG25" s="9"/>
      <c r="AH25" s="9">
        <f t="shared" ref="AH25" si="30">AF25+AG25</f>
        <v>122855.97500000001</v>
      </c>
      <c r="AI25" s="17"/>
    </row>
    <row r="26" spans="1:36" hidden="1" x14ac:dyDescent="0.25">
      <c r="A26" s="21">
        <v>3</v>
      </c>
      <c r="B26" s="20" t="s">
        <v>67</v>
      </c>
      <c r="C26" s="7">
        <f>C28</f>
        <v>157499</v>
      </c>
      <c r="D26" s="7">
        <f t="shared" si="0"/>
        <v>-157499</v>
      </c>
      <c r="E26" s="7">
        <f>E28</f>
        <v>0</v>
      </c>
      <c r="F26" s="7">
        <f>F28</f>
        <v>0</v>
      </c>
      <c r="G26" s="7">
        <f t="shared" si="1"/>
        <v>0</v>
      </c>
      <c r="H26" s="7">
        <f>H28</f>
        <v>0</v>
      </c>
      <c r="I26" s="7">
        <f>I28</f>
        <v>0</v>
      </c>
      <c r="J26" s="7">
        <f>J28</f>
        <v>0</v>
      </c>
      <c r="K26" s="9">
        <f t="shared" si="10"/>
        <v>-157499</v>
      </c>
      <c r="L26" s="9">
        <f t="shared" si="11"/>
        <v>0</v>
      </c>
      <c r="M26" s="9">
        <f>M28</f>
        <v>0</v>
      </c>
      <c r="N26" s="9">
        <f t="shared" si="12"/>
        <v>0</v>
      </c>
      <c r="O26" s="9"/>
      <c r="P26" s="9"/>
      <c r="Q26" s="9"/>
      <c r="R26" s="9"/>
      <c r="S26" s="9"/>
      <c r="T26" s="17"/>
      <c r="U26" s="9"/>
      <c r="V26" s="17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7"/>
      <c r="AJ26" s="1">
        <v>0</v>
      </c>
    </row>
    <row r="27" spans="1:36" hidden="1" x14ac:dyDescent="0.25">
      <c r="A27" s="21"/>
      <c r="B27" s="6" t="s">
        <v>8</v>
      </c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9"/>
      <c r="O27" s="9"/>
      <c r="P27" s="9"/>
      <c r="Q27" s="9"/>
      <c r="R27" s="9"/>
      <c r="S27" s="9"/>
      <c r="T27" s="17"/>
      <c r="U27" s="9"/>
      <c r="V27" s="17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7"/>
      <c r="AJ27" s="1">
        <v>0</v>
      </c>
    </row>
    <row r="28" spans="1:36" hidden="1" x14ac:dyDescent="0.25">
      <c r="A28" s="21"/>
      <c r="B28" s="6" t="s">
        <v>9</v>
      </c>
      <c r="C28" s="7">
        <v>157499</v>
      </c>
      <c r="D28" s="7">
        <f t="shared" si="0"/>
        <v>-157499</v>
      </c>
      <c r="E28" s="7">
        <v>0</v>
      </c>
      <c r="F28" s="7">
        <v>0</v>
      </c>
      <c r="G28" s="7">
        <f t="shared" si="1"/>
        <v>0</v>
      </c>
      <c r="H28" s="7">
        <v>0</v>
      </c>
      <c r="I28" s="7">
        <v>0</v>
      </c>
      <c r="J28" s="7"/>
      <c r="K28" s="9">
        <f t="shared" si="10"/>
        <v>-157499</v>
      </c>
      <c r="L28" s="9">
        <f t="shared" si="11"/>
        <v>0</v>
      </c>
      <c r="M28" s="9">
        <v>0</v>
      </c>
      <c r="N28" s="9">
        <f t="shared" si="12"/>
        <v>0</v>
      </c>
      <c r="O28" s="9"/>
      <c r="P28" s="9"/>
      <c r="Q28" s="9"/>
      <c r="R28" s="9"/>
      <c r="S28" s="9"/>
      <c r="T28" s="17"/>
      <c r="U28" s="9"/>
      <c r="V28" s="17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7"/>
      <c r="AJ28" s="1">
        <v>0</v>
      </c>
    </row>
    <row r="29" spans="1:36" ht="31.5" x14ac:dyDescent="0.25">
      <c r="A29" s="48">
        <v>3</v>
      </c>
      <c r="B29" s="47" t="s">
        <v>68</v>
      </c>
      <c r="C29" s="7">
        <f>C31</f>
        <v>4071.2</v>
      </c>
      <c r="D29" s="7">
        <f t="shared" si="0"/>
        <v>3853.6000000000004</v>
      </c>
      <c r="E29" s="7">
        <f>E31</f>
        <v>7924.8</v>
      </c>
      <c r="F29" s="7">
        <f>F31</f>
        <v>4210.7</v>
      </c>
      <c r="G29" s="7">
        <f t="shared" si="1"/>
        <v>-139.19999999999982</v>
      </c>
      <c r="H29" s="7">
        <f>H31</f>
        <v>4071.5</v>
      </c>
      <c r="I29" s="7">
        <f>I31</f>
        <v>3091.9</v>
      </c>
      <c r="J29" s="7">
        <f>J31</f>
        <v>0</v>
      </c>
      <c r="K29" s="9">
        <f t="shared" si="10"/>
        <v>3853.6000000000004</v>
      </c>
      <c r="L29" s="9">
        <f t="shared" si="11"/>
        <v>7924.8</v>
      </c>
      <c r="M29" s="9">
        <f>M31</f>
        <v>0</v>
      </c>
      <c r="N29" s="9">
        <f t="shared" si="12"/>
        <v>7924.8</v>
      </c>
      <c r="O29" s="9"/>
      <c r="P29" s="9">
        <f t="shared" ref="P29:P95" si="31">N29+O29</f>
        <v>7924.8</v>
      </c>
      <c r="Q29" s="29">
        <f>Q31</f>
        <v>2033.2</v>
      </c>
      <c r="R29" s="29">
        <f t="shared" ref="R29" si="32">P29+Q29</f>
        <v>9958</v>
      </c>
      <c r="S29" s="29">
        <f>S31</f>
        <v>-2033.2</v>
      </c>
      <c r="T29" s="9">
        <f t="shared" ref="T29:T94" si="33">R29+S29</f>
        <v>7924.8</v>
      </c>
      <c r="U29" s="9">
        <f>U31</f>
        <v>0</v>
      </c>
      <c r="V29" s="35">
        <f t="shared" ref="V29" si="34">T29+U29</f>
        <v>7924.8</v>
      </c>
      <c r="W29" s="9">
        <f>W31</f>
        <v>0</v>
      </c>
      <c r="X29" s="9">
        <f t="shared" ref="X29" si="35">V29+W29</f>
        <v>7924.8</v>
      </c>
      <c r="Y29" s="9">
        <f>Y31</f>
        <v>0</v>
      </c>
      <c r="Z29" s="9">
        <f t="shared" ref="Z29" si="36">X29+Y29</f>
        <v>7924.8</v>
      </c>
      <c r="AA29" s="9">
        <f>AA31</f>
        <v>0</v>
      </c>
      <c r="AB29" s="9">
        <f t="shared" ref="AB29" si="37">Z29+AA29</f>
        <v>7924.8</v>
      </c>
      <c r="AC29" s="9">
        <f>AC31</f>
        <v>0</v>
      </c>
      <c r="AD29" s="9">
        <f t="shared" ref="AD29" si="38">AB29+AC29</f>
        <v>7924.8</v>
      </c>
      <c r="AE29" s="9">
        <f>AE31</f>
        <v>0</v>
      </c>
      <c r="AF29" s="9">
        <f t="shared" ref="AF29" si="39">AD29+AE29</f>
        <v>7924.8</v>
      </c>
      <c r="AG29" s="9">
        <f>AG31</f>
        <v>0</v>
      </c>
      <c r="AH29" s="9">
        <f t="shared" ref="AH29" si="40">AF29+AG29</f>
        <v>7924.8</v>
      </c>
      <c r="AI29" s="17" t="s">
        <v>103</v>
      </c>
    </row>
    <row r="30" spans="1:36" x14ac:dyDescent="0.25">
      <c r="A30" s="48"/>
      <c r="B30" s="6" t="s">
        <v>8</v>
      </c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9"/>
      <c r="O30" s="9"/>
      <c r="P30" s="9"/>
      <c r="Q30" s="29"/>
      <c r="R30" s="29"/>
      <c r="S30" s="29"/>
      <c r="T30" s="9"/>
      <c r="U30" s="9"/>
      <c r="V30" s="35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7"/>
    </row>
    <row r="31" spans="1:36" x14ac:dyDescent="0.25">
      <c r="A31" s="48"/>
      <c r="B31" s="6" t="s">
        <v>9</v>
      </c>
      <c r="C31" s="7">
        <v>4071.2</v>
      </c>
      <c r="D31" s="7">
        <f t="shared" si="0"/>
        <v>3853.6000000000004</v>
      </c>
      <c r="E31" s="7">
        <v>7924.8</v>
      </c>
      <c r="F31" s="7">
        <v>4210.7</v>
      </c>
      <c r="G31" s="7">
        <f t="shared" si="1"/>
        <v>-139.19999999999982</v>
      </c>
      <c r="H31" s="7">
        <v>4071.5</v>
      </c>
      <c r="I31" s="7">
        <v>3091.9</v>
      </c>
      <c r="J31" s="7"/>
      <c r="K31" s="9">
        <f t="shared" si="10"/>
        <v>3853.6000000000004</v>
      </c>
      <c r="L31" s="9">
        <f t="shared" si="11"/>
        <v>7924.8</v>
      </c>
      <c r="M31" s="9"/>
      <c r="N31" s="9">
        <f t="shared" si="12"/>
        <v>7924.8</v>
      </c>
      <c r="O31" s="9"/>
      <c r="P31" s="9">
        <f t="shared" si="31"/>
        <v>7924.8</v>
      </c>
      <c r="Q31" s="29">
        <v>2033.2</v>
      </c>
      <c r="R31" s="29">
        <f t="shared" ref="R31:R32" si="41">P31+Q31</f>
        <v>9958</v>
      </c>
      <c r="S31" s="29">
        <v>-2033.2</v>
      </c>
      <c r="T31" s="9">
        <f t="shared" si="33"/>
        <v>7924.8</v>
      </c>
      <c r="U31" s="9"/>
      <c r="V31" s="35">
        <f t="shared" ref="V31:V32" si="42">T31+U31</f>
        <v>7924.8</v>
      </c>
      <c r="W31" s="9"/>
      <c r="X31" s="9">
        <f t="shared" ref="X31:X32" si="43">V31+W31</f>
        <v>7924.8</v>
      </c>
      <c r="Y31" s="9"/>
      <c r="Z31" s="9">
        <f t="shared" ref="Z31:Z32" si="44">X31+Y31</f>
        <v>7924.8</v>
      </c>
      <c r="AA31" s="9"/>
      <c r="AB31" s="9">
        <f t="shared" ref="AB31:AB32" si="45">Z31+AA31</f>
        <v>7924.8</v>
      </c>
      <c r="AC31" s="9"/>
      <c r="AD31" s="9">
        <f t="shared" ref="AD31:AD32" si="46">AB31+AC31</f>
        <v>7924.8</v>
      </c>
      <c r="AE31" s="9"/>
      <c r="AF31" s="9">
        <f t="shared" ref="AF31:AF32" si="47">AD31+AE31</f>
        <v>7924.8</v>
      </c>
      <c r="AG31" s="9"/>
      <c r="AH31" s="9">
        <f t="shared" ref="AH31:AH32" si="48">AF31+AG31</f>
        <v>7924.8</v>
      </c>
      <c r="AI31" s="17"/>
    </row>
    <row r="32" spans="1:36" ht="31.5" x14ac:dyDescent="0.25">
      <c r="A32" s="48">
        <v>4</v>
      </c>
      <c r="B32" s="47" t="s">
        <v>129</v>
      </c>
      <c r="C32" s="7">
        <f>C34</f>
        <v>125000</v>
      </c>
      <c r="D32" s="7">
        <f t="shared" si="0"/>
        <v>-3500</v>
      </c>
      <c r="E32" s="7">
        <f>E34</f>
        <v>121500</v>
      </c>
      <c r="F32" s="7">
        <f>F34</f>
        <v>45384.5</v>
      </c>
      <c r="G32" s="7">
        <f t="shared" si="1"/>
        <v>99818.5</v>
      </c>
      <c r="H32" s="7">
        <f>H34</f>
        <v>145203</v>
      </c>
      <c r="I32" s="7">
        <f>I34</f>
        <v>145203</v>
      </c>
      <c r="J32" s="7">
        <f>J34</f>
        <v>50000</v>
      </c>
      <c r="K32" s="9">
        <f t="shared" si="10"/>
        <v>46500</v>
      </c>
      <c r="L32" s="9">
        <f t="shared" si="11"/>
        <v>171500</v>
      </c>
      <c r="M32" s="9">
        <f>M34</f>
        <v>0</v>
      </c>
      <c r="N32" s="9">
        <f t="shared" si="12"/>
        <v>171500</v>
      </c>
      <c r="O32" s="9"/>
      <c r="P32" s="9">
        <f t="shared" si="31"/>
        <v>171500</v>
      </c>
      <c r="Q32" s="29">
        <f>Q34</f>
        <v>100769.38900000001</v>
      </c>
      <c r="R32" s="29">
        <f t="shared" si="41"/>
        <v>272269.38900000002</v>
      </c>
      <c r="S32" s="29">
        <f>S34</f>
        <v>0</v>
      </c>
      <c r="T32" s="9">
        <f t="shared" si="33"/>
        <v>272269.38900000002</v>
      </c>
      <c r="U32" s="9">
        <f>U34</f>
        <v>0</v>
      </c>
      <c r="V32" s="35">
        <f t="shared" si="42"/>
        <v>272269.38900000002</v>
      </c>
      <c r="W32" s="9">
        <f>W34+W35+W36</f>
        <v>329760.15299999999</v>
      </c>
      <c r="X32" s="9">
        <f t="shared" si="43"/>
        <v>602029.54200000002</v>
      </c>
      <c r="Y32" s="9">
        <f>Y34+Y35+Y36</f>
        <v>0</v>
      </c>
      <c r="Z32" s="9">
        <f t="shared" si="44"/>
        <v>602029.54200000002</v>
      </c>
      <c r="AA32" s="9">
        <f>AA34+AA35+AA36</f>
        <v>0</v>
      </c>
      <c r="AB32" s="9">
        <f t="shared" si="45"/>
        <v>602029.54200000002</v>
      </c>
      <c r="AC32" s="9">
        <f>AC34+AC35+AC36</f>
        <v>0</v>
      </c>
      <c r="AD32" s="9">
        <f t="shared" si="46"/>
        <v>602029.54200000002</v>
      </c>
      <c r="AE32" s="9">
        <f>AE34+AE35+AE36</f>
        <v>0</v>
      </c>
      <c r="AF32" s="9">
        <f t="shared" si="47"/>
        <v>602029.54200000002</v>
      </c>
      <c r="AG32" s="9">
        <f>AG34+AG35+AG36</f>
        <v>0</v>
      </c>
      <c r="AH32" s="9">
        <f t="shared" si="48"/>
        <v>602029.54200000002</v>
      </c>
      <c r="AI32" s="17" t="s">
        <v>123</v>
      </c>
    </row>
    <row r="33" spans="1:35" x14ac:dyDescent="0.25">
      <c r="A33" s="48"/>
      <c r="B33" s="6" t="s">
        <v>8</v>
      </c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9"/>
      <c r="O33" s="9"/>
      <c r="P33" s="9"/>
      <c r="Q33" s="29"/>
      <c r="R33" s="29"/>
      <c r="S33" s="29"/>
      <c r="T33" s="9"/>
      <c r="U33" s="9"/>
      <c r="V33" s="35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7" t="s">
        <v>138</v>
      </c>
    </row>
    <row r="34" spans="1:35" x14ac:dyDescent="0.25">
      <c r="A34" s="48"/>
      <c r="B34" s="6" t="s">
        <v>9</v>
      </c>
      <c r="C34" s="7">
        <v>125000</v>
      </c>
      <c r="D34" s="7">
        <f t="shared" si="0"/>
        <v>-3500</v>
      </c>
      <c r="E34" s="7">
        <v>121500</v>
      </c>
      <c r="F34" s="7">
        <v>45384.5</v>
      </c>
      <c r="G34" s="7">
        <f t="shared" si="1"/>
        <v>99818.5</v>
      </c>
      <c r="H34" s="7">
        <v>145203</v>
      </c>
      <c r="I34" s="7">
        <v>145203</v>
      </c>
      <c r="J34" s="7">
        <v>50000</v>
      </c>
      <c r="K34" s="9">
        <f t="shared" si="10"/>
        <v>46500</v>
      </c>
      <c r="L34" s="9">
        <f t="shared" si="11"/>
        <v>171500</v>
      </c>
      <c r="M34" s="9"/>
      <c r="N34" s="9">
        <f t="shared" si="12"/>
        <v>171500</v>
      </c>
      <c r="O34" s="9"/>
      <c r="P34" s="9">
        <f t="shared" si="31"/>
        <v>171500</v>
      </c>
      <c r="Q34" s="29">
        <f>10433.298+13423.458+594.822+50000+26317.811</f>
        <v>100769.38900000001</v>
      </c>
      <c r="R34" s="29">
        <f t="shared" ref="R34:R37" si="49">P34+Q34</f>
        <v>272269.38900000002</v>
      </c>
      <c r="S34" s="29"/>
      <c r="T34" s="9">
        <f t="shared" si="33"/>
        <v>272269.38900000002</v>
      </c>
      <c r="U34" s="9"/>
      <c r="V34" s="35">
        <f t="shared" ref="V34:V37" si="50">T34+U34</f>
        <v>272269.38900000002</v>
      </c>
      <c r="W34" s="9">
        <f>158542.353+4280.445</f>
        <v>162822.79800000001</v>
      </c>
      <c r="X34" s="9">
        <f t="shared" ref="X34:X37" si="51">V34+W34</f>
        <v>435092.18700000003</v>
      </c>
      <c r="Y34" s="9"/>
      <c r="Z34" s="9">
        <f t="shared" ref="Z34:Z37" si="52">X34+Y34</f>
        <v>435092.18700000003</v>
      </c>
      <c r="AA34" s="9"/>
      <c r="AB34" s="9">
        <f t="shared" ref="AB34:AB37" si="53">Z34+AA34</f>
        <v>435092.18700000003</v>
      </c>
      <c r="AC34" s="9"/>
      <c r="AD34" s="9">
        <f t="shared" ref="AD34:AD37" si="54">AB34+AC34</f>
        <v>435092.18700000003</v>
      </c>
      <c r="AE34" s="9"/>
      <c r="AF34" s="9">
        <f t="shared" ref="AF34:AF37" si="55">AD34+AE34</f>
        <v>435092.18700000003</v>
      </c>
      <c r="AG34" s="9"/>
      <c r="AH34" s="9">
        <f t="shared" ref="AH34:AH37" si="56">AF34+AG34</f>
        <v>435092.18700000003</v>
      </c>
      <c r="AI34" s="17" t="s">
        <v>139</v>
      </c>
    </row>
    <row r="35" spans="1:35" x14ac:dyDescent="0.25">
      <c r="A35" s="48"/>
      <c r="B35" s="6" t="s">
        <v>10</v>
      </c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9"/>
      <c r="O35" s="9"/>
      <c r="P35" s="9"/>
      <c r="Q35" s="29"/>
      <c r="R35" s="29"/>
      <c r="S35" s="29"/>
      <c r="T35" s="9"/>
      <c r="U35" s="9"/>
      <c r="V35" s="35"/>
      <c r="W35" s="9">
        <v>12841.334999999999</v>
      </c>
      <c r="X35" s="9">
        <f t="shared" si="51"/>
        <v>12841.334999999999</v>
      </c>
      <c r="Y35" s="9"/>
      <c r="Z35" s="9">
        <f t="shared" si="52"/>
        <v>12841.334999999999</v>
      </c>
      <c r="AA35" s="9"/>
      <c r="AB35" s="9">
        <f t="shared" si="53"/>
        <v>12841.334999999999</v>
      </c>
      <c r="AC35" s="9"/>
      <c r="AD35" s="9">
        <f t="shared" si="54"/>
        <v>12841.334999999999</v>
      </c>
      <c r="AE35" s="9"/>
      <c r="AF35" s="9">
        <f t="shared" si="55"/>
        <v>12841.334999999999</v>
      </c>
      <c r="AG35" s="9"/>
      <c r="AH35" s="9">
        <f t="shared" si="56"/>
        <v>12841.334999999999</v>
      </c>
      <c r="AI35" s="17"/>
    </row>
    <row r="36" spans="1:35" x14ac:dyDescent="0.25">
      <c r="A36" s="48"/>
      <c r="B36" s="6" t="s">
        <v>137</v>
      </c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9"/>
      <c r="O36" s="9"/>
      <c r="P36" s="9"/>
      <c r="Q36" s="29"/>
      <c r="R36" s="29"/>
      <c r="S36" s="29"/>
      <c r="T36" s="9"/>
      <c r="U36" s="9"/>
      <c r="V36" s="35"/>
      <c r="W36" s="9">
        <v>154096.01999999999</v>
      </c>
      <c r="X36" s="9">
        <f t="shared" si="51"/>
        <v>154096.01999999999</v>
      </c>
      <c r="Y36" s="9"/>
      <c r="Z36" s="9">
        <f t="shared" si="52"/>
        <v>154096.01999999999</v>
      </c>
      <c r="AA36" s="9"/>
      <c r="AB36" s="9">
        <f t="shared" si="53"/>
        <v>154096.01999999999</v>
      </c>
      <c r="AC36" s="9"/>
      <c r="AD36" s="9">
        <f t="shared" si="54"/>
        <v>154096.01999999999</v>
      </c>
      <c r="AE36" s="9"/>
      <c r="AF36" s="9">
        <f t="shared" si="55"/>
        <v>154096.01999999999</v>
      </c>
      <c r="AG36" s="9"/>
      <c r="AH36" s="9">
        <f t="shared" si="56"/>
        <v>154096.01999999999</v>
      </c>
      <c r="AI36" s="17"/>
    </row>
    <row r="37" spans="1:35" x14ac:dyDescent="0.25">
      <c r="A37" s="48">
        <v>5</v>
      </c>
      <c r="B37" s="47" t="s">
        <v>12</v>
      </c>
      <c r="C37" s="36">
        <f>C39</f>
        <v>249486.48899999997</v>
      </c>
      <c r="D37" s="36">
        <f t="shared" si="0"/>
        <v>40379.111000000004</v>
      </c>
      <c r="E37" s="36">
        <f>E39</f>
        <v>289865.59999999998</v>
      </c>
      <c r="F37" s="36">
        <f>F39</f>
        <v>271814.70099999994</v>
      </c>
      <c r="G37" s="36">
        <f t="shared" si="1"/>
        <v>6938.899000000034</v>
      </c>
      <c r="H37" s="36">
        <f>H39</f>
        <v>278753.59999999998</v>
      </c>
      <c r="I37" s="36">
        <f>I39</f>
        <v>283297.59999999998</v>
      </c>
      <c r="J37" s="36">
        <f>J39</f>
        <v>-4879.5999999999995</v>
      </c>
      <c r="K37" s="38">
        <f t="shared" si="10"/>
        <v>35499.511000000028</v>
      </c>
      <c r="L37" s="38">
        <f t="shared" si="11"/>
        <v>284986</v>
      </c>
      <c r="M37" s="38">
        <f>M39</f>
        <v>0</v>
      </c>
      <c r="N37" s="38">
        <f t="shared" si="12"/>
        <v>284986</v>
      </c>
      <c r="O37" s="38">
        <f>O39</f>
        <v>-18628.477999999999</v>
      </c>
      <c r="P37" s="38">
        <f t="shared" si="31"/>
        <v>266357.522</v>
      </c>
      <c r="Q37" s="38">
        <f>Q39</f>
        <v>552.51300000000003</v>
      </c>
      <c r="R37" s="38">
        <f t="shared" si="49"/>
        <v>266910.03499999997</v>
      </c>
      <c r="S37" s="38">
        <f>S39</f>
        <v>0</v>
      </c>
      <c r="T37" s="38">
        <f t="shared" si="33"/>
        <v>266910.03499999997</v>
      </c>
      <c r="U37" s="38">
        <f>U39</f>
        <v>-1445.547</v>
      </c>
      <c r="V37" s="39">
        <f t="shared" si="50"/>
        <v>265464.48799999995</v>
      </c>
      <c r="W37" s="38">
        <f>W39</f>
        <v>-106.40900000000001</v>
      </c>
      <c r="X37" s="38">
        <f t="shared" si="51"/>
        <v>265358.07899999997</v>
      </c>
      <c r="Y37" s="9">
        <f>Y39</f>
        <v>1597.5120000000002</v>
      </c>
      <c r="Z37" s="9">
        <f t="shared" si="52"/>
        <v>266955.59099999996</v>
      </c>
      <c r="AA37" s="9">
        <f>AA39</f>
        <v>-441.488</v>
      </c>
      <c r="AB37" s="9">
        <f t="shared" si="53"/>
        <v>266514.10299999994</v>
      </c>
      <c r="AC37" s="9">
        <f>AC39</f>
        <v>96.009</v>
      </c>
      <c r="AD37" s="9">
        <f t="shared" si="54"/>
        <v>266610.11199999996</v>
      </c>
      <c r="AE37" s="18">
        <f>AE39</f>
        <v>855.66599999999994</v>
      </c>
      <c r="AF37" s="9">
        <f t="shared" si="55"/>
        <v>267465.77799999999</v>
      </c>
      <c r="AG37" s="9">
        <f>AG39</f>
        <v>0</v>
      </c>
      <c r="AH37" s="9">
        <f t="shared" si="56"/>
        <v>267465.77799999999</v>
      </c>
      <c r="AI37" s="17" t="s">
        <v>92</v>
      </c>
    </row>
    <row r="38" spans="1:35" x14ac:dyDescent="0.25">
      <c r="A38" s="48"/>
      <c r="B38" s="6" t="s">
        <v>8</v>
      </c>
      <c r="C38" s="36"/>
      <c r="D38" s="36"/>
      <c r="E38" s="36"/>
      <c r="F38" s="36"/>
      <c r="G38" s="36"/>
      <c r="H38" s="36"/>
      <c r="I38" s="36"/>
      <c r="J38" s="36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  <c r="W38" s="38"/>
      <c r="X38" s="38"/>
      <c r="Y38" s="9"/>
      <c r="Z38" s="9"/>
      <c r="AA38" s="9"/>
      <c r="AB38" s="9"/>
      <c r="AC38" s="9"/>
      <c r="AD38" s="9"/>
      <c r="AE38" s="18"/>
      <c r="AF38" s="9"/>
      <c r="AG38" s="9"/>
      <c r="AH38" s="9"/>
      <c r="AI38" s="17"/>
    </row>
    <row r="39" spans="1:35" x14ac:dyDescent="0.25">
      <c r="A39" s="48"/>
      <c r="B39" s="6" t="s">
        <v>9</v>
      </c>
      <c r="C39" s="36">
        <v>249486.48899999997</v>
      </c>
      <c r="D39" s="36">
        <f t="shared" si="0"/>
        <v>40379.111000000004</v>
      </c>
      <c r="E39" s="36">
        <v>289865.59999999998</v>
      </c>
      <c r="F39" s="36">
        <v>271814.70099999994</v>
      </c>
      <c r="G39" s="36">
        <f t="shared" si="1"/>
        <v>6938.899000000034</v>
      </c>
      <c r="H39" s="36">
        <v>278753.59999999998</v>
      </c>
      <c r="I39" s="36">
        <v>283297.59999999998</v>
      </c>
      <c r="J39" s="36">
        <f>-187.2-43-1.5-4647.9</f>
        <v>-4879.5999999999995</v>
      </c>
      <c r="K39" s="38">
        <f t="shared" si="10"/>
        <v>35499.511000000028</v>
      </c>
      <c r="L39" s="38">
        <f t="shared" si="11"/>
        <v>284986</v>
      </c>
      <c r="M39" s="38"/>
      <c r="N39" s="38">
        <f t="shared" si="12"/>
        <v>284986</v>
      </c>
      <c r="O39" s="38">
        <v>-18628.477999999999</v>
      </c>
      <c r="P39" s="38">
        <f t="shared" si="31"/>
        <v>266357.522</v>
      </c>
      <c r="Q39" s="38">
        <f>475.3+77.213</f>
        <v>552.51300000000003</v>
      </c>
      <c r="R39" s="38">
        <f t="shared" ref="R39:R40" si="57">P39+Q39</f>
        <v>266910.03499999997</v>
      </c>
      <c r="S39" s="38"/>
      <c r="T39" s="38">
        <f t="shared" si="33"/>
        <v>266910.03499999997</v>
      </c>
      <c r="U39" s="38">
        <f>-1445.547</f>
        <v>-1445.547</v>
      </c>
      <c r="V39" s="39">
        <f t="shared" ref="V39:V40" si="58">T39+U39</f>
        <v>265464.48799999995</v>
      </c>
      <c r="W39" s="38">
        <v>-106.40900000000001</v>
      </c>
      <c r="X39" s="38">
        <f t="shared" ref="X39:X40" si="59">V39+W39</f>
        <v>265358.07899999997</v>
      </c>
      <c r="Y39" s="9">
        <f>319.812+1277.7</f>
        <v>1597.5120000000002</v>
      </c>
      <c r="Z39" s="9">
        <f t="shared" ref="Z39:Z40" si="60">X39+Y39</f>
        <v>266955.59099999996</v>
      </c>
      <c r="AA39" s="9">
        <f>-416.299-25.189</f>
        <v>-441.488</v>
      </c>
      <c r="AB39" s="9">
        <f t="shared" ref="AB39:AB40" si="61">Z39+AA39</f>
        <v>266514.10299999994</v>
      </c>
      <c r="AC39" s="9">
        <v>96.009</v>
      </c>
      <c r="AD39" s="9">
        <f t="shared" ref="AD39:AD40" si="62">AB39+AC39</f>
        <v>266610.11199999996</v>
      </c>
      <c r="AE39" s="45">
        <f>-44.334+900</f>
        <v>855.66599999999994</v>
      </c>
      <c r="AF39" s="9">
        <f t="shared" ref="AF39:AF40" si="63">AD39+AE39</f>
        <v>267465.77799999999</v>
      </c>
      <c r="AG39" s="9"/>
      <c r="AH39" s="9">
        <f t="shared" ref="AH39:AH40" si="64">AF39+AG39</f>
        <v>267465.77799999999</v>
      </c>
      <c r="AI39" s="17"/>
    </row>
    <row r="40" spans="1:35" x14ac:dyDescent="0.25">
      <c r="A40" s="48">
        <v>6</v>
      </c>
      <c r="B40" s="47" t="s">
        <v>13</v>
      </c>
      <c r="C40" s="36">
        <f>C42</f>
        <v>356481.4</v>
      </c>
      <c r="D40" s="36">
        <f t="shared" si="0"/>
        <v>18763.699999999953</v>
      </c>
      <c r="E40" s="36">
        <f>E42</f>
        <v>375245.1</v>
      </c>
      <c r="F40" s="36">
        <f>F42</f>
        <v>393658.9</v>
      </c>
      <c r="G40" s="36">
        <f t="shared" si="1"/>
        <v>-52929.600000000035</v>
      </c>
      <c r="H40" s="36">
        <f>H42</f>
        <v>340729.3</v>
      </c>
      <c r="I40" s="36">
        <f>I42</f>
        <v>348300.3</v>
      </c>
      <c r="J40" s="36">
        <f>J42</f>
        <v>-891.5</v>
      </c>
      <c r="K40" s="38">
        <f t="shared" si="10"/>
        <v>17872.199999999953</v>
      </c>
      <c r="L40" s="38">
        <f t="shared" si="11"/>
        <v>374353.6</v>
      </c>
      <c r="M40" s="38">
        <f>M42</f>
        <v>0</v>
      </c>
      <c r="N40" s="38">
        <f t="shared" si="12"/>
        <v>374353.6</v>
      </c>
      <c r="O40" s="38">
        <f>O42</f>
        <v>-27861.745999999999</v>
      </c>
      <c r="P40" s="38">
        <f t="shared" si="31"/>
        <v>346491.85399999999</v>
      </c>
      <c r="Q40" s="38">
        <f>Q42</f>
        <v>4417.1429999999991</v>
      </c>
      <c r="R40" s="38">
        <f t="shared" si="57"/>
        <v>350908.99699999997</v>
      </c>
      <c r="S40" s="38">
        <f>S42</f>
        <v>0</v>
      </c>
      <c r="T40" s="38">
        <f t="shared" si="33"/>
        <v>350908.99699999997</v>
      </c>
      <c r="U40" s="38">
        <f>U42</f>
        <v>-3684.654</v>
      </c>
      <c r="V40" s="39">
        <f t="shared" si="58"/>
        <v>347224.34299999999</v>
      </c>
      <c r="W40" s="38">
        <f>W42</f>
        <v>106.40900000000001</v>
      </c>
      <c r="X40" s="38">
        <f t="shared" si="59"/>
        <v>347330.75199999998</v>
      </c>
      <c r="Y40" s="9">
        <f>Y42</f>
        <v>2141</v>
      </c>
      <c r="Z40" s="9">
        <f t="shared" si="60"/>
        <v>349471.75199999998</v>
      </c>
      <c r="AA40" s="9">
        <f>AA42</f>
        <v>-2703.174</v>
      </c>
      <c r="AB40" s="9">
        <f t="shared" si="61"/>
        <v>346768.57799999998</v>
      </c>
      <c r="AC40" s="9">
        <f>AC42</f>
        <v>0</v>
      </c>
      <c r="AD40" s="9">
        <f t="shared" si="62"/>
        <v>346768.57799999998</v>
      </c>
      <c r="AE40" s="18">
        <f>AE42</f>
        <v>600</v>
      </c>
      <c r="AF40" s="9">
        <f t="shared" si="63"/>
        <v>347368.57799999998</v>
      </c>
      <c r="AG40" s="18">
        <f>AG42</f>
        <v>-335.77</v>
      </c>
      <c r="AH40" s="9">
        <f t="shared" si="64"/>
        <v>347032.80799999996</v>
      </c>
      <c r="AI40" s="17" t="s">
        <v>95</v>
      </c>
    </row>
    <row r="41" spans="1:35" x14ac:dyDescent="0.25">
      <c r="A41" s="48"/>
      <c r="B41" s="6" t="s">
        <v>8</v>
      </c>
      <c r="C41" s="36"/>
      <c r="D41" s="36"/>
      <c r="E41" s="36"/>
      <c r="F41" s="36"/>
      <c r="G41" s="36"/>
      <c r="H41" s="36"/>
      <c r="I41" s="36"/>
      <c r="J41" s="36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9"/>
      <c r="W41" s="38"/>
      <c r="X41" s="38"/>
      <c r="Y41" s="9"/>
      <c r="Z41" s="9"/>
      <c r="AA41" s="9"/>
      <c r="AB41" s="9"/>
      <c r="AC41" s="9"/>
      <c r="AD41" s="9"/>
      <c r="AE41" s="18"/>
      <c r="AF41" s="9"/>
      <c r="AG41" s="18"/>
      <c r="AH41" s="9"/>
      <c r="AI41" s="17"/>
    </row>
    <row r="42" spans="1:35" x14ac:dyDescent="0.25">
      <c r="A42" s="48"/>
      <c r="B42" s="6" t="s">
        <v>9</v>
      </c>
      <c r="C42" s="36">
        <v>356481.4</v>
      </c>
      <c r="D42" s="36">
        <f t="shared" si="0"/>
        <v>18763.699999999953</v>
      </c>
      <c r="E42" s="36">
        <v>375245.1</v>
      </c>
      <c r="F42" s="36">
        <v>393658.9</v>
      </c>
      <c r="G42" s="36">
        <f t="shared" si="1"/>
        <v>-52929.600000000035</v>
      </c>
      <c r="H42" s="36">
        <v>340729.3</v>
      </c>
      <c r="I42" s="36">
        <v>348300.3</v>
      </c>
      <c r="J42" s="36">
        <f>-280.7-44.5-546.5-19.8</f>
        <v>-891.5</v>
      </c>
      <c r="K42" s="38">
        <f t="shared" si="10"/>
        <v>17872.199999999953</v>
      </c>
      <c r="L42" s="38">
        <f t="shared" si="11"/>
        <v>374353.6</v>
      </c>
      <c r="M42" s="38"/>
      <c r="N42" s="38">
        <f t="shared" si="12"/>
        <v>374353.6</v>
      </c>
      <c r="O42" s="38">
        <v>-27861.745999999999</v>
      </c>
      <c r="P42" s="38">
        <f t="shared" si="31"/>
        <v>346491.85399999999</v>
      </c>
      <c r="Q42" s="38">
        <f>568.9+16+3674.477+157.766</f>
        <v>4417.1429999999991</v>
      </c>
      <c r="R42" s="38">
        <f t="shared" ref="R42:R43" si="65">P42+Q42</f>
        <v>350908.99699999997</v>
      </c>
      <c r="S42" s="38"/>
      <c r="T42" s="38">
        <f t="shared" si="33"/>
        <v>350908.99699999997</v>
      </c>
      <c r="U42" s="38">
        <f>-548.742-239.082-2896.83</f>
        <v>-3684.654</v>
      </c>
      <c r="V42" s="39">
        <f t="shared" ref="V42:V43" si="66">T42+U42</f>
        <v>347224.34299999999</v>
      </c>
      <c r="W42" s="38">
        <v>106.40900000000001</v>
      </c>
      <c r="X42" s="38">
        <f t="shared" ref="X42:X43" si="67">V42+W42</f>
        <v>347330.75199999998</v>
      </c>
      <c r="Y42" s="9">
        <f>2141</f>
        <v>2141</v>
      </c>
      <c r="Z42" s="9">
        <f t="shared" ref="Z42:Z43" si="68">X42+Y42</f>
        <v>349471.75199999998</v>
      </c>
      <c r="AA42" s="9">
        <f>-2703.174</f>
        <v>-2703.174</v>
      </c>
      <c r="AB42" s="9">
        <f t="shared" ref="AB42:AB43" si="69">Z42+AA42</f>
        <v>346768.57799999998</v>
      </c>
      <c r="AC42" s="9"/>
      <c r="AD42" s="9">
        <f t="shared" ref="AD42:AD43" si="70">AB42+AC42</f>
        <v>346768.57799999998</v>
      </c>
      <c r="AE42" s="18">
        <v>600</v>
      </c>
      <c r="AF42" s="9">
        <f t="shared" ref="AF42:AF43" si="71">AD42+AE42</f>
        <v>347368.57799999998</v>
      </c>
      <c r="AG42" s="18">
        <v>-335.77</v>
      </c>
      <c r="AH42" s="9">
        <f t="shared" ref="AH42:AH43" si="72">AF42+AG42</f>
        <v>347032.80799999996</v>
      </c>
      <c r="AI42" s="17"/>
    </row>
    <row r="43" spans="1:35" x14ac:dyDescent="0.25">
      <c r="A43" s="48">
        <v>7</v>
      </c>
      <c r="B43" s="47" t="s">
        <v>14</v>
      </c>
      <c r="C43" s="36">
        <f>C45</f>
        <v>399089.6</v>
      </c>
      <c r="D43" s="36">
        <f t="shared" si="0"/>
        <v>-34661.099999999977</v>
      </c>
      <c r="E43" s="36">
        <f>E45</f>
        <v>364428.5</v>
      </c>
      <c r="F43" s="36">
        <f>F45</f>
        <v>474206.5</v>
      </c>
      <c r="G43" s="36">
        <f t="shared" si="1"/>
        <v>-119772.09999999998</v>
      </c>
      <c r="H43" s="36">
        <f>H45</f>
        <v>354434.4</v>
      </c>
      <c r="I43" s="36">
        <f>I45</f>
        <v>361412.9</v>
      </c>
      <c r="J43" s="36">
        <f>J45</f>
        <v>-3955.2999999999997</v>
      </c>
      <c r="K43" s="38">
        <f t="shared" si="10"/>
        <v>-38616.399999999965</v>
      </c>
      <c r="L43" s="38">
        <f t="shared" si="11"/>
        <v>360473.2</v>
      </c>
      <c r="M43" s="38">
        <f>M45</f>
        <v>0</v>
      </c>
      <c r="N43" s="38">
        <f t="shared" si="12"/>
        <v>360473.2</v>
      </c>
      <c r="O43" s="38">
        <f>O45</f>
        <v>0</v>
      </c>
      <c r="P43" s="38">
        <f t="shared" si="31"/>
        <v>360473.2</v>
      </c>
      <c r="Q43" s="38">
        <f>Q45</f>
        <v>22584.366999999998</v>
      </c>
      <c r="R43" s="38">
        <f t="shared" si="65"/>
        <v>383057.56700000004</v>
      </c>
      <c r="S43" s="38">
        <f>S45</f>
        <v>0</v>
      </c>
      <c r="T43" s="38">
        <f t="shared" si="33"/>
        <v>383057.56700000004</v>
      </c>
      <c r="U43" s="38">
        <f>U45</f>
        <v>-6317.4549999999999</v>
      </c>
      <c r="V43" s="39">
        <f t="shared" si="66"/>
        <v>376740.11200000002</v>
      </c>
      <c r="W43" s="38">
        <f>W45</f>
        <v>0</v>
      </c>
      <c r="X43" s="38">
        <f t="shared" si="67"/>
        <v>376740.11200000002</v>
      </c>
      <c r="Y43" s="9">
        <f>Y45</f>
        <v>1624.9</v>
      </c>
      <c r="Z43" s="9">
        <f t="shared" si="68"/>
        <v>378365.01200000005</v>
      </c>
      <c r="AA43" s="9">
        <f>AA45</f>
        <v>0</v>
      </c>
      <c r="AB43" s="9">
        <f t="shared" si="69"/>
        <v>378365.01200000005</v>
      </c>
      <c r="AC43" s="9">
        <f>AC45</f>
        <v>0</v>
      </c>
      <c r="AD43" s="9">
        <f t="shared" si="70"/>
        <v>378365.01200000005</v>
      </c>
      <c r="AE43" s="18">
        <f>AE45</f>
        <v>800</v>
      </c>
      <c r="AF43" s="9">
        <f t="shared" si="71"/>
        <v>379165.01200000005</v>
      </c>
      <c r="AG43" s="18">
        <f>AG45</f>
        <v>6139.53</v>
      </c>
      <c r="AH43" s="9">
        <f t="shared" si="72"/>
        <v>385304.54200000007</v>
      </c>
      <c r="AI43" s="17" t="s">
        <v>93</v>
      </c>
    </row>
    <row r="44" spans="1:35" x14ac:dyDescent="0.25">
      <c r="A44" s="48"/>
      <c r="B44" s="6" t="s">
        <v>8</v>
      </c>
      <c r="C44" s="36"/>
      <c r="D44" s="36"/>
      <c r="E44" s="36"/>
      <c r="F44" s="36"/>
      <c r="G44" s="36"/>
      <c r="H44" s="36"/>
      <c r="I44" s="36"/>
      <c r="J44" s="36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9"/>
      <c r="W44" s="38"/>
      <c r="X44" s="38"/>
      <c r="Y44" s="9"/>
      <c r="Z44" s="9"/>
      <c r="AA44" s="9"/>
      <c r="AB44" s="9"/>
      <c r="AC44" s="9"/>
      <c r="AD44" s="9"/>
      <c r="AE44" s="18"/>
      <c r="AF44" s="9"/>
      <c r="AG44" s="18"/>
      <c r="AH44" s="9"/>
      <c r="AI44" s="17"/>
    </row>
    <row r="45" spans="1:35" x14ac:dyDescent="0.25">
      <c r="A45" s="48"/>
      <c r="B45" s="6" t="s">
        <v>9</v>
      </c>
      <c r="C45" s="36">
        <v>399089.6</v>
      </c>
      <c r="D45" s="36">
        <f t="shared" si="0"/>
        <v>-34661.099999999977</v>
      </c>
      <c r="E45" s="36">
        <v>364428.5</v>
      </c>
      <c r="F45" s="36">
        <v>474206.5</v>
      </c>
      <c r="G45" s="36">
        <f t="shared" si="1"/>
        <v>-119772.09999999998</v>
      </c>
      <c r="H45" s="36">
        <v>354434.4</v>
      </c>
      <c r="I45" s="36">
        <v>361412.9</v>
      </c>
      <c r="J45" s="36">
        <f>-1523.7-30-2357.5-44.1</f>
        <v>-3955.2999999999997</v>
      </c>
      <c r="K45" s="38">
        <f t="shared" si="10"/>
        <v>-38616.399999999965</v>
      </c>
      <c r="L45" s="38">
        <f t="shared" si="11"/>
        <v>360473.2</v>
      </c>
      <c r="M45" s="38"/>
      <c r="N45" s="38">
        <f t="shared" si="12"/>
        <v>360473.2</v>
      </c>
      <c r="O45" s="38">
        <f>15612.994-15612.994</f>
        <v>0</v>
      </c>
      <c r="P45" s="38">
        <f t="shared" si="31"/>
        <v>360473.2</v>
      </c>
      <c r="Q45" s="38">
        <f>628.5+8129.581+13826.286</f>
        <v>22584.366999999998</v>
      </c>
      <c r="R45" s="38">
        <f t="shared" ref="R45:R46" si="73">P45+Q45</f>
        <v>383057.56700000004</v>
      </c>
      <c r="S45" s="38"/>
      <c r="T45" s="38">
        <f t="shared" si="33"/>
        <v>383057.56700000004</v>
      </c>
      <c r="U45" s="38">
        <f>-6317.455</f>
        <v>-6317.4549999999999</v>
      </c>
      <c r="V45" s="39">
        <f t="shared" ref="V45:V46" si="74">T45+U45</f>
        <v>376740.11200000002</v>
      </c>
      <c r="W45" s="38"/>
      <c r="X45" s="38">
        <f t="shared" ref="X45:X46" si="75">V45+W45</f>
        <v>376740.11200000002</v>
      </c>
      <c r="Y45" s="9">
        <v>1624.9</v>
      </c>
      <c r="Z45" s="9">
        <f t="shared" ref="Z45:Z46" si="76">X45+Y45</f>
        <v>378365.01200000005</v>
      </c>
      <c r="AA45" s="9"/>
      <c r="AB45" s="9">
        <f t="shared" ref="AB45:AB46" si="77">Z45+AA45</f>
        <v>378365.01200000005</v>
      </c>
      <c r="AC45" s="9"/>
      <c r="AD45" s="9">
        <f t="shared" ref="AD45:AD46" si="78">AB45+AC45</f>
        <v>378365.01200000005</v>
      </c>
      <c r="AE45" s="18">
        <v>800</v>
      </c>
      <c r="AF45" s="9">
        <f t="shared" ref="AF45:AF46" si="79">AD45+AE45</f>
        <v>379165.01200000005</v>
      </c>
      <c r="AG45" s="18">
        <v>6139.53</v>
      </c>
      <c r="AH45" s="9">
        <f t="shared" ref="AH45:AH46" si="80">AF45+AG45</f>
        <v>385304.54200000007</v>
      </c>
      <c r="AI45" s="17"/>
    </row>
    <row r="46" spans="1:35" x14ac:dyDescent="0.25">
      <c r="A46" s="48">
        <v>8</v>
      </c>
      <c r="B46" s="47" t="s">
        <v>15</v>
      </c>
      <c r="C46" s="7">
        <f>C48</f>
        <v>220057.397</v>
      </c>
      <c r="D46" s="7">
        <f t="shared" si="0"/>
        <v>17687.303000000014</v>
      </c>
      <c r="E46" s="7">
        <f>E48</f>
        <v>237744.7</v>
      </c>
      <c r="F46" s="7">
        <f>F48</f>
        <v>261215.77100000004</v>
      </c>
      <c r="G46" s="7">
        <f t="shared" si="1"/>
        <v>-40611.471000000049</v>
      </c>
      <c r="H46" s="7">
        <f>H48</f>
        <v>220604.3</v>
      </c>
      <c r="I46" s="7">
        <f>I48</f>
        <v>221739.1</v>
      </c>
      <c r="J46" s="7">
        <f>J48</f>
        <v>-307.59999999999997</v>
      </c>
      <c r="K46" s="9">
        <f t="shared" si="10"/>
        <v>17379.703000000009</v>
      </c>
      <c r="L46" s="9">
        <f t="shared" si="11"/>
        <v>237437.1</v>
      </c>
      <c r="M46" s="18">
        <f>M48</f>
        <v>0</v>
      </c>
      <c r="N46" s="18">
        <f t="shared" si="12"/>
        <v>237437.1</v>
      </c>
      <c r="O46" s="9">
        <f>O48</f>
        <v>-12425.460999999999</v>
      </c>
      <c r="P46" s="9">
        <f t="shared" si="31"/>
        <v>225011.639</v>
      </c>
      <c r="Q46" s="29">
        <f>Q48</f>
        <v>576.79999999999995</v>
      </c>
      <c r="R46" s="29">
        <f t="shared" si="73"/>
        <v>225588.43899999998</v>
      </c>
      <c r="S46" s="29">
        <f>S48</f>
        <v>0</v>
      </c>
      <c r="T46" s="9">
        <f t="shared" si="33"/>
        <v>225588.43899999998</v>
      </c>
      <c r="U46" s="9">
        <f>U48</f>
        <v>0</v>
      </c>
      <c r="V46" s="35">
        <f t="shared" si="74"/>
        <v>225588.43899999998</v>
      </c>
      <c r="W46" s="9">
        <f>W48</f>
        <v>0</v>
      </c>
      <c r="X46" s="9">
        <f t="shared" si="75"/>
        <v>225588.43899999998</v>
      </c>
      <c r="Y46" s="9">
        <f>Y48</f>
        <v>0</v>
      </c>
      <c r="Z46" s="9">
        <f t="shared" si="76"/>
        <v>225588.43899999998</v>
      </c>
      <c r="AA46" s="9">
        <f>AA48</f>
        <v>0</v>
      </c>
      <c r="AB46" s="9">
        <f t="shared" si="77"/>
        <v>225588.43899999998</v>
      </c>
      <c r="AC46" s="9">
        <f>AC48</f>
        <v>0</v>
      </c>
      <c r="AD46" s="9">
        <f t="shared" si="78"/>
        <v>225588.43899999998</v>
      </c>
      <c r="AE46" s="18">
        <f>AE48</f>
        <v>1010</v>
      </c>
      <c r="AF46" s="9">
        <f t="shared" si="79"/>
        <v>226598.43899999998</v>
      </c>
      <c r="AG46" s="9">
        <f>AG48</f>
        <v>0</v>
      </c>
      <c r="AH46" s="9">
        <f t="shared" si="80"/>
        <v>226598.43899999998</v>
      </c>
      <c r="AI46" s="17" t="s">
        <v>89</v>
      </c>
    </row>
    <row r="47" spans="1:35" x14ac:dyDescent="0.25">
      <c r="A47" s="48"/>
      <c r="B47" s="6" t="s">
        <v>8</v>
      </c>
      <c r="C47" s="7"/>
      <c r="D47" s="7"/>
      <c r="E47" s="7"/>
      <c r="F47" s="7"/>
      <c r="G47" s="7"/>
      <c r="H47" s="7"/>
      <c r="I47" s="7"/>
      <c r="J47" s="7"/>
      <c r="K47" s="9"/>
      <c r="L47" s="9"/>
      <c r="M47" s="18"/>
      <c r="N47" s="18"/>
      <c r="O47" s="9"/>
      <c r="P47" s="9"/>
      <c r="Q47" s="29"/>
      <c r="R47" s="29"/>
      <c r="S47" s="29"/>
      <c r="T47" s="9"/>
      <c r="U47" s="9"/>
      <c r="V47" s="35"/>
      <c r="W47" s="9"/>
      <c r="X47" s="9"/>
      <c r="Y47" s="9"/>
      <c r="Z47" s="9"/>
      <c r="AA47" s="9"/>
      <c r="AB47" s="9"/>
      <c r="AC47" s="9"/>
      <c r="AD47" s="9"/>
      <c r="AE47" s="18"/>
      <c r="AF47" s="9"/>
      <c r="AG47" s="9"/>
      <c r="AH47" s="9"/>
      <c r="AI47" s="17"/>
    </row>
    <row r="48" spans="1:35" x14ac:dyDescent="0.25">
      <c r="A48" s="48"/>
      <c r="B48" s="6" t="s">
        <v>9</v>
      </c>
      <c r="C48" s="7">
        <v>220057.397</v>
      </c>
      <c r="D48" s="7">
        <f t="shared" si="0"/>
        <v>17687.303000000014</v>
      </c>
      <c r="E48" s="7">
        <v>237744.7</v>
      </c>
      <c r="F48" s="7">
        <v>261215.77100000004</v>
      </c>
      <c r="G48" s="7">
        <f t="shared" si="1"/>
        <v>-40611.471000000049</v>
      </c>
      <c r="H48" s="7">
        <v>220604.3</v>
      </c>
      <c r="I48" s="7">
        <v>221739.1</v>
      </c>
      <c r="J48" s="7">
        <f>-280.7-14.5-30+17.6</f>
        <v>-307.59999999999997</v>
      </c>
      <c r="K48" s="9">
        <f t="shared" si="10"/>
        <v>17379.703000000009</v>
      </c>
      <c r="L48" s="9">
        <f t="shared" si="11"/>
        <v>237437.1</v>
      </c>
      <c r="M48" s="18"/>
      <c r="N48" s="18">
        <f t="shared" si="12"/>
        <v>237437.1</v>
      </c>
      <c r="O48" s="9">
        <v>-12425.460999999999</v>
      </c>
      <c r="P48" s="9">
        <f t="shared" si="31"/>
        <v>225011.639</v>
      </c>
      <c r="Q48" s="29">
        <v>576.79999999999995</v>
      </c>
      <c r="R48" s="29">
        <f t="shared" ref="R48:R49" si="81">P48+Q48</f>
        <v>225588.43899999998</v>
      </c>
      <c r="S48" s="29"/>
      <c r="T48" s="9">
        <f t="shared" si="33"/>
        <v>225588.43899999998</v>
      </c>
      <c r="U48" s="9"/>
      <c r="V48" s="35">
        <f t="shared" ref="V48:V49" si="82">T48+U48</f>
        <v>225588.43899999998</v>
      </c>
      <c r="W48" s="9"/>
      <c r="X48" s="9">
        <f t="shared" ref="X48:X49" si="83">V48+W48</f>
        <v>225588.43899999998</v>
      </c>
      <c r="Y48" s="9"/>
      <c r="Z48" s="9">
        <f t="shared" ref="Z48:Z49" si="84">X48+Y48</f>
        <v>225588.43899999998</v>
      </c>
      <c r="AA48" s="9"/>
      <c r="AB48" s="9">
        <f t="shared" ref="AB48:AB49" si="85">Z48+AA48</f>
        <v>225588.43899999998</v>
      </c>
      <c r="AC48" s="9"/>
      <c r="AD48" s="9">
        <f t="shared" ref="AD48:AD49" si="86">AB48+AC48</f>
        <v>225588.43899999998</v>
      </c>
      <c r="AE48" s="18">
        <v>1010</v>
      </c>
      <c r="AF48" s="9">
        <f t="shared" ref="AF48:AF49" si="87">AD48+AE48</f>
        <v>226598.43899999998</v>
      </c>
      <c r="AG48" s="9"/>
      <c r="AH48" s="9">
        <f t="shared" ref="AH48:AH49" si="88">AF48+AG48</f>
        <v>226598.43899999998</v>
      </c>
      <c r="AI48" s="17"/>
    </row>
    <row r="49" spans="1:35" x14ac:dyDescent="0.25">
      <c r="A49" s="48">
        <v>9</v>
      </c>
      <c r="B49" s="47" t="s">
        <v>16</v>
      </c>
      <c r="C49" s="36">
        <f>C51</f>
        <v>202070.7</v>
      </c>
      <c r="D49" s="36">
        <f t="shared" si="0"/>
        <v>16500.299999999988</v>
      </c>
      <c r="E49" s="36">
        <f>E51</f>
        <v>218571</v>
      </c>
      <c r="F49" s="36">
        <f>F51</f>
        <v>252164</v>
      </c>
      <c r="G49" s="36">
        <f t="shared" si="1"/>
        <v>-21349.600000000006</v>
      </c>
      <c r="H49" s="36">
        <f>H51</f>
        <v>230814.4</v>
      </c>
      <c r="I49" s="36">
        <f>I51</f>
        <v>229108.1</v>
      </c>
      <c r="J49" s="36">
        <f>J51</f>
        <v>-4353.7999999999993</v>
      </c>
      <c r="K49" s="38">
        <f t="shared" si="10"/>
        <v>12146.5</v>
      </c>
      <c r="L49" s="38">
        <f t="shared" si="11"/>
        <v>214217.2</v>
      </c>
      <c r="M49" s="38">
        <f>M51</f>
        <v>0</v>
      </c>
      <c r="N49" s="38">
        <f t="shared" si="12"/>
        <v>214217.2</v>
      </c>
      <c r="O49" s="38">
        <f>O51</f>
        <v>-725.91399999999999</v>
      </c>
      <c r="P49" s="38">
        <f t="shared" si="31"/>
        <v>213491.28600000002</v>
      </c>
      <c r="Q49" s="38">
        <f>Q51</f>
        <v>586.6</v>
      </c>
      <c r="R49" s="38">
        <f t="shared" si="81"/>
        <v>214077.88600000003</v>
      </c>
      <c r="S49" s="38">
        <f>S51</f>
        <v>0</v>
      </c>
      <c r="T49" s="38">
        <f t="shared" si="33"/>
        <v>214077.88600000003</v>
      </c>
      <c r="U49" s="38">
        <f>U51</f>
        <v>-861.54</v>
      </c>
      <c r="V49" s="39">
        <f t="shared" si="82"/>
        <v>213216.34600000002</v>
      </c>
      <c r="W49" s="38">
        <f>W51</f>
        <v>0</v>
      </c>
      <c r="X49" s="38">
        <f t="shared" si="83"/>
        <v>213216.34600000002</v>
      </c>
      <c r="Y49" s="9">
        <f>Y51</f>
        <v>1410.3</v>
      </c>
      <c r="Z49" s="9">
        <f t="shared" si="84"/>
        <v>214626.64600000001</v>
      </c>
      <c r="AA49" s="9">
        <f>AA51</f>
        <v>-644.14599999999996</v>
      </c>
      <c r="AB49" s="9">
        <f t="shared" si="85"/>
        <v>213982.5</v>
      </c>
      <c r="AC49" s="9">
        <f>AC51</f>
        <v>-4120.7240000000002</v>
      </c>
      <c r="AD49" s="9">
        <f t="shared" si="86"/>
        <v>209861.77600000001</v>
      </c>
      <c r="AE49" s="18">
        <f>AE51</f>
        <v>650</v>
      </c>
      <c r="AF49" s="9">
        <f t="shared" si="87"/>
        <v>210511.77600000001</v>
      </c>
      <c r="AG49" s="9">
        <f>AG51</f>
        <v>0</v>
      </c>
      <c r="AH49" s="9">
        <f t="shared" si="88"/>
        <v>210511.77600000001</v>
      </c>
      <c r="AI49" s="17" t="s">
        <v>90</v>
      </c>
    </row>
    <row r="50" spans="1:35" x14ac:dyDescent="0.25">
      <c r="A50" s="48"/>
      <c r="B50" s="6" t="s">
        <v>8</v>
      </c>
      <c r="C50" s="36"/>
      <c r="D50" s="36"/>
      <c r="E50" s="36"/>
      <c r="F50" s="36"/>
      <c r="G50" s="36"/>
      <c r="H50" s="36"/>
      <c r="I50" s="36"/>
      <c r="J50" s="36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38"/>
      <c r="X50" s="38"/>
      <c r="Y50" s="9"/>
      <c r="Z50" s="9"/>
      <c r="AA50" s="9"/>
      <c r="AB50" s="9"/>
      <c r="AC50" s="9"/>
      <c r="AD50" s="9"/>
      <c r="AE50" s="18"/>
      <c r="AF50" s="9"/>
      <c r="AG50" s="9"/>
      <c r="AH50" s="9"/>
      <c r="AI50" s="17"/>
    </row>
    <row r="51" spans="1:35" x14ac:dyDescent="0.25">
      <c r="A51" s="48"/>
      <c r="B51" s="6" t="s">
        <v>9</v>
      </c>
      <c r="C51" s="36">
        <v>202070.7</v>
      </c>
      <c r="D51" s="36">
        <f t="shared" si="0"/>
        <v>16500.299999999988</v>
      </c>
      <c r="E51" s="36">
        <v>218571</v>
      </c>
      <c r="F51" s="36">
        <v>252164</v>
      </c>
      <c r="G51" s="36">
        <f t="shared" si="1"/>
        <v>-21349.600000000006</v>
      </c>
      <c r="H51" s="36">
        <v>230814.4</v>
      </c>
      <c r="I51" s="36">
        <v>229108.1</v>
      </c>
      <c r="J51" s="36">
        <f>-515.4-267.9-3283.9-854.2+567.6</f>
        <v>-4353.7999999999993</v>
      </c>
      <c r="K51" s="38">
        <f t="shared" si="10"/>
        <v>12146.5</v>
      </c>
      <c r="L51" s="38">
        <f t="shared" si="11"/>
        <v>214217.2</v>
      </c>
      <c r="M51" s="38"/>
      <c r="N51" s="38">
        <f t="shared" si="12"/>
        <v>214217.2</v>
      </c>
      <c r="O51" s="38">
        <v>-725.91399999999999</v>
      </c>
      <c r="P51" s="38">
        <f t="shared" si="31"/>
        <v>213491.28600000002</v>
      </c>
      <c r="Q51" s="38">
        <v>586.6</v>
      </c>
      <c r="R51" s="38">
        <f t="shared" ref="R51:R52" si="89">P51+Q51</f>
        <v>214077.88600000003</v>
      </c>
      <c r="S51" s="38"/>
      <c r="T51" s="38">
        <f t="shared" si="33"/>
        <v>214077.88600000003</v>
      </c>
      <c r="U51" s="38">
        <f>-861.54</f>
        <v>-861.54</v>
      </c>
      <c r="V51" s="39">
        <f t="shared" ref="V51:V52" si="90">T51+U51</f>
        <v>213216.34600000002</v>
      </c>
      <c r="W51" s="38"/>
      <c r="X51" s="38">
        <f t="shared" ref="X51:X52" si="91">V51+W51</f>
        <v>213216.34600000002</v>
      </c>
      <c r="Y51" s="9">
        <f>1410.3</f>
        <v>1410.3</v>
      </c>
      <c r="Z51" s="9">
        <f t="shared" ref="Z51:Z52" si="92">X51+Y51</f>
        <v>214626.64600000001</v>
      </c>
      <c r="AA51" s="9">
        <v>-644.14599999999996</v>
      </c>
      <c r="AB51" s="9">
        <f t="shared" ref="AB51:AB52" si="93">Z51+AA51</f>
        <v>213982.5</v>
      </c>
      <c r="AC51" s="9">
        <f>-404.898-3715.826</f>
        <v>-4120.7240000000002</v>
      </c>
      <c r="AD51" s="9">
        <f t="shared" ref="AD51:AD52" si="94">AB51+AC51</f>
        <v>209861.77600000001</v>
      </c>
      <c r="AE51" s="18">
        <v>650</v>
      </c>
      <c r="AF51" s="9">
        <f t="shared" ref="AF51:AF52" si="95">AD51+AE51</f>
        <v>210511.77600000001</v>
      </c>
      <c r="AG51" s="9"/>
      <c r="AH51" s="9">
        <f t="shared" ref="AH51:AH52" si="96">AF51+AG51</f>
        <v>210511.77600000001</v>
      </c>
      <c r="AI51" s="17"/>
    </row>
    <row r="52" spans="1:35" x14ac:dyDescent="0.25">
      <c r="A52" s="48">
        <v>10</v>
      </c>
      <c r="B52" s="47" t="s">
        <v>17</v>
      </c>
      <c r="C52" s="36">
        <f>C54</f>
        <v>260083.185</v>
      </c>
      <c r="D52" s="36">
        <f t="shared" si="0"/>
        <v>-6709.2850000000035</v>
      </c>
      <c r="E52" s="36">
        <f>E54</f>
        <v>253373.9</v>
      </c>
      <c r="F52" s="36">
        <f>F54</f>
        <v>273792.71299999999</v>
      </c>
      <c r="G52" s="36">
        <f t="shared" si="1"/>
        <v>-47658.012999999977</v>
      </c>
      <c r="H52" s="36">
        <f>H54</f>
        <v>226134.7</v>
      </c>
      <c r="I52" s="36">
        <f>I54</f>
        <v>230828.6</v>
      </c>
      <c r="J52" s="36">
        <f>J54</f>
        <v>-1841.1000000000001</v>
      </c>
      <c r="K52" s="38">
        <f t="shared" si="10"/>
        <v>-8550.3850000000093</v>
      </c>
      <c r="L52" s="38">
        <f t="shared" si="11"/>
        <v>251532.79999999999</v>
      </c>
      <c r="M52" s="38">
        <f>M54</f>
        <v>0</v>
      </c>
      <c r="N52" s="38">
        <f t="shared" si="12"/>
        <v>251532.79999999999</v>
      </c>
      <c r="O52" s="38">
        <f>O54</f>
        <v>-8660.7199999999993</v>
      </c>
      <c r="P52" s="38">
        <f t="shared" si="31"/>
        <v>242872.08</v>
      </c>
      <c r="Q52" s="38">
        <f>Q54</f>
        <v>531.4</v>
      </c>
      <c r="R52" s="38">
        <f t="shared" si="89"/>
        <v>243403.47999999998</v>
      </c>
      <c r="S52" s="38">
        <f>S54</f>
        <v>0</v>
      </c>
      <c r="T52" s="38">
        <f t="shared" si="33"/>
        <v>243403.47999999998</v>
      </c>
      <c r="U52" s="38">
        <f>U54</f>
        <v>-3487.42</v>
      </c>
      <c r="V52" s="39">
        <f t="shared" si="90"/>
        <v>239916.05999999997</v>
      </c>
      <c r="W52" s="38">
        <f>W54</f>
        <v>0</v>
      </c>
      <c r="X52" s="38">
        <f t="shared" si="91"/>
        <v>239916.05999999997</v>
      </c>
      <c r="Y52" s="9">
        <f>Y54</f>
        <v>725.2</v>
      </c>
      <c r="Z52" s="9">
        <f t="shared" si="92"/>
        <v>240641.25999999998</v>
      </c>
      <c r="AA52" s="9">
        <f>AA54</f>
        <v>0</v>
      </c>
      <c r="AB52" s="9">
        <f t="shared" si="93"/>
        <v>240641.25999999998</v>
      </c>
      <c r="AC52" s="9">
        <f>AC54</f>
        <v>0</v>
      </c>
      <c r="AD52" s="9">
        <f t="shared" si="94"/>
        <v>240641.25999999998</v>
      </c>
      <c r="AE52" s="18">
        <f>AE54</f>
        <v>404.79399999999998</v>
      </c>
      <c r="AF52" s="9">
        <f t="shared" si="95"/>
        <v>241046.05399999997</v>
      </c>
      <c r="AG52" s="9">
        <f>AG54</f>
        <v>0</v>
      </c>
      <c r="AH52" s="9">
        <f t="shared" si="96"/>
        <v>241046.05399999997</v>
      </c>
      <c r="AI52" s="17" t="s">
        <v>91</v>
      </c>
    </row>
    <row r="53" spans="1:35" x14ac:dyDescent="0.25">
      <c r="A53" s="48"/>
      <c r="B53" s="6" t="s">
        <v>8</v>
      </c>
      <c r="C53" s="36"/>
      <c r="D53" s="36"/>
      <c r="E53" s="36"/>
      <c r="F53" s="36"/>
      <c r="G53" s="36"/>
      <c r="H53" s="36"/>
      <c r="I53" s="36"/>
      <c r="J53" s="36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9"/>
      <c r="W53" s="38"/>
      <c r="X53" s="38"/>
      <c r="Y53" s="9"/>
      <c r="Z53" s="9"/>
      <c r="AA53" s="9"/>
      <c r="AB53" s="9"/>
      <c r="AC53" s="9"/>
      <c r="AD53" s="9"/>
      <c r="AE53" s="18"/>
      <c r="AF53" s="9"/>
      <c r="AG53" s="9"/>
      <c r="AH53" s="9"/>
      <c r="AI53" s="17"/>
    </row>
    <row r="54" spans="1:35" x14ac:dyDescent="0.25">
      <c r="A54" s="48"/>
      <c r="B54" s="6" t="s">
        <v>9</v>
      </c>
      <c r="C54" s="36">
        <v>260083.185</v>
      </c>
      <c r="D54" s="36">
        <f t="shared" si="0"/>
        <v>-6709.2850000000035</v>
      </c>
      <c r="E54" s="36">
        <v>253373.9</v>
      </c>
      <c r="F54" s="36">
        <v>273792.71299999999</v>
      </c>
      <c r="G54" s="36">
        <f t="shared" si="1"/>
        <v>-47658.012999999977</v>
      </c>
      <c r="H54" s="36">
        <v>226134.7</v>
      </c>
      <c r="I54" s="36">
        <v>230828.6</v>
      </c>
      <c r="J54" s="36">
        <f>-687.3-1181.9-10.7+38.8</f>
        <v>-1841.1000000000001</v>
      </c>
      <c r="K54" s="38">
        <f t="shared" si="10"/>
        <v>-8550.3850000000093</v>
      </c>
      <c r="L54" s="38">
        <f t="shared" si="11"/>
        <v>251532.79999999999</v>
      </c>
      <c r="M54" s="38"/>
      <c r="N54" s="38">
        <f t="shared" si="12"/>
        <v>251532.79999999999</v>
      </c>
      <c r="O54" s="38">
        <v>-8660.7199999999993</v>
      </c>
      <c r="P54" s="38">
        <f t="shared" si="31"/>
        <v>242872.08</v>
      </c>
      <c r="Q54" s="38">
        <v>531.4</v>
      </c>
      <c r="R54" s="38">
        <f t="shared" ref="R54:R55" si="97">P54+Q54</f>
        <v>243403.47999999998</v>
      </c>
      <c r="S54" s="38"/>
      <c r="T54" s="38">
        <f t="shared" si="33"/>
        <v>243403.47999999998</v>
      </c>
      <c r="U54" s="38">
        <f>-1374.036-2113.384</f>
        <v>-3487.42</v>
      </c>
      <c r="V54" s="39">
        <f t="shared" ref="V54:V55" si="98">T54+U54</f>
        <v>239916.05999999997</v>
      </c>
      <c r="W54" s="38"/>
      <c r="X54" s="38">
        <f t="shared" ref="X54:X55" si="99">V54+W54</f>
        <v>239916.05999999997</v>
      </c>
      <c r="Y54" s="9">
        <v>725.2</v>
      </c>
      <c r="Z54" s="9">
        <f t="shared" ref="Z54:Z55" si="100">X54+Y54</f>
        <v>240641.25999999998</v>
      </c>
      <c r="AA54" s="9"/>
      <c r="AB54" s="9">
        <f t="shared" ref="AB54:AB55" si="101">Z54+AA54</f>
        <v>240641.25999999998</v>
      </c>
      <c r="AC54" s="9"/>
      <c r="AD54" s="9">
        <f t="shared" ref="AD54:AD55" si="102">AB54+AC54</f>
        <v>240641.25999999998</v>
      </c>
      <c r="AE54" s="18">
        <f>-195.206+600</f>
        <v>404.79399999999998</v>
      </c>
      <c r="AF54" s="9">
        <f t="shared" ref="AF54:AF55" si="103">AD54+AE54</f>
        <v>241046.05399999997</v>
      </c>
      <c r="AG54" s="9"/>
      <c r="AH54" s="9">
        <f t="shared" ref="AH54:AH55" si="104">AF54+AG54</f>
        <v>241046.05399999997</v>
      </c>
      <c r="AI54" s="17"/>
    </row>
    <row r="55" spans="1:35" x14ac:dyDescent="0.25">
      <c r="A55" s="48">
        <v>11</v>
      </c>
      <c r="B55" s="47" t="s">
        <v>18</v>
      </c>
      <c r="C55" s="7">
        <f>C57</f>
        <v>284328.09999999998</v>
      </c>
      <c r="D55" s="7">
        <f t="shared" si="0"/>
        <v>-16371</v>
      </c>
      <c r="E55" s="7">
        <f>E57</f>
        <v>267957.09999999998</v>
      </c>
      <c r="F55" s="7">
        <f>F57</f>
        <v>292142.40000000002</v>
      </c>
      <c r="G55" s="7">
        <f t="shared" si="1"/>
        <v>-46053.900000000023</v>
      </c>
      <c r="H55" s="7">
        <f>H57</f>
        <v>246088.5</v>
      </c>
      <c r="I55" s="7">
        <f>I57</f>
        <v>248881.8</v>
      </c>
      <c r="J55" s="7">
        <f>J57</f>
        <v>-2118.5</v>
      </c>
      <c r="K55" s="9">
        <f t="shared" si="10"/>
        <v>-18489.5</v>
      </c>
      <c r="L55" s="9">
        <f t="shared" si="11"/>
        <v>265838.59999999998</v>
      </c>
      <c r="M55" s="18">
        <f>M57</f>
        <v>0</v>
      </c>
      <c r="N55" s="18">
        <f t="shared" si="12"/>
        <v>265838.59999999998</v>
      </c>
      <c r="O55" s="9">
        <f>O57</f>
        <v>-2736.683</v>
      </c>
      <c r="P55" s="9">
        <f t="shared" si="31"/>
        <v>263101.91699999996</v>
      </c>
      <c r="Q55" s="29">
        <f>Q57</f>
        <v>38952.464999999997</v>
      </c>
      <c r="R55" s="29">
        <f t="shared" si="97"/>
        <v>302054.38199999998</v>
      </c>
      <c r="S55" s="29">
        <f>S57</f>
        <v>0</v>
      </c>
      <c r="T55" s="9">
        <f t="shared" si="33"/>
        <v>302054.38199999998</v>
      </c>
      <c r="U55" s="9">
        <f>U57</f>
        <v>-1743.636</v>
      </c>
      <c r="V55" s="35">
        <f t="shared" si="98"/>
        <v>300310.74599999998</v>
      </c>
      <c r="W55" s="9">
        <f>W57</f>
        <v>0</v>
      </c>
      <c r="X55" s="9">
        <f t="shared" si="99"/>
        <v>300310.74599999998</v>
      </c>
      <c r="Y55" s="9">
        <f>Y57</f>
        <v>0</v>
      </c>
      <c r="Z55" s="9">
        <f t="shared" si="100"/>
        <v>300310.74599999998</v>
      </c>
      <c r="AA55" s="9">
        <f>AA57</f>
        <v>0</v>
      </c>
      <c r="AB55" s="9">
        <f t="shared" si="101"/>
        <v>300310.74599999998</v>
      </c>
      <c r="AC55" s="9">
        <f>AC57</f>
        <v>-465.661</v>
      </c>
      <c r="AD55" s="9">
        <f t="shared" si="102"/>
        <v>299845.08499999996</v>
      </c>
      <c r="AE55" s="18">
        <f>AE57</f>
        <v>900</v>
      </c>
      <c r="AF55" s="9">
        <f t="shared" si="103"/>
        <v>300745.08499999996</v>
      </c>
      <c r="AG55" s="9">
        <f>AG57</f>
        <v>0</v>
      </c>
      <c r="AH55" s="9">
        <f t="shared" si="104"/>
        <v>300745.08499999996</v>
      </c>
      <c r="AI55" s="17" t="s">
        <v>94</v>
      </c>
    </row>
    <row r="56" spans="1:35" x14ac:dyDescent="0.25">
      <c r="A56" s="48"/>
      <c r="B56" s="6" t="s">
        <v>8</v>
      </c>
      <c r="C56" s="7"/>
      <c r="D56" s="7"/>
      <c r="E56" s="7"/>
      <c r="F56" s="7"/>
      <c r="G56" s="7"/>
      <c r="H56" s="7"/>
      <c r="I56" s="7"/>
      <c r="J56" s="7"/>
      <c r="K56" s="9"/>
      <c r="L56" s="9"/>
      <c r="M56" s="18"/>
      <c r="N56" s="18"/>
      <c r="O56" s="9"/>
      <c r="P56" s="9"/>
      <c r="Q56" s="29"/>
      <c r="R56" s="29"/>
      <c r="S56" s="29"/>
      <c r="T56" s="9"/>
      <c r="U56" s="9"/>
      <c r="V56" s="35"/>
      <c r="W56" s="9"/>
      <c r="X56" s="9"/>
      <c r="Y56" s="9"/>
      <c r="Z56" s="9"/>
      <c r="AA56" s="9"/>
      <c r="AB56" s="9"/>
      <c r="AC56" s="9"/>
      <c r="AD56" s="9"/>
      <c r="AE56" s="18"/>
      <c r="AF56" s="9"/>
      <c r="AG56" s="9"/>
      <c r="AH56" s="9"/>
      <c r="AI56" s="17"/>
    </row>
    <row r="57" spans="1:35" x14ac:dyDescent="0.25">
      <c r="A57" s="48"/>
      <c r="B57" s="6" t="s">
        <v>9</v>
      </c>
      <c r="C57" s="7">
        <v>284328.09999999998</v>
      </c>
      <c r="D57" s="7">
        <f t="shared" si="0"/>
        <v>-16371</v>
      </c>
      <c r="E57" s="7">
        <v>267957.09999999998</v>
      </c>
      <c r="F57" s="7">
        <v>292142.40000000002</v>
      </c>
      <c r="G57" s="7">
        <f t="shared" si="1"/>
        <v>-46053.900000000023</v>
      </c>
      <c r="H57" s="7">
        <v>246088.5</v>
      </c>
      <c r="I57" s="7">
        <v>248881.8</v>
      </c>
      <c r="J57" s="7">
        <f>-451.8-45.2-1480.4-274.1+53.9+79.1</f>
        <v>-2118.5</v>
      </c>
      <c r="K57" s="9">
        <f t="shared" si="10"/>
        <v>-18489.5</v>
      </c>
      <c r="L57" s="9">
        <f t="shared" si="11"/>
        <v>265838.59999999998</v>
      </c>
      <c r="M57" s="18"/>
      <c r="N57" s="18">
        <f t="shared" si="12"/>
        <v>265838.59999999998</v>
      </c>
      <c r="O57" s="9">
        <v>-2736.683</v>
      </c>
      <c r="P57" s="9">
        <f t="shared" si="31"/>
        <v>263101.91699999996</v>
      </c>
      <c r="Q57" s="29">
        <f>580.3+30000+8372.165</f>
        <v>38952.464999999997</v>
      </c>
      <c r="R57" s="29">
        <f t="shared" ref="R57:R58" si="105">P57+Q57</f>
        <v>302054.38199999998</v>
      </c>
      <c r="S57" s="29"/>
      <c r="T57" s="9">
        <f t="shared" si="33"/>
        <v>302054.38199999998</v>
      </c>
      <c r="U57" s="9">
        <f>-1147.812-595.824</f>
        <v>-1743.636</v>
      </c>
      <c r="V57" s="35">
        <f t="shared" ref="V57:V58" si="106">T57+U57</f>
        <v>300310.74599999998</v>
      </c>
      <c r="W57" s="9"/>
      <c r="X57" s="9">
        <f t="shared" ref="X57:X58" si="107">V57+W57</f>
        <v>300310.74599999998</v>
      </c>
      <c r="Y57" s="9"/>
      <c r="Z57" s="9">
        <f t="shared" ref="Z57:Z58" si="108">X57+Y57</f>
        <v>300310.74599999998</v>
      </c>
      <c r="AA57" s="9"/>
      <c r="AB57" s="9">
        <f t="shared" ref="AB57:AB58" si="109">Z57+AA57</f>
        <v>300310.74599999998</v>
      </c>
      <c r="AC57" s="9">
        <v>-465.661</v>
      </c>
      <c r="AD57" s="9">
        <f t="shared" ref="AD57:AD58" si="110">AB57+AC57</f>
        <v>299845.08499999996</v>
      </c>
      <c r="AE57" s="18">
        <v>900</v>
      </c>
      <c r="AF57" s="9">
        <f t="shared" ref="AF57:AF58" si="111">AD57+AE57</f>
        <v>300745.08499999996</v>
      </c>
      <c r="AG57" s="9"/>
      <c r="AH57" s="9">
        <f t="shared" ref="AH57:AH58" si="112">AF57+AG57</f>
        <v>300745.08499999996</v>
      </c>
      <c r="AI57" s="17"/>
    </row>
    <row r="58" spans="1:35" x14ac:dyDescent="0.25">
      <c r="A58" s="48">
        <v>12</v>
      </c>
      <c r="B58" s="47" t="s">
        <v>19</v>
      </c>
      <c r="C58" s="7">
        <f>C60</f>
        <v>53591.9</v>
      </c>
      <c r="D58" s="7">
        <f t="shared" si="0"/>
        <v>-8048.0999999999985</v>
      </c>
      <c r="E58" s="7">
        <f>E60</f>
        <v>45543.8</v>
      </c>
      <c r="F58" s="7">
        <f>F60</f>
        <v>58403.9</v>
      </c>
      <c r="G58" s="7">
        <f t="shared" si="1"/>
        <v>-10048.599999999999</v>
      </c>
      <c r="H58" s="7">
        <f>H60</f>
        <v>48355.3</v>
      </c>
      <c r="I58" s="7">
        <f>I60</f>
        <v>48909.9</v>
      </c>
      <c r="J58" s="7">
        <f>J60</f>
        <v>-879</v>
      </c>
      <c r="K58" s="9">
        <f t="shared" si="10"/>
        <v>-8927.0999999999985</v>
      </c>
      <c r="L58" s="9">
        <f t="shared" si="11"/>
        <v>44664.800000000003</v>
      </c>
      <c r="M58" s="18">
        <f>M60</f>
        <v>0</v>
      </c>
      <c r="N58" s="18">
        <f t="shared" si="12"/>
        <v>44664.800000000003</v>
      </c>
      <c r="O58" s="9">
        <f>O60</f>
        <v>-29.760999999999999</v>
      </c>
      <c r="P58" s="9">
        <f t="shared" si="31"/>
        <v>44635.039000000004</v>
      </c>
      <c r="Q58" s="29">
        <f>Q60</f>
        <v>463.8</v>
      </c>
      <c r="R58" s="29">
        <f t="shared" si="105"/>
        <v>45098.839000000007</v>
      </c>
      <c r="S58" s="29">
        <f>S60</f>
        <v>0</v>
      </c>
      <c r="T58" s="9">
        <f t="shared" si="33"/>
        <v>45098.839000000007</v>
      </c>
      <c r="U58" s="9">
        <f>U60</f>
        <v>-2232.0909999999999</v>
      </c>
      <c r="V58" s="35">
        <f t="shared" si="106"/>
        <v>42866.748000000007</v>
      </c>
      <c r="W58" s="9">
        <f>W60</f>
        <v>0</v>
      </c>
      <c r="X58" s="9">
        <f t="shared" si="107"/>
        <v>42866.748000000007</v>
      </c>
      <c r="Y58" s="9">
        <f>Y60</f>
        <v>0</v>
      </c>
      <c r="Z58" s="9">
        <f t="shared" si="108"/>
        <v>42866.748000000007</v>
      </c>
      <c r="AA58" s="9">
        <f>AA60</f>
        <v>0</v>
      </c>
      <c r="AB58" s="9">
        <f t="shared" si="109"/>
        <v>42866.748000000007</v>
      </c>
      <c r="AC58" s="9">
        <f>AC60</f>
        <v>87.965999999999994</v>
      </c>
      <c r="AD58" s="9">
        <f t="shared" si="110"/>
        <v>42954.714000000007</v>
      </c>
      <c r="AE58" s="18">
        <f>AE60</f>
        <v>540</v>
      </c>
      <c r="AF58" s="9">
        <f t="shared" si="111"/>
        <v>43494.714000000007</v>
      </c>
      <c r="AG58" s="9">
        <f>AG60</f>
        <v>0</v>
      </c>
      <c r="AH58" s="9">
        <f t="shared" si="112"/>
        <v>43494.714000000007</v>
      </c>
      <c r="AI58" s="17" t="s">
        <v>96</v>
      </c>
    </row>
    <row r="59" spans="1:35" x14ac:dyDescent="0.25">
      <c r="A59" s="48"/>
      <c r="B59" s="6" t="s">
        <v>8</v>
      </c>
      <c r="C59" s="7"/>
      <c r="D59" s="7"/>
      <c r="E59" s="7"/>
      <c r="F59" s="7"/>
      <c r="G59" s="7"/>
      <c r="H59" s="7"/>
      <c r="I59" s="7"/>
      <c r="J59" s="7"/>
      <c r="K59" s="9"/>
      <c r="L59" s="9"/>
      <c r="M59" s="18"/>
      <c r="N59" s="18"/>
      <c r="O59" s="9"/>
      <c r="P59" s="9"/>
      <c r="Q59" s="29"/>
      <c r="R59" s="29"/>
      <c r="S59" s="29"/>
      <c r="T59" s="9"/>
      <c r="U59" s="9"/>
      <c r="V59" s="35"/>
      <c r="W59" s="9"/>
      <c r="X59" s="9"/>
      <c r="Y59" s="9"/>
      <c r="Z59" s="9"/>
      <c r="AA59" s="9"/>
      <c r="AB59" s="9"/>
      <c r="AC59" s="9"/>
      <c r="AD59" s="9"/>
      <c r="AE59" s="18"/>
      <c r="AF59" s="9"/>
      <c r="AG59" s="9"/>
      <c r="AH59" s="9"/>
      <c r="AI59" s="17"/>
    </row>
    <row r="60" spans="1:35" x14ac:dyDescent="0.25">
      <c r="A60" s="48"/>
      <c r="B60" s="6" t="s">
        <v>9</v>
      </c>
      <c r="C60" s="7">
        <v>53591.9</v>
      </c>
      <c r="D60" s="7">
        <f t="shared" si="0"/>
        <v>-8048.0999999999985</v>
      </c>
      <c r="E60" s="7">
        <v>45543.8</v>
      </c>
      <c r="F60" s="7">
        <v>58403.9</v>
      </c>
      <c r="G60" s="7">
        <f t="shared" si="1"/>
        <v>-10048.599999999999</v>
      </c>
      <c r="H60" s="7">
        <v>48355.3</v>
      </c>
      <c r="I60" s="7">
        <v>48909.9</v>
      </c>
      <c r="J60" s="7">
        <f>-214-554.8-126.6+16.4</f>
        <v>-879</v>
      </c>
      <c r="K60" s="9">
        <f t="shared" si="10"/>
        <v>-8927.0999999999985</v>
      </c>
      <c r="L60" s="9">
        <f t="shared" si="11"/>
        <v>44664.800000000003</v>
      </c>
      <c r="M60" s="18"/>
      <c r="N60" s="18">
        <f t="shared" si="12"/>
        <v>44664.800000000003</v>
      </c>
      <c r="O60" s="9">
        <v>-29.760999999999999</v>
      </c>
      <c r="P60" s="9">
        <f t="shared" si="31"/>
        <v>44635.039000000004</v>
      </c>
      <c r="Q60" s="29">
        <v>463.8</v>
      </c>
      <c r="R60" s="29">
        <f t="shared" ref="R60:R61" si="113">P60+Q60</f>
        <v>45098.839000000007</v>
      </c>
      <c r="S60" s="29"/>
      <c r="T60" s="9">
        <f t="shared" si="33"/>
        <v>45098.839000000007</v>
      </c>
      <c r="U60" s="9">
        <f>-2232.091</f>
        <v>-2232.0909999999999</v>
      </c>
      <c r="V60" s="35">
        <f t="shared" ref="V60:V61" si="114">T60+U60</f>
        <v>42866.748000000007</v>
      </c>
      <c r="W60" s="9"/>
      <c r="X60" s="9">
        <f t="shared" ref="X60:X61" si="115">V60+W60</f>
        <v>42866.748000000007</v>
      </c>
      <c r="Y60" s="9"/>
      <c r="Z60" s="9">
        <f t="shared" ref="Z60:Z61" si="116">X60+Y60</f>
        <v>42866.748000000007</v>
      </c>
      <c r="AA60" s="9"/>
      <c r="AB60" s="9">
        <f t="shared" ref="AB60:AB61" si="117">Z60+AA60</f>
        <v>42866.748000000007</v>
      </c>
      <c r="AC60" s="9">
        <v>87.965999999999994</v>
      </c>
      <c r="AD60" s="9">
        <f t="shared" ref="AD60:AD61" si="118">AB60+AC60</f>
        <v>42954.714000000007</v>
      </c>
      <c r="AE60" s="18">
        <v>540</v>
      </c>
      <c r="AF60" s="9">
        <f t="shared" ref="AF60:AF61" si="119">AD60+AE60</f>
        <v>43494.714000000007</v>
      </c>
      <c r="AG60" s="9"/>
      <c r="AH60" s="9">
        <f t="shared" ref="AH60:AH61" si="120">AF60+AG60</f>
        <v>43494.714000000007</v>
      </c>
      <c r="AI60" s="17"/>
    </row>
    <row r="61" spans="1:35" x14ac:dyDescent="0.25">
      <c r="A61" s="48">
        <v>13</v>
      </c>
      <c r="B61" s="47" t="s">
        <v>20</v>
      </c>
      <c r="C61" s="36">
        <f>C63</f>
        <v>153880</v>
      </c>
      <c r="D61" s="36">
        <f t="shared" si="0"/>
        <v>0</v>
      </c>
      <c r="E61" s="36">
        <f>E63</f>
        <v>153880</v>
      </c>
      <c r="F61" s="36">
        <f>F63</f>
        <v>0</v>
      </c>
      <c r="G61" s="36">
        <f t="shared" si="1"/>
        <v>50000</v>
      </c>
      <c r="H61" s="36">
        <f>H63</f>
        <v>50000</v>
      </c>
      <c r="I61" s="36">
        <f>I63</f>
        <v>50000</v>
      </c>
      <c r="J61" s="36">
        <f>J63</f>
        <v>0</v>
      </c>
      <c r="K61" s="38">
        <f t="shared" si="10"/>
        <v>0</v>
      </c>
      <c r="L61" s="38">
        <f t="shared" si="11"/>
        <v>153880</v>
      </c>
      <c r="M61" s="38">
        <f>M63</f>
        <v>0</v>
      </c>
      <c r="N61" s="38">
        <f t="shared" si="12"/>
        <v>153880</v>
      </c>
      <c r="O61" s="38"/>
      <c r="P61" s="38">
        <f t="shared" si="31"/>
        <v>153880</v>
      </c>
      <c r="Q61" s="38">
        <f>Q63</f>
        <v>36226.870000000003</v>
      </c>
      <c r="R61" s="38">
        <f t="shared" si="113"/>
        <v>190106.87</v>
      </c>
      <c r="S61" s="38">
        <f>S63</f>
        <v>0</v>
      </c>
      <c r="T61" s="38">
        <f t="shared" si="33"/>
        <v>190106.87</v>
      </c>
      <c r="U61" s="38">
        <f>U63</f>
        <v>0</v>
      </c>
      <c r="V61" s="39">
        <f t="shared" si="114"/>
        <v>190106.87</v>
      </c>
      <c r="W61" s="38">
        <f>W63</f>
        <v>6.629999999999999</v>
      </c>
      <c r="X61" s="38">
        <f t="shared" si="115"/>
        <v>190113.5</v>
      </c>
      <c r="Y61" s="9">
        <f>Y63</f>
        <v>-1719.3540000000003</v>
      </c>
      <c r="Z61" s="9">
        <f t="shared" si="116"/>
        <v>188394.14600000001</v>
      </c>
      <c r="AA61" s="9">
        <f>AA63</f>
        <v>-7500</v>
      </c>
      <c r="AB61" s="9">
        <f t="shared" si="117"/>
        <v>180894.14600000001</v>
      </c>
      <c r="AC61" s="9">
        <f>AC63</f>
        <v>-3114.4720000000002</v>
      </c>
      <c r="AD61" s="9">
        <f t="shared" si="118"/>
        <v>177779.674</v>
      </c>
      <c r="AE61" s="18">
        <f>AE63</f>
        <v>-1388.2149999999999</v>
      </c>
      <c r="AF61" s="9">
        <f t="shared" si="119"/>
        <v>176391.459</v>
      </c>
      <c r="AG61" s="18">
        <f>AG63</f>
        <v>-4726.8310000000001</v>
      </c>
      <c r="AH61" s="9">
        <f t="shared" si="120"/>
        <v>171664.628</v>
      </c>
      <c r="AI61" s="17" t="s">
        <v>116</v>
      </c>
    </row>
    <row r="62" spans="1:35" x14ac:dyDescent="0.25">
      <c r="A62" s="48"/>
      <c r="B62" s="6" t="s">
        <v>8</v>
      </c>
      <c r="C62" s="36"/>
      <c r="D62" s="36"/>
      <c r="E62" s="36"/>
      <c r="F62" s="36"/>
      <c r="G62" s="36"/>
      <c r="H62" s="36"/>
      <c r="I62" s="36"/>
      <c r="J62" s="36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8"/>
      <c r="X62" s="38"/>
      <c r="Y62" s="9"/>
      <c r="Z62" s="9"/>
      <c r="AA62" s="9"/>
      <c r="AB62" s="9"/>
      <c r="AC62" s="9"/>
      <c r="AD62" s="9"/>
      <c r="AE62" s="18"/>
      <c r="AF62" s="9"/>
      <c r="AG62" s="18"/>
      <c r="AH62" s="9"/>
      <c r="AI62" s="17"/>
    </row>
    <row r="63" spans="1:35" x14ac:dyDescent="0.25">
      <c r="A63" s="48"/>
      <c r="B63" s="6" t="s">
        <v>9</v>
      </c>
      <c r="C63" s="36">
        <v>153880</v>
      </c>
      <c r="D63" s="36">
        <f t="shared" si="0"/>
        <v>0</v>
      </c>
      <c r="E63" s="36">
        <v>153880</v>
      </c>
      <c r="F63" s="36">
        <v>0</v>
      </c>
      <c r="G63" s="36">
        <f t="shared" si="1"/>
        <v>50000</v>
      </c>
      <c r="H63" s="36">
        <v>50000</v>
      </c>
      <c r="I63" s="36">
        <v>50000</v>
      </c>
      <c r="J63" s="36"/>
      <c r="K63" s="38">
        <f t="shared" si="10"/>
        <v>0</v>
      </c>
      <c r="L63" s="38">
        <f t="shared" si="11"/>
        <v>153880</v>
      </c>
      <c r="M63" s="38"/>
      <c r="N63" s="38">
        <f t="shared" si="12"/>
        <v>153880</v>
      </c>
      <c r="O63" s="38"/>
      <c r="P63" s="38">
        <f t="shared" si="31"/>
        <v>153880</v>
      </c>
      <c r="Q63" s="38">
        <f>14511.749+18710.653+3004.468</f>
        <v>36226.870000000003</v>
      </c>
      <c r="R63" s="38">
        <f t="shared" ref="R63:R64" si="121">P63+Q63</f>
        <v>190106.87</v>
      </c>
      <c r="S63" s="38"/>
      <c r="T63" s="38">
        <f t="shared" si="33"/>
        <v>190106.87</v>
      </c>
      <c r="U63" s="38"/>
      <c r="V63" s="39">
        <f t="shared" ref="V63:V64" si="122">T63+U63</f>
        <v>190106.87</v>
      </c>
      <c r="W63" s="38">
        <f>9.77-3.14</f>
        <v>6.629999999999999</v>
      </c>
      <c r="X63" s="38">
        <f t="shared" ref="X63:X64" si="123">V63+W63</f>
        <v>190113.5</v>
      </c>
      <c r="Y63" s="9">
        <f>-3166.485+11.95+1435.181</f>
        <v>-1719.3540000000003</v>
      </c>
      <c r="Z63" s="9">
        <f t="shared" ref="Z63:Z64" si="124">X63+Y63</f>
        <v>188394.14600000001</v>
      </c>
      <c r="AA63" s="9">
        <v>-7500</v>
      </c>
      <c r="AB63" s="9">
        <f t="shared" ref="AB63:AB64" si="125">Z63+AA63</f>
        <v>180894.14600000001</v>
      </c>
      <c r="AC63" s="9">
        <f>-434.172-2680.3</f>
        <v>-3114.4720000000002</v>
      </c>
      <c r="AD63" s="9">
        <f t="shared" ref="AD63:AD64" si="126">AB63+AC63</f>
        <v>177779.674</v>
      </c>
      <c r="AE63" s="18">
        <v>-1388.2149999999999</v>
      </c>
      <c r="AF63" s="9">
        <f t="shared" ref="AF63:AF64" si="127">AD63+AE63</f>
        <v>176391.459</v>
      </c>
      <c r="AG63" s="18">
        <v>-4726.8310000000001</v>
      </c>
      <c r="AH63" s="9">
        <f t="shared" ref="AH63:AH64" si="128">AF63+AG63</f>
        <v>171664.628</v>
      </c>
      <c r="AI63" s="17"/>
    </row>
    <row r="64" spans="1:35" ht="31.5" x14ac:dyDescent="0.25">
      <c r="A64" s="48">
        <v>14</v>
      </c>
      <c r="B64" s="47" t="s">
        <v>21</v>
      </c>
      <c r="C64" s="7">
        <f>C66</f>
        <v>22000</v>
      </c>
      <c r="D64" s="7">
        <f t="shared" si="0"/>
        <v>0</v>
      </c>
      <c r="E64" s="7">
        <f>E66</f>
        <v>22000</v>
      </c>
      <c r="F64" s="7">
        <f>F66</f>
        <v>22000</v>
      </c>
      <c r="G64" s="7">
        <f t="shared" si="1"/>
        <v>0</v>
      </c>
      <c r="H64" s="7">
        <f>H66</f>
        <v>22000</v>
      </c>
      <c r="I64" s="7">
        <f>I66</f>
        <v>22000</v>
      </c>
      <c r="J64" s="7">
        <f>J66</f>
        <v>0</v>
      </c>
      <c r="K64" s="9">
        <f t="shared" si="10"/>
        <v>0</v>
      </c>
      <c r="L64" s="9">
        <f t="shared" si="11"/>
        <v>22000</v>
      </c>
      <c r="M64" s="9">
        <f>M66</f>
        <v>0</v>
      </c>
      <c r="N64" s="9">
        <f t="shared" si="12"/>
        <v>22000</v>
      </c>
      <c r="O64" s="9"/>
      <c r="P64" s="9">
        <f t="shared" si="31"/>
        <v>22000</v>
      </c>
      <c r="Q64" s="29">
        <f>Q66</f>
        <v>28670.989999999998</v>
      </c>
      <c r="R64" s="29">
        <f t="shared" si="121"/>
        <v>50670.99</v>
      </c>
      <c r="S64" s="29">
        <f>S66</f>
        <v>0</v>
      </c>
      <c r="T64" s="9">
        <f t="shared" si="33"/>
        <v>50670.99</v>
      </c>
      <c r="U64" s="9">
        <f>U66</f>
        <v>0</v>
      </c>
      <c r="V64" s="35">
        <f t="shared" si="122"/>
        <v>50670.99</v>
      </c>
      <c r="W64" s="9">
        <f>W66</f>
        <v>0</v>
      </c>
      <c r="X64" s="9">
        <f t="shared" si="123"/>
        <v>50670.99</v>
      </c>
      <c r="Y64" s="9">
        <f>Y66</f>
        <v>0</v>
      </c>
      <c r="Z64" s="9">
        <f t="shared" si="124"/>
        <v>50670.99</v>
      </c>
      <c r="AA64" s="9">
        <f>AA66</f>
        <v>0</v>
      </c>
      <c r="AB64" s="9">
        <f t="shared" si="125"/>
        <v>50670.99</v>
      </c>
      <c r="AC64" s="9">
        <f>AC66</f>
        <v>0</v>
      </c>
      <c r="AD64" s="9">
        <f t="shared" si="126"/>
        <v>50670.99</v>
      </c>
      <c r="AE64" s="9">
        <f>AE66</f>
        <v>0</v>
      </c>
      <c r="AF64" s="9">
        <f t="shared" si="127"/>
        <v>50670.99</v>
      </c>
      <c r="AG64" s="9">
        <f>AG66</f>
        <v>0</v>
      </c>
      <c r="AH64" s="9">
        <f t="shared" si="128"/>
        <v>50670.99</v>
      </c>
      <c r="AI64" s="17" t="s">
        <v>126</v>
      </c>
    </row>
    <row r="65" spans="1:35" x14ac:dyDescent="0.25">
      <c r="A65" s="48"/>
      <c r="B65" s="6" t="s">
        <v>8</v>
      </c>
      <c r="C65" s="7"/>
      <c r="D65" s="7"/>
      <c r="E65" s="7"/>
      <c r="F65" s="7"/>
      <c r="G65" s="7"/>
      <c r="H65" s="7"/>
      <c r="I65" s="7"/>
      <c r="J65" s="7"/>
      <c r="K65" s="9"/>
      <c r="L65" s="9"/>
      <c r="M65" s="9"/>
      <c r="N65" s="9"/>
      <c r="O65" s="9"/>
      <c r="P65" s="9"/>
      <c r="Q65" s="29"/>
      <c r="R65" s="29"/>
      <c r="S65" s="29"/>
      <c r="T65" s="9"/>
      <c r="U65" s="9"/>
      <c r="V65" s="35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7"/>
    </row>
    <row r="66" spans="1:35" x14ac:dyDescent="0.25">
      <c r="A66" s="48"/>
      <c r="B66" s="6" t="s">
        <v>9</v>
      </c>
      <c r="C66" s="7">
        <v>22000</v>
      </c>
      <c r="D66" s="7">
        <f t="shared" si="0"/>
        <v>0</v>
      </c>
      <c r="E66" s="8">
        <v>22000</v>
      </c>
      <c r="F66" s="7">
        <v>22000</v>
      </c>
      <c r="G66" s="7">
        <f t="shared" si="1"/>
        <v>0</v>
      </c>
      <c r="H66" s="8">
        <v>22000</v>
      </c>
      <c r="I66" s="8">
        <v>22000</v>
      </c>
      <c r="J66" s="8"/>
      <c r="K66" s="9">
        <f t="shared" si="10"/>
        <v>0</v>
      </c>
      <c r="L66" s="9">
        <f t="shared" si="11"/>
        <v>22000</v>
      </c>
      <c r="M66" s="9">
        <v>0</v>
      </c>
      <c r="N66" s="9">
        <f t="shared" si="12"/>
        <v>22000</v>
      </c>
      <c r="O66" s="9"/>
      <c r="P66" s="9">
        <f t="shared" si="31"/>
        <v>22000</v>
      </c>
      <c r="Q66" s="29">
        <f>20219.782+8451.208</f>
        <v>28670.989999999998</v>
      </c>
      <c r="R66" s="29">
        <f t="shared" ref="R66:R67" si="129">P66+Q66</f>
        <v>50670.99</v>
      </c>
      <c r="S66" s="29"/>
      <c r="T66" s="9">
        <f t="shared" si="33"/>
        <v>50670.99</v>
      </c>
      <c r="U66" s="9"/>
      <c r="V66" s="35">
        <f t="shared" ref="V66:V67" si="130">T66+U66</f>
        <v>50670.99</v>
      </c>
      <c r="W66" s="9"/>
      <c r="X66" s="9">
        <f t="shared" ref="X66:X67" si="131">V66+W66</f>
        <v>50670.99</v>
      </c>
      <c r="Y66" s="9"/>
      <c r="Z66" s="9">
        <f t="shared" ref="Z66:Z67" si="132">X66+Y66</f>
        <v>50670.99</v>
      </c>
      <c r="AA66" s="9"/>
      <c r="AB66" s="9">
        <f t="shared" ref="AB66:AB67" si="133">Z66+AA66</f>
        <v>50670.99</v>
      </c>
      <c r="AC66" s="9"/>
      <c r="AD66" s="9">
        <f t="shared" ref="AD66:AD67" si="134">AB66+AC66</f>
        <v>50670.99</v>
      </c>
      <c r="AE66" s="9"/>
      <c r="AF66" s="9">
        <f t="shared" ref="AF66:AF67" si="135">AD66+AE66</f>
        <v>50670.99</v>
      </c>
      <c r="AG66" s="9"/>
      <c r="AH66" s="9">
        <f t="shared" ref="AH66:AH67" si="136">AF66+AG66</f>
        <v>50670.99</v>
      </c>
      <c r="AI66" s="17"/>
    </row>
    <row r="67" spans="1:35" x14ac:dyDescent="0.25">
      <c r="A67" s="48">
        <v>15</v>
      </c>
      <c r="B67" s="6" t="s">
        <v>22</v>
      </c>
      <c r="C67" s="7">
        <f>C69</f>
        <v>118916.3</v>
      </c>
      <c r="D67" s="7">
        <f t="shared" si="0"/>
        <v>-23.5</v>
      </c>
      <c r="E67" s="7">
        <f>E69</f>
        <v>118892.8</v>
      </c>
      <c r="F67" s="7">
        <f>F69</f>
        <v>149399.4</v>
      </c>
      <c r="G67" s="7">
        <f t="shared" si="1"/>
        <v>-2.7999999999883585</v>
      </c>
      <c r="H67" s="7">
        <f>H69</f>
        <v>149396.6</v>
      </c>
      <c r="I67" s="7">
        <f>I69</f>
        <v>148699.4</v>
      </c>
      <c r="J67" s="7">
        <f>J69</f>
        <v>0</v>
      </c>
      <c r="K67" s="9">
        <f t="shared" si="10"/>
        <v>-23.5</v>
      </c>
      <c r="L67" s="9">
        <f t="shared" si="11"/>
        <v>118892.8</v>
      </c>
      <c r="M67" s="9">
        <f>M69</f>
        <v>0</v>
      </c>
      <c r="N67" s="9">
        <f t="shared" si="12"/>
        <v>118892.8</v>
      </c>
      <c r="O67" s="9"/>
      <c r="P67" s="9">
        <f t="shared" si="31"/>
        <v>118892.8</v>
      </c>
      <c r="Q67" s="9"/>
      <c r="R67" s="9">
        <f t="shared" si="129"/>
        <v>118892.8</v>
      </c>
      <c r="S67" s="9"/>
      <c r="T67" s="9">
        <f t="shared" si="33"/>
        <v>118892.8</v>
      </c>
      <c r="U67" s="9"/>
      <c r="V67" s="35">
        <f t="shared" si="130"/>
        <v>118892.8</v>
      </c>
      <c r="W67" s="9"/>
      <c r="X67" s="9">
        <f t="shared" si="131"/>
        <v>118892.8</v>
      </c>
      <c r="Y67" s="9"/>
      <c r="Z67" s="9">
        <f t="shared" si="132"/>
        <v>118892.8</v>
      </c>
      <c r="AA67" s="9"/>
      <c r="AB67" s="9">
        <f t="shared" si="133"/>
        <v>118892.8</v>
      </c>
      <c r="AC67" s="9"/>
      <c r="AD67" s="9">
        <f t="shared" si="134"/>
        <v>118892.8</v>
      </c>
      <c r="AE67" s="9"/>
      <c r="AF67" s="9">
        <f t="shared" si="135"/>
        <v>118892.8</v>
      </c>
      <c r="AG67" s="9"/>
      <c r="AH67" s="9">
        <f t="shared" si="136"/>
        <v>118892.8</v>
      </c>
      <c r="AI67" s="17"/>
    </row>
    <row r="68" spans="1:35" x14ac:dyDescent="0.25">
      <c r="A68" s="48"/>
      <c r="B68" s="6" t="s">
        <v>8</v>
      </c>
      <c r="C68" s="7"/>
      <c r="D68" s="7"/>
      <c r="E68" s="7"/>
      <c r="F68" s="7"/>
      <c r="G68" s="7"/>
      <c r="H68" s="7"/>
      <c r="I68" s="7"/>
      <c r="J68" s="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35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7"/>
    </row>
    <row r="69" spans="1:35" x14ac:dyDescent="0.25">
      <c r="A69" s="48"/>
      <c r="B69" s="6" t="s">
        <v>9</v>
      </c>
      <c r="C69" s="7">
        <v>118916.3</v>
      </c>
      <c r="D69" s="7">
        <f t="shared" si="0"/>
        <v>-23.5</v>
      </c>
      <c r="E69" s="7">
        <v>118892.8</v>
      </c>
      <c r="F69" s="7">
        <v>149399.4</v>
      </c>
      <c r="G69" s="7">
        <f t="shared" si="1"/>
        <v>-2.7999999999883585</v>
      </c>
      <c r="H69" s="7">
        <v>149396.6</v>
      </c>
      <c r="I69" s="7">
        <v>148699.4</v>
      </c>
      <c r="J69" s="7"/>
      <c r="K69" s="9">
        <f t="shared" si="10"/>
        <v>-23.5</v>
      </c>
      <c r="L69" s="9">
        <f t="shared" si="11"/>
        <v>118892.8</v>
      </c>
      <c r="M69" s="9"/>
      <c r="N69" s="9">
        <f t="shared" si="12"/>
        <v>118892.8</v>
      </c>
      <c r="O69" s="9"/>
      <c r="P69" s="9">
        <f t="shared" si="31"/>
        <v>118892.8</v>
      </c>
      <c r="Q69" s="9"/>
      <c r="R69" s="9">
        <f t="shared" ref="R69:R70" si="137">P69+Q69</f>
        <v>118892.8</v>
      </c>
      <c r="S69" s="9"/>
      <c r="T69" s="9">
        <f t="shared" si="33"/>
        <v>118892.8</v>
      </c>
      <c r="U69" s="9"/>
      <c r="V69" s="35">
        <f t="shared" ref="V69:V70" si="138">T69+U69</f>
        <v>118892.8</v>
      </c>
      <c r="W69" s="9"/>
      <c r="X69" s="9">
        <f t="shared" ref="X69:X70" si="139">V69+W69</f>
        <v>118892.8</v>
      </c>
      <c r="Y69" s="9"/>
      <c r="Z69" s="9">
        <f t="shared" ref="Z69:Z70" si="140">X69+Y69</f>
        <v>118892.8</v>
      </c>
      <c r="AA69" s="9"/>
      <c r="AB69" s="9">
        <f t="shared" ref="AB69:AB70" si="141">Z69+AA69</f>
        <v>118892.8</v>
      </c>
      <c r="AC69" s="9"/>
      <c r="AD69" s="9">
        <f t="shared" ref="AD69:AD70" si="142">AB69+AC69</f>
        <v>118892.8</v>
      </c>
      <c r="AE69" s="9"/>
      <c r="AF69" s="9">
        <f t="shared" ref="AF69:AF70" si="143">AD69+AE69</f>
        <v>118892.8</v>
      </c>
      <c r="AG69" s="9"/>
      <c r="AH69" s="9">
        <f t="shared" ref="AH69:AH70" si="144">AF69+AG69</f>
        <v>118892.8</v>
      </c>
      <c r="AI69" s="17"/>
    </row>
    <row r="70" spans="1:35" ht="31.5" x14ac:dyDescent="0.25">
      <c r="A70" s="48">
        <v>16</v>
      </c>
      <c r="B70" s="6" t="s">
        <v>23</v>
      </c>
      <c r="C70" s="7">
        <f>C72</f>
        <v>8717.2000000000007</v>
      </c>
      <c r="D70" s="7">
        <f t="shared" si="0"/>
        <v>-244.10000000000036</v>
      </c>
      <c r="E70" s="7">
        <f>E72</f>
        <v>8473.1</v>
      </c>
      <c r="F70" s="7">
        <f>F72</f>
        <v>3125</v>
      </c>
      <c r="G70" s="7">
        <f t="shared" si="1"/>
        <v>-12.5</v>
      </c>
      <c r="H70" s="7">
        <f>H72</f>
        <v>3112.5</v>
      </c>
      <c r="I70" s="7">
        <f>I72</f>
        <v>3174.8</v>
      </c>
      <c r="J70" s="7">
        <f>J72</f>
        <v>0</v>
      </c>
      <c r="K70" s="9">
        <f t="shared" si="10"/>
        <v>-244.10000000000036</v>
      </c>
      <c r="L70" s="9">
        <f t="shared" si="11"/>
        <v>8473.1</v>
      </c>
      <c r="M70" s="9">
        <f>M72</f>
        <v>0</v>
      </c>
      <c r="N70" s="9">
        <f t="shared" si="12"/>
        <v>8473.1</v>
      </c>
      <c r="O70" s="9"/>
      <c r="P70" s="9">
        <f t="shared" si="31"/>
        <v>8473.1</v>
      </c>
      <c r="Q70" s="9"/>
      <c r="R70" s="9">
        <f t="shared" si="137"/>
        <v>8473.1</v>
      </c>
      <c r="S70" s="9"/>
      <c r="T70" s="9">
        <f t="shared" si="33"/>
        <v>8473.1</v>
      </c>
      <c r="U70" s="9"/>
      <c r="V70" s="35">
        <f t="shared" si="138"/>
        <v>8473.1</v>
      </c>
      <c r="W70" s="9"/>
      <c r="X70" s="9">
        <f t="shared" si="139"/>
        <v>8473.1</v>
      </c>
      <c r="Y70" s="9"/>
      <c r="Z70" s="9">
        <f t="shared" si="140"/>
        <v>8473.1</v>
      </c>
      <c r="AA70" s="9"/>
      <c r="AB70" s="9">
        <f t="shared" si="141"/>
        <v>8473.1</v>
      </c>
      <c r="AC70" s="9"/>
      <c r="AD70" s="9">
        <f t="shared" si="142"/>
        <v>8473.1</v>
      </c>
      <c r="AE70" s="9"/>
      <c r="AF70" s="9">
        <f t="shared" si="143"/>
        <v>8473.1</v>
      </c>
      <c r="AG70" s="9"/>
      <c r="AH70" s="9">
        <f t="shared" si="144"/>
        <v>8473.1</v>
      </c>
      <c r="AI70" s="17"/>
    </row>
    <row r="71" spans="1:35" x14ac:dyDescent="0.25">
      <c r="A71" s="48"/>
      <c r="B71" s="6" t="s">
        <v>8</v>
      </c>
      <c r="C71" s="7"/>
      <c r="D71" s="7"/>
      <c r="E71" s="7"/>
      <c r="F71" s="7"/>
      <c r="G71" s="7"/>
      <c r="H71" s="7"/>
      <c r="I71" s="7"/>
      <c r="J71" s="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35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7"/>
    </row>
    <row r="72" spans="1:35" x14ac:dyDescent="0.25">
      <c r="A72" s="48"/>
      <c r="B72" s="6" t="s">
        <v>9</v>
      </c>
      <c r="C72" s="7">
        <v>8717.2000000000007</v>
      </c>
      <c r="D72" s="7">
        <f t="shared" si="0"/>
        <v>-244.10000000000036</v>
      </c>
      <c r="E72" s="7">
        <v>8473.1</v>
      </c>
      <c r="F72" s="7">
        <v>3125</v>
      </c>
      <c r="G72" s="7">
        <f t="shared" si="1"/>
        <v>-12.5</v>
      </c>
      <c r="H72" s="8">
        <v>3112.5</v>
      </c>
      <c r="I72" s="8">
        <v>3174.8</v>
      </c>
      <c r="J72" s="7"/>
      <c r="K72" s="9">
        <f t="shared" si="10"/>
        <v>-244.10000000000036</v>
      </c>
      <c r="L72" s="9">
        <f t="shared" si="11"/>
        <v>8473.1</v>
      </c>
      <c r="M72" s="9"/>
      <c r="N72" s="9">
        <f t="shared" si="12"/>
        <v>8473.1</v>
      </c>
      <c r="O72" s="9"/>
      <c r="P72" s="9">
        <f t="shared" si="31"/>
        <v>8473.1</v>
      </c>
      <c r="Q72" s="9"/>
      <c r="R72" s="9">
        <f t="shared" ref="R72:R73" si="145">P72+Q72</f>
        <v>8473.1</v>
      </c>
      <c r="S72" s="9"/>
      <c r="T72" s="9">
        <f t="shared" si="33"/>
        <v>8473.1</v>
      </c>
      <c r="U72" s="9"/>
      <c r="V72" s="35">
        <f t="shared" ref="V72:V73" si="146">T72+U72</f>
        <v>8473.1</v>
      </c>
      <c r="W72" s="9"/>
      <c r="X72" s="9">
        <f t="shared" ref="X72:X73" si="147">V72+W72</f>
        <v>8473.1</v>
      </c>
      <c r="Y72" s="9"/>
      <c r="Z72" s="9">
        <f t="shared" ref="Z72:Z73" si="148">X72+Y72</f>
        <v>8473.1</v>
      </c>
      <c r="AA72" s="9"/>
      <c r="AB72" s="9">
        <f t="shared" ref="AB72:AB73" si="149">Z72+AA72</f>
        <v>8473.1</v>
      </c>
      <c r="AC72" s="9"/>
      <c r="AD72" s="9">
        <f t="shared" ref="AD72:AD73" si="150">AB72+AC72</f>
        <v>8473.1</v>
      </c>
      <c r="AE72" s="9"/>
      <c r="AF72" s="9">
        <f t="shared" ref="AF72:AF73" si="151">AD72+AE72</f>
        <v>8473.1</v>
      </c>
      <c r="AG72" s="9"/>
      <c r="AH72" s="9">
        <f t="shared" ref="AH72:AH73" si="152">AF72+AG72</f>
        <v>8473.1</v>
      </c>
      <c r="AI72" s="17"/>
    </row>
    <row r="73" spans="1:35" ht="47.25" x14ac:dyDescent="0.25">
      <c r="A73" s="48">
        <v>17</v>
      </c>
      <c r="B73" s="6" t="s">
        <v>99</v>
      </c>
      <c r="C73" s="36">
        <f>C75</f>
        <v>29757.200000000001</v>
      </c>
      <c r="D73" s="36">
        <f t="shared" si="0"/>
        <v>50593.3</v>
      </c>
      <c r="E73" s="36">
        <f>E75</f>
        <v>80350.5</v>
      </c>
      <c r="F73" s="36">
        <f>F75</f>
        <v>22844.2</v>
      </c>
      <c r="G73" s="36">
        <f t="shared" si="1"/>
        <v>4468</v>
      </c>
      <c r="H73" s="36">
        <f>H75</f>
        <v>27312.2</v>
      </c>
      <c r="I73" s="36">
        <f>I75</f>
        <v>22666.3</v>
      </c>
      <c r="J73" s="36">
        <f>J75</f>
        <v>0</v>
      </c>
      <c r="K73" s="38">
        <f t="shared" si="10"/>
        <v>50593.3</v>
      </c>
      <c r="L73" s="38">
        <f t="shared" si="11"/>
        <v>80350.5</v>
      </c>
      <c r="M73" s="38">
        <f>M75</f>
        <v>0</v>
      </c>
      <c r="N73" s="38">
        <f t="shared" si="12"/>
        <v>80350.5</v>
      </c>
      <c r="O73" s="38"/>
      <c r="P73" s="38">
        <f t="shared" si="31"/>
        <v>80350.5</v>
      </c>
      <c r="Q73" s="38">
        <f>Q75</f>
        <v>1667.348</v>
      </c>
      <c r="R73" s="38">
        <f t="shared" si="145"/>
        <v>82017.847999999998</v>
      </c>
      <c r="S73" s="38">
        <f>S75</f>
        <v>0</v>
      </c>
      <c r="T73" s="38">
        <f t="shared" si="33"/>
        <v>82017.847999999998</v>
      </c>
      <c r="U73" s="38">
        <f>U75</f>
        <v>0</v>
      </c>
      <c r="V73" s="39">
        <f t="shared" si="146"/>
        <v>82017.847999999998</v>
      </c>
      <c r="W73" s="38">
        <f>W75</f>
        <v>0</v>
      </c>
      <c r="X73" s="38">
        <f t="shared" si="147"/>
        <v>82017.847999999998</v>
      </c>
      <c r="Y73" s="9">
        <f>Y75</f>
        <v>-2577.326</v>
      </c>
      <c r="Z73" s="9">
        <f t="shared" si="148"/>
        <v>79440.521999999997</v>
      </c>
      <c r="AA73" s="9">
        <f>AA75</f>
        <v>-1133.499</v>
      </c>
      <c r="AB73" s="9">
        <f t="shared" si="149"/>
        <v>78307.023000000001</v>
      </c>
      <c r="AC73" s="9">
        <f>AC75</f>
        <v>0</v>
      </c>
      <c r="AD73" s="9">
        <f t="shared" si="150"/>
        <v>78307.023000000001</v>
      </c>
      <c r="AE73" s="9">
        <f>AE75</f>
        <v>0</v>
      </c>
      <c r="AF73" s="9">
        <f t="shared" si="151"/>
        <v>78307.023000000001</v>
      </c>
      <c r="AG73" s="9">
        <f>AG75</f>
        <v>0</v>
      </c>
      <c r="AH73" s="9">
        <f t="shared" si="152"/>
        <v>78307.023000000001</v>
      </c>
      <c r="AI73" s="17" t="s">
        <v>100</v>
      </c>
    </row>
    <row r="74" spans="1:35" x14ac:dyDescent="0.25">
      <c r="A74" s="48"/>
      <c r="B74" s="6" t="s">
        <v>8</v>
      </c>
      <c r="C74" s="36"/>
      <c r="D74" s="36"/>
      <c r="E74" s="36"/>
      <c r="F74" s="36"/>
      <c r="G74" s="36"/>
      <c r="H74" s="36"/>
      <c r="I74" s="36"/>
      <c r="J74" s="36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9"/>
      <c r="W74" s="38"/>
      <c r="X74" s="38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17"/>
    </row>
    <row r="75" spans="1:35" x14ac:dyDescent="0.25">
      <c r="A75" s="48"/>
      <c r="B75" s="6" t="s">
        <v>9</v>
      </c>
      <c r="C75" s="36">
        <v>29757.200000000001</v>
      </c>
      <c r="D75" s="36">
        <f t="shared" si="0"/>
        <v>50593.3</v>
      </c>
      <c r="E75" s="37">
        <v>80350.5</v>
      </c>
      <c r="F75" s="36">
        <v>22844.2</v>
      </c>
      <c r="G75" s="36">
        <f t="shared" si="1"/>
        <v>4468</v>
      </c>
      <c r="H75" s="37">
        <v>27312.2</v>
      </c>
      <c r="I75" s="37">
        <v>22666.3</v>
      </c>
      <c r="J75" s="37"/>
      <c r="K75" s="38">
        <f t="shared" si="10"/>
        <v>50593.3</v>
      </c>
      <c r="L75" s="38">
        <f t="shared" si="11"/>
        <v>80350.5</v>
      </c>
      <c r="M75" s="38"/>
      <c r="N75" s="38">
        <f t="shared" si="12"/>
        <v>80350.5</v>
      </c>
      <c r="O75" s="38"/>
      <c r="P75" s="38">
        <f t="shared" si="31"/>
        <v>80350.5</v>
      </c>
      <c r="Q75" s="38">
        <v>1667.348</v>
      </c>
      <c r="R75" s="38">
        <f t="shared" ref="R75:R76" si="153">P75+Q75</f>
        <v>82017.847999999998</v>
      </c>
      <c r="S75" s="38"/>
      <c r="T75" s="38">
        <f t="shared" si="33"/>
        <v>82017.847999999998</v>
      </c>
      <c r="U75" s="38"/>
      <c r="V75" s="39">
        <f t="shared" ref="V75:V76" si="154">T75+U75</f>
        <v>82017.847999999998</v>
      </c>
      <c r="W75" s="38"/>
      <c r="X75" s="38">
        <f t="shared" ref="X75:X76" si="155">V75+W75</f>
        <v>82017.847999999998</v>
      </c>
      <c r="Y75" s="9">
        <v>-2577.326</v>
      </c>
      <c r="Z75" s="9">
        <f t="shared" ref="Z75:Z76" si="156">X75+Y75</f>
        <v>79440.521999999997</v>
      </c>
      <c r="AA75" s="9">
        <f>-1106.989-10-0.5-16.01</f>
        <v>-1133.499</v>
      </c>
      <c r="AB75" s="9">
        <f t="shared" ref="AB75:AB76" si="157">Z75+AA75</f>
        <v>78307.023000000001</v>
      </c>
      <c r="AC75" s="9"/>
      <c r="AD75" s="9">
        <f t="shared" ref="AD75:AD76" si="158">AB75+AC75</f>
        <v>78307.023000000001</v>
      </c>
      <c r="AE75" s="9"/>
      <c r="AF75" s="9">
        <f t="shared" ref="AF75:AF76" si="159">AD75+AE75</f>
        <v>78307.023000000001</v>
      </c>
      <c r="AG75" s="9"/>
      <c r="AH75" s="9">
        <f t="shared" ref="AH75:AH76" si="160">AF75+AG75</f>
        <v>78307.023000000001</v>
      </c>
      <c r="AI75" s="17"/>
    </row>
    <row r="76" spans="1:35" ht="31.5" x14ac:dyDescent="0.25">
      <c r="A76" s="48">
        <v>18</v>
      </c>
      <c r="B76" s="6" t="s">
        <v>24</v>
      </c>
      <c r="C76" s="7">
        <f>C78</f>
        <v>3293.2</v>
      </c>
      <c r="D76" s="7">
        <f t="shared" si="0"/>
        <v>-207.19999999999982</v>
      </c>
      <c r="E76" s="7">
        <f>E78</f>
        <v>3086</v>
      </c>
      <c r="F76" s="7">
        <f>F78</f>
        <v>4501.6000000000004</v>
      </c>
      <c r="G76" s="7">
        <f t="shared" si="1"/>
        <v>-741.60000000000036</v>
      </c>
      <c r="H76" s="7">
        <f>H78</f>
        <v>3760</v>
      </c>
      <c r="I76" s="7">
        <f>I78</f>
        <v>0</v>
      </c>
      <c r="J76" s="7">
        <f>J78</f>
        <v>0</v>
      </c>
      <c r="K76" s="9">
        <f t="shared" si="10"/>
        <v>-207.19999999999982</v>
      </c>
      <c r="L76" s="9">
        <f t="shared" si="11"/>
        <v>3086</v>
      </c>
      <c r="M76" s="9">
        <f>M78</f>
        <v>0</v>
      </c>
      <c r="N76" s="9">
        <f t="shared" si="12"/>
        <v>3086</v>
      </c>
      <c r="O76" s="9"/>
      <c r="P76" s="9">
        <f t="shared" si="31"/>
        <v>3086</v>
      </c>
      <c r="Q76" s="9"/>
      <c r="R76" s="9">
        <f t="shared" si="153"/>
        <v>3086</v>
      </c>
      <c r="S76" s="9"/>
      <c r="T76" s="9">
        <f t="shared" si="33"/>
        <v>3086</v>
      </c>
      <c r="U76" s="9"/>
      <c r="V76" s="35">
        <f t="shared" si="154"/>
        <v>3086</v>
      </c>
      <c r="W76" s="9"/>
      <c r="X76" s="9">
        <f t="shared" si="155"/>
        <v>3086</v>
      </c>
      <c r="Y76" s="9"/>
      <c r="Z76" s="9">
        <f t="shared" si="156"/>
        <v>3086</v>
      </c>
      <c r="AA76" s="9"/>
      <c r="AB76" s="9">
        <f t="shared" si="157"/>
        <v>3086</v>
      </c>
      <c r="AC76" s="9"/>
      <c r="AD76" s="9">
        <f t="shared" si="158"/>
        <v>3086</v>
      </c>
      <c r="AE76" s="9"/>
      <c r="AF76" s="9">
        <f t="shared" si="159"/>
        <v>3086</v>
      </c>
      <c r="AG76" s="9"/>
      <c r="AH76" s="9">
        <f t="shared" si="160"/>
        <v>3086</v>
      </c>
      <c r="AI76" s="17"/>
    </row>
    <row r="77" spans="1:35" x14ac:dyDescent="0.25">
      <c r="A77" s="48"/>
      <c r="B77" s="6" t="s">
        <v>8</v>
      </c>
      <c r="C77" s="7"/>
      <c r="D77" s="7"/>
      <c r="E77" s="7"/>
      <c r="F77" s="7"/>
      <c r="G77" s="7"/>
      <c r="H77" s="7"/>
      <c r="I77" s="7"/>
      <c r="J77" s="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35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7"/>
    </row>
    <row r="78" spans="1:35" x14ac:dyDescent="0.25">
      <c r="A78" s="48"/>
      <c r="B78" s="6" t="s">
        <v>9</v>
      </c>
      <c r="C78" s="7">
        <v>3293.2</v>
      </c>
      <c r="D78" s="7">
        <f t="shared" si="0"/>
        <v>-207.19999999999982</v>
      </c>
      <c r="E78" s="8">
        <v>3086</v>
      </c>
      <c r="F78" s="7">
        <v>4501.6000000000004</v>
      </c>
      <c r="G78" s="7">
        <f t="shared" si="1"/>
        <v>-741.60000000000036</v>
      </c>
      <c r="H78" s="8">
        <v>3760</v>
      </c>
      <c r="I78" s="8">
        <v>0</v>
      </c>
      <c r="J78" s="8"/>
      <c r="K78" s="9">
        <f t="shared" si="10"/>
        <v>-207.19999999999982</v>
      </c>
      <c r="L78" s="9">
        <f t="shared" si="11"/>
        <v>3086</v>
      </c>
      <c r="M78" s="9"/>
      <c r="N78" s="9">
        <f t="shared" si="12"/>
        <v>3086</v>
      </c>
      <c r="O78" s="9"/>
      <c r="P78" s="9">
        <f t="shared" si="31"/>
        <v>3086</v>
      </c>
      <c r="Q78" s="9"/>
      <c r="R78" s="9">
        <f t="shared" ref="R78:R79" si="161">P78+Q78</f>
        <v>3086</v>
      </c>
      <c r="S78" s="9"/>
      <c r="T78" s="9">
        <f t="shared" si="33"/>
        <v>3086</v>
      </c>
      <c r="U78" s="9"/>
      <c r="V78" s="35">
        <f t="shared" ref="V78:V79" si="162">T78+U78</f>
        <v>3086</v>
      </c>
      <c r="W78" s="9"/>
      <c r="X78" s="9">
        <f t="shared" ref="X78:X79" si="163">V78+W78</f>
        <v>3086</v>
      </c>
      <c r="Y78" s="9"/>
      <c r="Z78" s="9">
        <f t="shared" ref="Z78:Z79" si="164">X78+Y78</f>
        <v>3086</v>
      </c>
      <c r="AA78" s="9"/>
      <c r="AB78" s="9">
        <f t="shared" ref="AB78:AB79" si="165">Z78+AA78</f>
        <v>3086</v>
      </c>
      <c r="AC78" s="9"/>
      <c r="AD78" s="9">
        <f t="shared" ref="AD78:AD79" si="166">AB78+AC78</f>
        <v>3086</v>
      </c>
      <c r="AE78" s="9"/>
      <c r="AF78" s="9">
        <f t="shared" ref="AF78:AF79" si="167">AD78+AE78</f>
        <v>3086</v>
      </c>
      <c r="AG78" s="9"/>
      <c r="AH78" s="9">
        <f t="shared" ref="AH78:AH79" si="168">AF78+AG78</f>
        <v>3086</v>
      </c>
      <c r="AI78" s="17"/>
    </row>
    <row r="79" spans="1:35" ht="31.5" x14ac:dyDescent="0.25">
      <c r="A79" s="48">
        <v>19</v>
      </c>
      <c r="B79" s="40" t="s">
        <v>25</v>
      </c>
      <c r="C79" s="36">
        <f>C81</f>
        <v>57388.1</v>
      </c>
      <c r="D79" s="36">
        <f t="shared" si="0"/>
        <v>0</v>
      </c>
      <c r="E79" s="36">
        <f>E81</f>
        <v>57388.1</v>
      </c>
      <c r="F79" s="36">
        <f>F81</f>
        <v>4125</v>
      </c>
      <c r="G79" s="36">
        <f t="shared" si="1"/>
        <v>0</v>
      </c>
      <c r="H79" s="36">
        <f>H81</f>
        <v>4125</v>
      </c>
      <c r="I79" s="36">
        <f>I81</f>
        <v>46333.1</v>
      </c>
      <c r="J79" s="36">
        <f>J81</f>
        <v>0</v>
      </c>
      <c r="K79" s="38">
        <f t="shared" si="10"/>
        <v>0</v>
      </c>
      <c r="L79" s="38">
        <f t="shared" si="11"/>
        <v>57388.1</v>
      </c>
      <c r="M79" s="38">
        <f>M81</f>
        <v>0</v>
      </c>
      <c r="N79" s="38">
        <f t="shared" si="12"/>
        <v>57388.1</v>
      </c>
      <c r="O79" s="38"/>
      <c r="P79" s="38">
        <f t="shared" si="31"/>
        <v>57388.1</v>
      </c>
      <c r="Q79" s="38">
        <f>Q81+Q82</f>
        <v>5719.3720000000003</v>
      </c>
      <c r="R79" s="38">
        <f t="shared" si="161"/>
        <v>63107.472000000002</v>
      </c>
      <c r="S79" s="38">
        <f>S81+S82</f>
        <v>0</v>
      </c>
      <c r="T79" s="38">
        <f t="shared" si="33"/>
        <v>63107.472000000002</v>
      </c>
      <c r="U79" s="38">
        <f>U81+U82</f>
        <v>0</v>
      </c>
      <c r="V79" s="39">
        <f t="shared" si="162"/>
        <v>63107.472000000002</v>
      </c>
      <c r="W79" s="38">
        <f>W81+W82</f>
        <v>0</v>
      </c>
      <c r="X79" s="38">
        <f t="shared" si="163"/>
        <v>63107.472000000002</v>
      </c>
      <c r="Y79" s="9">
        <f>Y81+Y82</f>
        <v>3000</v>
      </c>
      <c r="Z79" s="9">
        <f t="shared" si="164"/>
        <v>66107.472000000009</v>
      </c>
      <c r="AA79" s="9">
        <f>AA81+AA82</f>
        <v>0</v>
      </c>
      <c r="AB79" s="9">
        <f t="shared" si="165"/>
        <v>66107.472000000009</v>
      </c>
      <c r="AC79" s="9">
        <f>AC81+AC82</f>
        <v>0</v>
      </c>
      <c r="AD79" s="9">
        <f t="shared" si="166"/>
        <v>66107.472000000009</v>
      </c>
      <c r="AE79" s="9">
        <f>AE81+AE82</f>
        <v>0</v>
      </c>
      <c r="AF79" s="9">
        <f t="shared" si="167"/>
        <v>66107.472000000009</v>
      </c>
      <c r="AG79" s="9">
        <f>AG81+AG82</f>
        <v>0</v>
      </c>
      <c r="AH79" s="9">
        <f t="shared" si="168"/>
        <v>66107.472000000009</v>
      </c>
      <c r="AI79" s="17" t="s">
        <v>98</v>
      </c>
    </row>
    <row r="80" spans="1:35" x14ac:dyDescent="0.25">
      <c r="A80" s="48"/>
      <c r="B80" s="6" t="s">
        <v>8</v>
      </c>
      <c r="C80" s="36"/>
      <c r="D80" s="36"/>
      <c r="E80" s="36"/>
      <c r="F80" s="36"/>
      <c r="G80" s="36"/>
      <c r="H80" s="36"/>
      <c r="I80" s="36"/>
      <c r="J80" s="36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8"/>
      <c r="X80" s="38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17"/>
    </row>
    <row r="81" spans="1:35" x14ac:dyDescent="0.25">
      <c r="A81" s="48"/>
      <c r="B81" s="6" t="s">
        <v>9</v>
      </c>
      <c r="C81" s="36">
        <v>57388.1</v>
      </c>
      <c r="D81" s="36">
        <f t="shared" si="0"/>
        <v>0</v>
      </c>
      <c r="E81" s="36">
        <v>57388.1</v>
      </c>
      <c r="F81" s="36">
        <v>4125</v>
      </c>
      <c r="G81" s="36">
        <f t="shared" si="1"/>
        <v>0</v>
      </c>
      <c r="H81" s="36">
        <v>4125</v>
      </c>
      <c r="I81" s="36">
        <v>46333.1</v>
      </c>
      <c r="J81" s="36"/>
      <c r="K81" s="38">
        <f t="shared" si="10"/>
        <v>0</v>
      </c>
      <c r="L81" s="38">
        <f t="shared" si="11"/>
        <v>57388.1</v>
      </c>
      <c r="M81" s="38">
        <v>0</v>
      </c>
      <c r="N81" s="38">
        <f t="shared" si="12"/>
        <v>57388.1</v>
      </c>
      <c r="O81" s="38"/>
      <c r="P81" s="38">
        <f t="shared" si="31"/>
        <v>57388.1</v>
      </c>
      <c r="Q81" s="38">
        <v>1659.6220000000001</v>
      </c>
      <c r="R81" s="38">
        <f t="shared" ref="R81:R83" si="169">P81+Q81</f>
        <v>59047.722000000002</v>
      </c>
      <c r="S81" s="38"/>
      <c r="T81" s="38">
        <f t="shared" si="33"/>
        <v>59047.722000000002</v>
      </c>
      <c r="U81" s="38"/>
      <c r="V81" s="39">
        <f t="shared" ref="V81:V83" si="170">T81+U81</f>
        <v>59047.722000000002</v>
      </c>
      <c r="W81" s="38"/>
      <c r="X81" s="38">
        <f t="shared" ref="X81:X83" si="171">V81+W81</f>
        <v>59047.722000000002</v>
      </c>
      <c r="Y81" s="9">
        <v>3000</v>
      </c>
      <c r="Z81" s="9">
        <f t="shared" ref="Z81:Z83" si="172">X81+Y81</f>
        <v>62047.722000000002</v>
      </c>
      <c r="AA81" s="9"/>
      <c r="AB81" s="9">
        <f t="shared" ref="AB81:AB83" si="173">Z81+AA81</f>
        <v>62047.722000000002</v>
      </c>
      <c r="AC81" s="9"/>
      <c r="AD81" s="9">
        <f t="shared" ref="AD81:AD83" si="174">AB81+AC81</f>
        <v>62047.722000000002</v>
      </c>
      <c r="AE81" s="9"/>
      <c r="AF81" s="9">
        <f t="shared" ref="AF81:AF83" si="175">AD81+AE81</f>
        <v>62047.722000000002</v>
      </c>
      <c r="AG81" s="9"/>
      <c r="AH81" s="9">
        <f t="shared" ref="AH81:AH83" si="176">AF81+AG81</f>
        <v>62047.722000000002</v>
      </c>
      <c r="AI81" s="17"/>
    </row>
    <row r="82" spans="1:35" x14ac:dyDescent="0.25">
      <c r="A82" s="48"/>
      <c r="B82" s="6" t="s">
        <v>10</v>
      </c>
      <c r="C82" s="36"/>
      <c r="D82" s="36"/>
      <c r="E82" s="36"/>
      <c r="F82" s="36"/>
      <c r="G82" s="36"/>
      <c r="H82" s="36"/>
      <c r="I82" s="36"/>
      <c r="J82" s="36"/>
      <c r="K82" s="38"/>
      <c r="L82" s="38"/>
      <c r="M82" s="38"/>
      <c r="N82" s="38"/>
      <c r="O82" s="38"/>
      <c r="P82" s="38"/>
      <c r="Q82" s="38">
        <v>4059.75</v>
      </c>
      <c r="R82" s="38">
        <f t="shared" si="169"/>
        <v>4059.75</v>
      </c>
      <c r="S82" s="38"/>
      <c r="T82" s="38">
        <f t="shared" si="33"/>
        <v>4059.75</v>
      </c>
      <c r="U82" s="38"/>
      <c r="V82" s="39">
        <f t="shared" si="170"/>
        <v>4059.75</v>
      </c>
      <c r="W82" s="38"/>
      <c r="X82" s="38">
        <f t="shared" si="171"/>
        <v>4059.75</v>
      </c>
      <c r="Y82" s="9"/>
      <c r="Z82" s="9">
        <f t="shared" si="172"/>
        <v>4059.75</v>
      </c>
      <c r="AA82" s="9"/>
      <c r="AB82" s="9">
        <f t="shared" si="173"/>
        <v>4059.75</v>
      </c>
      <c r="AC82" s="9"/>
      <c r="AD82" s="9">
        <f t="shared" si="174"/>
        <v>4059.75</v>
      </c>
      <c r="AE82" s="9"/>
      <c r="AF82" s="9">
        <f t="shared" si="175"/>
        <v>4059.75</v>
      </c>
      <c r="AG82" s="9"/>
      <c r="AH82" s="9">
        <f t="shared" si="176"/>
        <v>4059.75</v>
      </c>
      <c r="AI82" s="17"/>
    </row>
    <row r="83" spans="1:35" x14ac:dyDescent="0.25">
      <c r="A83" s="48">
        <v>20</v>
      </c>
      <c r="B83" s="6" t="s">
        <v>26</v>
      </c>
      <c r="C83" s="7">
        <f>C85</f>
        <v>10000</v>
      </c>
      <c r="D83" s="7">
        <f t="shared" si="0"/>
        <v>-280</v>
      </c>
      <c r="E83" s="7">
        <f>E85</f>
        <v>9720</v>
      </c>
      <c r="F83" s="7">
        <f>F85</f>
        <v>0</v>
      </c>
      <c r="G83" s="7">
        <f t="shared" si="1"/>
        <v>0</v>
      </c>
      <c r="H83" s="7">
        <f>H85</f>
        <v>0</v>
      </c>
      <c r="I83" s="7">
        <f>I85</f>
        <v>0</v>
      </c>
      <c r="J83" s="7">
        <f>J85</f>
        <v>0</v>
      </c>
      <c r="K83" s="9">
        <f t="shared" si="10"/>
        <v>-280</v>
      </c>
      <c r="L83" s="9">
        <f t="shared" si="11"/>
        <v>9720</v>
      </c>
      <c r="M83" s="9">
        <f>M85</f>
        <v>0</v>
      </c>
      <c r="N83" s="9">
        <f t="shared" si="12"/>
        <v>9720</v>
      </c>
      <c r="O83" s="9"/>
      <c r="P83" s="9">
        <f t="shared" si="31"/>
        <v>9720</v>
      </c>
      <c r="Q83" s="9"/>
      <c r="R83" s="9">
        <f t="shared" si="169"/>
        <v>9720</v>
      </c>
      <c r="S83" s="9"/>
      <c r="T83" s="9">
        <f t="shared" si="33"/>
        <v>9720</v>
      </c>
      <c r="U83" s="9"/>
      <c r="V83" s="35">
        <f t="shared" si="170"/>
        <v>9720</v>
      </c>
      <c r="W83" s="9"/>
      <c r="X83" s="9">
        <f t="shared" si="171"/>
        <v>9720</v>
      </c>
      <c r="Y83" s="9"/>
      <c r="Z83" s="9">
        <f t="shared" si="172"/>
        <v>9720</v>
      </c>
      <c r="AA83" s="9"/>
      <c r="AB83" s="9">
        <f t="shared" si="173"/>
        <v>9720</v>
      </c>
      <c r="AC83" s="9"/>
      <c r="AD83" s="9">
        <f t="shared" si="174"/>
        <v>9720</v>
      </c>
      <c r="AE83" s="9"/>
      <c r="AF83" s="9">
        <f t="shared" si="175"/>
        <v>9720</v>
      </c>
      <c r="AG83" s="9"/>
      <c r="AH83" s="9">
        <f t="shared" si="176"/>
        <v>9720</v>
      </c>
      <c r="AI83" s="17"/>
    </row>
    <row r="84" spans="1:35" x14ac:dyDescent="0.25">
      <c r="A84" s="48"/>
      <c r="B84" s="6" t="s">
        <v>8</v>
      </c>
      <c r="C84" s="7"/>
      <c r="D84" s="7"/>
      <c r="E84" s="7"/>
      <c r="F84" s="7"/>
      <c r="G84" s="7"/>
      <c r="H84" s="7"/>
      <c r="I84" s="7"/>
      <c r="J84" s="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35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17"/>
    </row>
    <row r="85" spans="1:35" x14ac:dyDescent="0.25">
      <c r="A85" s="48"/>
      <c r="B85" s="6" t="s">
        <v>9</v>
      </c>
      <c r="C85" s="7">
        <v>10000</v>
      </c>
      <c r="D85" s="7">
        <f t="shared" ref="D85:D214" si="177">E85-C85</f>
        <v>-280</v>
      </c>
      <c r="E85" s="8">
        <v>9720</v>
      </c>
      <c r="F85" s="7">
        <v>0</v>
      </c>
      <c r="G85" s="7">
        <f t="shared" ref="G85:G214" si="178">H85-F85</f>
        <v>0</v>
      </c>
      <c r="H85" s="7">
        <v>0</v>
      </c>
      <c r="I85" s="7">
        <v>0</v>
      </c>
      <c r="J85" s="8"/>
      <c r="K85" s="9">
        <f t="shared" si="10"/>
        <v>-280</v>
      </c>
      <c r="L85" s="9">
        <f t="shared" si="11"/>
        <v>9720</v>
      </c>
      <c r="M85" s="9">
        <v>0</v>
      </c>
      <c r="N85" s="9">
        <f t="shared" si="12"/>
        <v>9720</v>
      </c>
      <c r="O85" s="9"/>
      <c r="P85" s="9">
        <f t="shared" si="31"/>
        <v>9720</v>
      </c>
      <c r="Q85" s="9"/>
      <c r="R85" s="9">
        <f t="shared" ref="R85:R86" si="179">P85+Q85</f>
        <v>9720</v>
      </c>
      <c r="S85" s="9"/>
      <c r="T85" s="9">
        <f t="shared" si="33"/>
        <v>9720</v>
      </c>
      <c r="U85" s="9"/>
      <c r="V85" s="35">
        <f t="shared" ref="V85:V86" si="180">T85+U85</f>
        <v>9720</v>
      </c>
      <c r="W85" s="9"/>
      <c r="X85" s="9">
        <f t="shared" ref="X85:X86" si="181">V85+W85</f>
        <v>9720</v>
      </c>
      <c r="Y85" s="9"/>
      <c r="Z85" s="9">
        <f t="shared" ref="Z85:Z86" si="182">X85+Y85</f>
        <v>9720</v>
      </c>
      <c r="AA85" s="9"/>
      <c r="AB85" s="9">
        <f t="shared" ref="AB85:AB86" si="183">Z85+AA85</f>
        <v>9720</v>
      </c>
      <c r="AC85" s="9"/>
      <c r="AD85" s="9">
        <f t="shared" ref="AD85:AD86" si="184">AB85+AC85</f>
        <v>9720</v>
      </c>
      <c r="AE85" s="9"/>
      <c r="AF85" s="9">
        <f t="shared" ref="AF85:AF86" si="185">AD85+AE85</f>
        <v>9720</v>
      </c>
      <c r="AG85" s="9"/>
      <c r="AH85" s="9">
        <f t="shared" ref="AH85:AH86" si="186">AF85+AG85</f>
        <v>9720</v>
      </c>
      <c r="AI85" s="17"/>
    </row>
    <row r="86" spans="1:35" x14ac:dyDescent="0.25">
      <c r="A86" s="48">
        <v>21</v>
      </c>
      <c r="B86" s="6" t="s">
        <v>27</v>
      </c>
      <c r="C86" s="7">
        <f>C88</f>
        <v>1521.9</v>
      </c>
      <c r="D86" s="7">
        <f t="shared" si="177"/>
        <v>437.39999999999986</v>
      </c>
      <c r="E86" s="7">
        <f>E88</f>
        <v>1959.3</v>
      </c>
      <c r="F86" s="7">
        <f>F88</f>
        <v>1593.4</v>
      </c>
      <c r="G86" s="7">
        <f t="shared" si="178"/>
        <v>473.59999999999991</v>
      </c>
      <c r="H86" s="7">
        <f>H88</f>
        <v>2067</v>
      </c>
      <c r="I86" s="7">
        <f>I88</f>
        <v>2815</v>
      </c>
      <c r="J86" s="7">
        <f>J88</f>
        <v>0</v>
      </c>
      <c r="K86" s="9">
        <f t="shared" ref="K86:K151" si="187">L86-C86</f>
        <v>437.39999999999986</v>
      </c>
      <c r="L86" s="9">
        <f t="shared" ref="L86:L151" si="188">E86+J86</f>
        <v>1959.3</v>
      </c>
      <c r="M86" s="9">
        <f>M88</f>
        <v>0</v>
      </c>
      <c r="N86" s="9">
        <f t="shared" ref="N86:N151" si="189">L86+M86</f>
        <v>1959.3</v>
      </c>
      <c r="O86" s="9"/>
      <c r="P86" s="9">
        <f t="shared" si="31"/>
        <v>1959.3</v>
      </c>
      <c r="Q86" s="9"/>
      <c r="R86" s="9">
        <f t="shared" si="179"/>
        <v>1959.3</v>
      </c>
      <c r="S86" s="9"/>
      <c r="T86" s="9">
        <f t="shared" si="33"/>
        <v>1959.3</v>
      </c>
      <c r="U86" s="9"/>
      <c r="V86" s="35">
        <f t="shared" si="180"/>
        <v>1959.3</v>
      </c>
      <c r="W86" s="9"/>
      <c r="X86" s="9">
        <f t="shared" si="181"/>
        <v>1959.3</v>
      </c>
      <c r="Y86" s="9"/>
      <c r="Z86" s="9">
        <f t="shared" si="182"/>
        <v>1959.3</v>
      </c>
      <c r="AA86" s="9"/>
      <c r="AB86" s="9">
        <f t="shared" si="183"/>
        <v>1959.3</v>
      </c>
      <c r="AC86" s="9"/>
      <c r="AD86" s="9">
        <f t="shared" si="184"/>
        <v>1959.3</v>
      </c>
      <c r="AE86" s="9"/>
      <c r="AF86" s="9">
        <f t="shared" si="185"/>
        <v>1959.3</v>
      </c>
      <c r="AG86" s="9"/>
      <c r="AH86" s="9">
        <f t="shared" si="186"/>
        <v>1959.3</v>
      </c>
      <c r="AI86" s="17"/>
    </row>
    <row r="87" spans="1:35" x14ac:dyDescent="0.25">
      <c r="A87" s="48"/>
      <c r="B87" s="6" t="s">
        <v>8</v>
      </c>
      <c r="C87" s="7"/>
      <c r="D87" s="7"/>
      <c r="E87" s="7"/>
      <c r="F87" s="7"/>
      <c r="G87" s="7"/>
      <c r="H87" s="7"/>
      <c r="I87" s="7"/>
      <c r="J87" s="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35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17"/>
    </row>
    <row r="88" spans="1:35" x14ac:dyDescent="0.25">
      <c r="A88" s="48"/>
      <c r="B88" s="6" t="s">
        <v>9</v>
      </c>
      <c r="C88" s="7">
        <v>1521.9</v>
      </c>
      <c r="D88" s="7">
        <f t="shared" si="177"/>
        <v>437.39999999999986</v>
      </c>
      <c r="E88" s="7">
        <v>1959.3</v>
      </c>
      <c r="F88" s="7">
        <v>1593.4</v>
      </c>
      <c r="G88" s="7">
        <f t="shared" si="178"/>
        <v>473.59999999999991</v>
      </c>
      <c r="H88" s="7">
        <v>2067</v>
      </c>
      <c r="I88" s="7">
        <v>2815</v>
      </c>
      <c r="J88" s="7"/>
      <c r="K88" s="9">
        <f t="shared" si="187"/>
        <v>437.39999999999986</v>
      </c>
      <c r="L88" s="9">
        <f t="shared" si="188"/>
        <v>1959.3</v>
      </c>
      <c r="M88" s="9"/>
      <c r="N88" s="9">
        <f t="shared" si="189"/>
        <v>1959.3</v>
      </c>
      <c r="O88" s="9"/>
      <c r="P88" s="9">
        <f t="shared" si="31"/>
        <v>1959.3</v>
      </c>
      <c r="Q88" s="9"/>
      <c r="R88" s="9">
        <f t="shared" ref="R88:R89" si="190">P88+Q88</f>
        <v>1959.3</v>
      </c>
      <c r="S88" s="9"/>
      <c r="T88" s="9">
        <f t="shared" si="33"/>
        <v>1959.3</v>
      </c>
      <c r="U88" s="9"/>
      <c r="V88" s="35">
        <f t="shared" ref="V88:V89" si="191">T88+U88</f>
        <v>1959.3</v>
      </c>
      <c r="W88" s="9"/>
      <c r="X88" s="9">
        <f t="shared" ref="X88:X89" si="192">V88+W88</f>
        <v>1959.3</v>
      </c>
      <c r="Y88" s="9"/>
      <c r="Z88" s="9">
        <f t="shared" ref="Z88:Z89" si="193">X88+Y88</f>
        <v>1959.3</v>
      </c>
      <c r="AA88" s="9"/>
      <c r="AB88" s="9">
        <f t="shared" ref="AB88:AB89" si="194">Z88+AA88</f>
        <v>1959.3</v>
      </c>
      <c r="AC88" s="9"/>
      <c r="AD88" s="9">
        <f t="shared" ref="AD88:AD89" si="195">AB88+AC88</f>
        <v>1959.3</v>
      </c>
      <c r="AE88" s="9"/>
      <c r="AF88" s="9">
        <f t="shared" ref="AF88:AF89" si="196">AD88+AE88</f>
        <v>1959.3</v>
      </c>
      <c r="AG88" s="9"/>
      <c r="AH88" s="9">
        <f t="shared" ref="AH88:AH89" si="197">AF88+AG88</f>
        <v>1959.3</v>
      </c>
      <c r="AI88" s="17"/>
    </row>
    <row r="89" spans="1:35" x14ac:dyDescent="0.25">
      <c r="A89" s="48">
        <v>22</v>
      </c>
      <c r="B89" s="6" t="s">
        <v>28</v>
      </c>
      <c r="C89" s="36">
        <f>C91</f>
        <v>15339.7</v>
      </c>
      <c r="D89" s="36">
        <f t="shared" si="177"/>
        <v>32972.800000000003</v>
      </c>
      <c r="E89" s="36">
        <f>E91</f>
        <v>48312.5</v>
      </c>
      <c r="F89" s="36">
        <f>F91</f>
        <v>2812.8</v>
      </c>
      <c r="G89" s="36">
        <f t="shared" si="178"/>
        <v>22837.7</v>
      </c>
      <c r="H89" s="36">
        <f>H91</f>
        <v>25650.5</v>
      </c>
      <c r="I89" s="36">
        <f>I91</f>
        <v>21319.4</v>
      </c>
      <c r="J89" s="36">
        <f>J91</f>
        <v>0</v>
      </c>
      <c r="K89" s="38">
        <f t="shared" si="187"/>
        <v>32972.800000000003</v>
      </c>
      <c r="L89" s="38">
        <f t="shared" si="188"/>
        <v>48312.5</v>
      </c>
      <c r="M89" s="38">
        <f>M91</f>
        <v>0</v>
      </c>
      <c r="N89" s="38">
        <f t="shared" si="189"/>
        <v>48312.5</v>
      </c>
      <c r="O89" s="38"/>
      <c r="P89" s="38">
        <f t="shared" si="31"/>
        <v>48312.5</v>
      </c>
      <c r="Q89" s="38">
        <f>Q91</f>
        <v>1515.4</v>
      </c>
      <c r="R89" s="38">
        <f t="shared" si="190"/>
        <v>49827.9</v>
      </c>
      <c r="S89" s="38">
        <f>S91</f>
        <v>-1515.4</v>
      </c>
      <c r="T89" s="38">
        <f t="shared" si="33"/>
        <v>48312.5</v>
      </c>
      <c r="U89" s="38">
        <f>U91</f>
        <v>0</v>
      </c>
      <c r="V89" s="39">
        <f t="shared" si="191"/>
        <v>48312.5</v>
      </c>
      <c r="W89" s="38">
        <f>W91</f>
        <v>0</v>
      </c>
      <c r="X89" s="38">
        <f t="shared" si="192"/>
        <v>48312.5</v>
      </c>
      <c r="Y89" s="9">
        <f>Y91</f>
        <v>1515.4</v>
      </c>
      <c r="Z89" s="9">
        <f t="shared" si="193"/>
        <v>49827.9</v>
      </c>
      <c r="AA89" s="9">
        <f>AA91</f>
        <v>0</v>
      </c>
      <c r="AB89" s="9">
        <f t="shared" si="194"/>
        <v>49827.9</v>
      </c>
      <c r="AC89" s="9">
        <f>AC91</f>
        <v>1328.31</v>
      </c>
      <c r="AD89" s="9">
        <f t="shared" si="195"/>
        <v>51156.21</v>
      </c>
      <c r="AE89" s="9">
        <f>AE91</f>
        <v>0</v>
      </c>
      <c r="AF89" s="9">
        <f t="shared" si="196"/>
        <v>51156.21</v>
      </c>
      <c r="AG89" s="9">
        <f>AG91</f>
        <v>0</v>
      </c>
      <c r="AH89" s="9">
        <f t="shared" si="197"/>
        <v>51156.21</v>
      </c>
      <c r="AI89" s="17" t="s">
        <v>121</v>
      </c>
    </row>
    <row r="90" spans="1:35" x14ac:dyDescent="0.25">
      <c r="A90" s="48"/>
      <c r="B90" s="6" t="s">
        <v>8</v>
      </c>
      <c r="C90" s="36"/>
      <c r="D90" s="36"/>
      <c r="E90" s="36"/>
      <c r="F90" s="36"/>
      <c r="G90" s="36"/>
      <c r="H90" s="36"/>
      <c r="I90" s="36"/>
      <c r="J90" s="36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9"/>
      <c r="W90" s="38"/>
      <c r="X90" s="38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17"/>
    </row>
    <row r="91" spans="1:35" x14ac:dyDescent="0.25">
      <c r="A91" s="48"/>
      <c r="B91" s="6" t="s">
        <v>9</v>
      </c>
      <c r="C91" s="36">
        <v>15339.7</v>
      </c>
      <c r="D91" s="36">
        <f t="shared" si="177"/>
        <v>32972.800000000003</v>
      </c>
      <c r="E91" s="36">
        <v>48312.5</v>
      </c>
      <c r="F91" s="36">
        <v>2812.8</v>
      </c>
      <c r="G91" s="36">
        <f t="shared" si="178"/>
        <v>22837.7</v>
      </c>
      <c r="H91" s="36">
        <v>25650.5</v>
      </c>
      <c r="I91" s="36">
        <v>21319.4</v>
      </c>
      <c r="J91" s="36"/>
      <c r="K91" s="38">
        <f t="shared" si="187"/>
        <v>32972.800000000003</v>
      </c>
      <c r="L91" s="38">
        <f t="shared" si="188"/>
        <v>48312.5</v>
      </c>
      <c r="M91" s="38"/>
      <c r="N91" s="38">
        <f t="shared" si="189"/>
        <v>48312.5</v>
      </c>
      <c r="O91" s="38"/>
      <c r="P91" s="38">
        <f t="shared" si="31"/>
        <v>48312.5</v>
      </c>
      <c r="Q91" s="38">
        <f>515.4+1000</f>
        <v>1515.4</v>
      </c>
      <c r="R91" s="38">
        <f t="shared" ref="R91:R92" si="198">P91+Q91</f>
        <v>49827.9</v>
      </c>
      <c r="S91" s="38">
        <v>-1515.4</v>
      </c>
      <c r="T91" s="38">
        <f t="shared" si="33"/>
        <v>48312.5</v>
      </c>
      <c r="U91" s="38"/>
      <c r="V91" s="39">
        <f t="shared" ref="V91:V92" si="199">T91+U91</f>
        <v>48312.5</v>
      </c>
      <c r="W91" s="38"/>
      <c r="X91" s="38">
        <f t="shared" ref="X91:X92" si="200">V91+W91</f>
        <v>48312.5</v>
      </c>
      <c r="Y91" s="9">
        <f>515.4+1000</f>
        <v>1515.4</v>
      </c>
      <c r="Z91" s="9">
        <f t="shared" ref="Z91:Z92" si="201">X91+Y91</f>
        <v>49827.9</v>
      </c>
      <c r="AA91" s="9"/>
      <c r="AB91" s="9">
        <f t="shared" ref="AB91:AB92" si="202">Z91+AA91</f>
        <v>49827.9</v>
      </c>
      <c r="AC91" s="9">
        <v>1328.31</v>
      </c>
      <c r="AD91" s="9">
        <f t="shared" ref="AD91:AD92" si="203">AB91+AC91</f>
        <v>51156.21</v>
      </c>
      <c r="AE91" s="9"/>
      <c r="AF91" s="9">
        <f t="shared" ref="AF91:AF92" si="204">AD91+AE91</f>
        <v>51156.21</v>
      </c>
      <c r="AG91" s="9"/>
      <c r="AH91" s="9">
        <f t="shared" ref="AH91:AH92" si="205">AF91+AG91</f>
        <v>51156.21</v>
      </c>
      <c r="AI91" s="17"/>
    </row>
    <row r="92" spans="1:35" ht="31.5" x14ac:dyDescent="0.25">
      <c r="A92" s="48">
        <v>23</v>
      </c>
      <c r="B92" s="6" t="s">
        <v>41</v>
      </c>
      <c r="C92" s="7">
        <f>C94</f>
        <v>4626.8</v>
      </c>
      <c r="D92" s="7">
        <f t="shared" si="177"/>
        <v>3137.0999999999995</v>
      </c>
      <c r="E92" s="7">
        <f>E94</f>
        <v>7763.9</v>
      </c>
      <c r="F92" s="7">
        <f>F94</f>
        <v>4818.8</v>
      </c>
      <c r="G92" s="7">
        <f t="shared" si="178"/>
        <v>2594.3999999999996</v>
      </c>
      <c r="H92" s="7">
        <f>H94</f>
        <v>7413.2</v>
      </c>
      <c r="I92" s="7">
        <f>I94</f>
        <v>7413.1</v>
      </c>
      <c r="J92" s="7">
        <f>J94</f>
        <v>0</v>
      </c>
      <c r="K92" s="9">
        <f t="shared" si="187"/>
        <v>3137.0999999999995</v>
      </c>
      <c r="L92" s="9">
        <f t="shared" si="188"/>
        <v>7763.9</v>
      </c>
      <c r="M92" s="9">
        <f>M94</f>
        <v>0</v>
      </c>
      <c r="N92" s="9">
        <f t="shared" si="189"/>
        <v>7763.9</v>
      </c>
      <c r="O92" s="9"/>
      <c r="P92" s="9">
        <f t="shared" si="31"/>
        <v>7763.9</v>
      </c>
      <c r="Q92" s="29">
        <f>Q94</f>
        <v>459.1</v>
      </c>
      <c r="R92" s="29">
        <f t="shared" si="198"/>
        <v>8223</v>
      </c>
      <c r="S92" s="29">
        <f>S94</f>
        <v>0</v>
      </c>
      <c r="T92" s="9">
        <f t="shared" si="33"/>
        <v>8223</v>
      </c>
      <c r="U92" s="9">
        <f>U94</f>
        <v>0</v>
      </c>
      <c r="V92" s="35">
        <f t="shared" si="199"/>
        <v>8223</v>
      </c>
      <c r="W92" s="9">
        <f>W94</f>
        <v>0</v>
      </c>
      <c r="X92" s="9">
        <f t="shared" si="200"/>
        <v>8223</v>
      </c>
      <c r="Y92" s="9">
        <f>Y94</f>
        <v>0</v>
      </c>
      <c r="Z92" s="9">
        <f t="shared" si="201"/>
        <v>8223</v>
      </c>
      <c r="AA92" s="9">
        <f>AA94</f>
        <v>-417.25900000000001</v>
      </c>
      <c r="AB92" s="9">
        <f t="shared" si="202"/>
        <v>7805.741</v>
      </c>
      <c r="AC92" s="9">
        <f>AC94</f>
        <v>0</v>
      </c>
      <c r="AD92" s="9">
        <f t="shared" si="203"/>
        <v>7805.741</v>
      </c>
      <c r="AE92" s="18">
        <f>AE94</f>
        <v>-789.00900000000001</v>
      </c>
      <c r="AF92" s="9">
        <f t="shared" si="204"/>
        <v>7016.732</v>
      </c>
      <c r="AG92" s="9">
        <f>AG94</f>
        <v>0</v>
      </c>
      <c r="AH92" s="9">
        <f t="shared" si="205"/>
        <v>7016.732</v>
      </c>
      <c r="AI92" s="17" t="s">
        <v>110</v>
      </c>
    </row>
    <row r="93" spans="1:35" x14ac:dyDescent="0.25">
      <c r="A93" s="48"/>
      <c r="B93" s="6" t="s">
        <v>8</v>
      </c>
      <c r="C93" s="7"/>
      <c r="D93" s="7"/>
      <c r="E93" s="7"/>
      <c r="F93" s="7"/>
      <c r="G93" s="7"/>
      <c r="H93" s="7"/>
      <c r="I93" s="7"/>
      <c r="J93" s="7"/>
      <c r="K93" s="9"/>
      <c r="L93" s="9"/>
      <c r="M93" s="9"/>
      <c r="N93" s="9"/>
      <c r="O93" s="9"/>
      <c r="P93" s="9"/>
      <c r="Q93" s="29"/>
      <c r="R93" s="29"/>
      <c r="S93" s="29"/>
      <c r="T93" s="9"/>
      <c r="U93" s="9"/>
      <c r="V93" s="35"/>
      <c r="W93" s="9"/>
      <c r="X93" s="9"/>
      <c r="Y93" s="9"/>
      <c r="Z93" s="9"/>
      <c r="AA93" s="9"/>
      <c r="AB93" s="9"/>
      <c r="AC93" s="9"/>
      <c r="AD93" s="9"/>
      <c r="AE93" s="18"/>
      <c r="AF93" s="9"/>
      <c r="AG93" s="9"/>
      <c r="AH93" s="9"/>
      <c r="AI93" s="17"/>
    </row>
    <row r="94" spans="1:35" x14ac:dyDescent="0.25">
      <c r="A94" s="48"/>
      <c r="B94" s="6" t="s">
        <v>9</v>
      </c>
      <c r="C94" s="7">
        <v>4626.8</v>
      </c>
      <c r="D94" s="7">
        <f t="shared" si="177"/>
        <v>3137.0999999999995</v>
      </c>
      <c r="E94" s="7">
        <v>7763.9</v>
      </c>
      <c r="F94" s="7">
        <v>4818.8</v>
      </c>
      <c r="G94" s="7">
        <f t="shared" si="178"/>
        <v>2594.3999999999996</v>
      </c>
      <c r="H94" s="7">
        <v>7413.2</v>
      </c>
      <c r="I94" s="7">
        <v>7413.1</v>
      </c>
      <c r="J94" s="7"/>
      <c r="K94" s="9">
        <f t="shared" si="187"/>
        <v>3137.0999999999995</v>
      </c>
      <c r="L94" s="9">
        <f t="shared" si="188"/>
        <v>7763.9</v>
      </c>
      <c r="M94" s="9"/>
      <c r="N94" s="9">
        <f t="shared" si="189"/>
        <v>7763.9</v>
      </c>
      <c r="O94" s="9"/>
      <c r="P94" s="9">
        <f t="shared" si="31"/>
        <v>7763.9</v>
      </c>
      <c r="Q94" s="29">
        <v>459.1</v>
      </c>
      <c r="R94" s="29">
        <f t="shared" ref="R94:R95" si="206">P94+Q94</f>
        <v>8223</v>
      </c>
      <c r="S94" s="29"/>
      <c r="T94" s="9">
        <f t="shared" si="33"/>
        <v>8223</v>
      </c>
      <c r="U94" s="9"/>
      <c r="V94" s="35">
        <f t="shared" ref="V94:V95" si="207">T94+U94</f>
        <v>8223</v>
      </c>
      <c r="W94" s="9"/>
      <c r="X94" s="9">
        <f t="shared" ref="X94:X95" si="208">V94+W94</f>
        <v>8223</v>
      </c>
      <c r="Y94" s="9"/>
      <c r="Z94" s="9">
        <f t="shared" ref="Z94:Z95" si="209">X94+Y94</f>
        <v>8223</v>
      </c>
      <c r="AA94" s="9">
        <v>-417.25900000000001</v>
      </c>
      <c r="AB94" s="9">
        <f t="shared" ref="AB94:AB95" si="210">Z94+AA94</f>
        <v>7805.741</v>
      </c>
      <c r="AC94" s="9"/>
      <c r="AD94" s="9">
        <f t="shared" ref="AD94:AD95" si="211">AB94+AC94</f>
        <v>7805.741</v>
      </c>
      <c r="AE94" s="18">
        <f>-40-153.65-595.359</f>
        <v>-789.00900000000001</v>
      </c>
      <c r="AF94" s="9">
        <f t="shared" ref="AF94:AF95" si="212">AD94+AE94</f>
        <v>7016.732</v>
      </c>
      <c r="AG94" s="9"/>
      <c r="AH94" s="9">
        <f t="shared" ref="AH94:AH95" si="213">AF94+AG94</f>
        <v>7016.732</v>
      </c>
      <c r="AI94" s="17"/>
    </row>
    <row r="95" spans="1:35" ht="31.5" x14ac:dyDescent="0.25">
      <c r="A95" s="48">
        <v>24</v>
      </c>
      <c r="B95" s="6" t="s">
        <v>37</v>
      </c>
      <c r="C95" s="7">
        <f>C97</f>
        <v>16630</v>
      </c>
      <c r="D95" s="7">
        <f t="shared" si="177"/>
        <v>-465.60000000000036</v>
      </c>
      <c r="E95" s="7">
        <f>E97</f>
        <v>16164.4</v>
      </c>
      <c r="F95" s="7">
        <f>F97</f>
        <v>16630</v>
      </c>
      <c r="G95" s="7">
        <f t="shared" si="178"/>
        <v>-66.5</v>
      </c>
      <c r="H95" s="7">
        <f>H97</f>
        <v>16563.5</v>
      </c>
      <c r="I95" s="7">
        <f>I97</f>
        <v>16563.5</v>
      </c>
      <c r="J95" s="7">
        <f>J97</f>
        <v>0</v>
      </c>
      <c r="K95" s="9">
        <f t="shared" si="187"/>
        <v>-465.60000000000036</v>
      </c>
      <c r="L95" s="9">
        <f t="shared" si="188"/>
        <v>16164.4</v>
      </c>
      <c r="M95" s="9">
        <f>M97</f>
        <v>0</v>
      </c>
      <c r="N95" s="9">
        <f t="shared" si="189"/>
        <v>16164.4</v>
      </c>
      <c r="O95" s="9"/>
      <c r="P95" s="9">
        <f t="shared" si="31"/>
        <v>16164.4</v>
      </c>
      <c r="Q95" s="29">
        <f>Q97</f>
        <v>283.5</v>
      </c>
      <c r="R95" s="29">
        <f t="shared" si="206"/>
        <v>16447.900000000001</v>
      </c>
      <c r="S95" s="29">
        <f>S97</f>
        <v>0</v>
      </c>
      <c r="T95" s="9">
        <f t="shared" ref="T95:T153" si="214">R95+S95</f>
        <v>16447.900000000001</v>
      </c>
      <c r="U95" s="9">
        <f>U97</f>
        <v>0</v>
      </c>
      <c r="V95" s="35">
        <f t="shared" si="207"/>
        <v>16447.900000000001</v>
      </c>
      <c r="W95" s="9">
        <f>W97</f>
        <v>0</v>
      </c>
      <c r="X95" s="9">
        <f t="shared" si="208"/>
        <v>16447.900000000001</v>
      </c>
      <c r="Y95" s="9">
        <f>Y97</f>
        <v>0</v>
      </c>
      <c r="Z95" s="9">
        <f t="shared" si="209"/>
        <v>16447.900000000001</v>
      </c>
      <c r="AA95" s="9">
        <f>AA97</f>
        <v>0</v>
      </c>
      <c r="AB95" s="9">
        <f t="shared" si="210"/>
        <v>16447.900000000001</v>
      </c>
      <c r="AC95" s="9">
        <f>AC97</f>
        <v>0</v>
      </c>
      <c r="AD95" s="9">
        <f t="shared" si="211"/>
        <v>16447.900000000001</v>
      </c>
      <c r="AE95" s="9">
        <f>AE97</f>
        <v>0</v>
      </c>
      <c r="AF95" s="9">
        <f t="shared" si="212"/>
        <v>16447.900000000001</v>
      </c>
      <c r="AG95" s="9">
        <f>AG97</f>
        <v>0</v>
      </c>
      <c r="AH95" s="9">
        <f t="shared" si="213"/>
        <v>16447.900000000001</v>
      </c>
      <c r="AI95" s="17" t="s">
        <v>108</v>
      </c>
    </row>
    <row r="96" spans="1:35" x14ac:dyDescent="0.25">
      <c r="A96" s="48"/>
      <c r="B96" s="6" t="s">
        <v>8</v>
      </c>
      <c r="C96" s="7"/>
      <c r="D96" s="7"/>
      <c r="E96" s="7"/>
      <c r="F96" s="7"/>
      <c r="G96" s="7"/>
      <c r="H96" s="7"/>
      <c r="I96" s="7"/>
      <c r="J96" s="7"/>
      <c r="K96" s="9"/>
      <c r="L96" s="9"/>
      <c r="M96" s="9"/>
      <c r="N96" s="9"/>
      <c r="O96" s="9"/>
      <c r="P96" s="9"/>
      <c r="Q96" s="29"/>
      <c r="R96" s="29"/>
      <c r="S96" s="29"/>
      <c r="T96" s="9"/>
      <c r="U96" s="9"/>
      <c r="V96" s="35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7"/>
    </row>
    <row r="97" spans="1:35" x14ac:dyDescent="0.25">
      <c r="A97" s="48"/>
      <c r="B97" s="6" t="s">
        <v>9</v>
      </c>
      <c r="C97" s="7">
        <v>16630</v>
      </c>
      <c r="D97" s="7">
        <f t="shared" si="177"/>
        <v>-465.60000000000036</v>
      </c>
      <c r="E97" s="8">
        <v>16164.4</v>
      </c>
      <c r="F97" s="7">
        <v>16630</v>
      </c>
      <c r="G97" s="7">
        <f t="shared" si="178"/>
        <v>-66.5</v>
      </c>
      <c r="H97" s="8">
        <v>16563.5</v>
      </c>
      <c r="I97" s="8">
        <v>16563.5</v>
      </c>
      <c r="J97" s="8"/>
      <c r="K97" s="9">
        <f t="shared" si="187"/>
        <v>-465.60000000000036</v>
      </c>
      <c r="L97" s="9">
        <f t="shared" si="188"/>
        <v>16164.4</v>
      </c>
      <c r="M97" s="9"/>
      <c r="N97" s="9">
        <f t="shared" si="189"/>
        <v>16164.4</v>
      </c>
      <c r="O97" s="9"/>
      <c r="P97" s="9">
        <f t="shared" ref="P97:P100" si="215">N97+O97</f>
        <v>16164.4</v>
      </c>
      <c r="Q97" s="29">
        <v>283.5</v>
      </c>
      <c r="R97" s="29">
        <f t="shared" ref="R97:R98" si="216">P97+Q97</f>
        <v>16447.900000000001</v>
      </c>
      <c r="S97" s="29"/>
      <c r="T97" s="9">
        <f t="shared" si="214"/>
        <v>16447.900000000001</v>
      </c>
      <c r="U97" s="9"/>
      <c r="V97" s="35">
        <f t="shared" ref="V97:V98" si="217">T97+U97</f>
        <v>16447.900000000001</v>
      </c>
      <c r="W97" s="9"/>
      <c r="X97" s="9">
        <f t="shared" ref="X97:X98" si="218">V97+W97</f>
        <v>16447.900000000001</v>
      </c>
      <c r="Y97" s="9"/>
      <c r="Z97" s="9">
        <f t="shared" ref="Z97:Z98" si="219">X97+Y97</f>
        <v>16447.900000000001</v>
      </c>
      <c r="AA97" s="9"/>
      <c r="AB97" s="9">
        <f t="shared" ref="AB97:AB98" si="220">Z97+AA97</f>
        <v>16447.900000000001</v>
      </c>
      <c r="AC97" s="9"/>
      <c r="AD97" s="9">
        <f t="shared" ref="AD97:AD98" si="221">AB97+AC97</f>
        <v>16447.900000000001</v>
      </c>
      <c r="AE97" s="9"/>
      <c r="AF97" s="9">
        <f t="shared" ref="AF97:AF98" si="222">AD97+AE97</f>
        <v>16447.900000000001</v>
      </c>
      <c r="AG97" s="9"/>
      <c r="AH97" s="9">
        <f t="shared" ref="AH97:AH98" si="223">AF97+AG97</f>
        <v>16447.900000000001</v>
      </c>
      <c r="AI97" s="17"/>
    </row>
    <row r="98" spans="1:35" x14ac:dyDescent="0.25">
      <c r="A98" s="48">
        <v>25</v>
      </c>
      <c r="B98" s="6" t="s">
        <v>40</v>
      </c>
      <c r="C98" s="36">
        <f>C100</f>
        <v>114349.26</v>
      </c>
      <c r="D98" s="36">
        <f t="shared" si="177"/>
        <v>51453.539999999994</v>
      </c>
      <c r="E98" s="36">
        <f>E100</f>
        <v>165802.79999999999</v>
      </c>
      <c r="F98" s="36">
        <f>F100</f>
        <v>171511.57699999999</v>
      </c>
      <c r="G98" s="36">
        <f t="shared" si="178"/>
        <v>-51453.476999999984</v>
      </c>
      <c r="H98" s="36">
        <f>H100</f>
        <v>120058.1</v>
      </c>
      <c r="I98" s="36">
        <f>I100</f>
        <v>253222.39999999999</v>
      </c>
      <c r="J98" s="36">
        <f>J100</f>
        <v>-698</v>
      </c>
      <c r="K98" s="38">
        <f t="shared" si="187"/>
        <v>50755.539999999994</v>
      </c>
      <c r="L98" s="38">
        <f t="shared" si="188"/>
        <v>165104.79999999999</v>
      </c>
      <c r="M98" s="38">
        <f>M100+M101</f>
        <v>0</v>
      </c>
      <c r="N98" s="38">
        <f t="shared" si="189"/>
        <v>165104.79999999999</v>
      </c>
      <c r="O98" s="38"/>
      <c r="P98" s="38">
        <f t="shared" si="215"/>
        <v>165104.79999999999</v>
      </c>
      <c r="Q98" s="38">
        <f>Q100+Q101</f>
        <v>22187.254000000001</v>
      </c>
      <c r="R98" s="38">
        <f t="shared" si="216"/>
        <v>187292.054</v>
      </c>
      <c r="S98" s="38">
        <f>S100+S101</f>
        <v>-18929.254000000001</v>
      </c>
      <c r="T98" s="38">
        <f t="shared" si="214"/>
        <v>168362.8</v>
      </c>
      <c r="U98" s="38">
        <f>U100+U101</f>
        <v>0</v>
      </c>
      <c r="V98" s="39">
        <f t="shared" si="217"/>
        <v>168362.8</v>
      </c>
      <c r="W98" s="38">
        <f>W100+W101</f>
        <v>7093.7129999999997</v>
      </c>
      <c r="X98" s="38">
        <f t="shared" si="218"/>
        <v>175456.51299999998</v>
      </c>
      <c r="Y98" s="9">
        <f>Y100+Y101</f>
        <v>53961.940999999999</v>
      </c>
      <c r="Z98" s="9">
        <f t="shared" si="219"/>
        <v>229418.45399999997</v>
      </c>
      <c r="AA98" s="9">
        <f>AA100+AA101</f>
        <v>1420.4960000000001</v>
      </c>
      <c r="AB98" s="9">
        <f t="shared" si="220"/>
        <v>230838.94999999998</v>
      </c>
      <c r="AC98" s="9">
        <f>AC100+AC101</f>
        <v>0</v>
      </c>
      <c r="AD98" s="9">
        <f t="shared" si="221"/>
        <v>230838.94999999998</v>
      </c>
      <c r="AE98" s="18">
        <f>AE100+AE101</f>
        <v>-2338.6289999999999</v>
      </c>
      <c r="AF98" s="9">
        <f t="shared" si="222"/>
        <v>228500.321</v>
      </c>
      <c r="AG98" s="9">
        <f>AG100+AG101</f>
        <v>0</v>
      </c>
      <c r="AH98" s="9">
        <f t="shared" si="223"/>
        <v>228500.321</v>
      </c>
      <c r="AI98" s="17" t="s">
        <v>113</v>
      </c>
    </row>
    <row r="99" spans="1:35" x14ac:dyDescent="0.25">
      <c r="A99" s="48"/>
      <c r="B99" s="6" t="s">
        <v>8</v>
      </c>
      <c r="C99" s="36"/>
      <c r="D99" s="36"/>
      <c r="E99" s="36"/>
      <c r="F99" s="36"/>
      <c r="G99" s="36"/>
      <c r="H99" s="36"/>
      <c r="I99" s="36"/>
      <c r="J99" s="36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9"/>
      <c r="W99" s="38"/>
      <c r="X99" s="38"/>
      <c r="Y99" s="9"/>
      <c r="Z99" s="9"/>
      <c r="AA99" s="9"/>
      <c r="AB99" s="9"/>
      <c r="AC99" s="9"/>
      <c r="AD99" s="9"/>
      <c r="AE99" s="18"/>
      <c r="AF99" s="9"/>
      <c r="AG99" s="9"/>
      <c r="AH99" s="9"/>
      <c r="AI99" s="17" t="s">
        <v>114</v>
      </c>
    </row>
    <row r="100" spans="1:35" x14ac:dyDescent="0.25">
      <c r="A100" s="48"/>
      <c r="B100" s="6" t="s">
        <v>9</v>
      </c>
      <c r="C100" s="36">
        <v>114349.26</v>
      </c>
      <c r="D100" s="36">
        <f t="shared" si="177"/>
        <v>51453.539999999994</v>
      </c>
      <c r="E100" s="37">
        <v>165802.79999999999</v>
      </c>
      <c r="F100" s="36">
        <v>171511.57699999999</v>
      </c>
      <c r="G100" s="36">
        <f t="shared" si="178"/>
        <v>-51453.476999999984</v>
      </c>
      <c r="H100" s="37">
        <v>120058.1</v>
      </c>
      <c r="I100" s="37">
        <v>253222.39999999999</v>
      </c>
      <c r="J100" s="37">
        <v>-698</v>
      </c>
      <c r="K100" s="38">
        <f t="shared" si="187"/>
        <v>50755.539999999994</v>
      </c>
      <c r="L100" s="38">
        <f t="shared" si="188"/>
        <v>165104.79999999999</v>
      </c>
      <c r="M100" s="38"/>
      <c r="N100" s="38">
        <f t="shared" si="189"/>
        <v>165104.79999999999</v>
      </c>
      <c r="O100" s="38"/>
      <c r="P100" s="38">
        <f t="shared" si="215"/>
        <v>165104.79999999999</v>
      </c>
      <c r="Q100" s="38">
        <f>18929.254</f>
        <v>18929.254000000001</v>
      </c>
      <c r="R100" s="38">
        <f t="shared" ref="R100:R101" si="224">P100+Q100</f>
        <v>184034.054</v>
      </c>
      <c r="S100" s="38">
        <v>-18929.254000000001</v>
      </c>
      <c r="T100" s="38">
        <f t="shared" si="214"/>
        <v>165104.79999999999</v>
      </c>
      <c r="U100" s="38"/>
      <c r="V100" s="39">
        <f t="shared" ref="V100:V102" si="225">T100+U100</f>
        <v>165104.79999999999</v>
      </c>
      <c r="W100" s="38">
        <v>7093.7129999999997</v>
      </c>
      <c r="X100" s="38">
        <f t="shared" ref="X100:X102" si="226">V100+W100</f>
        <v>172198.51299999998</v>
      </c>
      <c r="Y100" s="9">
        <v>53961.940999999999</v>
      </c>
      <c r="Z100" s="9">
        <f t="shared" ref="Z100:Z102" si="227">X100+Y100</f>
        <v>226160.45399999997</v>
      </c>
      <c r="AA100" s="9">
        <v>1420.4960000000001</v>
      </c>
      <c r="AB100" s="9">
        <f t="shared" ref="AB100:AB102" si="228">Z100+AA100</f>
        <v>227580.94999999998</v>
      </c>
      <c r="AC100" s="9"/>
      <c r="AD100" s="9">
        <f t="shared" ref="AD100:AD102" si="229">AB100+AC100</f>
        <v>227580.94999999998</v>
      </c>
      <c r="AE100" s="18">
        <v>-2338.6289999999999</v>
      </c>
      <c r="AF100" s="9">
        <f t="shared" ref="AF100:AF102" si="230">AD100+AE100</f>
        <v>225242.321</v>
      </c>
      <c r="AG100" s="9"/>
      <c r="AH100" s="9">
        <f t="shared" ref="AH100:AH102" si="231">AF100+AG100</f>
        <v>225242.321</v>
      </c>
      <c r="AI100" s="17"/>
    </row>
    <row r="101" spans="1:35" x14ac:dyDescent="0.25">
      <c r="A101" s="48"/>
      <c r="B101" s="6" t="s">
        <v>10</v>
      </c>
      <c r="C101" s="36"/>
      <c r="D101" s="36"/>
      <c r="E101" s="36"/>
      <c r="F101" s="36"/>
      <c r="G101" s="36"/>
      <c r="H101" s="36"/>
      <c r="I101" s="36"/>
      <c r="J101" s="36"/>
      <c r="K101" s="38"/>
      <c r="L101" s="38"/>
      <c r="M101" s="38"/>
      <c r="N101" s="38">
        <f>L101+M101</f>
        <v>0</v>
      </c>
      <c r="O101" s="38"/>
      <c r="P101" s="38"/>
      <c r="Q101" s="38">
        <v>3258</v>
      </c>
      <c r="R101" s="38">
        <f t="shared" si="224"/>
        <v>3258</v>
      </c>
      <c r="S101" s="38"/>
      <c r="T101" s="38">
        <f t="shared" si="214"/>
        <v>3258</v>
      </c>
      <c r="U101" s="38"/>
      <c r="V101" s="39">
        <f t="shared" si="225"/>
        <v>3258</v>
      </c>
      <c r="W101" s="38"/>
      <c r="X101" s="38">
        <f t="shared" si="226"/>
        <v>3258</v>
      </c>
      <c r="Y101" s="9"/>
      <c r="Z101" s="9">
        <f t="shared" si="227"/>
        <v>3258</v>
      </c>
      <c r="AA101" s="9"/>
      <c r="AB101" s="9">
        <f t="shared" si="228"/>
        <v>3258</v>
      </c>
      <c r="AC101" s="9"/>
      <c r="AD101" s="9">
        <f t="shared" si="229"/>
        <v>3258</v>
      </c>
      <c r="AE101" s="18"/>
      <c r="AF101" s="9">
        <f t="shared" si="230"/>
        <v>3258</v>
      </c>
      <c r="AG101" s="9"/>
      <c r="AH101" s="9">
        <f t="shared" si="231"/>
        <v>3258</v>
      </c>
      <c r="AI101" s="17"/>
    </row>
    <row r="102" spans="1:35" ht="31.5" x14ac:dyDescent="0.25">
      <c r="A102" s="48">
        <v>26</v>
      </c>
      <c r="B102" s="6" t="s">
        <v>42</v>
      </c>
      <c r="C102" s="7">
        <f>C104</f>
        <v>14877.3</v>
      </c>
      <c r="D102" s="7">
        <f t="shared" si="177"/>
        <v>-416.59999999999854</v>
      </c>
      <c r="E102" s="7">
        <f>E104</f>
        <v>14460.7</v>
      </c>
      <c r="F102" s="7">
        <f>F104</f>
        <v>14877.3</v>
      </c>
      <c r="G102" s="7">
        <f t="shared" si="178"/>
        <v>-59.5</v>
      </c>
      <c r="H102" s="7">
        <f>H104</f>
        <v>14817.8</v>
      </c>
      <c r="I102" s="7">
        <f>I104</f>
        <v>0</v>
      </c>
      <c r="J102" s="7">
        <f>J104</f>
        <v>0</v>
      </c>
      <c r="K102" s="9">
        <f t="shared" si="187"/>
        <v>-416.59999999999854</v>
      </c>
      <c r="L102" s="9">
        <f t="shared" si="188"/>
        <v>14460.7</v>
      </c>
      <c r="M102" s="9">
        <f>M104</f>
        <v>0</v>
      </c>
      <c r="N102" s="9">
        <f t="shared" si="189"/>
        <v>14460.7</v>
      </c>
      <c r="O102" s="9"/>
      <c r="P102" s="9">
        <f t="shared" ref="P102:P153" si="232">N102+O102</f>
        <v>14460.7</v>
      </c>
      <c r="Q102" s="9"/>
      <c r="R102" s="9">
        <f t="shared" ref="R102" si="233">P102+Q102</f>
        <v>14460.7</v>
      </c>
      <c r="S102" s="9"/>
      <c r="T102" s="9">
        <f t="shared" si="214"/>
        <v>14460.7</v>
      </c>
      <c r="U102" s="9">
        <f>U104</f>
        <v>-6813.2830000000004</v>
      </c>
      <c r="V102" s="35">
        <f t="shared" si="225"/>
        <v>7647.4170000000004</v>
      </c>
      <c r="W102" s="9">
        <f>W104</f>
        <v>0</v>
      </c>
      <c r="X102" s="9">
        <f t="shared" si="226"/>
        <v>7647.4170000000004</v>
      </c>
      <c r="Y102" s="9">
        <f>Y104</f>
        <v>0</v>
      </c>
      <c r="Z102" s="9">
        <f t="shared" si="227"/>
        <v>7647.4170000000004</v>
      </c>
      <c r="AA102" s="9">
        <f>AA104</f>
        <v>0</v>
      </c>
      <c r="AB102" s="9">
        <f t="shared" si="228"/>
        <v>7647.4170000000004</v>
      </c>
      <c r="AC102" s="9">
        <f>AC104</f>
        <v>0</v>
      </c>
      <c r="AD102" s="9">
        <f t="shared" si="229"/>
        <v>7647.4170000000004</v>
      </c>
      <c r="AE102" s="9">
        <f>AE104</f>
        <v>0</v>
      </c>
      <c r="AF102" s="9">
        <f t="shared" si="230"/>
        <v>7647.4170000000004</v>
      </c>
      <c r="AG102" s="9">
        <f>AG104</f>
        <v>0</v>
      </c>
      <c r="AH102" s="9">
        <f t="shared" si="231"/>
        <v>7647.4170000000004</v>
      </c>
      <c r="AI102" s="17" t="s">
        <v>130</v>
      </c>
    </row>
    <row r="103" spans="1:35" x14ac:dyDescent="0.25">
      <c r="A103" s="48"/>
      <c r="B103" s="6" t="s">
        <v>8</v>
      </c>
      <c r="C103" s="7"/>
      <c r="D103" s="7"/>
      <c r="E103" s="7"/>
      <c r="F103" s="7"/>
      <c r="G103" s="7"/>
      <c r="H103" s="7"/>
      <c r="I103" s="7"/>
      <c r="J103" s="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35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7"/>
    </row>
    <row r="104" spans="1:35" x14ac:dyDescent="0.25">
      <c r="A104" s="48"/>
      <c r="B104" s="6" t="s">
        <v>9</v>
      </c>
      <c r="C104" s="7">
        <v>14877.3</v>
      </c>
      <c r="D104" s="7">
        <f t="shared" si="177"/>
        <v>-416.59999999999854</v>
      </c>
      <c r="E104" s="8">
        <v>14460.7</v>
      </c>
      <c r="F104" s="7">
        <v>14877.3</v>
      </c>
      <c r="G104" s="7">
        <f t="shared" si="178"/>
        <v>-59.5</v>
      </c>
      <c r="H104" s="8">
        <v>14817.8</v>
      </c>
      <c r="I104" s="8">
        <v>0</v>
      </c>
      <c r="J104" s="8"/>
      <c r="K104" s="9">
        <f t="shared" si="187"/>
        <v>-416.59999999999854</v>
      </c>
      <c r="L104" s="9">
        <f t="shared" si="188"/>
        <v>14460.7</v>
      </c>
      <c r="M104" s="9"/>
      <c r="N104" s="9">
        <f t="shared" si="189"/>
        <v>14460.7</v>
      </c>
      <c r="O104" s="9"/>
      <c r="P104" s="9">
        <f t="shared" si="232"/>
        <v>14460.7</v>
      </c>
      <c r="Q104" s="9"/>
      <c r="R104" s="9">
        <f t="shared" ref="R104:R105" si="234">P104+Q104</f>
        <v>14460.7</v>
      </c>
      <c r="S104" s="9"/>
      <c r="T104" s="9">
        <f t="shared" si="214"/>
        <v>14460.7</v>
      </c>
      <c r="U104" s="9">
        <v>-6813.2830000000004</v>
      </c>
      <c r="V104" s="35">
        <f t="shared" ref="V104:V105" si="235">T104+U104</f>
        <v>7647.4170000000004</v>
      </c>
      <c r="W104" s="9"/>
      <c r="X104" s="9">
        <f t="shared" ref="X104:X105" si="236">V104+W104</f>
        <v>7647.4170000000004</v>
      </c>
      <c r="Y104" s="9"/>
      <c r="Z104" s="9">
        <f t="shared" ref="Z104:Z105" si="237">X104+Y104</f>
        <v>7647.4170000000004</v>
      </c>
      <c r="AA104" s="9"/>
      <c r="AB104" s="9">
        <f t="shared" ref="AB104:AB105" si="238">Z104+AA104</f>
        <v>7647.4170000000004</v>
      </c>
      <c r="AC104" s="9"/>
      <c r="AD104" s="9">
        <f t="shared" ref="AD104:AD105" si="239">AB104+AC104</f>
        <v>7647.4170000000004</v>
      </c>
      <c r="AE104" s="9"/>
      <c r="AF104" s="9">
        <f t="shared" ref="AF104:AF105" si="240">AD104+AE104</f>
        <v>7647.4170000000004</v>
      </c>
      <c r="AG104" s="9"/>
      <c r="AH104" s="9">
        <f t="shared" ref="AH104:AH105" si="241">AF104+AG104</f>
        <v>7647.4170000000004</v>
      </c>
      <c r="AI104" s="17"/>
    </row>
    <row r="105" spans="1:35" ht="31.5" x14ac:dyDescent="0.25">
      <c r="A105" s="48">
        <v>27</v>
      </c>
      <c r="B105" s="6" t="s">
        <v>43</v>
      </c>
      <c r="C105" s="30">
        <f>C107</f>
        <v>51000</v>
      </c>
      <c r="D105" s="30">
        <f t="shared" si="177"/>
        <v>100000</v>
      </c>
      <c r="E105" s="30">
        <f>E107</f>
        <v>151000</v>
      </c>
      <c r="F105" s="30">
        <f>F107</f>
        <v>74959.404999999999</v>
      </c>
      <c r="G105" s="30">
        <f t="shared" si="178"/>
        <v>130283.995</v>
      </c>
      <c r="H105" s="30">
        <f>H107</f>
        <v>205243.4</v>
      </c>
      <c r="I105" s="30">
        <f>I107</f>
        <v>150000</v>
      </c>
      <c r="J105" s="30">
        <f>J107</f>
        <v>0</v>
      </c>
      <c r="K105" s="29">
        <f t="shared" si="187"/>
        <v>100000</v>
      </c>
      <c r="L105" s="29">
        <f t="shared" si="188"/>
        <v>151000</v>
      </c>
      <c r="M105" s="29">
        <f>M107</f>
        <v>0</v>
      </c>
      <c r="N105" s="29">
        <f t="shared" si="189"/>
        <v>151000</v>
      </c>
      <c r="O105" s="29">
        <f>O107</f>
        <v>0</v>
      </c>
      <c r="P105" s="29">
        <f t="shared" si="232"/>
        <v>151000</v>
      </c>
      <c r="Q105" s="29">
        <f>Q107+Q108</f>
        <v>245983.745</v>
      </c>
      <c r="R105" s="29">
        <f t="shared" si="234"/>
        <v>396983.745</v>
      </c>
      <c r="S105" s="29">
        <f>S107+S108</f>
        <v>-4693.6729999999998</v>
      </c>
      <c r="T105" s="9">
        <f t="shared" si="214"/>
        <v>392290.07199999999</v>
      </c>
      <c r="U105" s="9">
        <f>U107+U108</f>
        <v>-6246.9939999999997</v>
      </c>
      <c r="V105" s="35">
        <f t="shared" si="235"/>
        <v>386043.07799999998</v>
      </c>
      <c r="W105" s="9">
        <f>W107+W108</f>
        <v>46213.257000000005</v>
      </c>
      <c r="X105" s="18">
        <f t="shared" si="236"/>
        <v>432256.33499999996</v>
      </c>
      <c r="Y105" s="9">
        <f>Y107+Y108</f>
        <v>0</v>
      </c>
      <c r="Z105" s="9">
        <f t="shared" si="237"/>
        <v>432256.33499999996</v>
      </c>
      <c r="AA105" s="9">
        <f>AA107+AA108</f>
        <v>-16191.630000000001</v>
      </c>
      <c r="AB105" s="9">
        <f t="shared" si="238"/>
        <v>416064.70499999996</v>
      </c>
      <c r="AC105" s="9">
        <f>AC107+AC108</f>
        <v>0</v>
      </c>
      <c r="AD105" s="9">
        <f t="shared" si="239"/>
        <v>416064.70499999996</v>
      </c>
      <c r="AE105" s="9">
        <f>AE107+AE108</f>
        <v>0</v>
      </c>
      <c r="AF105" s="9">
        <f t="shared" si="240"/>
        <v>416064.70499999996</v>
      </c>
      <c r="AG105" s="18">
        <f>AG107+AG108</f>
        <v>-233.93899999999999</v>
      </c>
      <c r="AH105" s="9">
        <f t="shared" si="241"/>
        <v>415830.76599999995</v>
      </c>
      <c r="AI105" s="17" t="s">
        <v>83</v>
      </c>
    </row>
    <row r="106" spans="1:35" x14ac:dyDescent="0.25">
      <c r="A106" s="48"/>
      <c r="B106" s="6" t="s">
        <v>8</v>
      </c>
      <c r="C106" s="30"/>
      <c r="D106" s="30"/>
      <c r="E106" s="30"/>
      <c r="F106" s="30"/>
      <c r="G106" s="30"/>
      <c r="H106" s="30"/>
      <c r="I106" s="30"/>
      <c r="J106" s="30"/>
      <c r="K106" s="29"/>
      <c r="L106" s="29"/>
      <c r="M106" s="29"/>
      <c r="N106" s="29"/>
      <c r="O106" s="29"/>
      <c r="P106" s="29"/>
      <c r="Q106" s="29"/>
      <c r="R106" s="29"/>
      <c r="S106" s="29"/>
      <c r="T106" s="9"/>
      <c r="U106" s="9"/>
      <c r="V106" s="35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18"/>
      <c r="AH106" s="9"/>
      <c r="AI106" s="17" t="s">
        <v>115</v>
      </c>
    </row>
    <row r="107" spans="1:35" x14ac:dyDescent="0.25">
      <c r="A107" s="48"/>
      <c r="B107" s="6" t="s">
        <v>9</v>
      </c>
      <c r="C107" s="30">
        <v>51000</v>
      </c>
      <c r="D107" s="30">
        <f t="shared" si="177"/>
        <v>100000</v>
      </c>
      <c r="E107" s="31">
        <v>151000</v>
      </c>
      <c r="F107" s="30">
        <v>74959.404999999999</v>
      </c>
      <c r="G107" s="30">
        <f t="shared" si="178"/>
        <v>130283.995</v>
      </c>
      <c r="H107" s="31">
        <v>205243.4</v>
      </c>
      <c r="I107" s="31">
        <v>150000</v>
      </c>
      <c r="J107" s="31"/>
      <c r="K107" s="29">
        <f t="shared" si="187"/>
        <v>100000</v>
      </c>
      <c r="L107" s="29">
        <f t="shared" si="188"/>
        <v>151000</v>
      </c>
      <c r="M107" s="29"/>
      <c r="N107" s="29">
        <f t="shared" si="189"/>
        <v>151000</v>
      </c>
      <c r="O107" s="29">
        <f>40538.047-40538.047</f>
        <v>0</v>
      </c>
      <c r="P107" s="29">
        <f t="shared" si="232"/>
        <v>151000</v>
      </c>
      <c r="Q107" s="29">
        <f>39405.554+36935.021+4693.673+29939.558+120.058</f>
        <v>111093.864</v>
      </c>
      <c r="R107" s="29">
        <f t="shared" ref="R107:R109" si="242">P107+Q107</f>
        <v>262093.864</v>
      </c>
      <c r="S107" s="29">
        <v>-4693.6729999999998</v>
      </c>
      <c r="T107" s="9">
        <f t="shared" si="214"/>
        <v>257400.19099999999</v>
      </c>
      <c r="U107" s="9">
        <v>-6246.9939999999997</v>
      </c>
      <c r="V107" s="35">
        <f t="shared" ref="V107:V109" si="243">T107+U107</f>
        <v>251153.19699999999</v>
      </c>
      <c r="W107" s="9">
        <f>423.365+6316.96-5422.313+3.14</f>
        <v>1321.1519999999998</v>
      </c>
      <c r="X107" s="18">
        <f t="shared" ref="X107:X109" si="244">V107+W107</f>
        <v>252474.34899999999</v>
      </c>
      <c r="Y107" s="9"/>
      <c r="Z107" s="9">
        <f t="shared" ref="Z107:Z109" si="245">X107+Y107</f>
        <v>252474.34899999999</v>
      </c>
      <c r="AA107" s="9">
        <f>-1420.496-14771.134</f>
        <v>-16191.630000000001</v>
      </c>
      <c r="AB107" s="9">
        <f t="shared" ref="AB107:AB109" si="246">Z107+AA107</f>
        <v>236282.71899999998</v>
      </c>
      <c r="AC107" s="9"/>
      <c r="AD107" s="9">
        <f t="shared" ref="AD107:AD109" si="247">AB107+AC107</f>
        <v>236282.71899999998</v>
      </c>
      <c r="AE107" s="9"/>
      <c r="AF107" s="9">
        <f t="shared" ref="AF107:AF109" si="248">AD107+AE107</f>
        <v>236282.71899999998</v>
      </c>
      <c r="AG107" s="18">
        <f>-233.939</f>
        <v>-233.93899999999999</v>
      </c>
      <c r="AH107" s="9">
        <f t="shared" ref="AH107:AH109" si="249">AF107+AG107</f>
        <v>236048.77999999997</v>
      </c>
      <c r="AI107" s="17"/>
    </row>
    <row r="108" spans="1:35" x14ac:dyDescent="0.25">
      <c r="A108" s="48"/>
      <c r="B108" s="6" t="s">
        <v>10</v>
      </c>
      <c r="C108" s="30"/>
      <c r="D108" s="30"/>
      <c r="E108" s="31"/>
      <c r="F108" s="30"/>
      <c r="G108" s="30"/>
      <c r="H108" s="31"/>
      <c r="I108" s="31"/>
      <c r="J108" s="31"/>
      <c r="K108" s="29"/>
      <c r="L108" s="29"/>
      <c r="M108" s="29"/>
      <c r="N108" s="29"/>
      <c r="O108" s="29"/>
      <c r="P108" s="29"/>
      <c r="Q108" s="29">
        <v>134889.88099999999</v>
      </c>
      <c r="R108" s="29">
        <f t="shared" si="242"/>
        <v>134889.88099999999</v>
      </c>
      <c r="S108" s="29"/>
      <c r="T108" s="9">
        <f t="shared" si="214"/>
        <v>134889.88099999999</v>
      </c>
      <c r="U108" s="9"/>
      <c r="V108" s="35">
        <f t="shared" si="243"/>
        <v>134889.88099999999</v>
      </c>
      <c r="W108" s="9">
        <f>15495.617+3455.263+1269.02+17657.176+7015.029</f>
        <v>44892.105000000003</v>
      </c>
      <c r="X108" s="9">
        <f t="shared" si="244"/>
        <v>179781.986</v>
      </c>
      <c r="Y108" s="9"/>
      <c r="Z108" s="9">
        <f t="shared" si="245"/>
        <v>179781.986</v>
      </c>
      <c r="AA108" s="9"/>
      <c r="AB108" s="9">
        <f t="shared" si="246"/>
        <v>179781.986</v>
      </c>
      <c r="AC108" s="9"/>
      <c r="AD108" s="9">
        <f t="shared" si="247"/>
        <v>179781.986</v>
      </c>
      <c r="AE108" s="9"/>
      <c r="AF108" s="9">
        <f t="shared" si="248"/>
        <v>179781.986</v>
      </c>
      <c r="AG108" s="18"/>
      <c r="AH108" s="9">
        <f t="shared" si="249"/>
        <v>179781.986</v>
      </c>
      <c r="AI108" s="17"/>
    </row>
    <row r="109" spans="1:35" x14ac:dyDescent="0.25">
      <c r="A109" s="48">
        <v>28</v>
      </c>
      <c r="B109" s="6" t="s">
        <v>47</v>
      </c>
      <c r="C109" s="7">
        <f>C111</f>
        <v>0</v>
      </c>
      <c r="D109" s="7">
        <f t="shared" ref="D109" si="250">E109-C109</f>
        <v>29309.8</v>
      </c>
      <c r="E109" s="8">
        <f>E111</f>
        <v>29309.8</v>
      </c>
      <c r="F109" s="7">
        <f>F111</f>
        <v>0</v>
      </c>
      <c r="G109" s="7">
        <f t="shared" ref="G109" si="251">H109-F109</f>
        <v>29247.5</v>
      </c>
      <c r="H109" s="8">
        <f>H111</f>
        <v>29247.5</v>
      </c>
      <c r="I109" s="8">
        <f>I111</f>
        <v>29448.3</v>
      </c>
      <c r="J109" s="8">
        <f>J111</f>
        <v>0</v>
      </c>
      <c r="K109" s="9">
        <f t="shared" si="187"/>
        <v>29309.8</v>
      </c>
      <c r="L109" s="9">
        <f t="shared" si="188"/>
        <v>29309.8</v>
      </c>
      <c r="M109" s="9">
        <f>M111</f>
        <v>0</v>
      </c>
      <c r="N109" s="9">
        <f t="shared" si="189"/>
        <v>29309.8</v>
      </c>
      <c r="O109" s="9"/>
      <c r="P109" s="9">
        <f t="shared" si="232"/>
        <v>29309.8</v>
      </c>
      <c r="Q109" s="29">
        <f>Q111</f>
        <v>471.3</v>
      </c>
      <c r="R109" s="29">
        <f t="shared" si="242"/>
        <v>29781.1</v>
      </c>
      <c r="S109" s="29">
        <f>S111</f>
        <v>-471.3</v>
      </c>
      <c r="T109" s="9">
        <f t="shared" si="214"/>
        <v>29309.8</v>
      </c>
      <c r="U109" s="9">
        <f>U111</f>
        <v>0</v>
      </c>
      <c r="V109" s="35">
        <f t="shared" si="243"/>
        <v>29309.8</v>
      </c>
      <c r="W109" s="9">
        <f>W111</f>
        <v>0</v>
      </c>
      <c r="X109" s="9">
        <f t="shared" si="244"/>
        <v>29309.8</v>
      </c>
      <c r="Y109" s="9">
        <f>Y111</f>
        <v>0</v>
      </c>
      <c r="Z109" s="9">
        <f t="shared" si="245"/>
        <v>29309.8</v>
      </c>
      <c r="AA109" s="9">
        <f>AA111</f>
        <v>0</v>
      </c>
      <c r="AB109" s="9">
        <f t="shared" si="246"/>
        <v>29309.8</v>
      </c>
      <c r="AC109" s="9">
        <f>AC111</f>
        <v>0</v>
      </c>
      <c r="AD109" s="9">
        <f t="shared" si="247"/>
        <v>29309.8</v>
      </c>
      <c r="AE109" s="18">
        <f>AE111</f>
        <v>868.93700000000001</v>
      </c>
      <c r="AF109" s="9">
        <f t="shared" si="248"/>
        <v>30178.737000000001</v>
      </c>
      <c r="AG109" s="9">
        <f>AG111</f>
        <v>0</v>
      </c>
      <c r="AH109" s="9">
        <f t="shared" si="249"/>
        <v>30178.737000000001</v>
      </c>
      <c r="AI109" s="17" t="s">
        <v>120</v>
      </c>
    </row>
    <row r="110" spans="1:35" x14ac:dyDescent="0.25">
      <c r="A110" s="48"/>
      <c r="B110" s="6" t="s">
        <v>8</v>
      </c>
      <c r="C110" s="7"/>
      <c r="D110" s="7"/>
      <c r="E110" s="8"/>
      <c r="F110" s="7"/>
      <c r="G110" s="7"/>
      <c r="H110" s="8"/>
      <c r="I110" s="8"/>
      <c r="J110" s="8"/>
      <c r="K110" s="9"/>
      <c r="L110" s="9"/>
      <c r="M110" s="9"/>
      <c r="N110" s="9"/>
      <c r="O110" s="9"/>
      <c r="P110" s="9"/>
      <c r="Q110" s="29"/>
      <c r="R110" s="29"/>
      <c r="S110" s="29"/>
      <c r="T110" s="9"/>
      <c r="U110" s="9"/>
      <c r="V110" s="35"/>
      <c r="W110" s="9"/>
      <c r="X110" s="9"/>
      <c r="Y110" s="9"/>
      <c r="Z110" s="9"/>
      <c r="AA110" s="9"/>
      <c r="AB110" s="9"/>
      <c r="AC110" s="9"/>
      <c r="AD110" s="9"/>
      <c r="AE110" s="18"/>
      <c r="AF110" s="9"/>
      <c r="AG110" s="9"/>
      <c r="AH110" s="9"/>
      <c r="AI110" s="17"/>
    </row>
    <row r="111" spans="1:35" x14ac:dyDescent="0.25">
      <c r="A111" s="48"/>
      <c r="B111" s="6" t="s">
        <v>9</v>
      </c>
      <c r="C111" s="7"/>
      <c r="D111" s="7">
        <f t="shared" ref="D111:D112" si="252">E111-C111</f>
        <v>29309.8</v>
      </c>
      <c r="E111" s="8">
        <v>29309.8</v>
      </c>
      <c r="F111" s="7"/>
      <c r="G111" s="7">
        <f t="shared" ref="G111:G112" si="253">H111-F111</f>
        <v>29247.5</v>
      </c>
      <c r="H111" s="8">
        <v>29247.5</v>
      </c>
      <c r="I111" s="8">
        <v>29448.3</v>
      </c>
      <c r="J111" s="8"/>
      <c r="K111" s="9">
        <f t="shared" si="187"/>
        <v>29309.8</v>
      </c>
      <c r="L111" s="9">
        <f t="shared" si="188"/>
        <v>29309.8</v>
      </c>
      <c r="M111" s="9"/>
      <c r="N111" s="9">
        <f t="shared" si="189"/>
        <v>29309.8</v>
      </c>
      <c r="O111" s="9"/>
      <c r="P111" s="9">
        <f t="shared" si="232"/>
        <v>29309.8</v>
      </c>
      <c r="Q111" s="29">
        <v>471.3</v>
      </c>
      <c r="R111" s="29">
        <f t="shared" ref="R111:R112" si="254">P111+Q111</f>
        <v>29781.1</v>
      </c>
      <c r="S111" s="29">
        <v>-471.3</v>
      </c>
      <c r="T111" s="9">
        <f t="shared" si="214"/>
        <v>29309.8</v>
      </c>
      <c r="U111" s="9"/>
      <c r="V111" s="35">
        <f t="shared" ref="V111:V112" si="255">T111+U111</f>
        <v>29309.8</v>
      </c>
      <c r="W111" s="9"/>
      <c r="X111" s="9">
        <f t="shared" ref="X111:X112" si="256">V111+W111</f>
        <v>29309.8</v>
      </c>
      <c r="Y111" s="9"/>
      <c r="Z111" s="9">
        <f t="shared" ref="Z111:Z112" si="257">X111+Y111</f>
        <v>29309.8</v>
      </c>
      <c r="AA111" s="9"/>
      <c r="AB111" s="9">
        <f t="shared" ref="AB111:AB112" si="258">Z111+AA111</f>
        <v>29309.8</v>
      </c>
      <c r="AC111" s="9"/>
      <c r="AD111" s="9">
        <f t="shared" ref="AD111:AD112" si="259">AB111+AC111</f>
        <v>29309.8</v>
      </c>
      <c r="AE111" s="18">
        <v>868.93700000000001</v>
      </c>
      <c r="AF111" s="9">
        <f t="shared" ref="AF111:AF112" si="260">AD111+AE111</f>
        <v>30178.737000000001</v>
      </c>
      <c r="AG111" s="9"/>
      <c r="AH111" s="9">
        <f t="shared" ref="AH111:AH112" si="261">AF111+AG111</f>
        <v>30178.737000000001</v>
      </c>
      <c r="AI111" s="17"/>
    </row>
    <row r="112" spans="1:35" ht="47.25" x14ac:dyDescent="0.25">
      <c r="A112" s="48">
        <v>29</v>
      </c>
      <c r="B112" s="6" t="s">
        <v>48</v>
      </c>
      <c r="C112" s="36">
        <f>C114</f>
        <v>0</v>
      </c>
      <c r="D112" s="36">
        <f t="shared" si="252"/>
        <v>153826</v>
      </c>
      <c r="E112" s="37">
        <f>E114</f>
        <v>153826</v>
      </c>
      <c r="F112" s="36">
        <f>F114</f>
        <v>0</v>
      </c>
      <c r="G112" s="36">
        <f t="shared" si="253"/>
        <v>152002.70000000001</v>
      </c>
      <c r="H112" s="37">
        <f>H114</f>
        <v>152002.70000000001</v>
      </c>
      <c r="I112" s="37">
        <f>I114</f>
        <v>123652</v>
      </c>
      <c r="J112" s="37">
        <f>J114</f>
        <v>13627.800000000001</v>
      </c>
      <c r="K112" s="38">
        <f t="shared" si="187"/>
        <v>167453.79999999999</v>
      </c>
      <c r="L112" s="38">
        <f t="shared" si="188"/>
        <v>167453.79999999999</v>
      </c>
      <c r="M112" s="38">
        <f>M114</f>
        <v>0</v>
      </c>
      <c r="N112" s="38">
        <f t="shared" si="189"/>
        <v>167453.79999999999</v>
      </c>
      <c r="O112" s="38"/>
      <c r="P112" s="38">
        <f t="shared" si="232"/>
        <v>167453.79999999999</v>
      </c>
      <c r="Q112" s="38">
        <f>Q114</f>
        <v>28211.841</v>
      </c>
      <c r="R112" s="38">
        <f t="shared" si="254"/>
        <v>195665.641</v>
      </c>
      <c r="S112" s="38">
        <f>S114</f>
        <v>0</v>
      </c>
      <c r="T112" s="38">
        <f t="shared" si="214"/>
        <v>195665.641</v>
      </c>
      <c r="U112" s="38">
        <f>U114</f>
        <v>0</v>
      </c>
      <c r="V112" s="39">
        <f t="shared" si="255"/>
        <v>195665.641</v>
      </c>
      <c r="W112" s="38">
        <f>W114</f>
        <v>0</v>
      </c>
      <c r="X112" s="38">
        <f t="shared" si="256"/>
        <v>195665.641</v>
      </c>
      <c r="Y112" s="9">
        <f>Y114</f>
        <v>2577.326</v>
      </c>
      <c r="Z112" s="9">
        <f t="shared" si="257"/>
        <v>198242.967</v>
      </c>
      <c r="AA112" s="9">
        <f>AA114</f>
        <v>7500</v>
      </c>
      <c r="AB112" s="9">
        <f t="shared" si="258"/>
        <v>205742.967</v>
      </c>
      <c r="AC112" s="9">
        <f>AC114</f>
        <v>0</v>
      </c>
      <c r="AD112" s="9">
        <f t="shared" si="259"/>
        <v>205742.967</v>
      </c>
      <c r="AE112" s="9">
        <f>AE114</f>
        <v>0</v>
      </c>
      <c r="AF112" s="9">
        <f t="shared" si="260"/>
        <v>205742.967</v>
      </c>
      <c r="AG112" s="9">
        <f>AG114</f>
        <v>0</v>
      </c>
      <c r="AH112" s="9">
        <f t="shared" si="261"/>
        <v>205742.967</v>
      </c>
      <c r="AI112" s="17" t="s">
        <v>101</v>
      </c>
    </row>
    <row r="113" spans="1:35" x14ac:dyDescent="0.25">
      <c r="A113" s="48"/>
      <c r="B113" s="6" t="s">
        <v>8</v>
      </c>
      <c r="C113" s="36"/>
      <c r="D113" s="36"/>
      <c r="E113" s="37"/>
      <c r="F113" s="36"/>
      <c r="G113" s="36"/>
      <c r="H113" s="37"/>
      <c r="I113" s="37"/>
      <c r="J113" s="37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9"/>
      <c r="W113" s="38"/>
      <c r="X113" s="38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17"/>
    </row>
    <row r="114" spans="1:35" x14ac:dyDescent="0.25">
      <c r="A114" s="48"/>
      <c r="B114" s="6" t="s">
        <v>9</v>
      </c>
      <c r="C114" s="36"/>
      <c r="D114" s="36">
        <f t="shared" ref="D114:D115" si="262">E114-C114</f>
        <v>153826</v>
      </c>
      <c r="E114" s="37">
        <v>153826</v>
      </c>
      <c r="F114" s="36"/>
      <c r="G114" s="36">
        <f t="shared" ref="G114:G115" si="263">H114-F114</f>
        <v>152002.70000000001</v>
      </c>
      <c r="H114" s="37">
        <v>152002.70000000001</v>
      </c>
      <c r="I114" s="37">
        <v>123652</v>
      </c>
      <c r="J114" s="37">
        <f>2683.7+120.9+9493.7+1329.5</f>
        <v>13627.800000000001</v>
      </c>
      <c r="K114" s="38">
        <f t="shared" si="187"/>
        <v>167453.79999999999</v>
      </c>
      <c r="L114" s="38">
        <f t="shared" si="188"/>
        <v>167453.79999999999</v>
      </c>
      <c r="M114" s="38"/>
      <c r="N114" s="38">
        <f t="shared" si="189"/>
        <v>167453.79999999999</v>
      </c>
      <c r="O114" s="38"/>
      <c r="P114" s="38">
        <f t="shared" si="232"/>
        <v>167453.79999999999</v>
      </c>
      <c r="Q114" s="38">
        <v>28211.841</v>
      </c>
      <c r="R114" s="38">
        <f t="shared" ref="R114:R115" si="264">P114+Q114</f>
        <v>195665.641</v>
      </c>
      <c r="S114" s="38"/>
      <c r="T114" s="38">
        <f t="shared" si="214"/>
        <v>195665.641</v>
      </c>
      <c r="U114" s="38"/>
      <c r="V114" s="39">
        <f t="shared" ref="V114:V115" si="265">T114+U114</f>
        <v>195665.641</v>
      </c>
      <c r="W114" s="38"/>
      <c r="X114" s="38">
        <f t="shared" ref="X114:X115" si="266">V114+W114</f>
        <v>195665.641</v>
      </c>
      <c r="Y114" s="9">
        <v>2577.326</v>
      </c>
      <c r="Z114" s="9">
        <f t="shared" ref="Z114:Z115" si="267">X114+Y114</f>
        <v>198242.967</v>
      </c>
      <c r="AA114" s="9">
        <v>7500</v>
      </c>
      <c r="AB114" s="9">
        <f t="shared" ref="AB114:AB115" si="268">Z114+AA114</f>
        <v>205742.967</v>
      </c>
      <c r="AC114" s="9"/>
      <c r="AD114" s="9">
        <f t="shared" ref="AD114:AD115" si="269">AB114+AC114</f>
        <v>205742.967</v>
      </c>
      <c r="AE114" s="9"/>
      <c r="AF114" s="9">
        <f t="shared" ref="AF114:AF115" si="270">AD114+AE114</f>
        <v>205742.967</v>
      </c>
      <c r="AG114" s="9"/>
      <c r="AH114" s="9">
        <f t="shared" ref="AH114:AH115" si="271">AF114+AG114</f>
        <v>205742.967</v>
      </c>
      <c r="AI114" s="17"/>
    </row>
    <row r="115" spans="1:35" x14ac:dyDescent="0.25">
      <c r="A115" s="48">
        <v>30</v>
      </c>
      <c r="B115" s="6" t="s">
        <v>49</v>
      </c>
      <c r="C115" s="7">
        <f>C117</f>
        <v>0</v>
      </c>
      <c r="D115" s="7">
        <f t="shared" si="262"/>
        <v>9233.2999999999993</v>
      </c>
      <c r="E115" s="8">
        <f>E117</f>
        <v>9233.2999999999993</v>
      </c>
      <c r="F115" s="7">
        <f>F117</f>
        <v>0</v>
      </c>
      <c r="G115" s="7">
        <f t="shared" si="263"/>
        <v>9221.4</v>
      </c>
      <c r="H115" s="8">
        <f>H117</f>
        <v>9221.4</v>
      </c>
      <c r="I115" s="8">
        <f>I117</f>
        <v>9259.5</v>
      </c>
      <c r="J115" s="8">
        <f>J117</f>
        <v>0</v>
      </c>
      <c r="K115" s="9">
        <f t="shared" si="187"/>
        <v>9233.2999999999993</v>
      </c>
      <c r="L115" s="9">
        <f t="shared" si="188"/>
        <v>9233.2999999999993</v>
      </c>
      <c r="M115" s="9">
        <f>M117</f>
        <v>0</v>
      </c>
      <c r="N115" s="9">
        <f t="shared" si="189"/>
        <v>9233.2999999999993</v>
      </c>
      <c r="O115" s="9"/>
      <c r="P115" s="9">
        <f t="shared" si="232"/>
        <v>9233.2999999999993</v>
      </c>
      <c r="Q115" s="9"/>
      <c r="R115" s="9">
        <f t="shared" si="264"/>
        <v>9233.2999999999993</v>
      </c>
      <c r="S115" s="9"/>
      <c r="T115" s="9">
        <f t="shared" si="214"/>
        <v>9233.2999999999993</v>
      </c>
      <c r="U115" s="9"/>
      <c r="V115" s="35">
        <f t="shared" si="265"/>
        <v>9233.2999999999993</v>
      </c>
      <c r="W115" s="9"/>
      <c r="X115" s="9">
        <f t="shared" si="266"/>
        <v>9233.2999999999993</v>
      </c>
      <c r="Y115" s="9"/>
      <c r="Z115" s="9">
        <f t="shared" si="267"/>
        <v>9233.2999999999993</v>
      </c>
      <c r="AA115" s="9"/>
      <c r="AB115" s="9">
        <f t="shared" si="268"/>
        <v>9233.2999999999993</v>
      </c>
      <c r="AC115" s="9"/>
      <c r="AD115" s="9">
        <f t="shared" si="269"/>
        <v>9233.2999999999993</v>
      </c>
      <c r="AE115" s="9"/>
      <c r="AF115" s="9">
        <f t="shared" si="270"/>
        <v>9233.2999999999993</v>
      </c>
      <c r="AG115" s="9"/>
      <c r="AH115" s="9">
        <f t="shared" si="271"/>
        <v>9233.2999999999993</v>
      </c>
      <c r="AI115" s="17"/>
    </row>
    <row r="116" spans="1:35" x14ac:dyDescent="0.25">
      <c r="A116" s="48"/>
      <c r="B116" s="6" t="s">
        <v>8</v>
      </c>
      <c r="C116" s="7"/>
      <c r="D116" s="7"/>
      <c r="E116" s="8"/>
      <c r="F116" s="7"/>
      <c r="G116" s="7"/>
      <c r="H116" s="8"/>
      <c r="I116" s="8"/>
      <c r="J116" s="8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35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17"/>
    </row>
    <row r="117" spans="1:35" x14ac:dyDescent="0.25">
      <c r="A117" s="48"/>
      <c r="B117" s="6" t="s">
        <v>9</v>
      </c>
      <c r="C117" s="7"/>
      <c r="D117" s="7">
        <f t="shared" ref="D117:D118" si="272">E117-C117</f>
        <v>9233.2999999999993</v>
      </c>
      <c r="E117" s="8">
        <v>9233.2999999999993</v>
      </c>
      <c r="F117" s="7"/>
      <c r="G117" s="7">
        <f t="shared" ref="G117:G118" si="273">H117-F117</f>
        <v>9221.4</v>
      </c>
      <c r="H117" s="8">
        <v>9221.4</v>
      </c>
      <c r="I117" s="8">
        <v>9259.5</v>
      </c>
      <c r="J117" s="8"/>
      <c r="K117" s="9">
        <f t="shared" si="187"/>
        <v>9233.2999999999993</v>
      </c>
      <c r="L117" s="9">
        <f t="shared" si="188"/>
        <v>9233.2999999999993</v>
      </c>
      <c r="M117" s="9"/>
      <c r="N117" s="9">
        <f t="shared" si="189"/>
        <v>9233.2999999999993</v>
      </c>
      <c r="O117" s="9"/>
      <c r="P117" s="9">
        <f t="shared" si="232"/>
        <v>9233.2999999999993</v>
      </c>
      <c r="Q117" s="9"/>
      <c r="R117" s="9">
        <f t="shared" ref="R117:R118" si="274">P117+Q117</f>
        <v>9233.2999999999993</v>
      </c>
      <c r="S117" s="9"/>
      <c r="T117" s="9">
        <f t="shared" si="214"/>
        <v>9233.2999999999993</v>
      </c>
      <c r="U117" s="9"/>
      <c r="V117" s="35">
        <f t="shared" ref="V117:V118" si="275">T117+U117</f>
        <v>9233.2999999999993</v>
      </c>
      <c r="W117" s="9"/>
      <c r="X117" s="9">
        <f t="shared" ref="X117:X118" si="276">V117+W117</f>
        <v>9233.2999999999993</v>
      </c>
      <c r="Y117" s="9"/>
      <c r="Z117" s="9">
        <f t="shared" ref="Z117:Z118" si="277">X117+Y117</f>
        <v>9233.2999999999993</v>
      </c>
      <c r="AA117" s="9"/>
      <c r="AB117" s="9">
        <f t="shared" ref="AB117:AB118" si="278">Z117+AA117</f>
        <v>9233.2999999999993</v>
      </c>
      <c r="AC117" s="9"/>
      <c r="AD117" s="9">
        <f t="shared" ref="AD117:AD118" si="279">AB117+AC117</f>
        <v>9233.2999999999993</v>
      </c>
      <c r="AE117" s="9"/>
      <c r="AF117" s="9">
        <f t="shared" ref="AF117:AF118" si="280">AD117+AE117</f>
        <v>9233.2999999999993</v>
      </c>
      <c r="AG117" s="9"/>
      <c r="AH117" s="9">
        <f t="shared" ref="AH117:AH118" si="281">AF117+AG117</f>
        <v>9233.2999999999993</v>
      </c>
      <c r="AI117" s="17"/>
    </row>
    <row r="118" spans="1:35" x14ac:dyDescent="0.25">
      <c r="A118" s="48">
        <v>31</v>
      </c>
      <c r="B118" s="6" t="s">
        <v>50</v>
      </c>
      <c r="C118" s="30">
        <f>C120</f>
        <v>0</v>
      </c>
      <c r="D118" s="30">
        <f t="shared" si="272"/>
        <v>139474.6</v>
      </c>
      <c r="E118" s="31">
        <f>E120</f>
        <v>139474.6</v>
      </c>
      <c r="F118" s="30">
        <f>F120</f>
        <v>0</v>
      </c>
      <c r="G118" s="30">
        <f t="shared" si="273"/>
        <v>60711.4</v>
      </c>
      <c r="H118" s="31">
        <f>H120</f>
        <v>60711.4</v>
      </c>
      <c r="I118" s="31">
        <f>I120</f>
        <v>60711.4</v>
      </c>
      <c r="J118" s="31">
        <f>J120</f>
        <v>0</v>
      </c>
      <c r="K118" s="29">
        <f t="shared" si="187"/>
        <v>139474.6</v>
      </c>
      <c r="L118" s="29">
        <f t="shared" si="188"/>
        <v>139474.6</v>
      </c>
      <c r="M118" s="29">
        <f>M120</f>
        <v>0</v>
      </c>
      <c r="N118" s="29">
        <f t="shared" si="189"/>
        <v>139474.6</v>
      </c>
      <c r="O118" s="29"/>
      <c r="P118" s="29">
        <f t="shared" si="232"/>
        <v>139474.6</v>
      </c>
      <c r="Q118" s="29">
        <f>Q120</f>
        <v>495.01499999999999</v>
      </c>
      <c r="R118" s="29">
        <f t="shared" si="274"/>
        <v>139969.61500000002</v>
      </c>
      <c r="S118" s="29">
        <f>S120</f>
        <v>9607.1749999999993</v>
      </c>
      <c r="T118" s="9">
        <f t="shared" si="214"/>
        <v>149576.79</v>
      </c>
      <c r="U118" s="9">
        <f>U120</f>
        <v>-6877.8230000000003</v>
      </c>
      <c r="V118" s="35">
        <f t="shared" si="275"/>
        <v>142698.967</v>
      </c>
      <c r="W118" s="9">
        <f>W120</f>
        <v>0</v>
      </c>
      <c r="X118" s="9">
        <f t="shared" si="276"/>
        <v>142698.967</v>
      </c>
      <c r="Y118" s="9">
        <f>Y120</f>
        <v>0</v>
      </c>
      <c r="Z118" s="9">
        <f t="shared" si="277"/>
        <v>142698.967</v>
      </c>
      <c r="AA118" s="9">
        <f>AA120</f>
        <v>-3706.2820000000002</v>
      </c>
      <c r="AB118" s="9">
        <f t="shared" si="278"/>
        <v>138992.685</v>
      </c>
      <c r="AC118" s="9">
        <f>AC120</f>
        <v>-383.49700000000001</v>
      </c>
      <c r="AD118" s="9">
        <f t="shared" si="279"/>
        <v>138609.18799999999</v>
      </c>
      <c r="AE118" s="18">
        <f>AE120</f>
        <v>-595.09799999999996</v>
      </c>
      <c r="AF118" s="9">
        <f t="shared" si="280"/>
        <v>138014.09</v>
      </c>
      <c r="AG118" s="9">
        <f>AG120</f>
        <v>0</v>
      </c>
      <c r="AH118" s="9">
        <f t="shared" si="281"/>
        <v>138014.09</v>
      </c>
      <c r="AI118" s="17" t="s">
        <v>117</v>
      </c>
    </row>
    <row r="119" spans="1:35" x14ac:dyDescent="0.25">
      <c r="A119" s="48"/>
      <c r="B119" s="6" t="s">
        <v>8</v>
      </c>
      <c r="C119" s="30"/>
      <c r="D119" s="30"/>
      <c r="E119" s="31"/>
      <c r="F119" s="30"/>
      <c r="G119" s="30"/>
      <c r="H119" s="31"/>
      <c r="I119" s="31"/>
      <c r="J119" s="31"/>
      <c r="K119" s="29"/>
      <c r="L119" s="29"/>
      <c r="M119" s="29"/>
      <c r="N119" s="29"/>
      <c r="O119" s="29"/>
      <c r="P119" s="29"/>
      <c r="Q119" s="29"/>
      <c r="R119" s="29"/>
      <c r="S119" s="29"/>
      <c r="T119" s="9"/>
      <c r="U119" s="9"/>
      <c r="V119" s="35"/>
      <c r="W119" s="9"/>
      <c r="X119" s="9"/>
      <c r="Y119" s="9"/>
      <c r="Z119" s="9"/>
      <c r="AA119" s="9"/>
      <c r="AB119" s="9"/>
      <c r="AC119" s="9"/>
      <c r="AD119" s="9"/>
      <c r="AE119" s="18"/>
      <c r="AF119" s="9"/>
      <c r="AG119" s="9"/>
      <c r="AH119" s="9"/>
      <c r="AI119" s="17"/>
    </row>
    <row r="120" spans="1:35" x14ac:dyDescent="0.25">
      <c r="A120" s="48"/>
      <c r="B120" s="6" t="s">
        <v>9</v>
      </c>
      <c r="C120" s="30"/>
      <c r="D120" s="30">
        <f t="shared" ref="D120:D121" si="282">E120-C120</f>
        <v>139474.6</v>
      </c>
      <c r="E120" s="31">
        <v>139474.6</v>
      </c>
      <c r="F120" s="30"/>
      <c r="G120" s="30">
        <f t="shared" ref="G120:G121" si="283">H120-F120</f>
        <v>60711.4</v>
      </c>
      <c r="H120" s="31">
        <v>60711.4</v>
      </c>
      <c r="I120" s="31">
        <v>60711.4</v>
      </c>
      <c r="J120" s="31"/>
      <c r="K120" s="29">
        <f t="shared" si="187"/>
        <v>139474.6</v>
      </c>
      <c r="L120" s="29">
        <f t="shared" si="188"/>
        <v>139474.6</v>
      </c>
      <c r="M120" s="29"/>
      <c r="N120" s="29">
        <f t="shared" si="189"/>
        <v>139474.6</v>
      </c>
      <c r="O120" s="29"/>
      <c r="P120" s="29">
        <f t="shared" si="232"/>
        <v>139474.6</v>
      </c>
      <c r="Q120" s="29">
        <v>495.01499999999999</v>
      </c>
      <c r="R120" s="29">
        <f t="shared" ref="R120:R121" si="284">P120+Q120</f>
        <v>139969.61500000002</v>
      </c>
      <c r="S120" s="29">
        <v>9607.1749999999993</v>
      </c>
      <c r="T120" s="9">
        <f t="shared" si="214"/>
        <v>149576.79</v>
      </c>
      <c r="U120" s="9">
        <f>-6877.823</f>
        <v>-6877.8230000000003</v>
      </c>
      <c r="V120" s="35">
        <f t="shared" ref="V120:V121" si="285">T120+U120</f>
        <v>142698.967</v>
      </c>
      <c r="W120" s="9"/>
      <c r="X120" s="9">
        <f t="shared" ref="X120:X121" si="286">V120+W120</f>
        <v>142698.967</v>
      </c>
      <c r="Y120" s="9"/>
      <c r="Z120" s="9">
        <f t="shared" ref="Z120:Z121" si="287">X120+Y120</f>
        <v>142698.967</v>
      </c>
      <c r="AA120" s="9">
        <f>-3427.523-278.759</f>
        <v>-3706.2820000000002</v>
      </c>
      <c r="AB120" s="9">
        <f t="shared" ref="AB120:AB121" si="288">Z120+AA120</f>
        <v>138992.685</v>
      </c>
      <c r="AC120" s="9">
        <v>-383.49700000000001</v>
      </c>
      <c r="AD120" s="9">
        <f t="shared" ref="AD120:AD121" si="289">AB120+AC120</f>
        <v>138609.18799999999</v>
      </c>
      <c r="AE120" s="18">
        <f>-504.266-90.832</f>
        <v>-595.09799999999996</v>
      </c>
      <c r="AF120" s="9">
        <f t="shared" ref="AF120:AF121" si="290">AD120+AE120</f>
        <v>138014.09</v>
      </c>
      <c r="AG120" s="9"/>
      <c r="AH120" s="9">
        <f t="shared" ref="AH120:AH121" si="291">AF120+AG120</f>
        <v>138014.09</v>
      </c>
      <c r="AI120" s="17"/>
    </row>
    <row r="121" spans="1:35" ht="31.5" x14ac:dyDescent="0.25">
      <c r="A121" s="48">
        <v>32</v>
      </c>
      <c r="B121" s="6" t="s">
        <v>51</v>
      </c>
      <c r="C121" s="7">
        <f>C123</f>
        <v>0</v>
      </c>
      <c r="D121" s="7">
        <f t="shared" si="282"/>
        <v>133490.4</v>
      </c>
      <c r="E121" s="8">
        <f>E123</f>
        <v>133490.4</v>
      </c>
      <c r="F121" s="7">
        <f>F123</f>
        <v>0</v>
      </c>
      <c r="G121" s="7">
        <f t="shared" si="283"/>
        <v>133952.4</v>
      </c>
      <c r="H121" s="8">
        <f>H123</f>
        <v>133952.4</v>
      </c>
      <c r="I121" s="8">
        <f>I123</f>
        <v>134409.1</v>
      </c>
      <c r="J121" s="8">
        <f>J123</f>
        <v>10834.5</v>
      </c>
      <c r="K121" s="18">
        <f t="shared" si="187"/>
        <v>144324.9</v>
      </c>
      <c r="L121" s="18">
        <f t="shared" si="188"/>
        <v>144324.9</v>
      </c>
      <c r="M121" s="9">
        <f>M123</f>
        <v>-1000</v>
      </c>
      <c r="N121" s="9">
        <f t="shared" si="189"/>
        <v>143324.9</v>
      </c>
      <c r="O121" s="9"/>
      <c r="P121" s="9">
        <f t="shared" si="232"/>
        <v>143324.9</v>
      </c>
      <c r="Q121" s="9"/>
      <c r="R121" s="9">
        <f t="shared" si="284"/>
        <v>143324.9</v>
      </c>
      <c r="S121" s="9"/>
      <c r="T121" s="9">
        <f t="shared" si="214"/>
        <v>143324.9</v>
      </c>
      <c r="U121" s="9"/>
      <c r="V121" s="35">
        <f t="shared" si="285"/>
        <v>143324.9</v>
      </c>
      <c r="W121" s="9"/>
      <c r="X121" s="9">
        <f t="shared" si="286"/>
        <v>143324.9</v>
      </c>
      <c r="Y121" s="9"/>
      <c r="Z121" s="9">
        <f t="shared" si="287"/>
        <v>143324.9</v>
      </c>
      <c r="AA121" s="9"/>
      <c r="AB121" s="9">
        <f t="shared" si="288"/>
        <v>143324.9</v>
      </c>
      <c r="AC121" s="9"/>
      <c r="AD121" s="9">
        <f t="shared" si="289"/>
        <v>143324.9</v>
      </c>
      <c r="AE121" s="9"/>
      <c r="AF121" s="9">
        <f t="shared" si="290"/>
        <v>143324.9</v>
      </c>
      <c r="AG121" s="18">
        <f>AG123</f>
        <v>0</v>
      </c>
      <c r="AH121" s="9">
        <f t="shared" si="291"/>
        <v>143324.9</v>
      </c>
      <c r="AI121" s="17" t="s">
        <v>78</v>
      </c>
    </row>
    <row r="122" spans="1:35" x14ac:dyDescent="0.25">
      <c r="A122" s="48"/>
      <c r="B122" s="6" t="s">
        <v>8</v>
      </c>
      <c r="C122" s="7"/>
      <c r="D122" s="7"/>
      <c r="E122" s="8"/>
      <c r="F122" s="7"/>
      <c r="G122" s="7"/>
      <c r="H122" s="8"/>
      <c r="I122" s="8"/>
      <c r="J122" s="8"/>
      <c r="K122" s="18"/>
      <c r="L122" s="18"/>
      <c r="M122" s="9"/>
      <c r="N122" s="9"/>
      <c r="O122" s="9"/>
      <c r="P122" s="9"/>
      <c r="Q122" s="9"/>
      <c r="R122" s="9"/>
      <c r="S122" s="9"/>
      <c r="T122" s="9"/>
      <c r="U122" s="9"/>
      <c r="V122" s="35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18"/>
      <c r="AH122" s="9"/>
      <c r="AI122" s="17"/>
    </row>
    <row r="123" spans="1:35" x14ac:dyDescent="0.25">
      <c r="A123" s="48"/>
      <c r="B123" s="6" t="s">
        <v>9</v>
      </c>
      <c r="C123" s="7"/>
      <c r="D123" s="7">
        <f t="shared" ref="D123:D124" si="292">E123-C123</f>
        <v>133490.4</v>
      </c>
      <c r="E123" s="8">
        <v>133490.4</v>
      </c>
      <c r="F123" s="7"/>
      <c r="G123" s="7">
        <f t="shared" ref="G123:G124" si="293">H123-F123</f>
        <v>133952.4</v>
      </c>
      <c r="H123" s="8">
        <v>133952.4</v>
      </c>
      <c r="I123" s="8">
        <v>134409.1</v>
      </c>
      <c r="J123" s="8">
        <f>1849.6+4150.4+2000+631+245.6+1000+957.9</f>
        <v>10834.5</v>
      </c>
      <c r="K123" s="18">
        <f t="shared" si="187"/>
        <v>144324.9</v>
      </c>
      <c r="L123" s="18">
        <f t="shared" si="188"/>
        <v>144324.9</v>
      </c>
      <c r="M123" s="9">
        <v>-1000</v>
      </c>
      <c r="N123" s="9">
        <f t="shared" si="189"/>
        <v>143324.9</v>
      </c>
      <c r="O123" s="9"/>
      <c r="P123" s="9">
        <f t="shared" si="232"/>
        <v>143324.9</v>
      </c>
      <c r="Q123" s="9"/>
      <c r="R123" s="9">
        <f t="shared" ref="R123:R124" si="294">P123+Q123</f>
        <v>143324.9</v>
      </c>
      <c r="S123" s="9"/>
      <c r="T123" s="9">
        <f t="shared" si="214"/>
        <v>143324.9</v>
      </c>
      <c r="U123" s="9"/>
      <c r="V123" s="35">
        <f t="shared" ref="V123:V124" si="295">T123+U123</f>
        <v>143324.9</v>
      </c>
      <c r="W123" s="9"/>
      <c r="X123" s="9">
        <f t="shared" ref="X123:X124" si="296">V123+W123</f>
        <v>143324.9</v>
      </c>
      <c r="Y123" s="9"/>
      <c r="Z123" s="9">
        <f t="shared" ref="Z123:Z124" si="297">X123+Y123</f>
        <v>143324.9</v>
      </c>
      <c r="AA123" s="9"/>
      <c r="AB123" s="9">
        <f t="shared" ref="AB123:AB124" si="298">Z123+AA123</f>
        <v>143324.9</v>
      </c>
      <c r="AC123" s="9"/>
      <c r="AD123" s="9">
        <f t="shared" ref="AD123:AD124" si="299">AB123+AC123</f>
        <v>143324.9</v>
      </c>
      <c r="AE123" s="9"/>
      <c r="AF123" s="9">
        <f t="shared" ref="AF123:AF124" si="300">AD123+AE123</f>
        <v>143324.9</v>
      </c>
      <c r="AG123" s="18"/>
      <c r="AH123" s="9">
        <f t="shared" ref="AH123:AH124" si="301">AF123+AG123</f>
        <v>143324.9</v>
      </c>
      <c r="AI123" s="17"/>
    </row>
    <row r="124" spans="1:35" ht="31.5" x14ac:dyDescent="0.25">
      <c r="A124" s="48">
        <v>33</v>
      </c>
      <c r="B124" s="6" t="s">
        <v>52</v>
      </c>
      <c r="C124" s="7">
        <f>C126</f>
        <v>0</v>
      </c>
      <c r="D124" s="7">
        <f t="shared" si="292"/>
        <v>2611.1</v>
      </c>
      <c r="E124" s="8">
        <f>E126</f>
        <v>2611.1</v>
      </c>
      <c r="F124" s="7">
        <f>F126</f>
        <v>0</v>
      </c>
      <c r="G124" s="7">
        <f t="shared" si="293"/>
        <v>3351.7</v>
      </c>
      <c r="H124" s="8">
        <f>H126</f>
        <v>3351.7</v>
      </c>
      <c r="I124" s="8">
        <f>I126</f>
        <v>3376</v>
      </c>
      <c r="J124" s="8">
        <f>J126</f>
        <v>4.2</v>
      </c>
      <c r="K124" s="9">
        <f t="shared" si="187"/>
        <v>2615.2999999999997</v>
      </c>
      <c r="L124" s="9">
        <f t="shared" si="188"/>
        <v>2615.2999999999997</v>
      </c>
      <c r="M124" s="9">
        <f>M126</f>
        <v>0</v>
      </c>
      <c r="N124" s="9">
        <f t="shared" si="189"/>
        <v>2615.2999999999997</v>
      </c>
      <c r="O124" s="9"/>
      <c r="P124" s="9">
        <f t="shared" si="232"/>
        <v>2615.2999999999997</v>
      </c>
      <c r="Q124" s="29">
        <f>Q126</f>
        <v>1263.2</v>
      </c>
      <c r="R124" s="29">
        <f t="shared" si="294"/>
        <v>3878.5</v>
      </c>
      <c r="S124" s="29">
        <f>S126</f>
        <v>0</v>
      </c>
      <c r="T124" s="9">
        <f t="shared" si="214"/>
        <v>3878.5</v>
      </c>
      <c r="U124" s="9">
        <f>U126</f>
        <v>0</v>
      </c>
      <c r="V124" s="35">
        <f t="shared" si="295"/>
        <v>3878.5</v>
      </c>
      <c r="W124" s="9">
        <f>W126</f>
        <v>0</v>
      </c>
      <c r="X124" s="9">
        <f t="shared" si="296"/>
        <v>3878.5</v>
      </c>
      <c r="Y124" s="9">
        <f>Y126</f>
        <v>0</v>
      </c>
      <c r="Z124" s="9">
        <f t="shared" si="297"/>
        <v>3878.5</v>
      </c>
      <c r="AA124" s="9">
        <f>AA126</f>
        <v>0</v>
      </c>
      <c r="AB124" s="9">
        <f t="shared" si="298"/>
        <v>3878.5</v>
      </c>
      <c r="AC124" s="9">
        <f>AC126</f>
        <v>0</v>
      </c>
      <c r="AD124" s="9">
        <f t="shared" si="299"/>
        <v>3878.5</v>
      </c>
      <c r="AE124" s="9">
        <f>AE126</f>
        <v>0</v>
      </c>
      <c r="AF124" s="9">
        <f t="shared" si="300"/>
        <v>3878.5</v>
      </c>
      <c r="AG124" s="9">
        <f>AG126</f>
        <v>0</v>
      </c>
      <c r="AH124" s="9">
        <f t="shared" si="301"/>
        <v>3878.5</v>
      </c>
      <c r="AI124" s="17" t="s">
        <v>122</v>
      </c>
    </row>
    <row r="125" spans="1:35" x14ac:dyDescent="0.25">
      <c r="A125" s="48"/>
      <c r="B125" s="6" t="s">
        <v>8</v>
      </c>
      <c r="C125" s="7"/>
      <c r="D125" s="7"/>
      <c r="E125" s="8"/>
      <c r="F125" s="7"/>
      <c r="G125" s="7"/>
      <c r="H125" s="8"/>
      <c r="I125" s="8"/>
      <c r="J125" s="8"/>
      <c r="K125" s="9"/>
      <c r="L125" s="9"/>
      <c r="M125" s="9"/>
      <c r="N125" s="9"/>
      <c r="O125" s="9"/>
      <c r="P125" s="9"/>
      <c r="Q125" s="29"/>
      <c r="R125" s="29"/>
      <c r="S125" s="29"/>
      <c r="T125" s="9"/>
      <c r="U125" s="9"/>
      <c r="V125" s="35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17"/>
    </row>
    <row r="126" spans="1:35" x14ac:dyDescent="0.25">
      <c r="A126" s="48"/>
      <c r="B126" s="6" t="s">
        <v>9</v>
      </c>
      <c r="C126" s="7"/>
      <c r="D126" s="7">
        <f t="shared" ref="D126:D127" si="302">E126-C126</f>
        <v>2611.1</v>
      </c>
      <c r="E126" s="8">
        <v>2611.1</v>
      </c>
      <c r="F126" s="7"/>
      <c r="G126" s="7">
        <f t="shared" ref="G126:G127" si="303">H126-F126</f>
        <v>3351.7</v>
      </c>
      <c r="H126" s="8">
        <v>3351.7</v>
      </c>
      <c r="I126" s="8">
        <v>3376</v>
      </c>
      <c r="J126" s="8">
        <f>4.2</f>
        <v>4.2</v>
      </c>
      <c r="K126" s="9">
        <f t="shared" si="187"/>
        <v>2615.2999999999997</v>
      </c>
      <c r="L126" s="9">
        <f t="shared" si="188"/>
        <v>2615.2999999999997</v>
      </c>
      <c r="M126" s="9"/>
      <c r="N126" s="9">
        <f t="shared" si="189"/>
        <v>2615.2999999999997</v>
      </c>
      <c r="O126" s="9"/>
      <c r="P126" s="9">
        <f t="shared" si="232"/>
        <v>2615.2999999999997</v>
      </c>
      <c r="Q126" s="29">
        <v>1263.2</v>
      </c>
      <c r="R126" s="29">
        <f t="shared" ref="R126:R127" si="304">P126+Q126</f>
        <v>3878.5</v>
      </c>
      <c r="S126" s="29"/>
      <c r="T126" s="9">
        <f t="shared" si="214"/>
        <v>3878.5</v>
      </c>
      <c r="U126" s="9"/>
      <c r="V126" s="35">
        <f t="shared" ref="V126:V127" si="305">T126+U126</f>
        <v>3878.5</v>
      </c>
      <c r="W126" s="9"/>
      <c r="X126" s="9">
        <f t="shared" ref="X126:X127" si="306">V126+W126</f>
        <v>3878.5</v>
      </c>
      <c r="Y126" s="9"/>
      <c r="Z126" s="9">
        <f t="shared" ref="Z126:Z127" si="307">X126+Y126</f>
        <v>3878.5</v>
      </c>
      <c r="AA126" s="9"/>
      <c r="AB126" s="9">
        <f t="shared" ref="AB126:AB127" si="308">Z126+AA126</f>
        <v>3878.5</v>
      </c>
      <c r="AC126" s="9"/>
      <c r="AD126" s="9">
        <f t="shared" ref="AD126:AD127" si="309">AB126+AC126</f>
        <v>3878.5</v>
      </c>
      <c r="AE126" s="9"/>
      <c r="AF126" s="9">
        <f t="shared" ref="AF126:AF127" si="310">AD126+AE126</f>
        <v>3878.5</v>
      </c>
      <c r="AG126" s="9"/>
      <c r="AH126" s="9">
        <f t="shared" ref="AH126:AH127" si="311">AF126+AG126</f>
        <v>3878.5</v>
      </c>
      <c r="AI126" s="17"/>
    </row>
    <row r="127" spans="1:35" x14ac:dyDescent="0.25">
      <c r="A127" s="48">
        <v>34</v>
      </c>
      <c r="B127" s="6" t="s">
        <v>53</v>
      </c>
      <c r="C127" s="36">
        <f>C129</f>
        <v>0</v>
      </c>
      <c r="D127" s="36">
        <f t="shared" si="302"/>
        <v>82510.5</v>
      </c>
      <c r="E127" s="37">
        <f>E129</f>
        <v>82510.5</v>
      </c>
      <c r="F127" s="36">
        <f>F129</f>
        <v>0</v>
      </c>
      <c r="G127" s="36">
        <f t="shared" si="303"/>
        <v>73810</v>
      </c>
      <c r="H127" s="37">
        <f>H129</f>
        <v>73810</v>
      </c>
      <c r="I127" s="37">
        <f>I129</f>
        <v>112009.9</v>
      </c>
      <c r="J127" s="37">
        <f>J129</f>
        <v>0</v>
      </c>
      <c r="K127" s="38">
        <f t="shared" si="187"/>
        <v>82510.5</v>
      </c>
      <c r="L127" s="38">
        <f t="shared" si="188"/>
        <v>82510.5</v>
      </c>
      <c r="M127" s="38">
        <f>M129</f>
        <v>0</v>
      </c>
      <c r="N127" s="38">
        <f t="shared" si="189"/>
        <v>82510.5</v>
      </c>
      <c r="O127" s="38">
        <f>O129</f>
        <v>96371.661000000007</v>
      </c>
      <c r="P127" s="38">
        <f t="shared" si="232"/>
        <v>178882.16100000002</v>
      </c>
      <c r="Q127" s="38">
        <f>Q129</f>
        <v>0</v>
      </c>
      <c r="R127" s="38">
        <f t="shared" si="304"/>
        <v>178882.16100000002</v>
      </c>
      <c r="S127" s="38">
        <f>S129</f>
        <v>0</v>
      </c>
      <c r="T127" s="38">
        <f t="shared" si="214"/>
        <v>178882.16100000002</v>
      </c>
      <c r="U127" s="38">
        <f>U129</f>
        <v>0</v>
      </c>
      <c r="V127" s="39">
        <f t="shared" si="305"/>
        <v>178882.16100000002</v>
      </c>
      <c r="W127" s="38">
        <f>W129</f>
        <v>1600</v>
      </c>
      <c r="X127" s="38">
        <f t="shared" si="306"/>
        <v>180482.16100000002</v>
      </c>
      <c r="Y127" s="9">
        <f>Y129</f>
        <v>5596.7029999999995</v>
      </c>
      <c r="Z127" s="9">
        <f t="shared" si="307"/>
        <v>186078.86400000003</v>
      </c>
      <c r="AA127" s="9">
        <f>AA129</f>
        <v>0</v>
      </c>
      <c r="AB127" s="9">
        <f t="shared" si="308"/>
        <v>186078.86400000003</v>
      </c>
      <c r="AC127" s="9">
        <f>AC129</f>
        <v>-870.67599999999993</v>
      </c>
      <c r="AD127" s="9">
        <f t="shared" si="309"/>
        <v>185208.18800000002</v>
      </c>
      <c r="AE127" s="18">
        <f>AE129</f>
        <v>10800</v>
      </c>
      <c r="AF127" s="9">
        <f t="shared" si="310"/>
        <v>196008.18800000002</v>
      </c>
      <c r="AG127" s="9">
        <f>AG129</f>
        <v>0</v>
      </c>
      <c r="AH127" s="9">
        <f t="shared" si="311"/>
        <v>196008.18800000002</v>
      </c>
      <c r="AI127" s="17" t="s">
        <v>84</v>
      </c>
    </row>
    <row r="128" spans="1:35" x14ac:dyDescent="0.25">
      <c r="A128" s="48"/>
      <c r="B128" s="6" t="s">
        <v>8</v>
      </c>
      <c r="C128" s="36"/>
      <c r="D128" s="36"/>
      <c r="E128" s="37"/>
      <c r="F128" s="36"/>
      <c r="G128" s="36"/>
      <c r="H128" s="37"/>
      <c r="I128" s="37"/>
      <c r="J128" s="37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9"/>
      <c r="W128" s="38"/>
      <c r="X128" s="38"/>
      <c r="Y128" s="9"/>
      <c r="Z128" s="9"/>
      <c r="AA128" s="9"/>
      <c r="AB128" s="9"/>
      <c r="AC128" s="9"/>
      <c r="AD128" s="9"/>
      <c r="AE128" s="18"/>
      <c r="AF128" s="9"/>
      <c r="AG128" s="9"/>
      <c r="AH128" s="9"/>
      <c r="AI128" s="17"/>
    </row>
    <row r="129" spans="1:35" x14ac:dyDescent="0.25">
      <c r="A129" s="48"/>
      <c r="B129" s="6" t="s">
        <v>9</v>
      </c>
      <c r="C129" s="36"/>
      <c r="D129" s="36">
        <f t="shared" ref="D129:D130" si="312">E129-C129</f>
        <v>82510.5</v>
      </c>
      <c r="E129" s="37">
        <v>82510.5</v>
      </c>
      <c r="F129" s="36"/>
      <c r="G129" s="36">
        <f t="shared" ref="G129:G130" si="313">H129-F129</f>
        <v>73810</v>
      </c>
      <c r="H129" s="37">
        <v>73810</v>
      </c>
      <c r="I129" s="37">
        <v>112009.9</v>
      </c>
      <c r="J129" s="37"/>
      <c r="K129" s="38">
        <f t="shared" si="187"/>
        <v>82510.5</v>
      </c>
      <c r="L129" s="38">
        <f t="shared" si="188"/>
        <v>82510.5</v>
      </c>
      <c r="M129" s="38"/>
      <c r="N129" s="38">
        <f t="shared" si="189"/>
        <v>82510.5</v>
      </c>
      <c r="O129" s="38">
        <f>30449.292+62950.989+2971.38</f>
        <v>96371.661000000007</v>
      </c>
      <c r="P129" s="38">
        <f t="shared" si="232"/>
        <v>178882.16100000002</v>
      </c>
      <c r="Q129" s="38"/>
      <c r="R129" s="38">
        <f t="shared" ref="R129:R130" si="314">P129+Q129</f>
        <v>178882.16100000002</v>
      </c>
      <c r="S129" s="38"/>
      <c r="T129" s="38">
        <f t="shared" si="214"/>
        <v>178882.16100000002</v>
      </c>
      <c r="U129" s="38"/>
      <c r="V129" s="39">
        <f t="shared" ref="V129:V130" si="315">T129+U129</f>
        <v>178882.16100000002</v>
      </c>
      <c r="W129" s="38">
        <v>1600</v>
      </c>
      <c r="X129" s="38">
        <f t="shared" ref="X129:X130" si="316">V129+W129</f>
        <v>180482.16100000002</v>
      </c>
      <c r="Y129" s="9">
        <f>-1042.72+700+5939.423</f>
        <v>5596.7029999999995</v>
      </c>
      <c r="Z129" s="9">
        <f t="shared" ref="Z129:Z130" si="317">X129+Y129</f>
        <v>186078.86400000003</v>
      </c>
      <c r="AA129" s="9"/>
      <c r="AB129" s="9">
        <f t="shared" ref="AB129:AB130" si="318">Z129+AA129</f>
        <v>186078.86400000003</v>
      </c>
      <c r="AC129" s="9">
        <f>457.634-1328.31</f>
        <v>-870.67599999999993</v>
      </c>
      <c r="AD129" s="9">
        <f t="shared" ref="AD129:AD130" si="319">AB129+AC129</f>
        <v>185208.18800000002</v>
      </c>
      <c r="AE129" s="18">
        <f>26737.7-15937.7</f>
        <v>10800</v>
      </c>
      <c r="AF129" s="9">
        <f t="shared" ref="AF129:AF130" si="320">AD129+AE129</f>
        <v>196008.18800000002</v>
      </c>
      <c r="AG129" s="9"/>
      <c r="AH129" s="9">
        <f t="shared" ref="AH129:AH130" si="321">AF129+AG129</f>
        <v>196008.18800000002</v>
      </c>
      <c r="AI129" s="17"/>
    </row>
    <row r="130" spans="1:35" ht="31.5" x14ac:dyDescent="0.25">
      <c r="A130" s="48">
        <v>35</v>
      </c>
      <c r="B130" s="6" t="s">
        <v>54</v>
      </c>
      <c r="C130" s="7">
        <f>C132</f>
        <v>0</v>
      </c>
      <c r="D130" s="7">
        <f t="shared" si="312"/>
        <v>17081.5</v>
      </c>
      <c r="E130" s="8">
        <f>E132</f>
        <v>17081.5</v>
      </c>
      <c r="F130" s="7">
        <f>F132</f>
        <v>0</v>
      </c>
      <c r="G130" s="7">
        <f t="shared" si="313"/>
        <v>16751.400000000001</v>
      </c>
      <c r="H130" s="8">
        <f>H132</f>
        <v>16751.400000000001</v>
      </c>
      <c r="I130" s="8">
        <f>I132</f>
        <v>16909</v>
      </c>
      <c r="J130" s="8">
        <f>J132</f>
        <v>0</v>
      </c>
      <c r="K130" s="9">
        <f t="shared" si="187"/>
        <v>17081.5</v>
      </c>
      <c r="L130" s="9">
        <f t="shared" si="188"/>
        <v>17081.5</v>
      </c>
      <c r="M130" s="9">
        <f>M132</f>
        <v>0</v>
      </c>
      <c r="N130" s="9">
        <f t="shared" si="189"/>
        <v>17081.5</v>
      </c>
      <c r="O130" s="9"/>
      <c r="P130" s="9">
        <f t="shared" si="232"/>
        <v>17081.5</v>
      </c>
      <c r="Q130" s="29">
        <f>Q132</f>
        <v>3902.8130000000001</v>
      </c>
      <c r="R130" s="29">
        <f t="shared" si="314"/>
        <v>20984.313000000002</v>
      </c>
      <c r="S130" s="29">
        <f>S132</f>
        <v>200</v>
      </c>
      <c r="T130" s="9">
        <f t="shared" si="214"/>
        <v>21184.313000000002</v>
      </c>
      <c r="U130" s="9">
        <f>U132</f>
        <v>-2444.2289999999998</v>
      </c>
      <c r="V130" s="35">
        <f t="shared" si="315"/>
        <v>18740.084000000003</v>
      </c>
      <c r="W130" s="9">
        <f>W132</f>
        <v>0</v>
      </c>
      <c r="X130" s="9">
        <f t="shared" si="316"/>
        <v>18740.084000000003</v>
      </c>
      <c r="Y130" s="9">
        <f>Y132</f>
        <v>0</v>
      </c>
      <c r="Z130" s="9">
        <f t="shared" si="317"/>
        <v>18740.084000000003</v>
      </c>
      <c r="AA130" s="9">
        <f>AA132</f>
        <v>0</v>
      </c>
      <c r="AB130" s="9">
        <f t="shared" si="318"/>
        <v>18740.084000000003</v>
      </c>
      <c r="AC130" s="9">
        <f>AC132</f>
        <v>0</v>
      </c>
      <c r="AD130" s="9">
        <f t="shared" si="319"/>
        <v>18740.084000000003</v>
      </c>
      <c r="AE130" s="9">
        <f>AE132</f>
        <v>0</v>
      </c>
      <c r="AF130" s="9">
        <f t="shared" si="320"/>
        <v>18740.084000000003</v>
      </c>
      <c r="AG130" s="9">
        <f>AG132</f>
        <v>0</v>
      </c>
      <c r="AH130" s="9">
        <f t="shared" si="321"/>
        <v>18740.084000000003</v>
      </c>
      <c r="AI130" s="17" t="s">
        <v>102</v>
      </c>
    </row>
    <row r="131" spans="1:35" x14ac:dyDescent="0.25">
      <c r="A131" s="48"/>
      <c r="B131" s="6" t="s">
        <v>8</v>
      </c>
      <c r="C131" s="7"/>
      <c r="D131" s="7"/>
      <c r="E131" s="8"/>
      <c r="F131" s="7"/>
      <c r="G131" s="7"/>
      <c r="H131" s="8"/>
      <c r="I131" s="8"/>
      <c r="J131" s="8"/>
      <c r="K131" s="9"/>
      <c r="L131" s="9"/>
      <c r="M131" s="9"/>
      <c r="N131" s="9"/>
      <c r="O131" s="9"/>
      <c r="P131" s="9"/>
      <c r="Q131" s="29"/>
      <c r="R131" s="29"/>
      <c r="S131" s="29"/>
      <c r="T131" s="9"/>
      <c r="U131" s="9"/>
      <c r="V131" s="35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17"/>
    </row>
    <row r="132" spans="1:35" x14ac:dyDescent="0.25">
      <c r="A132" s="48"/>
      <c r="B132" s="6" t="s">
        <v>9</v>
      </c>
      <c r="C132" s="7"/>
      <c r="D132" s="7">
        <f t="shared" ref="D132:D133" si="322">E132-C132</f>
        <v>17081.5</v>
      </c>
      <c r="E132" s="8">
        <v>17081.5</v>
      </c>
      <c r="F132" s="7"/>
      <c r="G132" s="7">
        <f t="shared" ref="G132:G133" si="323">H132-F132</f>
        <v>16751.400000000001</v>
      </c>
      <c r="H132" s="8">
        <v>16751.400000000001</v>
      </c>
      <c r="I132" s="8">
        <v>16909</v>
      </c>
      <c r="J132" s="8"/>
      <c r="K132" s="9">
        <f t="shared" si="187"/>
        <v>17081.5</v>
      </c>
      <c r="L132" s="9">
        <f t="shared" si="188"/>
        <v>17081.5</v>
      </c>
      <c r="M132" s="9"/>
      <c r="N132" s="9">
        <f t="shared" si="189"/>
        <v>17081.5</v>
      </c>
      <c r="O132" s="9"/>
      <c r="P132" s="9">
        <f t="shared" si="232"/>
        <v>17081.5</v>
      </c>
      <c r="Q132" s="29">
        <v>3902.8130000000001</v>
      </c>
      <c r="R132" s="29">
        <f t="shared" ref="R132:R133" si="324">P132+Q132</f>
        <v>20984.313000000002</v>
      </c>
      <c r="S132" s="32">
        <v>200</v>
      </c>
      <c r="T132" s="9">
        <f t="shared" si="214"/>
        <v>21184.313000000002</v>
      </c>
      <c r="U132" s="9">
        <v>-2444.2289999999998</v>
      </c>
      <c r="V132" s="35">
        <f t="shared" ref="V132:V136" si="325">T132+U132</f>
        <v>18740.084000000003</v>
      </c>
      <c r="W132" s="9"/>
      <c r="X132" s="9">
        <f t="shared" ref="X132:X133" si="326">V132+W132</f>
        <v>18740.084000000003</v>
      </c>
      <c r="Y132" s="9"/>
      <c r="Z132" s="9">
        <f t="shared" ref="Z132:Z133" si="327">X132+Y132</f>
        <v>18740.084000000003</v>
      </c>
      <c r="AA132" s="9"/>
      <c r="AB132" s="9">
        <f t="shared" ref="AB132:AB133" si="328">Z132+AA132</f>
        <v>18740.084000000003</v>
      </c>
      <c r="AC132" s="9"/>
      <c r="AD132" s="9">
        <f t="shared" ref="AD132:AD133" si="329">AB132+AC132</f>
        <v>18740.084000000003</v>
      </c>
      <c r="AE132" s="9"/>
      <c r="AF132" s="9">
        <f t="shared" ref="AF132:AF133" si="330">AD132+AE132</f>
        <v>18740.084000000003</v>
      </c>
      <c r="AG132" s="9"/>
      <c r="AH132" s="9">
        <f t="shared" ref="AH132:AH133" si="331">AF132+AG132</f>
        <v>18740.084000000003</v>
      </c>
      <c r="AI132" s="17"/>
    </row>
    <row r="133" spans="1:35" ht="31.5" x14ac:dyDescent="0.25">
      <c r="A133" s="48">
        <v>36</v>
      </c>
      <c r="B133" s="6" t="s">
        <v>55</v>
      </c>
      <c r="C133" s="36">
        <f>C135</f>
        <v>0</v>
      </c>
      <c r="D133" s="36">
        <f t="shared" si="322"/>
        <v>96239.4</v>
      </c>
      <c r="E133" s="37">
        <f>E135</f>
        <v>96239.4</v>
      </c>
      <c r="F133" s="36">
        <f>F135</f>
        <v>0</v>
      </c>
      <c r="G133" s="36">
        <f t="shared" si="323"/>
        <v>93463.6</v>
      </c>
      <c r="H133" s="37">
        <f>H135</f>
        <v>93463.6</v>
      </c>
      <c r="I133" s="37">
        <f>I135</f>
        <v>89841.5</v>
      </c>
      <c r="J133" s="37">
        <f>J135</f>
        <v>-1134.5999999999999</v>
      </c>
      <c r="K133" s="38">
        <f t="shared" si="187"/>
        <v>95104.799999999988</v>
      </c>
      <c r="L133" s="38">
        <f t="shared" si="188"/>
        <v>95104.799999999988</v>
      </c>
      <c r="M133" s="38">
        <f>M135</f>
        <v>0</v>
      </c>
      <c r="N133" s="38">
        <f t="shared" si="189"/>
        <v>95104.799999999988</v>
      </c>
      <c r="O133" s="38"/>
      <c r="P133" s="38">
        <f t="shared" si="232"/>
        <v>95104.799999999988</v>
      </c>
      <c r="Q133" s="38">
        <f>Q135</f>
        <v>4822.4259999999995</v>
      </c>
      <c r="R133" s="38">
        <f t="shared" si="324"/>
        <v>99927.225999999995</v>
      </c>
      <c r="S133" s="38">
        <f>S135</f>
        <v>0</v>
      </c>
      <c r="T133" s="38">
        <f t="shared" si="214"/>
        <v>99927.225999999995</v>
      </c>
      <c r="U133" s="38">
        <f>U135</f>
        <v>-619.20799999999997</v>
      </c>
      <c r="V133" s="39">
        <f t="shared" si="325"/>
        <v>99308.017999999996</v>
      </c>
      <c r="W133" s="38">
        <f>W135</f>
        <v>-1462.04</v>
      </c>
      <c r="X133" s="38">
        <f t="shared" si="326"/>
        <v>97845.978000000003</v>
      </c>
      <c r="Y133" s="9">
        <f>Y135</f>
        <v>-2704.2049999999999</v>
      </c>
      <c r="Z133" s="9">
        <f t="shared" si="327"/>
        <v>95141.773000000001</v>
      </c>
      <c r="AA133" s="9">
        <f>AA135</f>
        <v>-4160</v>
      </c>
      <c r="AB133" s="9">
        <f t="shared" si="328"/>
        <v>90981.773000000001</v>
      </c>
      <c r="AC133" s="9">
        <f>AC135</f>
        <v>-2348.9389999999999</v>
      </c>
      <c r="AD133" s="9">
        <f t="shared" si="329"/>
        <v>88632.834000000003</v>
      </c>
      <c r="AE133" s="18">
        <f>AE135</f>
        <v>-1490.5349999999999</v>
      </c>
      <c r="AF133" s="9">
        <f t="shared" si="330"/>
        <v>87142.298999999999</v>
      </c>
      <c r="AG133" s="18">
        <f>AG135</f>
        <v>-4064.9769999999999</v>
      </c>
      <c r="AH133" s="9">
        <f t="shared" si="331"/>
        <v>83077.322</v>
      </c>
      <c r="AI133" s="17" t="s">
        <v>109</v>
      </c>
    </row>
    <row r="134" spans="1:35" x14ac:dyDescent="0.25">
      <c r="A134" s="48"/>
      <c r="B134" s="6" t="s">
        <v>8</v>
      </c>
      <c r="C134" s="36"/>
      <c r="D134" s="36"/>
      <c r="E134" s="37"/>
      <c r="F134" s="36"/>
      <c r="G134" s="36"/>
      <c r="H134" s="37"/>
      <c r="I134" s="37"/>
      <c r="J134" s="37"/>
      <c r="K134" s="38"/>
      <c r="L134" s="38"/>
      <c r="M134" s="38"/>
      <c r="N134" s="38"/>
      <c r="O134" s="38"/>
      <c r="P134" s="38"/>
      <c r="Q134" s="38"/>
      <c r="R134" s="38"/>
      <c r="S134" s="38"/>
      <c r="T134" s="38">
        <f t="shared" si="214"/>
        <v>0</v>
      </c>
      <c r="U134" s="38"/>
      <c r="V134" s="39"/>
      <c r="W134" s="38"/>
      <c r="X134" s="38"/>
      <c r="Y134" s="9"/>
      <c r="Z134" s="9"/>
      <c r="AA134" s="9"/>
      <c r="AB134" s="9"/>
      <c r="AC134" s="9"/>
      <c r="AD134" s="9"/>
      <c r="AE134" s="18"/>
      <c r="AF134" s="9"/>
      <c r="AG134" s="18"/>
      <c r="AH134" s="9"/>
      <c r="AI134" s="17"/>
    </row>
    <row r="135" spans="1:35" x14ac:dyDescent="0.25">
      <c r="A135" s="48"/>
      <c r="B135" s="6" t="s">
        <v>9</v>
      </c>
      <c r="C135" s="36"/>
      <c r="D135" s="36">
        <f t="shared" ref="D135:D136" si="332">E135-C135</f>
        <v>96239.4</v>
      </c>
      <c r="E135" s="37">
        <v>96239.4</v>
      </c>
      <c r="F135" s="36"/>
      <c r="G135" s="36">
        <f t="shared" ref="G135:G136" si="333">H135-F135</f>
        <v>93463.6</v>
      </c>
      <c r="H135" s="37">
        <v>93463.6</v>
      </c>
      <c r="I135" s="37">
        <v>89841.5</v>
      </c>
      <c r="J135" s="37">
        <f>-1134.6</f>
        <v>-1134.5999999999999</v>
      </c>
      <c r="K135" s="38">
        <f t="shared" si="187"/>
        <v>95104.799999999988</v>
      </c>
      <c r="L135" s="38">
        <f t="shared" si="188"/>
        <v>95104.799999999988</v>
      </c>
      <c r="M135" s="38"/>
      <c r="N135" s="38">
        <f t="shared" si="189"/>
        <v>95104.799999999988</v>
      </c>
      <c r="O135" s="38"/>
      <c r="P135" s="38">
        <f t="shared" si="232"/>
        <v>95104.799999999988</v>
      </c>
      <c r="Q135" s="38">
        <f>495.319+66.96+4260.147</f>
        <v>4822.4259999999995</v>
      </c>
      <c r="R135" s="38">
        <f t="shared" ref="R135:R136" si="334">P135+Q135</f>
        <v>99927.225999999995</v>
      </c>
      <c r="S135" s="38"/>
      <c r="T135" s="38">
        <f t="shared" si="214"/>
        <v>99927.225999999995</v>
      </c>
      <c r="U135" s="38">
        <f>-619.208</f>
        <v>-619.20799999999997</v>
      </c>
      <c r="V135" s="39">
        <f t="shared" si="325"/>
        <v>99308.017999999996</v>
      </c>
      <c r="W135" s="38">
        <f>-185.828-1276.212</f>
        <v>-1462.04</v>
      </c>
      <c r="X135" s="38">
        <f t="shared" ref="X135:X136" si="335">V135+W135</f>
        <v>97845.978000000003</v>
      </c>
      <c r="Y135" s="9">
        <v>-2704.2049999999999</v>
      </c>
      <c r="Z135" s="9">
        <f t="shared" ref="Z135:Z136" si="336">X135+Y135</f>
        <v>95141.773000000001</v>
      </c>
      <c r="AA135" s="9">
        <f>-4094.59-65.41</f>
        <v>-4160</v>
      </c>
      <c r="AB135" s="9">
        <f t="shared" ref="AB135:AB136" si="337">Z135+AA135</f>
        <v>90981.773000000001</v>
      </c>
      <c r="AC135" s="9">
        <v>-2348.9389999999999</v>
      </c>
      <c r="AD135" s="9">
        <f t="shared" ref="AD135:AD136" si="338">AB135+AC135</f>
        <v>88632.834000000003</v>
      </c>
      <c r="AE135" s="18">
        <f>-491.291-40-418.594-540.65</f>
        <v>-1490.5349999999999</v>
      </c>
      <c r="AF135" s="9">
        <f t="shared" ref="AF135:AF136" si="339">AD135+AE135</f>
        <v>87142.298999999999</v>
      </c>
      <c r="AG135" s="18">
        <f>-270-3132.938-662.039</f>
        <v>-4064.9769999999999</v>
      </c>
      <c r="AH135" s="9">
        <f t="shared" ref="AH135:AH136" si="340">AF135+AG135</f>
        <v>83077.322</v>
      </c>
      <c r="AI135" s="17"/>
    </row>
    <row r="136" spans="1:35" ht="31.5" x14ac:dyDescent="0.25">
      <c r="A136" s="48">
        <v>37</v>
      </c>
      <c r="B136" s="6" t="s">
        <v>56</v>
      </c>
      <c r="C136" s="7">
        <f>C138</f>
        <v>0</v>
      </c>
      <c r="D136" s="7">
        <f t="shared" si="332"/>
        <v>7864.2</v>
      </c>
      <c r="E136" s="8">
        <f>E138</f>
        <v>7864.2</v>
      </c>
      <c r="F136" s="7">
        <f>F138</f>
        <v>0</v>
      </c>
      <c r="G136" s="7">
        <f t="shared" si="333"/>
        <v>8684.2000000000007</v>
      </c>
      <c r="H136" s="8">
        <f>H138</f>
        <v>8684.2000000000007</v>
      </c>
      <c r="I136" s="8">
        <f>I138</f>
        <v>8810.6</v>
      </c>
      <c r="J136" s="8">
        <f>J138</f>
        <v>0</v>
      </c>
      <c r="K136" s="18">
        <f t="shared" si="187"/>
        <v>7864.2</v>
      </c>
      <c r="L136" s="18">
        <f t="shared" si="188"/>
        <v>7864.2</v>
      </c>
      <c r="M136" s="9">
        <f>M138</f>
        <v>396</v>
      </c>
      <c r="N136" s="9">
        <f t="shared" si="189"/>
        <v>8260.2000000000007</v>
      </c>
      <c r="O136" s="9"/>
      <c r="P136" s="9">
        <f t="shared" si="232"/>
        <v>8260.2000000000007</v>
      </c>
      <c r="Q136" s="9"/>
      <c r="R136" s="9">
        <f t="shared" si="334"/>
        <v>8260.2000000000007</v>
      </c>
      <c r="S136" s="9"/>
      <c r="T136" s="9">
        <f t="shared" si="214"/>
        <v>8260.2000000000007</v>
      </c>
      <c r="U136" s="9">
        <f>U138</f>
        <v>-209.38</v>
      </c>
      <c r="V136" s="35">
        <f t="shared" si="325"/>
        <v>8050.8200000000006</v>
      </c>
      <c r="W136" s="9">
        <f>W138</f>
        <v>0</v>
      </c>
      <c r="X136" s="9">
        <f t="shared" si="335"/>
        <v>8050.8200000000006</v>
      </c>
      <c r="Y136" s="9">
        <f>Y138</f>
        <v>0</v>
      </c>
      <c r="Z136" s="9">
        <f t="shared" si="336"/>
        <v>8050.8200000000006</v>
      </c>
      <c r="AA136" s="9">
        <f>AA138</f>
        <v>0</v>
      </c>
      <c r="AB136" s="9">
        <f t="shared" si="337"/>
        <v>8050.8200000000006</v>
      </c>
      <c r="AC136" s="9">
        <f>AC138</f>
        <v>0</v>
      </c>
      <c r="AD136" s="9">
        <f t="shared" si="338"/>
        <v>8050.8200000000006</v>
      </c>
      <c r="AE136" s="9">
        <f>AE138</f>
        <v>0</v>
      </c>
      <c r="AF136" s="9">
        <f t="shared" si="339"/>
        <v>8050.8200000000006</v>
      </c>
      <c r="AG136" s="9">
        <f>AG138</f>
        <v>0</v>
      </c>
      <c r="AH136" s="9">
        <f t="shared" si="340"/>
        <v>8050.8200000000006</v>
      </c>
      <c r="AI136" s="17" t="s">
        <v>79</v>
      </c>
    </row>
    <row r="137" spans="1:35" x14ac:dyDescent="0.25">
      <c r="A137" s="48"/>
      <c r="B137" s="6" t="s">
        <v>8</v>
      </c>
      <c r="C137" s="7"/>
      <c r="D137" s="7"/>
      <c r="E137" s="8"/>
      <c r="F137" s="7"/>
      <c r="G137" s="7"/>
      <c r="H137" s="8"/>
      <c r="I137" s="8"/>
      <c r="J137" s="8"/>
      <c r="K137" s="18"/>
      <c r="L137" s="18"/>
      <c r="M137" s="9"/>
      <c r="N137" s="9"/>
      <c r="O137" s="9"/>
      <c r="P137" s="9"/>
      <c r="Q137" s="9"/>
      <c r="R137" s="9"/>
      <c r="S137" s="9"/>
      <c r="T137" s="9"/>
      <c r="U137" s="9"/>
      <c r="V137" s="35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17"/>
    </row>
    <row r="138" spans="1:35" x14ac:dyDescent="0.25">
      <c r="A138" s="48"/>
      <c r="B138" s="6" t="s">
        <v>9</v>
      </c>
      <c r="C138" s="7"/>
      <c r="D138" s="7">
        <f t="shared" ref="D138:D139" si="341">E138-C138</f>
        <v>7864.2</v>
      </c>
      <c r="E138" s="8">
        <v>7864.2</v>
      </c>
      <c r="F138" s="7"/>
      <c r="G138" s="7">
        <f t="shared" ref="G138:G139" si="342">H138-F138</f>
        <v>8684.2000000000007</v>
      </c>
      <c r="H138" s="8">
        <v>8684.2000000000007</v>
      </c>
      <c r="I138" s="8">
        <v>8810.6</v>
      </c>
      <c r="J138" s="8"/>
      <c r="K138" s="18">
        <f t="shared" si="187"/>
        <v>7864.2</v>
      </c>
      <c r="L138" s="18">
        <f t="shared" si="188"/>
        <v>7864.2</v>
      </c>
      <c r="M138" s="9">
        <v>396</v>
      </c>
      <c r="N138" s="9">
        <f t="shared" si="189"/>
        <v>8260.2000000000007</v>
      </c>
      <c r="O138" s="9"/>
      <c r="P138" s="9">
        <f t="shared" si="232"/>
        <v>8260.2000000000007</v>
      </c>
      <c r="Q138" s="9"/>
      <c r="R138" s="9">
        <f t="shared" ref="R138:R139" si="343">P138+Q138</f>
        <v>8260.2000000000007</v>
      </c>
      <c r="S138" s="9"/>
      <c r="T138" s="9">
        <f t="shared" si="214"/>
        <v>8260.2000000000007</v>
      </c>
      <c r="U138" s="9">
        <v>-209.38</v>
      </c>
      <c r="V138" s="35">
        <f t="shared" ref="V138:V139" si="344">T138+U138</f>
        <v>8050.8200000000006</v>
      </c>
      <c r="W138" s="9"/>
      <c r="X138" s="9">
        <f t="shared" ref="X138:X139" si="345">V138+W138</f>
        <v>8050.8200000000006</v>
      </c>
      <c r="Y138" s="9"/>
      <c r="Z138" s="9">
        <f t="shared" ref="Z138:Z139" si="346">X138+Y138</f>
        <v>8050.8200000000006</v>
      </c>
      <c r="AA138" s="9"/>
      <c r="AB138" s="9">
        <f t="shared" ref="AB138:AB139" si="347">Z138+AA138</f>
        <v>8050.8200000000006</v>
      </c>
      <c r="AC138" s="9"/>
      <c r="AD138" s="9">
        <f t="shared" ref="AD138:AD139" si="348">AB138+AC138</f>
        <v>8050.8200000000006</v>
      </c>
      <c r="AE138" s="9"/>
      <c r="AF138" s="9">
        <f t="shared" ref="AF138:AF139" si="349">AD138+AE138</f>
        <v>8050.8200000000006</v>
      </c>
      <c r="AG138" s="9"/>
      <c r="AH138" s="9">
        <f t="shared" ref="AH138:AH139" si="350">AF138+AG138</f>
        <v>8050.8200000000006</v>
      </c>
      <c r="AI138" s="17"/>
    </row>
    <row r="139" spans="1:35" ht="31.5" x14ac:dyDescent="0.25">
      <c r="A139" s="48">
        <v>38</v>
      </c>
      <c r="B139" s="6" t="s">
        <v>57</v>
      </c>
      <c r="C139" s="7">
        <f>C141</f>
        <v>0</v>
      </c>
      <c r="D139" s="7">
        <f t="shared" si="341"/>
        <v>35180.5</v>
      </c>
      <c r="E139" s="8">
        <f>E141</f>
        <v>35180.5</v>
      </c>
      <c r="F139" s="7">
        <f>F141</f>
        <v>0</v>
      </c>
      <c r="G139" s="7">
        <f t="shared" si="342"/>
        <v>33393.1</v>
      </c>
      <c r="H139" s="8">
        <f>H141</f>
        <v>33393.1</v>
      </c>
      <c r="I139" s="8">
        <f>I141</f>
        <v>32134.400000000001</v>
      </c>
      <c r="J139" s="8">
        <f>J141</f>
        <v>0</v>
      </c>
      <c r="K139" s="18">
        <f t="shared" si="187"/>
        <v>35180.5</v>
      </c>
      <c r="L139" s="18">
        <f t="shared" si="188"/>
        <v>35180.5</v>
      </c>
      <c r="M139" s="9">
        <f>M141</f>
        <v>-396</v>
      </c>
      <c r="N139" s="9">
        <f t="shared" si="189"/>
        <v>34784.5</v>
      </c>
      <c r="O139" s="9"/>
      <c r="P139" s="9">
        <f t="shared" si="232"/>
        <v>34784.5</v>
      </c>
      <c r="Q139" s="29">
        <f>Q141</f>
        <v>2670.5519999999997</v>
      </c>
      <c r="R139" s="29">
        <f t="shared" si="343"/>
        <v>37455.051999999996</v>
      </c>
      <c r="S139" s="29">
        <f>S141</f>
        <v>1799.9179999999999</v>
      </c>
      <c r="T139" s="9">
        <f t="shared" si="214"/>
        <v>39254.969999999994</v>
      </c>
      <c r="U139" s="9">
        <f>U141</f>
        <v>-1949.1959999999999</v>
      </c>
      <c r="V139" s="35">
        <f t="shared" si="344"/>
        <v>37305.77399999999</v>
      </c>
      <c r="W139" s="9">
        <f>W141</f>
        <v>0</v>
      </c>
      <c r="X139" s="9">
        <f t="shared" si="345"/>
        <v>37305.77399999999</v>
      </c>
      <c r="Y139" s="9">
        <f>Y141</f>
        <v>0</v>
      </c>
      <c r="Z139" s="9">
        <f t="shared" si="346"/>
        <v>37305.77399999999</v>
      </c>
      <c r="AA139" s="9">
        <f>AA141</f>
        <v>0</v>
      </c>
      <c r="AB139" s="9">
        <f t="shared" si="347"/>
        <v>37305.77399999999</v>
      </c>
      <c r="AC139" s="9">
        <f>AC141</f>
        <v>0</v>
      </c>
      <c r="AD139" s="9">
        <f t="shared" si="348"/>
        <v>37305.77399999999</v>
      </c>
      <c r="AE139" s="18">
        <f>AE141</f>
        <v>794.67499999999995</v>
      </c>
      <c r="AF139" s="9">
        <f t="shared" si="349"/>
        <v>38100.448999999993</v>
      </c>
      <c r="AG139" s="9">
        <f>AG141</f>
        <v>0</v>
      </c>
      <c r="AH139" s="9">
        <f t="shared" si="350"/>
        <v>38100.448999999993</v>
      </c>
      <c r="AI139" s="17" t="s">
        <v>80</v>
      </c>
    </row>
    <row r="140" spans="1:35" x14ac:dyDescent="0.25">
      <c r="A140" s="48"/>
      <c r="B140" s="6" t="s">
        <v>8</v>
      </c>
      <c r="C140" s="7"/>
      <c r="D140" s="7"/>
      <c r="E140" s="8"/>
      <c r="F140" s="7"/>
      <c r="G140" s="7"/>
      <c r="H140" s="8"/>
      <c r="I140" s="8"/>
      <c r="J140" s="8"/>
      <c r="K140" s="18"/>
      <c r="L140" s="18"/>
      <c r="M140" s="9"/>
      <c r="N140" s="9"/>
      <c r="O140" s="9"/>
      <c r="P140" s="9"/>
      <c r="Q140" s="29"/>
      <c r="R140" s="29"/>
      <c r="S140" s="29"/>
      <c r="T140" s="9"/>
      <c r="U140" s="9"/>
      <c r="V140" s="35"/>
      <c r="W140" s="9"/>
      <c r="X140" s="9"/>
      <c r="Y140" s="9"/>
      <c r="Z140" s="9"/>
      <c r="AA140" s="9"/>
      <c r="AB140" s="9"/>
      <c r="AC140" s="9"/>
      <c r="AD140" s="9"/>
      <c r="AE140" s="18"/>
      <c r="AF140" s="9"/>
      <c r="AG140" s="9"/>
      <c r="AH140" s="9"/>
      <c r="AI140" s="17"/>
    </row>
    <row r="141" spans="1:35" x14ac:dyDescent="0.25">
      <c r="A141" s="48"/>
      <c r="B141" s="6" t="s">
        <v>9</v>
      </c>
      <c r="C141" s="7"/>
      <c r="D141" s="7">
        <f t="shared" ref="D141:D142" si="351">E141-C141</f>
        <v>35180.5</v>
      </c>
      <c r="E141" s="8">
        <v>35180.5</v>
      </c>
      <c r="F141" s="7"/>
      <c r="G141" s="7">
        <f t="shared" ref="G141:G142" si="352">H141-F141</f>
        <v>33393.1</v>
      </c>
      <c r="H141" s="8">
        <v>33393.1</v>
      </c>
      <c r="I141" s="8">
        <v>32134.400000000001</v>
      </c>
      <c r="J141" s="8"/>
      <c r="K141" s="18">
        <f t="shared" si="187"/>
        <v>35180.5</v>
      </c>
      <c r="L141" s="18">
        <f t="shared" si="188"/>
        <v>35180.5</v>
      </c>
      <c r="M141" s="9">
        <v>-396</v>
      </c>
      <c r="N141" s="9">
        <f t="shared" si="189"/>
        <v>34784.5</v>
      </c>
      <c r="O141" s="9"/>
      <c r="P141" s="9">
        <f t="shared" si="232"/>
        <v>34784.5</v>
      </c>
      <c r="Q141" s="29">
        <f>1442.682+1227.87</f>
        <v>2670.5519999999997</v>
      </c>
      <c r="R141" s="29">
        <f t="shared" ref="R141:R142" si="353">P141+Q141</f>
        <v>37455.051999999996</v>
      </c>
      <c r="S141" s="29">
        <v>1799.9179999999999</v>
      </c>
      <c r="T141" s="9">
        <f t="shared" si="214"/>
        <v>39254.969999999994</v>
      </c>
      <c r="U141" s="9">
        <v>-1949.1959999999999</v>
      </c>
      <c r="V141" s="35">
        <f t="shared" ref="V141:V142" si="354">T141+U141</f>
        <v>37305.77399999999</v>
      </c>
      <c r="W141" s="9"/>
      <c r="X141" s="9">
        <f t="shared" ref="X141:X142" si="355">V141+W141</f>
        <v>37305.77399999999</v>
      </c>
      <c r="Y141" s="9"/>
      <c r="Z141" s="9">
        <f t="shared" ref="Z141:Z142" si="356">X141+Y141</f>
        <v>37305.77399999999</v>
      </c>
      <c r="AA141" s="9"/>
      <c r="AB141" s="9">
        <f t="shared" ref="AB141:AB142" si="357">Z141+AA141</f>
        <v>37305.77399999999</v>
      </c>
      <c r="AC141" s="9"/>
      <c r="AD141" s="9">
        <f t="shared" ref="AD141:AD142" si="358">AB141+AC141</f>
        <v>37305.77399999999</v>
      </c>
      <c r="AE141" s="18">
        <v>794.67499999999995</v>
      </c>
      <c r="AF141" s="9">
        <f t="shared" ref="AF141:AF142" si="359">AD141+AE141</f>
        <v>38100.448999999993</v>
      </c>
      <c r="AG141" s="9"/>
      <c r="AH141" s="9">
        <f t="shared" ref="AH141:AH142" si="360">AF141+AG141</f>
        <v>38100.448999999993</v>
      </c>
      <c r="AI141" s="17"/>
    </row>
    <row r="142" spans="1:35" ht="31.5" x14ac:dyDescent="0.25">
      <c r="A142" s="48">
        <v>39</v>
      </c>
      <c r="B142" s="6" t="s">
        <v>58</v>
      </c>
      <c r="C142" s="7">
        <f>C144</f>
        <v>0</v>
      </c>
      <c r="D142" s="7">
        <f t="shared" si="351"/>
        <v>49550</v>
      </c>
      <c r="E142" s="8">
        <f>E144</f>
        <v>49550</v>
      </c>
      <c r="F142" s="7">
        <f>F144</f>
        <v>0</v>
      </c>
      <c r="G142" s="7">
        <f t="shared" si="352"/>
        <v>49550</v>
      </c>
      <c r="H142" s="8">
        <f>H144</f>
        <v>49550</v>
      </c>
      <c r="I142" s="8">
        <f>I144</f>
        <v>49550</v>
      </c>
      <c r="J142" s="8">
        <f>J144</f>
        <v>0</v>
      </c>
      <c r="K142" s="9">
        <f t="shared" si="187"/>
        <v>49550</v>
      </c>
      <c r="L142" s="9">
        <f t="shared" si="188"/>
        <v>49550</v>
      </c>
      <c r="M142" s="9">
        <f>M144</f>
        <v>0</v>
      </c>
      <c r="N142" s="9">
        <f t="shared" si="189"/>
        <v>49550</v>
      </c>
      <c r="O142" s="9"/>
      <c r="P142" s="9">
        <f t="shared" si="232"/>
        <v>49550</v>
      </c>
      <c r="Q142" s="9"/>
      <c r="R142" s="9">
        <f t="shared" si="353"/>
        <v>49550</v>
      </c>
      <c r="S142" s="9"/>
      <c r="T142" s="9">
        <f t="shared" si="214"/>
        <v>49550</v>
      </c>
      <c r="U142" s="9"/>
      <c r="V142" s="35">
        <f t="shared" si="354"/>
        <v>49550</v>
      </c>
      <c r="W142" s="9"/>
      <c r="X142" s="9">
        <f t="shared" si="355"/>
        <v>49550</v>
      </c>
      <c r="Y142" s="9"/>
      <c r="Z142" s="9">
        <f t="shared" si="356"/>
        <v>49550</v>
      </c>
      <c r="AA142" s="9"/>
      <c r="AB142" s="9">
        <f t="shared" si="357"/>
        <v>49550</v>
      </c>
      <c r="AC142" s="9"/>
      <c r="AD142" s="9">
        <f t="shared" si="358"/>
        <v>49550</v>
      </c>
      <c r="AE142" s="9"/>
      <c r="AF142" s="9">
        <f t="shared" si="359"/>
        <v>49550</v>
      </c>
      <c r="AG142" s="9"/>
      <c r="AH142" s="9">
        <f t="shared" si="360"/>
        <v>49550</v>
      </c>
      <c r="AI142" s="17"/>
    </row>
    <row r="143" spans="1:35" x14ac:dyDescent="0.25">
      <c r="A143" s="48"/>
      <c r="B143" s="6" t="s">
        <v>8</v>
      </c>
      <c r="C143" s="7"/>
      <c r="D143" s="7"/>
      <c r="E143" s="8"/>
      <c r="F143" s="7"/>
      <c r="G143" s="7"/>
      <c r="H143" s="8"/>
      <c r="I143" s="8"/>
      <c r="J143" s="8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35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17"/>
    </row>
    <row r="144" spans="1:35" x14ac:dyDescent="0.25">
      <c r="A144" s="48"/>
      <c r="B144" s="6" t="s">
        <v>9</v>
      </c>
      <c r="C144" s="7"/>
      <c r="D144" s="7">
        <f t="shared" ref="D144:D145" si="361">E144-C144</f>
        <v>49550</v>
      </c>
      <c r="E144" s="8">
        <v>49550</v>
      </c>
      <c r="F144" s="7"/>
      <c r="G144" s="7">
        <f t="shared" ref="G144:G145" si="362">H144-F144</f>
        <v>49550</v>
      </c>
      <c r="H144" s="8">
        <v>49550</v>
      </c>
      <c r="I144" s="8">
        <v>49550</v>
      </c>
      <c r="J144" s="8"/>
      <c r="K144" s="9">
        <f t="shared" si="187"/>
        <v>49550</v>
      </c>
      <c r="L144" s="9">
        <f t="shared" si="188"/>
        <v>49550</v>
      </c>
      <c r="M144" s="9"/>
      <c r="N144" s="9">
        <f t="shared" si="189"/>
        <v>49550</v>
      </c>
      <c r="O144" s="9"/>
      <c r="P144" s="9">
        <f t="shared" si="232"/>
        <v>49550</v>
      </c>
      <c r="Q144" s="9"/>
      <c r="R144" s="9">
        <f t="shared" ref="R144:R145" si="363">P144+Q144</f>
        <v>49550</v>
      </c>
      <c r="S144" s="9"/>
      <c r="T144" s="9">
        <f t="shared" si="214"/>
        <v>49550</v>
      </c>
      <c r="U144" s="9"/>
      <c r="V144" s="35">
        <f t="shared" ref="V144:V145" si="364">T144+U144</f>
        <v>49550</v>
      </c>
      <c r="W144" s="9"/>
      <c r="X144" s="9">
        <f t="shared" ref="X144:X145" si="365">V144+W144</f>
        <v>49550</v>
      </c>
      <c r="Y144" s="9"/>
      <c r="Z144" s="9">
        <f t="shared" ref="Z144:Z145" si="366">X144+Y144</f>
        <v>49550</v>
      </c>
      <c r="AA144" s="9"/>
      <c r="AB144" s="9">
        <f t="shared" ref="AB144:AB145" si="367">Z144+AA144</f>
        <v>49550</v>
      </c>
      <c r="AC144" s="9"/>
      <c r="AD144" s="9">
        <f t="shared" ref="AD144:AD145" si="368">AB144+AC144</f>
        <v>49550</v>
      </c>
      <c r="AE144" s="9"/>
      <c r="AF144" s="9">
        <f t="shared" ref="AF144:AF145" si="369">AD144+AE144</f>
        <v>49550</v>
      </c>
      <c r="AG144" s="9"/>
      <c r="AH144" s="9">
        <f t="shared" ref="AH144:AH145" si="370">AF144+AG144</f>
        <v>49550</v>
      </c>
      <c r="AI144" s="17"/>
    </row>
    <row r="145" spans="1:36" ht="31.5" x14ac:dyDescent="0.25">
      <c r="A145" s="48">
        <v>40</v>
      </c>
      <c r="B145" s="6" t="s">
        <v>65</v>
      </c>
      <c r="C145" s="36">
        <f>C147</f>
        <v>0</v>
      </c>
      <c r="D145" s="36">
        <f t="shared" si="361"/>
        <v>21491.4</v>
      </c>
      <c r="E145" s="37">
        <f>E147</f>
        <v>21491.4</v>
      </c>
      <c r="F145" s="36">
        <f>F147</f>
        <v>0</v>
      </c>
      <c r="G145" s="36">
        <f t="shared" si="362"/>
        <v>21043.1</v>
      </c>
      <c r="H145" s="37">
        <f>H147</f>
        <v>21043.1</v>
      </c>
      <c r="I145" s="37">
        <f>I147</f>
        <v>20011.900000000001</v>
      </c>
      <c r="J145" s="37">
        <f>J147</f>
        <v>-267.89999999999998</v>
      </c>
      <c r="K145" s="38">
        <f t="shared" si="187"/>
        <v>21223.5</v>
      </c>
      <c r="L145" s="38">
        <f t="shared" si="188"/>
        <v>21223.5</v>
      </c>
      <c r="M145" s="38">
        <f>M147</f>
        <v>0</v>
      </c>
      <c r="N145" s="38">
        <f t="shared" si="189"/>
        <v>21223.5</v>
      </c>
      <c r="O145" s="38"/>
      <c r="P145" s="38">
        <f t="shared" si="232"/>
        <v>21223.5</v>
      </c>
      <c r="Q145" s="38">
        <f>Q147</f>
        <v>1079.7640000000001</v>
      </c>
      <c r="R145" s="38">
        <f t="shared" si="363"/>
        <v>22303.263999999999</v>
      </c>
      <c r="S145" s="38">
        <f>S147</f>
        <v>0</v>
      </c>
      <c r="T145" s="38">
        <f t="shared" si="214"/>
        <v>22303.263999999999</v>
      </c>
      <c r="U145" s="38">
        <f>U147</f>
        <v>0</v>
      </c>
      <c r="V145" s="39">
        <f t="shared" si="364"/>
        <v>22303.263999999999</v>
      </c>
      <c r="W145" s="38">
        <f>W147</f>
        <v>0</v>
      </c>
      <c r="X145" s="38">
        <f t="shared" si="365"/>
        <v>22303.263999999999</v>
      </c>
      <c r="Y145" s="9">
        <f>Y147</f>
        <v>891.35500000000002</v>
      </c>
      <c r="Z145" s="9">
        <f t="shared" si="366"/>
        <v>23194.618999999999</v>
      </c>
      <c r="AA145" s="9">
        <f>AA147</f>
        <v>4733.4920000000002</v>
      </c>
      <c r="AB145" s="9">
        <f t="shared" si="367"/>
        <v>27928.110999999997</v>
      </c>
      <c r="AC145" s="9">
        <f>AC147</f>
        <v>0</v>
      </c>
      <c r="AD145" s="9">
        <f t="shared" si="368"/>
        <v>27928.110999999997</v>
      </c>
      <c r="AE145" s="18">
        <f>AE147</f>
        <v>3644.6550000000002</v>
      </c>
      <c r="AF145" s="9">
        <f t="shared" si="369"/>
        <v>31572.765999999996</v>
      </c>
      <c r="AG145" s="18">
        <f>AG147</f>
        <v>99.95</v>
      </c>
      <c r="AH145" s="9">
        <f t="shared" si="370"/>
        <v>31672.715999999997</v>
      </c>
      <c r="AI145" s="17" t="s">
        <v>112</v>
      </c>
    </row>
    <row r="146" spans="1:36" x14ac:dyDescent="0.25">
      <c r="A146" s="48"/>
      <c r="B146" s="6" t="s">
        <v>8</v>
      </c>
      <c r="C146" s="36"/>
      <c r="D146" s="36"/>
      <c r="E146" s="37"/>
      <c r="F146" s="36"/>
      <c r="G146" s="36"/>
      <c r="H146" s="37"/>
      <c r="I146" s="37"/>
      <c r="J146" s="37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9"/>
      <c r="W146" s="38"/>
      <c r="X146" s="38"/>
      <c r="Y146" s="9"/>
      <c r="Z146" s="9"/>
      <c r="AA146" s="9"/>
      <c r="AB146" s="9"/>
      <c r="AC146" s="9"/>
      <c r="AD146" s="9"/>
      <c r="AE146" s="18"/>
      <c r="AF146" s="9"/>
      <c r="AG146" s="18"/>
      <c r="AH146" s="9"/>
      <c r="AI146" s="17"/>
    </row>
    <row r="147" spans="1:36" x14ac:dyDescent="0.25">
      <c r="A147" s="48"/>
      <c r="B147" s="6" t="s">
        <v>9</v>
      </c>
      <c r="C147" s="36"/>
      <c r="D147" s="36">
        <f t="shared" ref="D147:D148" si="371">E147-C147</f>
        <v>21491.4</v>
      </c>
      <c r="E147" s="37">
        <v>21491.4</v>
      </c>
      <c r="F147" s="36"/>
      <c r="G147" s="36">
        <f t="shared" ref="G147:G148" si="372">H147-F147</f>
        <v>21043.1</v>
      </c>
      <c r="H147" s="37">
        <v>21043.1</v>
      </c>
      <c r="I147" s="37">
        <v>20011.900000000001</v>
      </c>
      <c r="J147" s="37">
        <v>-267.89999999999998</v>
      </c>
      <c r="K147" s="38">
        <f t="shared" si="187"/>
        <v>21223.5</v>
      </c>
      <c r="L147" s="38">
        <f t="shared" si="188"/>
        <v>21223.5</v>
      </c>
      <c r="M147" s="38"/>
      <c r="N147" s="38">
        <f t="shared" si="189"/>
        <v>21223.5</v>
      </c>
      <c r="O147" s="38"/>
      <c r="P147" s="38">
        <f t="shared" si="232"/>
        <v>21223.5</v>
      </c>
      <c r="Q147" s="38">
        <f>97.606+982.158</f>
        <v>1079.7640000000001</v>
      </c>
      <c r="R147" s="38">
        <f t="shared" ref="R147:R148" si="373">P147+Q147</f>
        <v>22303.263999999999</v>
      </c>
      <c r="S147" s="38"/>
      <c r="T147" s="38">
        <f t="shared" si="214"/>
        <v>22303.263999999999</v>
      </c>
      <c r="U147" s="38"/>
      <c r="V147" s="39">
        <f t="shared" ref="V147:V148" si="374">T147+U147</f>
        <v>22303.263999999999</v>
      </c>
      <c r="W147" s="38"/>
      <c r="X147" s="38">
        <f t="shared" ref="X147:X148" si="375">V147+W147</f>
        <v>22303.263999999999</v>
      </c>
      <c r="Y147" s="9">
        <v>891.35500000000002</v>
      </c>
      <c r="Z147" s="9">
        <f t="shared" ref="Z147:Z148" si="376">X147+Y147</f>
        <v>23194.618999999999</v>
      </c>
      <c r="AA147" s="9">
        <v>4733.4920000000002</v>
      </c>
      <c r="AB147" s="9">
        <f t="shared" ref="AB147:AB148" si="377">Z147+AA147</f>
        <v>27928.110999999997</v>
      </c>
      <c r="AC147" s="9"/>
      <c r="AD147" s="9">
        <f t="shared" ref="AD147:AD148" si="378">AB147+AC147</f>
        <v>27928.110999999997</v>
      </c>
      <c r="AE147" s="18">
        <v>3644.6550000000002</v>
      </c>
      <c r="AF147" s="9">
        <f t="shared" ref="AF147:AF148" si="379">AD147+AE147</f>
        <v>31572.765999999996</v>
      </c>
      <c r="AG147" s="18">
        <v>99.95</v>
      </c>
      <c r="AH147" s="9">
        <f t="shared" ref="AH147:AH148" si="380">AF147+AG147</f>
        <v>31672.715999999997</v>
      </c>
      <c r="AI147" s="17"/>
    </row>
    <row r="148" spans="1:36" ht="31.5" x14ac:dyDescent="0.25">
      <c r="A148" s="48">
        <v>41</v>
      </c>
      <c r="B148" s="6" t="s">
        <v>59</v>
      </c>
      <c r="C148" s="7">
        <f>C150</f>
        <v>0</v>
      </c>
      <c r="D148" s="7">
        <f t="shared" si="371"/>
        <v>56832.9</v>
      </c>
      <c r="E148" s="8">
        <f>E150</f>
        <v>56832.9</v>
      </c>
      <c r="F148" s="7">
        <f>F150</f>
        <v>0</v>
      </c>
      <c r="G148" s="7">
        <f t="shared" si="372"/>
        <v>57080.1</v>
      </c>
      <c r="H148" s="8">
        <f>H150</f>
        <v>57080.1</v>
      </c>
      <c r="I148" s="8">
        <f>I150</f>
        <v>57863.7</v>
      </c>
      <c r="J148" s="8">
        <f>J150</f>
        <v>-3690</v>
      </c>
      <c r="K148" s="9">
        <f t="shared" si="187"/>
        <v>53142.9</v>
      </c>
      <c r="L148" s="9">
        <f t="shared" si="188"/>
        <v>53142.9</v>
      </c>
      <c r="M148" s="9">
        <f>M150</f>
        <v>0</v>
      </c>
      <c r="N148" s="9">
        <f t="shared" si="189"/>
        <v>53142.9</v>
      </c>
      <c r="O148" s="9"/>
      <c r="P148" s="9">
        <f t="shared" si="232"/>
        <v>53142.9</v>
      </c>
      <c r="Q148" s="9"/>
      <c r="R148" s="9">
        <f t="shared" si="373"/>
        <v>53142.9</v>
      </c>
      <c r="S148" s="9"/>
      <c r="T148" s="9">
        <f t="shared" si="214"/>
        <v>53142.9</v>
      </c>
      <c r="U148" s="9">
        <f>U150</f>
        <v>-1107.105</v>
      </c>
      <c r="V148" s="35">
        <f t="shared" si="374"/>
        <v>52035.794999999998</v>
      </c>
      <c r="W148" s="9">
        <f>W150</f>
        <v>-19994.975999999999</v>
      </c>
      <c r="X148" s="9">
        <f t="shared" si="375"/>
        <v>32040.819</v>
      </c>
      <c r="Y148" s="9">
        <f>Y150</f>
        <v>0</v>
      </c>
      <c r="Z148" s="9">
        <f t="shared" si="376"/>
        <v>32040.819</v>
      </c>
      <c r="AA148" s="9">
        <f>AA150</f>
        <v>-39.125</v>
      </c>
      <c r="AB148" s="9">
        <f t="shared" si="377"/>
        <v>32001.694</v>
      </c>
      <c r="AC148" s="9">
        <f>AC150</f>
        <v>0</v>
      </c>
      <c r="AD148" s="9">
        <f t="shared" si="378"/>
        <v>32001.694</v>
      </c>
      <c r="AE148" s="9">
        <f>AE150</f>
        <v>0</v>
      </c>
      <c r="AF148" s="9">
        <f t="shared" si="379"/>
        <v>32001.694</v>
      </c>
      <c r="AG148" s="9">
        <f>AG150</f>
        <v>0</v>
      </c>
      <c r="AH148" s="9">
        <f t="shared" si="380"/>
        <v>32001.694</v>
      </c>
      <c r="AI148" s="17" t="s">
        <v>132</v>
      </c>
    </row>
    <row r="149" spans="1:36" x14ac:dyDescent="0.25">
      <c r="A149" s="48"/>
      <c r="B149" s="6" t="s">
        <v>8</v>
      </c>
      <c r="C149" s="7"/>
      <c r="D149" s="7"/>
      <c r="E149" s="8"/>
      <c r="F149" s="7"/>
      <c r="G149" s="7"/>
      <c r="H149" s="8"/>
      <c r="I149" s="8"/>
      <c r="J149" s="8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35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17"/>
    </row>
    <row r="150" spans="1:36" x14ac:dyDescent="0.25">
      <c r="A150" s="48"/>
      <c r="B150" s="6" t="s">
        <v>9</v>
      </c>
      <c r="C150" s="7"/>
      <c r="D150" s="7">
        <f t="shared" ref="D150:D151" si="381">E150-C150</f>
        <v>56832.9</v>
      </c>
      <c r="E150" s="8">
        <v>56832.9</v>
      </c>
      <c r="F150" s="7"/>
      <c r="G150" s="7">
        <f t="shared" ref="G150:G151" si="382">H150-F150</f>
        <v>57080.1</v>
      </c>
      <c r="H150" s="8">
        <v>57080.1</v>
      </c>
      <c r="I150" s="8">
        <v>57863.7</v>
      </c>
      <c r="J150" s="8">
        <v>-3690</v>
      </c>
      <c r="K150" s="9">
        <f t="shared" si="187"/>
        <v>53142.9</v>
      </c>
      <c r="L150" s="9">
        <f t="shared" si="188"/>
        <v>53142.9</v>
      </c>
      <c r="M150" s="9"/>
      <c r="N150" s="9">
        <f t="shared" si="189"/>
        <v>53142.9</v>
      </c>
      <c r="O150" s="9"/>
      <c r="P150" s="9">
        <f t="shared" si="232"/>
        <v>53142.9</v>
      </c>
      <c r="Q150" s="9"/>
      <c r="R150" s="9">
        <f t="shared" ref="R150:R151" si="383">P150+Q150</f>
        <v>53142.9</v>
      </c>
      <c r="S150" s="9"/>
      <c r="T150" s="9">
        <f t="shared" si="214"/>
        <v>53142.9</v>
      </c>
      <c r="U150" s="9">
        <v>-1107.105</v>
      </c>
      <c r="V150" s="35">
        <f t="shared" ref="V150:V151" si="384">T150+U150</f>
        <v>52035.794999999998</v>
      </c>
      <c r="W150" s="9">
        <v>-19994.975999999999</v>
      </c>
      <c r="X150" s="9">
        <f t="shared" ref="X150:X151" si="385">V150+W150</f>
        <v>32040.819</v>
      </c>
      <c r="Y150" s="9"/>
      <c r="Z150" s="9">
        <f t="shared" ref="Z150:Z151" si="386">X150+Y150</f>
        <v>32040.819</v>
      </c>
      <c r="AA150" s="9">
        <v>-39.125</v>
      </c>
      <c r="AB150" s="9">
        <f t="shared" ref="AB150:AB151" si="387">Z150+AA150</f>
        <v>32001.694</v>
      </c>
      <c r="AC150" s="9"/>
      <c r="AD150" s="9">
        <f t="shared" ref="AD150:AD151" si="388">AB150+AC150</f>
        <v>32001.694</v>
      </c>
      <c r="AE150" s="9"/>
      <c r="AF150" s="9">
        <f t="shared" ref="AF150:AF151" si="389">AD150+AE150</f>
        <v>32001.694</v>
      </c>
      <c r="AG150" s="9"/>
      <c r="AH150" s="9">
        <f t="shared" ref="AH150:AH151" si="390">AF150+AG150</f>
        <v>32001.694</v>
      </c>
      <c r="AI150" s="17"/>
    </row>
    <row r="151" spans="1:36" ht="47.25" x14ac:dyDescent="0.25">
      <c r="A151" s="48">
        <v>42</v>
      </c>
      <c r="B151" s="6" t="s">
        <v>60</v>
      </c>
      <c r="C151" s="7">
        <f>C153</f>
        <v>0</v>
      </c>
      <c r="D151" s="7">
        <f t="shared" si="381"/>
        <v>6145</v>
      </c>
      <c r="E151" s="8">
        <f>E153</f>
        <v>6145</v>
      </c>
      <c r="F151" s="7">
        <f>F153</f>
        <v>0</v>
      </c>
      <c r="G151" s="7">
        <f t="shared" si="382"/>
        <v>6145</v>
      </c>
      <c r="H151" s="8">
        <f>H153</f>
        <v>6145</v>
      </c>
      <c r="I151" s="8">
        <f>I153</f>
        <v>6145</v>
      </c>
      <c r="J151" s="8">
        <f>J153</f>
        <v>0</v>
      </c>
      <c r="K151" s="9">
        <f t="shared" si="187"/>
        <v>6145</v>
      </c>
      <c r="L151" s="9">
        <f t="shared" si="188"/>
        <v>6145</v>
      </c>
      <c r="M151" s="9">
        <f>M153</f>
        <v>0</v>
      </c>
      <c r="N151" s="9">
        <f t="shared" si="189"/>
        <v>6145</v>
      </c>
      <c r="O151" s="9"/>
      <c r="P151" s="9">
        <f t="shared" si="232"/>
        <v>6145</v>
      </c>
      <c r="Q151" s="9"/>
      <c r="R151" s="9">
        <f t="shared" si="383"/>
        <v>6145</v>
      </c>
      <c r="S151" s="9"/>
      <c r="T151" s="9">
        <f t="shared" si="214"/>
        <v>6145</v>
      </c>
      <c r="U151" s="9">
        <f>U153</f>
        <v>-275</v>
      </c>
      <c r="V151" s="35">
        <f t="shared" si="384"/>
        <v>5870</v>
      </c>
      <c r="W151" s="9">
        <f>W153</f>
        <v>0</v>
      </c>
      <c r="X151" s="9">
        <f t="shared" si="385"/>
        <v>5870</v>
      </c>
      <c r="Y151" s="9">
        <f>Y153</f>
        <v>0</v>
      </c>
      <c r="Z151" s="9">
        <f t="shared" si="386"/>
        <v>5870</v>
      </c>
      <c r="AA151" s="9">
        <f>AA153</f>
        <v>0</v>
      </c>
      <c r="AB151" s="9">
        <f t="shared" si="387"/>
        <v>5870</v>
      </c>
      <c r="AC151" s="9">
        <f>AC153</f>
        <v>0</v>
      </c>
      <c r="AD151" s="9">
        <f t="shared" si="388"/>
        <v>5870</v>
      </c>
      <c r="AE151" s="9">
        <f>AE153</f>
        <v>0</v>
      </c>
      <c r="AF151" s="9">
        <f t="shared" si="389"/>
        <v>5870</v>
      </c>
      <c r="AG151" s="9">
        <f>AG153</f>
        <v>0</v>
      </c>
      <c r="AH151" s="9">
        <f t="shared" si="390"/>
        <v>5870</v>
      </c>
      <c r="AI151" s="17" t="s">
        <v>133</v>
      </c>
    </row>
    <row r="152" spans="1:36" x14ac:dyDescent="0.25">
      <c r="A152" s="48"/>
      <c r="B152" s="6" t="s">
        <v>8</v>
      </c>
      <c r="C152" s="7"/>
      <c r="D152" s="7"/>
      <c r="E152" s="8"/>
      <c r="F152" s="7"/>
      <c r="G152" s="7"/>
      <c r="H152" s="8"/>
      <c r="I152" s="8"/>
      <c r="J152" s="8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35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17"/>
    </row>
    <row r="153" spans="1:36" x14ac:dyDescent="0.25">
      <c r="A153" s="48"/>
      <c r="B153" s="6" t="s">
        <v>9</v>
      </c>
      <c r="C153" s="7"/>
      <c r="D153" s="7">
        <f t="shared" ref="D153:D154" si="391">E153-C153</f>
        <v>6145</v>
      </c>
      <c r="E153" s="8">
        <v>6145</v>
      </c>
      <c r="F153" s="7"/>
      <c r="G153" s="7">
        <f t="shared" ref="G153:G154" si="392">H153-F153</f>
        <v>6145</v>
      </c>
      <c r="H153" s="8">
        <v>6145</v>
      </c>
      <c r="I153" s="8">
        <v>6145</v>
      </c>
      <c r="J153" s="8"/>
      <c r="K153" s="9">
        <f t="shared" ref="K153:K229" si="393">L153-C153</f>
        <v>6145</v>
      </c>
      <c r="L153" s="9">
        <f t="shared" ref="L153:L229" si="394">E153+J153</f>
        <v>6145</v>
      </c>
      <c r="M153" s="9"/>
      <c r="N153" s="9">
        <f t="shared" ref="N153" si="395">L153+M153</f>
        <v>6145</v>
      </c>
      <c r="O153" s="9"/>
      <c r="P153" s="9">
        <f t="shared" si="232"/>
        <v>6145</v>
      </c>
      <c r="Q153" s="9"/>
      <c r="R153" s="9">
        <f t="shared" ref="R153" si="396">P153+Q153</f>
        <v>6145</v>
      </c>
      <c r="S153" s="9"/>
      <c r="T153" s="9">
        <f t="shared" si="214"/>
        <v>6145</v>
      </c>
      <c r="U153" s="9">
        <v>-275</v>
      </c>
      <c r="V153" s="35">
        <f t="shared" ref="V153" si="397">T153+U153</f>
        <v>5870</v>
      </c>
      <c r="W153" s="9"/>
      <c r="X153" s="9">
        <f t="shared" ref="X153" si="398">V153+W153</f>
        <v>5870</v>
      </c>
      <c r="Y153" s="9"/>
      <c r="Z153" s="9">
        <f t="shared" ref="Z153" si="399">X153+Y153</f>
        <v>5870</v>
      </c>
      <c r="AA153" s="9"/>
      <c r="AB153" s="9">
        <f t="shared" ref="AB153" si="400">Z153+AA153</f>
        <v>5870</v>
      </c>
      <c r="AC153" s="9"/>
      <c r="AD153" s="9">
        <f t="shared" ref="AD153" si="401">AB153+AC153</f>
        <v>5870</v>
      </c>
      <c r="AE153" s="9"/>
      <c r="AF153" s="9">
        <f t="shared" ref="AF153" si="402">AD153+AE153</f>
        <v>5870</v>
      </c>
      <c r="AG153" s="9"/>
      <c r="AH153" s="9">
        <f t="shared" ref="AH153" si="403">AF153+AG153</f>
        <v>5870</v>
      </c>
      <c r="AI153" s="17"/>
    </row>
    <row r="154" spans="1:36" s="1" customFormat="1" ht="31.5" hidden="1" x14ac:dyDescent="0.25">
      <c r="A154" s="10">
        <v>44</v>
      </c>
      <c r="B154" s="6" t="s">
        <v>61</v>
      </c>
      <c r="C154" s="7">
        <f>C156</f>
        <v>0</v>
      </c>
      <c r="D154" s="7">
        <f t="shared" si="391"/>
        <v>0</v>
      </c>
      <c r="E154" s="8">
        <f>E156</f>
        <v>0</v>
      </c>
      <c r="F154" s="7">
        <f>F156</f>
        <v>0</v>
      </c>
      <c r="G154" s="7">
        <f t="shared" si="392"/>
        <v>40000</v>
      </c>
      <c r="H154" s="8">
        <f>H156</f>
        <v>40000</v>
      </c>
      <c r="I154" s="8">
        <f>I156</f>
        <v>40000</v>
      </c>
      <c r="J154" s="8">
        <f>J156</f>
        <v>0</v>
      </c>
      <c r="K154" s="9">
        <f t="shared" si="393"/>
        <v>0</v>
      </c>
      <c r="L154" s="9">
        <f t="shared" si="394"/>
        <v>0</v>
      </c>
      <c r="M154" s="17">
        <f t="shared" ref="M154" si="404">N154-E154</f>
        <v>40000</v>
      </c>
      <c r="N154" s="17">
        <f t="shared" ref="N154" si="405">G154+L154</f>
        <v>40000</v>
      </c>
      <c r="O154" s="17"/>
      <c r="P154" s="17"/>
      <c r="Q154" s="17"/>
      <c r="R154" s="17"/>
      <c r="S154" s="17"/>
      <c r="T154" s="17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7"/>
      <c r="AJ154" s="1">
        <v>0</v>
      </c>
    </row>
    <row r="155" spans="1:36" s="1" customFormat="1" hidden="1" x14ac:dyDescent="0.25">
      <c r="A155" s="10"/>
      <c r="B155" s="6" t="s">
        <v>8</v>
      </c>
      <c r="C155" s="7"/>
      <c r="D155" s="7"/>
      <c r="E155" s="8"/>
      <c r="F155" s="7"/>
      <c r="G155" s="7"/>
      <c r="H155" s="8"/>
      <c r="I155" s="8"/>
      <c r="J155" s="8"/>
      <c r="K155" s="9"/>
      <c r="L155" s="9"/>
      <c r="M155" s="17"/>
      <c r="N155" s="17"/>
      <c r="O155" s="17"/>
      <c r="P155" s="17"/>
      <c r="Q155" s="17"/>
      <c r="R155" s="17"/>
      <c r="S155" s="17"/>
      <c r="T155" s="17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17"/>
      <c r="AJ155" s="1">
        <v>0</v>
      </c>
    </row>
    <row r="156" spans="1:36" s="1" customFormat="1" hidden="1" x14ac:dyDescent="0.25">
      <c r="A156" s="10"/>
      <c r="B156" s="6" t="s">
        <v>9</v>
      </c>
      <c r="C156" s="7"/>
      <c r="D156" s="7">
        <f t="shared" ref="D156:D157" si="406">E156-C156</f>
        <v>0</v>
      </c>
      <c r="E156" s="8"/>
      <c r="F156" s="7"/>
      <c r="G156" s="7">
        <f t="shared" ref="G156:G157" si="407">H156-F156</f>
        <v>40000</v>
      </c>
      <c r="H156" s="8">
        <v>40000</v>
      </c>
      <c r="I156" s="8">
        <v>40000</v>
      </c>
      <c r="J156" s="8"/>
      <c r="K156" s="9">
        <f t="shared" si="393"/>
        <v>0</v>
      </c>
      <c r="L156" s="9">
        <f t="shared" si="394"/>
        <v>0</v>
      </c>
      <c r="M156" s="17">
        <f t="shared" ref="M156" si="408">N156-E156</f>
        <v>40000</v>
      </c>
      <c r="N156" s="17">
        <f t="shared" ref="N156" si="409">G156+L156</f>
        <v>40000</v>
      </c>
      <c r="O156" s="17"/>
      <c r="P156" s="17"/>
      <c r="Q156" s="17"/>
      <c r="R156" s="17"/>
      <c r="S156" s="17"/>
      <c r="T156" s="17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17"/>
      <c r="AJ156" s="1">
        <v>0</v>
      </c>
    </row>
    <row r="157" spans="1:36" ht="63" x14ac:dyDescent="0.25">
      <c r="A157" s="48">
        <v>43</v>
      </c>
      <c r="B157" s="6" t="s">
        <v>76</v>
      </c>
      <c r="C157" s="36">
        <f>C159</f>
        <v>0</v>
      </c>
      <c r="D157" s="36">
        <f t="shared" si="406"/>
        <v>5022.7</v>
      </c>
      <c r="E157" s="37">
        <f>E159</f>
        <v>5022.7</v>
      </c>
      <c r="F157" s="36">
        <f>F159</f>
        <v>0</v>
      </c>
      <c r="G157" s="36">
        <f t="shared" si="407"/>
        <v>5006.6000000000004</v>
      </c>
      <c r="H157" s="37">
        <f>H159</f>
        <v>5006.6000000000004</v>
      </c>
      <c r="I157" s="37">
        <f>I159</f>
        <v>8720.4</v>
      </c>
      <c r="J157" s="37">
        <f>J159</f>
        <v>0</v>
      </c>
      <c r="K157" s="38">
        <f t="shared" si="393"/>
        <v>5022.7</v>
      </c>
      <c r="L157" s="38">
        <f t="shared" si="394"/>
        <v>5022.7</v>
      </c>
      <c r="M157" s="38">
        <f>M159</f>
        <v>0</v>
      </c>
      <c r="N157" s="38">
        <f t="shared" ref="N157:N223" si="410">L157+M157</f>
        <v>5022.7</v>
      </c>
      <c r="O157" s="38"/>
      <c r="P157" s="38">
        <f t="shared" ref="P157:P208" si="411">N157+O157</f>
        <v>5022.7</v>
      </c>
      <c r="Q157" s="38"/>
      <c r="R157" s="38">
        <f t="shared" ref="R157" si="412">P157+Q157</f>
        <v>5022.7</v>
      </c>
      <c r="S157" s="38"/>
      <c r="T157" s="39">
        <f t="shared" ref="T157:T208" si="413">R157+S157</f>
        <v>5022.7</v>
      </c>
      <c r="U157" s="38"/>
      <c r="V157" s="38">
        <f t="shared" ref="V157" si="414">T157+U157</f>
        <v>5022.7</v>
      </c>
      <c r="W157" s="38"/>
      <c r="X157" s="38">
        <f t="shared" ref="X157" si="415">V157+W157</f>
        <v>5022.7</v>
      </c>
      <c r="Y157" s="9">
        <f>Y159</f>
        <v>42.676000000000002</v>
      </c>
      <c r="Z157" s="9">
        <f t="shared" ref="Z157" si="416">X157+Y157</f>
        <v>5065.3760000000002</v>
      </c>
      <c r="AA157" s="9">
        <f>AA159</f>
        <v>0</v>
      </c>
      <c r="AB157" s="9">
        <f t="shared" ref="AB157" si="417">Z157+AA157</f>
        <v>5065.3760000000002</v>
      </c>
      <c r="AC157" s="9">
        <f>AC159</f>
        <v>0</v>
      </c>
      <c r="AD157" s="9">
        <f t="shared" ref="AD157" si="418">AB157+AC157</f>
        <v>5065.3760000000002</v>
      </c>
      <c r="AE157" s="9">
        <f>AE159</f>
        <v>0</v>
      </c>
      <c r="AF157" s="9">
        <f t="shared" ref="AF157" si="419">AD157+AE157</f>
        <v>5065.3760000000002</v>
      </c>
      <c r="AG157" s="9">
        <f>AG159</f>
        <v>0</v>
      </c>
      <c r="AH157" s="9">
        <f t="shared" ref="AH157" si="420">AF157+AG157</f>
        <v>5065.3760000000002</v>
      </c>
      <c r="AI157" s="17" t="s">
        <v>142</v>
      </c>
    </row>
    <row r="158" spans="1:36" x14ac:dyDescent="0.25">
      <c r="A158" s="48"/>
      <c r="B158" s="6" t="s">
        <v>8</v>
      </c>
      <c r="C158" s="36"/>
      <c r="D158" s="36"/>
      <c r="E158" s="37"/>
      <c r="F158" s="36"/>
      <c r="G158" s="36"/>
      <c r="H158" s="37"/>
      <c r="I158" s="37"/>
      <c r="J158" s="37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9"/>
      <c r="W158" s="38"/>
      <c r="X158" s="38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17"/>
    </row>
    <row r="159" spans="1:36" x14ac:dyDescent="0.25">
      <c r="A159" s="48"/>
      <c r="B159" s="6" t="s">
        <v>9</v>
      </c>
      <c r="C159" s="36"/>
      <c r="D159" s="36">
        <f t="shared" ref="D159:D160" si="421">E159-C159</f>
        <v>5022.7</v>
      </c>
      <c r="E159" s="37">
        <v>5022.7</v>
      </c>
      <c r="F159" s="36"/>
      <c r="G159" s="36">
        <f t="shared" ref="G159:G160" si="422">H159-F159</f>
        <v>5006.6000000000004</v>
      </c>
      <c r="H159" s="37">
        <v>5006.6000000000004</v>
      </c>
      <c r="I159" s="37">
        <v>8720.4</v>
      </c>
      <c r="J159" s="37"/>
      <c r="K159" s="38">
        <f t="shared" si="393"/>
        <v>5022.7</v>
      </c>
      <c r="L159" s="38">
        <f t="shared" si="394"/>
        <v>5022.7</v>
      </c>
      <c r="M159" s="38"/>
      <c r="N159" s="38">
        <f t="shared" si="410"/>
        <v>5022.7</v>
      </c>
      <c r="O159" s="38"/>
      <c r="P159" s="38">
        <f t="shared" si="411"/>
        <v>5022.7</v>
      </c>
      <c r="Q159" s="38"/>
      <c r="R159" s="38">
        <f t="shared" ref="R159:R160" si="423">P159+Q159</f>
        <v>5022.7</v>
      </c>
      <c r="S159" s="38"/>
      <c r="T159" s="38">
        <f t="shared" si="413"/>
        <v>5022.7</v>
      </c>
      <c r="U159" s="38"/>
      <c r="V159" s="39">
        <f t="shared" ref="V159:V160" si="424">T159+U159</f>
        <v>5022.7</v>
      </c>
      <c r="W159" s="38"/>
      <c r="X159" s="38">
        <f t="shared" ref="X159:X160" si="425">V159+W159</f>
        <v>5022.7</v>
      </c>
      <c r="Y159" s="9">
        <v>42.676000000000002</v>
      </c>
      <c r="Z159" s="9">
        <f t="shared" ref="Z159:Z160" si="426">X159+Y159</f>
        <v>5065.3760000000002</v>
      </c>
      <c r="AA159" s="9"/>
      <c r="AB159" s="9">
        <f t="shared" ref="AB159:AB160" si="427">Z159+AA159</f>
        <v>5065.3760000000002</v>
      </c>
      <c r="AC159" s="9"/>
      <c r="AD159" s="9">
        <f t="shared" ref="AD159:AD160" si="428">AB159+AC159</f>
        <v>5065.3760000000002</v>
      </c>
      <c r="AE159" s="9"/>
      <c r="AF159" s="9">
        <f t="shared" ref="AF159:AF160" si="429">AD159+AE159</f>
        <v>5065.3760000000002</v>
      </c>
      <c r="AG159" s="9"/>
      <c r="AH159" s="9">
        <f t="shared" ref="AH159:AH160" si="430">AF159+AG159</f>
        <v>5065.3760000000002</v>
      </c>
      <c r="AI159" s="17"/>
    </row>
    <row r="160" spans="1:36" ht="47.25" x14ac:dyDescent="0.25">
      <c r="A160" s="48">
        <v>44</v>
      </c>
      <c r="B160" s="6" t="s">
        <v>73</v>
      </c>
      <c r="C160" s="36">
        <f>C162</f>
        <v>0</v>
      </c>
      <c r="D160" s="36">
        <f t="shared" si="421"/>
        <v>1218</v>
      </c>
      <c r="E160" s="37">
        <f>E162</f>
        <v>1218</v>
      </c>
      <c r="F160" s="36">
        <f>F162</f>
        <v>0</v>
      </c>
      <c r="G160" s="36">
        <f t="shared" si="422"/>
        <v>18420.5</v>
      </c>
      <c r="H160" s="37">
        <f>H162</f>
        <v>18420.5</v>
      </c>
      <c r="I160" s="37">
        <f>I162</f>
        <v>22297.599999999999</v>
      </c>
      <c r="J160" s="37">
        <f>J162</f>
        <v>0</v>
      </c>
      <c r="K160" s="38">
        <f t="shared" si="393"/>
        <v>1218</v>
      </c>
      <c r="L160" s="38">
        <f t="shared" si="394"/>
        <v>1218</v>
      </c>
      <c r="M160" s="38">
        <f>M162</f>
        <v>0</v>
      </c>
      <c r="N160" s="38">
        <f t="shared" si="410"/>
        <v>1218</v>
      </c>
      <c r="O160" s="38"/>
      <c r="P160" s="38">
        <f t="shared" si="411"/>
        <v>1218</v>
      </c>
      <c r="Q160" s="38"/>
      <c r="R160" s="38">
        <f t="shared" si="423"/>
        <v>1218</v>
      </c>
      <c r="S160" s="38"/>
      <c r="T160" s="38">
        <f t="shared" si="413"/>
        <v>1218</v>
      </c>
      <c r="U160" s="38"/>
      <c r="V160" s="39">
        <f t="shared" si="424"/>
        <v>1218</v>
      </c>
      <c r="W160" s="38"/>
      <c r="X160" s="38">
        <f t="shared" si="425"/>
        <v>1218</v>
      </c>
      <c r="Y160" s="9">
        <f>Y162</f>
        <v>53.820999999999998</v>
      </c>
      <c r="Z160" s="9">
        <f t="shared" si="426"/>
        <v>1271.8209999999999</v>
      </c>
      <c r="AA160" s="9">
        <f>AA162</f>
        <v>0</v>
      </c>
      <c r="AB160" s="9">
        <f t="shared" si="427"/>
        <v>1271.8209999999999</v>
      </c>
      <c r="AC160" s="9">
        <f>AC162</f>
        <v>0</v>
      </c>
      <c r="AD160" s="9">
        <f t="shared" si="428"/>
        <v>1271.8209999999999</v>
      </c>
      <c r="AE160" s="9">
        <f>AE162</f>
        <v>0</v>
      </c>
      <c r="AF160" s="9">
        <f t="shared" si="429"/>
        <v>1271.8209999999999</v>
      </c>
      <c r="AG160" s="9">
        <f>AG162</f>
        <v>0</v>
      </c>
      <c r="AH160" s="9">
        <f t="shared" si="430"/>
        <v>1271.8209999999999</v>
      </c>
      <c r="AI160" s="17" t="s">
        <v>143</v>
      </c>
    </row>
    <row r="161" spans="1:35" x14ac:dyDescent="0.25">
      <c r="A161" s="48"/>
      <c r="B161" s="6" t="s">
        <v>8</v>
      </c>
      <c r="C161" s="36"/>
      <c r="D161" s="36"/>
      <c r="E161" s="37"/>
      <c r="F161" s="36"/>
      <c r="G161" s="36"/>
      <c r="H161" s="37"/>
      <c r="I161" s="37"/>
      <c r="J161" s="37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9"/>
      <c r="W161" s="38"/>
      <c r="X161" s="38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17"/>
    </row>
    <row r="162" spans="1:35" x14ac:dyDescent="0.25">
      <c r="A162" s="48"/>
      <c r="B162" s="6" t="s">
        <v>9</v>
      </c>
      <c r="C162" s="36"/>
      <c r="D162" s="36">
        <f t="shared" ref="D162:D163" si="431">E162-C162</f>
        <v>1218</v>
      </c>
      <c r="E162" s="37">
        <v>1218</v>
      </c>
      <c r="F162" s="36"/>
      <c r="G162" s="36">
        <f t="shared" ref="G162:G163" si="432">H162-F162</f>
        <v>18420.5</v>
      </c>
      <c r="H162" s="37">
        <v>18420.5</v>
      </c>
      <c r="I162" s="37">
        <v>22297.599999999999</v>
      </c>
      <c r="J162" s="37"/>
      <c r="K162" s="38">
        <f t="shared" si="393"/>
        <v>1218</v>
      </c>
      <c r="L162" s="38">
        <f t="shared" si="394"/>
        <v>1218</v>
      </c>
      <c r="M162" s="38"/>
      <c r="N162" s="38">
        <f t="shared" si="410"/>
        <v>1218</v>
      </c>
      <c r="O162" s="38"/>
      <c r="P162" s="38">
        <f t="shared" si="411"/>
        <v>1218</v>
      </c>
      <c r="Q162" s="38"/>
      <c r="R162" s="38">
        <f t="shared" ref="R162:R163" si="433">P162+Q162</f>
        <v>1218</v>
      </c>
      <c r="S162" s="38"/>
      <c r="T162" s="38">
        <f t="shared" si="413"/>
        <v>1218</v>
      </c>
      <c r="U162" s="38"/>
      <c r="V162" s="39">
        <f t="shared" ref="V162:V163" si="434">T162+U162</f>
        <v>1218</v>
      </c>
      <c r="W162" s="38"/>
      <c r="X162" s="38">
        <f t="shared" ref="X162:X163" si="435">V162+W162</f>
        <v>1218</v>
      </c>
      <c r="Y162" s="9">
        <v>53.820999999999998</v>
      </c>
      <c r="Z162" s="9">
        <f t="shared" ref="Z162:Z163" si="436">X162+Y162</f>
        <v>1271.8209999999999</v>
      </c>
      <c r="AA162" s="9"/>
      <c r="AB162" s="9">
        <f t="shared" ref="AB162:AB163" si="437">Z162+AA162</f>
        <v>1271.8209999999999</v>
      </c>
      <c r="AC162" s="9"/>
      <c r="AD162" s="9">
        <f t="shared" ref="AD162:AD163" si="438">AB162+AC162</f>
        <v>1271.8209999999999</v>
      </c>
      <c r="AE162" s="9"/>
      <c r="AF162" s="9">
        <f t="shared" ref="AF162:AF163" si="439">AD162+AE162</f>
        <v>1271.8209999999999</v>
      </c>
      <c r="AG162" s="9"/>
      <c r="AH162" s="9">
        <f t="shared" ref="AH162:AH163" si="440">AF162+AG162</f>
        <v>1271.8209999999999</v>
      </c>
      <c r="AI162" s="17"/>
    </row>
    <row r="163" spans="1:35" ht="31.5" x14ac:dyDescent="0.25">
      <c r="A163" s="48">
        <v>45</v>
      </c>
      <c r="B163" s="6" t="s">
        <v>75</v>
      </c>
      <c r="C163" s="36">
        <f>C165</f>
        <v>0</v>
      </c>
      <c r="D163" s="36">
        <f t="shared" si="431"/>
        <v>2165.6999999999998</v>
      </c>
      <c r="E163" s="37">
        <f>E165</f>
        <v>2165.6999999999998</v>
      </c>
      <c r="F163" s="36">
        <f>F165</f>
        <v>0</v>
      </c>
      <c r="G163" s="36">
        <f t="shared" si="432"/>
        <v>13687.6</v>
      </c>
      <c r="H163" s="37">
        <f>H165</f>
        <v>13687.6</v>
      </c>
      <c r="I163" s="37">
        <f>I165</f>
        <v>31364.1</v>
      </c>
      <c r="J163" s="37">
        <f>J165</f>
        <v>0</v>
      </c>
      <c r="K163" s="38">
        <f t="shared" si="393"/>
        <v>2165.6999999999998</v>
      </c>
      <c r="L163" s="38">
        <f t="shared" si="394"/>
        <v>2165.6999999999998</v>
      </c>
      <c r="M163" s="38">
        <f>M165</f>
        <v>0</v>
      </c>
      <c r="N163" s="38">
        <f t="shared" si="410"/>
        <v>2165.6999999999998</v>
      </c>
      <c r="O163" s="38"/>
      <c r="P163" s="38">
        <f t="shared" si="411"/>
        <v>2165.6999999999998</v>
      </c>
      <c r="Q163" s="38"/>
      <c r="R163" s="38">
        <f t="shared" si="433"/>
        <v>2165.6999999999998</v>
      </c>
      <c r="S163" s="38"/>
      <c r="T163" s="38">
        <f t="shared" si="413"/>
        <v>2165.6999999999998</v>
      </c>
      <c r="U163" s="38"/>
      <c r="V163" s="39">
        <f t="shared" si="434"/>
        <v>2165.6999999999998</v>
      </c>
      <c r="W163" s="38"/>
      <c r="X163" s="38">
        <f t="shared" si="435"/>
        <v>2165.6999999999998</v>
      </c>
      <c r="Y163" s="9">
        <f>Y165</f>
        <v>14.837</v>
      </c>
      <c r="Z163" s="9">
        <f t="shared" si="436"/>
        <v>2180.5369999999998</v>
      </c>
      <c r="AA163" s="9">
        <f>AA165</f>
        <v>0</v>
      </c>
      <c r="AB163" s="9">
        <f t="shared" si="437"/>
        <v>2180.5369999999998</v>
      </c>
      <c r="AC163" s="9">
        <f>AC165</f>
        <v>0</v>
      </c>
      <c r="AD163" s="9">
        <f t="shared" si="438"/>
        <v>2180.5369999999998</v>
      </c>
      <c r="AE163" s="9">
        <f>AE165</f>
        <v>0</v>
      </c>
      <c r="AF163" s="9">
        <f t="shared" si="439"/>
        <v>2180.5369999999998</v>
      </c>
      <c r="AG163" s="9">
        <f>AG165</f>
        <v>0</v>
      </c>
      <c r="AH163" s="9">
        <f t="shared" si="440"/>
        <v>2180.5369999999998</v>
      </c>
      <c r="AI163" s="17" t="s">
        <v>144</v>
      </c>
    </row>
    <row r="164" spans="1:35" x14ac:dyDescent="0.25">
      <c r="A164" s="48"/>
      <c r="B164" s="6" t="s">
        <v>8</v>
      </c>
      <c r="C164" s="36"/>
      <c r="D164" s="36"/>
      <c r="E164" s="37"/>
      <c r="F164" s="36"/>
      <c r="G164" s="36"/>
      <c r="H164" s="37"/>
      <c r="I164" s="37"/>
      <c r="J164" s="37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9"/>
      <c r="W164" s="38"/>
      <c r="X164" s="38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17"/>
    </row>
    <row r="165" spans="1:35" x14ac:dyDescent="0.25">
      <c r="A165" s="48"/>
      <c r="B165" s="6" t="s">
        <v>9</v>
      </c>
      <c r="C165" s="36"/>
      <c r="D165" s="36">
        <f t="shared" ref="D165:D166" si="441">E165-C165</f>
        <v>2165.6999999999998</v>
      </c>
      <c r="E165" s="37">
        <v>2165.6999999999998</v>
      </c>
      <c r="F165" s="36"/>
      <c r="G165" s="36">
        <f t="shared" ref="G165:G166" si="442">H165-F165</f>
        <v>13687.6</v>
      </c>
      <c r="H165" s="37">
        <v>13687.6</v>
      </c>
      <c r="I165" s="37">
        <v>31364.1</v>
      </c>
      <c r="J165" s="37"/>
      <c r="K165" s="38">
        <f t="shared" si="393"/>
        <v>2165.6999999999998</v>
      </c>
      <c r="L165" s="38">
        <f t="shared" si="394"/>
        <v>2165.6999999999998</v>
      </c>
      <c r="M165" s="38"/>
      <c r="N165" s="38">
        <f t="shared" si="410"/>
        <v>2165.6999999999998</v>
      </c>
      <c r="O165" s="38"/>
      <c r="P165" s="38">
        <f t="shared" si="411"/>
        <v>2165.6999999999998</v>
      </c>
      <c r="Q165" s="38"/>
      <c r="R165" s="38">
        <f t="shared" ref="R165:R166" si="443">P165+Q165</f>
        <v>2165.6999999999998</v>
      </c>
      <c r="S165" s="38"/>
      <c r="T165" s="38">
        <f t="shared" si="413"/>
        <v>2165.6999999999998</v>
      </c>
      <c r="U165" s="38"/>
      <c r="V165" s="39">
        <f t="shared" ref="V165:V166" si="444">T165+U165</f>
        <v>2165.6999999999998</v>
      </c>
      <c r="W165" s="38"/>
      <c r="X165" s="38">
        <f t="shared" ref="X165:X166" si="445">V165+W165</f>
        <v>2165.6999999999998</v>
      </c>
      <c r="Y165" s="9">
        <v>14.837</v>
      </c>
      <c r="Z165" s="9">
        <f t="shared" ref="Z165:Z166" si="446">X165+Y165</f>
        <v>2180.5369999999998</v>
      </c>
      <c r="AA165" s="9"/>
      <c r="AB165" s="9">
        <f t="shared" ref="AB165:AB166" si="447">Z165+AA165</f>
        <v>2180.5369999999998</v>
      </c>
      <c r="AC165" s="9"/>
      <c r="AD165" s="9">
        <f t="shared" ref="AD165:AD166" si="448">AB165+AC165</f>
        <v>2180.5369999999998</v>
      </c>
      <c r="AE165" s="9"/>
      <c r="AF165" s="9">
        <f t="shared" ref="AF165:AF166" si="449">AD165+AE165</f>
        <v>2180.5369999999998</v>
      </c>
      <c r="AG165" s="9"/>
      <c r="AH165" s="9">
        <f t="shared" ref="AH165:AH166" si="450">AF165+AG165</f>
        <v>2180.5369999999998</v>
      </c>
      <c r="AI165" s="17"/>
    </row>
    <row r="166" spans="1:35" ht="47.25" x14ac:dyDescent="0.25">
      <c r="A166" s="48">
        <v>46</v>
      </c>
      <c r="B166" s="6" t="s">
        <v>74</v>
      </c>
      <c r="C166" s="36">
        <f>C168</f>
        <v>0</v>
      </c>
      <c r="D166" s="36">
        <f t="shared" si="441"/>
        <v>10592.8</v>
      </c>
      <c r="E166" s="37">
        <f>E168</f>
        <v>10592.8</v>
      </c>
      <c r="F166" s="36">
        <f>F168</f>
        <v>0</v>
      </c>
      <c r="G166" s="36">
        <f t="shared" si="442"/>
        <v>16853.5</v>
      </c>
      <c r="H166" s="37">
        <f>H168</f>
        <v>16853.5</v>
      </c>
      <c r="I166" s="37">
        <f>I168</f>
        <v>7634.5</v>
      </c>
      <c r="J166" s="37">
        <f>J168</f>
        <v>0</v>
      </c>
      <c r="K166" s="38">
        <f t="shared" si="393"/>
        <v>10592.8</v>
      </c>
      <c r="L166" s="38">
        <f t="shared" si="394"/>
        <v>10592.8</v>
      </c>
      <c r="M166" s="38">
        <f>M168</f>
        <v>0</v>
      </c>
      <c r="N166" s="38">
        <f t="shared" si="410"/>
        <v>10592.8</v>
      </c>
      <c r="O166" s="38"/>
      <c r="P166" s="38">
        <f t="shared" si="411"/>
        <v>10592.8</v>
      </c>
      <c r="Q166" s="38"/>
      <c r="R166" s="38">
        <f t="shared" si="443"/>
        <v>10592.8</v>
      </c>
      <c r="S166" s="38"/>
      <c r="T166" s="38">
        <f t="shared" si="413"/>
        <v>10592.8</v>
      </c>
      <c r="U166" s="38"/>
      <c r="V166" s="39">
        <f t="shared" si="444"/>
        <v>10592.8</v>
      </c>
      <c r="W166" s="38"/>
      <c r="X166" s="38">
        <f t="shared" si="445"/>
        <v>10592.8</v>
      </c>
      <c r="Y166" s="9">
        <f>Y168</f>
        <v>16.329000000000001</v>
      </c>
      <c r="Z166" s="9">
        <f t="shared" si="446"/>
        <v>10609.128999999999</v>
      </c>
      <c r="AA166" s="9">
        <f>AA168</f>
        <v>0</v>
      </c>
      <c r="AB166" s="9">
        <f t="shared" si="447"/>
        <v>10609.128999999999</v>
      </c>
      <c r="AC166" s="9">
        <f>AC168</f>
        <v>0</v>
      </c>
      <c r="AD166" s="9">
        <f t="shared" si="448"/>
        <v>10609.128999999999</v>
      </c>
      <c r="AE166" s="9">
        <f>AE168</f>
        <v>0</v>
      </c>
      <c r="AF166" s="9">
        <f t="shared" si="449"/>
        <v>10609.128999999999</v>
      </c>
      <c r="AG166" s="9">
        <f>AG168</f>
        <v>0</v>
      </c>
      <c r="AH166" s="9">
        <f t="shared" si="450"/>
        <v>10609.128999999999</v>
      </c>
      <c r="AI166" s="17" t="s">
        <v>145</v>
      </c>
    </row>
    <row r="167" spans="1:35" x14ac:dyDescent="0.25">
      <c r="A167" s="48"/>
      <c r="B167" s="6" t="s">
        <v>8</v>
      </c>
      <c r="C167" s="36"/>
      <c r="D167" s="36"/>
      <c r="E167" s="37"/>
      <c r="F167" s="36"/>
      <c r="G167" s="36"/>
      <c r="H167" s="37"/>
      <c r="I167" s="37"/>
      <c r="J167" s="37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9"/>
      <c r="W167" s="38"/>
      <c r="X167" s="38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17"/>
    </row>
    <row r="168" spans="1:35" x14ac:dyDescent="0.25">
      <c r="A168" s="48"/>
      <c r="B168" s="6" t="s">
        <v>9</v>
      </c>
      <c r="C168" s="36"/>
      <c r="D168" s="36">
        <f t="shared" ref="D168:D169" si="451">E168-C168</f>
        <v>10592.8</v>
      </c>
      <c r="E168" s="37">
        <v>10592.8</v>
      </c>
      <c r="F168" s="36"/>
      <c r="G168" s="36">
        <f t="shared" ref="G168:G169" si="452">H168-F168</f>
        <v>16853.5</v>
      </c>
      <c r="H168" s="37">
        <v>16853.5</v>
      </c>
      <c r="I168" s="37">
        <v>7634.5</v>
      </c>
      <c r="J168" s="37"/>
      <c r="K168" s="38">
        <f t="shared" si="393"/>
        <v>10592.8</v>
      </c>
      <c r="L168" s="38">
        <f t="shared" si="394"/>
        <v>10592.8</v>
      </c>
      <c r="M168" s="38"/>
      <c r="N168" s="38">
        <f t="shared" si="410"/>
        <v>10592.8</v>
      </c>
      <c r="O168" s="38"/>
      <c r="P168" s="38">
        <f t="shared" si="411"/>
        <v>10592.8</v>
      </c>
      <c r="Q168" s="38"/>
      <c r="R168" s="38">
        <f t="shared" ref="R168:R169" si="453">P168+Q168</f>
        <v>10592.8</v>
      </c>
      <c r="S168" s="38"/>
      <c r="T168" s="38">
        <f t="shared" si="413"/>
        <v>10592.8</v>
      </c>
      <c r="U168" s="38"/>
      <c r="V168" s="39">
        <f t="shared" ref="V168:V169" si="454">T168+U168</f>
        <v>10592.8</v>
      </c>
      <c r="W168" s="38"/>
      <c r="X168" s="38">
        <f t="shared" ref="X168:X169" si="455">V168+W168</f>
        <v>10592.8</v>
      </c>
      <c r="Y168" s="9">
        <v>16.329000000000001</v>
      </c>
      <c r="Z168" s="9">
        <f t="shared" ref="Z168:Z169" si="456">X168+Y168</f>
        <v>10609.128999999999</v>
      </c>
      <c r="AA168" s="9"/>
      <c r="AB168" s="9">
        <f t="shared" ref="AB168:AB169" si="457">Z168+AA168</f>
        <v>10609.128999999999</v>
      </c>
      <c r="AC168" s="9"/>
      <c r="AD168" s="9">
        <f t="shared" ref="AD168:AD169" si="458">AB168+AC168</f>
        <v>10609.128999999999</v>
      </c>
      <c r="AE168" s="9"/>
      <c r="AF168" s="9">
        <f t="shared" ref="AF168:AF169" si="459">AD168+AE168</f>
        <v>10609.128999999999</v>
      </c>
      <c r="AG168" s="9"/>
      <c r="AH168" s="9">
        <f t="shared" ref="AH168:AH169" si="460">AF168+AG168</f>
        <v>10609.128999999999</v>
      </c>
      <c r="AI168" s="17"/>
    </row>
    <row r="169" spans="1:35" ht="31.5" x14ac:dyDescent="0.25">
      <c r="A169" s="48">
        <v>47</v>
      </c>
      <c r="B169" s="6" t="s">
        <v>62</v>
      </c>
      <c r="C169" s="7">
        <f>C171</f>
        <v>0</v>
      </c>
      <c r="D169" s="7">
        <f t="shared" si="451"/>
        <v>100000</v>
      </c>
      <c r="E169" s="8">
        <f>E171</f>
        <v>100000</v>
      </c>
      <c r="F169" s="7">
        <f>F171</f>
        <v>0</v>
      </c>
      <c r="G169" s="7">
        <f t="shared" si="452"/>
        <v>103350</v>
      </c>
      <c r="H169" s="8">
        <f>H171</f>
        <v>103350</v>
      </c>
      <c r="I169" s="8">
        <f>I171</f>
        <v>0</v>
      </c>
      <c r="J169" s="8">
        <f>J171</f>
        <v>0</v>
      </c>
      <c r="K169" s="9">
        <f t="shared" si="393"/>
        <v>100000</v>
      </c>
      <c r="L169" s="9">
        <f t="shared" si="394"/>
        <v>100000</v>
      </c>
      <c r="M169" s="9">
        <f>M171</f>
        <v>0</v>
      </c>
      <c r="N169" s="9">
        <f t="shared" si="410"/>
        <v>100000</v>
      </c>
      <c r="O169" s="9"/>
      <c r="P169" s="9">
        <f t="shared" si="411"/>
        <v>100000</v>
      </c>
      <c r="Q169" s="9"/>
      <c r="R169" s="9">
        <f t="shared" si="453"/>
        <v>100000</v>
      </c>
      <c r="S169" s="9"/>
      <c r="T169" s="9">
        <f t="shared" si="413"/>
        <v>100000</v>
      </c>
      <c r="U169" s="9">
        <f>U171</f>
        <v>0</v>
      </c>
      <c r="V169" s="35">
        <f t="shared" si="454"/>
        <v>100000</v>
      </c>
      <c r="W169" s="9">
        <f>W171</f>
        <v>0</v>
      </c>
      <c r="X169" s="9">
        <f t="shared" si="455"/>
        <v>100000</v>
      </c>
      <c r="Y169" s="9">
        <f>Y171</f>
        <v>0</v>
      </c>
      <c r="Z169" s="9">
        <f t="shared" si="456"/>
        <v>100000</v>
      </c>
      <c r="AA169" s="9">
        <f>AA171</f>
        <v>0</v>
      </c>
      <c r="AB169" s="9">
        <f t="shared" si="457"/>
        <v>100000</v>
      </c>
      <c r="AC169" s="9">
        <f>AC171</f>
        <v>0</v>
      </c>
      <c r="AD169" s="9">
        <f t="shared" si="458"/>
        <v>100000</v>
      </c>
      <c r="AE169" s="9">
        <f>AE171</f>
        <v>0</v>
      </c>
      <c r="AF169" s="9">
        <f t="shared" si="459"/>
        <v>100000</v>
      </c>
      <c r="AG169" s="9">
        <f>AG171</f>
        <v>0</v>
      </c>
      <c r="AH169" s="9">
        <f t="shared" si="460"/>
        <v>100000</v>
      </c>
      <c r="AI169" s="17" t="s">
        <v>131</v>
      </c>
    </row>
    <row r="170" spans="1:35" x14ac:dyDescent="0.25">
      <c r="A170" s="48"/>
      <c r="B170" s="6" t="s">
        <v>8</v>
      </c>
      <c r="C170" s="7"/>
      <c r="D170" s="7"/>
      <c r="E170" s="8"/>
      <c r="F170" s="7"/>
      <c r="G170" s="7"/>
      <c r="H170" s="8"/>
      <c r="I170" s="8"/>
      <c r="J170" s="8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35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17"/>
    </row>
    <row r="171" spans="1:35" x14ac:dyDescent="0.25">
      <c r="A171" s="48"/>
      <c r="B171" s="6" t="s">
        <v>9</v>
      </c>
      <c r="C171" s="7"/>
      <c r="D171" s="7">
        <f t="shared" ref="D171" si="461">E171-C171</f>
        <v>100000</v>
      </c>
      <c r="E171" s="8">
        <v>100000</v>
      </c>
      <c r="F171" s="7"/>
      <c r="G171" s="7">
        <f t="shared" ref="G171" si="462">H171-F171</f>
        <v>103350</v>
      </c>
      <c r="H171" s="8">
        <v>103350</v>
      </c>
      <c r="I171" s="8">
        <v>0</v>
      </c>
      <c r="J171" s="8"/>
      <c r="K171" s="9">
        <f t="shared" si="393"/>
        <v>100000</v>
      </c>
      <c r="L171" s="9">
        <f t="shared" si="394"/>
        <v>100000</v>
      </c>
      <c r="M171" s="9"/>
      <c r="N171" s="9">
        <f t="shared" si="410"/>
        <v>100000</v>
      </c>
      <c r="O171" s="9"/>
      <c r="P171" s="9">
        <f t="shared" si="411"/>
        <v>100000</v>
      </c>
      <c r="Q171" s="9"/>
      <c r="R171" s="9">
        <f t="shared" ref="R171:R172" si="463">P171+Q171</f>
        <v>100000</v>
      </c>
      <c r="S171" s="9"/>
      <c r="T171" s="9">
        <f t="shared" si="413"/>
        <v>100000</v>
      </c>
      <c r="U171" s="9"/>
      <c r="V171" s="35">
        <f t="shared" ref="V171:V172" si="464">T171+U171</f>
        <v>100000</v>
      </c>
      <c r="W171" s="9"/>
      <c r="X171" s="9">
        <f t="shared" ref="X171:X172" si="465">V171+W171</f>
        <v>100000</v>
      </c>
      <c r="Y171" s="9"/>
      <c r="Z171" s="9">
        <f t="shared" ref="Z171:Z172" si="466">X171+Y171</f>
        <v>100000</v>
      </c>
      <c r="AA171" s="9"/>
      <c r="AB171" s="9">
        <f t="shared" ref="AB171:AB172" si="467">Z171+AA171</f>
        <v>100000</v>
      </c>
      <c r="AC171" s="9"/>
      <c r="AD171" s="9">
        <f t="shared" ref="AD171:AD172" si="468">AB171+AC171</f>
        <v>100000</v>
      </c>
      <c r="AE171" s="9"/>
      <c r="AF171" s="9">
        <f t="shared" ref="AF171:AF172" si="469">AD171+AE171</f>
        <v>100000</v>
      </c>
      <c r="AG171" s="9"/>
      <c r="AH171" s="9">
        <f t="shared" ref="AH171:AH172" si="470">AF171+AG171</f>
        <v>100000</v>
      </c>
      <c r="AI171" s="17"/>
    </row>
    <row r="172" spans="1:35" x14ac:dyDescent="0.25">
      <c r="A172" s="48">
        <v>48</v>
      </c>
      <c r="B172" s="6" t="s">
        <v>85</v>
      </c>
      <c r="C172" s="7"/>
      <c r="D172" s="7"/>
      <c r="E172" s="8"/>
      <c r="F172" s="7"/>
      <c r="G172" s="7"/>
      <c r="H172" s="8"/>
      <c r="I172" s="8"/>
      <c r="J172" s="8">
        <f>J174</f>
        <v>27325.599999999999</v>
      </c>
      <c r="K172" s="9">
        <f t="shared" si="393"/>
        <v>27325.599999999999</v>
      </c>
      <c r="L172" s="9">
        <f t="shared" si="394"/>
        <v>27325.599999999999</v>
      </c>
      <c r="M172" s="9">
        <f>M174</f>
        <v>0</v>
      </c>
      <c r="N172" s="9">
        <f t="shared" si="410"/>
        <v>27325.599999999999</v>
      </c>
      <c r="O172" s="9"/>
      <c r="P172" s="9">
        <f t="shared" si="411"/>
        <v>27325.599999999999</v>
      </c>
      <c r="Q172" s="29">
        <f>Q174</f>
        <v>33374.654000000002</v>
      </c>
      <c r="R172" s="29">
        <f t="shared" si="463"/>
        <v>60700.254000000001</v>
      </c>
      <c r="S172" s="29">
        <f>S174</f>
        <v>0</v>
      </c>
      <c r="T172" s="9">
        <f t="shared" si="413"/>
        <v>60700.254000000001</v>
      </c>
      <c r="U172" s="9">
        <f>U174</f>
        <v>0</v>
      </c>
      <c r="V172" s="35">
        <f t="shared" si="464"/>
        <v>60700.254000000001</v>
      </c>
      <c r="W172" s="9">
        <f>W174</f>
        <v>13158.117</v>
      </c>
      <c r="X172" s="9">
        <f t="shared" si="465"/>
        <v>73858.370999999999</v>
      </c>
      <c r="Y172" s="9">
        <f>Y174</f>
        <v>0</v>
      </c>
      <c r="Z172" s="9">
        <f t="shared" si="466"/>
        <v>73858.370999999999</v>
      </c>
      <c r="AA172" s="9">
        <f>AA174</f>
        <v>0</v>
      </c>
      <c r="AB172" s="9">
        <f t="shared" si="467"/>
        <v>73858.370999999999</v>
      </c>
      <c r="AC172" s="9">
        <f>AC174</f>
        <v>0</v>
      </c>
      <c r="AD172" s="9">
        <f t="shared" si="468"/>
        <v>73858.370999999999</v>
      </c>
      <c r="AE172" s="18">
        <f>AE174</f>
        <v>-34800</v>
      </c>
      <c r="AF172" s="9">
        <f t="shared" si="469"/>
        <v>39058.370999999999</v>
      </c>
      <c r="AG172" s="9">
        <f>AG174</f>
        <v>0</v>
      </c>
      <c r="AH172" s="9">
        <f t="shared" si="470"/>
        <v>39058.370999999999</v>
      </c>
      <c r="AI172" s="17" t="s">
        <v>107</v>
      </c>
    </row>
    <row r="173" spans="1:35" x14ac:dyDescent="0.25">
      <c r="A173" s="48"/>
      <c r="B173" s="6" t="s">
        <v>8</v>
      </c>
      <c r="C173" s="7"/>
      <c r="D173" s="7"/>
      <c r="E173" s="8"/>
      <c r="F173" s="7"/>
      <c r="G173" s="7"/>
      <c r="H173" s="8"/>
      <c r="I173" s="8"/>
      <c r="J173" s="8"/>
      <c r="K173" s="9"/>
      <c r="L173" s="9"/>
      <c r="M173" s="9"/>
      <c r="N173" s="9"/>
      <c r="O173" s="9"/>
      <c r="P173" s="9"/>
      <c r="Q173" s="29"/>
      <c r="R173" s="29"/>
      <c r="S173" s="29"/>
      <c r="T173" s="9"/>
      <c r="U173" s="9"/>
      <c r="V173" s="35"/>
      <c r="W173" s="9"/>
      <c r="X173" s="9"/>
      <c r="Y173" s="9"/>
      <c r="Z173" s="9"/>
      <c r="AA173" s="9"/>
      <c r="AB173" s="9"/>
      <c r="AC173" s="9"/>
      <c r="AD173" s="9"/>
      <c r="AE173" s="18"/>
      <c r="AF173" s="9"/>
      <c r="AG173" s="9"/>
      <c r="AH173" s="9"/>
      <c r="AI173" s="17"/>
    </row>
    <row r="174" spans="1:35" x14ac:dyDescent="0.25">
      <c r="A174" s="48"/>
      <c r="B174" s="6" t="s">
        <v>9</v>
      </c>
      <c r="C174" s="7"/>
      <c r="D174" s="7"/>
      <c r="E174" s="8"/>
      <c r="F174" s="7"/>
      <c r="G174" s="7"/>
      <c r="H174" s="8"/>
      <c r="I174" s="8"/>
      <c r="J174" s="8">
        <f>27325.6</f>
        <v>27325.599999999999</v>
      </c>
      <c r="K174" s="9">
        <f t="shared" si="393"/>
        <v>27325.599999999999</v>
      </c>
      <c r="L174" s="9">
        <f t="shared" si="394"/>
        <v>27325.599999999999</v>
      </c>
      <c r="M174" s="9"/>
      <c r="N174" s="9">
        <f t="shared" si="410"/>
        <v>27325.599999999999</v>
      </c>
      <c r="O174" s="9"/>
      <c r="P174" s="9">
        <f t="shared" si="411"/>
        <v>27325.599999999999</v>
      </c>
      <c r="Q174" s="29">
        <v>33374.654000000002</v>
      </c>
      <c r="R174" s="29">
        <f t="shared" ref="R174:R182" si="471">P174+Q174</f>
        <v>60700.254000000001</v>
      </c>
      <c r="S174" s="29"/>
      <c r="T174" s="9">
        <f t="shared" si="413"/>
        <v>60700.254000000001</v>
      </c>
      <c r="U174" s="9"/>
      <c r="V174" s="35">
        <f t="shared" ref="V174:V175" si="472">T174+U174</f>
        <v>60700.254000000001</v>
      </c>
      <c r="W174" s="9">
        <v>13158.117</v>
      </c>
      <c r="X174" s="9">
        <f t="shared" ref="X174:X175" si="473">V174+W174</f>
        <v>73858.370999999999</v>
      </c>
      <c r="Y174" s="9"/>
      <c r="Z174" s="9">
        <f t="shared" ref="Z174:Z175" si="474">X174+Y174</f>
        <v>73858.370999999999</v>
      </c>
      <c r="AA174" s="9"/>
      <c r="AB174" s="9">
        <f t="shared" ref="AB174:AB175" si="475">Z174+AA174</f>
        <v>73858.370999999999</v>
      </c>
      <c r="AC174" s="9"/>
      <c r="AD174" s="9">
        <f t="shared" ref="AD174:AD175" si="476">AB174+AC174</f>
        <v>73858.370999999999</v>
      </c>
      <c r="AE174" s="18">
        <v>-34800</v>
      </c>
      <c r="AF174" s="9">
        <f t="shared" ref="AF174:AF175" si="477">AD174+AE174</f>
        <v>39058.370999999999</v>
      </c>
      <c r="AG174" s="9"/>
      <c r="AH174" s="9">
        <f t="shared" ref="AH174:AH175" si="478">AF174+AG174</f>
        <v>39058.370999999999</v>
      </c>
      <c r="AI174" s="17"/>
    </row>
    <row r="175" spans="1:35" ht="31.5" x14ac:dyDescent="0.25">
      <c r="A175" s="48">
        <v>49</v>
      </c>
      <c r="B175" s="6" t="s">
        <v>86</v>
      </c>
      <c r="C175" s="27"/>
      <c r="D175" s="27"/>
      <c r="E175" s="28"/>
      <c r="F175" s="27"/>
      <c r="G175" s="27"/>
      <c r="H175" s="28"/>
      <c r="I175" s="28"/>
      <c r="J175" s="28"/>
      <c r="K175" s="18"/>
      <c r="L175" s="18"/>
      <c r="M175" s="18"/>
      <c r="N175" s="18"/>
      <c r="O175" s="18"/>
      <c r="P175" s="18"/>
      <c r="Q175" s="29">
        <f>Q177</f>
        <v>13482.751</v>
      </c>
      <c r="R175" s="29">
        <f t="shared" si="471"/>
        <v>13482.751</v>
      </c>
      <c r="S175" s="29">
        <f>S177</f>
        <v>0</v>
      </c>
      <c r="T175" s="9">
        <f t="shared" si="413"/>
        <v>13482.751</v>
      </c>
      <c r="U175" s="9">
        <f>U177</f>
        <v>0</v>
      </c>
      <c r="V175" s="35">
        <f t="shared" si="472"/>
        <v>13482.751</v>
      </c>
      <c r="W175" s="9">
        <f>W177</f>
        <v>0</v>
      </c>
      <c r="X175" s="9">
        <f t="shared" si="473"/>
        <v>13482.751</v>
      </c>
      <c r="Y175" s="9">
        <f>Y177</f>
        <v>0</v>
      </c>
      <c r="Z175" s="9">
        <f t="shared" si="474"/>
        <v>13482.751</v>
      </c>
      <c r="AA175" s="9">
        <f>AA177</f>
        <v>0</v>
      </c>
      <c r="AB175" s="9">
        <f t="shared" si="475"/>
        <v>13482.751</v>
      </c>
      <c r="AC175" s="9">
        <f>AC177</f>
        <v>0</v>
      </c>
      <c r="AD175" s="9">
        <f t="shared" si="476"/>
        <v>13482.751</v>
      </c>
      <c r="AE175" s="9">
        <f>AE177</f>
        <v>0</v>
      </c>
      <c r="AF175" s="9">
        <f t="shared" si="477"/>
        <v>13482.751</v>
      </c>
      <c r="AG175" s="9">
        <f>AG177</f>
        <v>0</v>
      </c>
      <c r="AH175" s="9">
        <f t="shared" si="478"/>
        <v>13482.751</v>
      </c>
      <c r="AI175" s="17" t="s">
        <v>87</v>
      </c>
    </row>
    <row r="176" spans="1:35" x14ac:dyDescent="0.25">
      <c r="A176" s="48"/>
      <c r="B176" s="6" t="s">
        <v>8</v>
      </c>
      <c r="C176" s="27"/>
      <c r="D176" s="27"/>
      <c r="E176" s="28"/>
      <c r="F176" s="27"/>
      <c r="G176" s="27"/>
      <c r="H176" s="28"/>
      <c r="I176" s="28"/>
      <c r="J176" s="28"/>
      <c r="K176" s="18"/>
      <c r="L176" s="18"/>
      <c r="M176" s="18"/>
      <c r="N176" s="18"/>
      <c r="O176" s="18"/>
      <c r="P176" s="18"/>
      <c r="Q176" s="29"/>
      <c r="R176" s="29"/>
      <c r="S176" s="29"/>
      <c r="T176" s="9"/>
      <c r="U176" s="9"/>
      <c r="V176" s="35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17"/>
    </row>
    <row r="177" spans="1:35" x14ac:dyDescent="0.25">
      <c r="A177" s="48"/>
      <c r="B177" s="6" t="s">
        <v>9</v>
      </c>
      <c r="C177" s="27"/>
      <c r="D177" s="27"/>
      <c r="E177" s="28"/>
      <c r="F177" s="27"/>
      <c r="G177" s="27"/>
      <c r="H177" s="28"/>
      <c r="I177" s="28"/>
      <c r="J177" s="28"/>
      <c r="K177" s="18"/>
      <c r="L177" s="18"/>
      <c r="M177" s="18"/>
      <c r="N177" s="18"/>
      <c r="O177" s="18"/>
      <c r="P177" s="18"/>
      <c r="Q177" s="29">
        <v>13482.751</v>
      </c>
      <c r="R177" s="29">
        <f t="shared" ref="R177" si="479">P177+Q177</f>
        <v>13482.751</v>
      </c>
      <c r="S177" s="29"/>
      <c r="T177" s="9">
        <f t="shared" si="413"/>
        <v>13482.751</v>
      </c>
      <c r="U177" s="9"/>
      <c r="V177" s="35">
        <f t="shared" ref="V177:V182" si="480">T177+U177</f>
        <v>13482.751</v>
      </c>
      <c r="W177" s="9"/>
      <c r="X177" s="9">
        <f t="shared" ref="X177:X182" si="481">V177+W177</f>
        <v>13482.751</v>
      </c>
      <c r="Y177" s="9"/>
      <c r="Z177" s="9">
        <f t="shared" ref="Z177:Z178" si="482">X177+Y177</f>
        <v>13482.751</v>
      </c>
      <c r="AA177" s="9"/>
      <c r="AB177" s="9">
        <f t="shared" ref="AB177:AB178" si="483">Z177+AA177</f>
        <v>13482.751</v>
      </c>
      <c r="AC177" s="9"/>
      <c r="AD177" s="9">
        <f t="shared" ref="AD177:AD178" si="484">AB177+AC177</f>
        <v>13482.751</v>
      </c>
      <c r="AE177" s="9"/>
      <c r="AF177" s="9">
        <f t="shared" ref="AF177:AF178" si="485">AD177+AE177</f>
        <v>13482.751</v>
      </c>
      <c r="AG177" s="9"/>
      <c r="AH177" s="9">
        <f t="shared" ref="AH177:AH178" si="486">AF177+AG177</f>
        <v>13482.751</v>
      </c>
      <c r="AI177" s="17"/>
    </row>
    <row r="178" spans="1:35" ht="31.5" x14ac:dyDescent="0.25">
      <c r="A178" s="48">
        <v>50</v>
      </c>
      <c r="B178" s="6" t="s">
        <v>140</v>
      </c>
      <c r="C178" s="27"/>
      <c r="D178" s="27"/>
      <c r="E178" s="28"/>
      <c r="F178" s="27"/>
      <c r="G178" s="27"/>
      <c r="H178" s="28"/>
      <c r="I178" s="28"/>
      <c r="J178" s="28"/>
      <c r="K178" s="18"/>
      <c r="L178" s="18"/>
      <c r="M178" s="18"/>
      <c r="N178" s="18"/>
      <c r="O178" s="18"/>
      <c r="P178" s="18"/>
      <c r="Q178" s="29"/>
      <c r="R178" s="29"/>
      <c r="S178" s="29"/>
      <c r="T178" s="9"/>
      <c r="U178" s="9"/>
      <c r="V178" s="35"/>
      <c r="W178" s="9">
        <f>W180</f>
        <v>3142.9380000000001</v>
      </c>
      <c r="X178" s="9">
        <f t="shared" si="481"/>
        <v>3142.9380000000001</v>
      </c>
      <c r="Y178" s="9">
        <f>Y180</f>
        <v>0</v>
      </c>
      <c r="Z178" s="9">
        <f t="shared" si="482"/>
        <v>3142.9380000000001</v>
      </c>
      <c r="AA178" s="9">
        <f>AA180</f>
        <v>0</v>
      </c>
      <c r="AB178" s="9">
        <f t="shared" si="483"/>
        <v>3142.9380000000001</v>
      </c>
      <c r="AC178" s="9">
        <f>AC180</f>
        <v>0</v>
      </c>
      <c r="AD178" s="9">
        <f t="shared" si="484"/>
        <v>3142.9380000000001</v>
      </c>
      <c r="AE178" s="9">
        <f>AE180</f>
        <v>0</v>
      </c>
      <c r="AF178" s="9">
        <f t="shared" si="485"/>
        <v>3142.9380000000001</v>
      </c>
      <c r="AG178" s="9">
        <f>AG180</f>
        <v>0</v>
      </c>
      <c r="AH178" s="9">
        <f t="shared" si="486"/>
        <v>3142.9380000000001</v>
      </c>
      <c r="AI178" s="17" t="s">
        <v>141</v>
      </c>
    </row>
    <row r="179" spans="1:35" x14ac:dyDescent="0.25">
      <c r="A179" s="48"/>
      <c r="B179" s="6" t="s">
        <v>8</v>
      </c>
      <c r="C179" s="27"/>
      <c r="D179" s="27"/>
      <c r="E179" s="28"/>
      <c r="F179" s="27"/>
      <c r="G179" s="27"/>
      <c r="H179" s="28"/>
      <c r="I179" s="28"/>
      <c r="J179" s="28"/>
      <c r="K179" s="18"/>
      <c r="L179" s="18"/>
      <c r="M179" s="18"/>
      <c r="N179" s="18"/>
      <c r="O179" s="18"/>
      <c r="P179" s="18"/>
      <c r="Q179" s="29"/>
      <c r="R179" s="29"/>
      <c r="S179" s="29"/>
      <c r="T179" s="9"/>
      <c r="U179" s="9"/>
      <c r="V179" s="35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17"/>
    </row>
    <row r="180" spans="1:35" x14ac:dyDescent="0.25">
      <c r="A180" s="48"/>
      <c r="B180" s="6" t="s">
        <v>9</v>
      </c>
      <c r="C180" s="27"/>
      <c r="D180" s="27"/>
      <c r="E180" s="28"/>
      <c r="F180" s="27"/>
      <c r="G180" s="27"/>
      <c r="H180" s="28"/>
      <c r="I180" s="28"/>
      <c r="J180" s="28"/>
      <c r="K180" s="18"/>
      <c r="L180" s="18"/>
      <c r="M180" s="18"/>
      <c r="N180" s="18"/>
      <c r="O180" s="18"/>
      <c r="P180" s="18"/>
      <c r="Q180" s="29"/>
      <c r="R180" s="29"/>
      <c r="S180" s="29"/>
      <c r="T180" s="9"/>
      <c r="U180" s="9"/>
      <c r="V180" s="35"/>
      <c r="W180" s="9">
        <v>3142.9380000000001</v>
      </c>
      <c r="X180" s="9">
        <f t="shared" ref="X180" si="487">V180+W180</f>
        <v>3142.9380000000001</v>
      </c>
      <c r="Y180" s="9"/>
      <c r="Z180" s="9">
        <f t="shared" ref="Z180:Z182" si="488">X180+Y180</f>
        <v>3142.9380000000001</v>
      </c>
      <c r="AA180" s="9"/>
      <c r="AB180" s="9">
        <f t="shared" ref="AB180:AB182" si="489">Z180+AA180</f>
        <v>3142.9380000000001</v>
      </c>
      <c r="AC180" s="9"/>
      <c r="AD180" s="9">
        <f t="shared" ref="AD180:AD182" si="490">AB180+AC180</f>
        <v>3142.9380000000001</v>
      </c>
      <c r="AE180" s="9"/>
      <c r="AF180" s="9">
        <f t="shared" ref="AF180:AF182" si="491">AD180+AE180</f>
        <v>3142.9380000000001</v>
      </c>
      <c r="AG180" s="9"/>
      <c r="AH180" s="9">
        <f t="shared" ref="AH180" si="492">AF180+AG180</f>
        <v>3142.9380000000001</v>
      </c>
      <c r="AI180" s="17"/>
    </row>
    <row r="181" spans="1:35" x14ac:dyDescent="0.25">
      <c r="A181" s="48"/>
      <c r="B181" s="48" t="s">
        <v>29</v>
      </c>
      <c r="C181" s="7">
        <f>C182+C185+C189+C192+C195+C199+C203+C206+C209+C212</f>
        <v>1953573.1329999999</v>
      </c>
      <c r="D181" s="7">
        <f t="shared" si="177"/>
        <v>1035733.8670000001</v>
      </c>
      <c r="E181" s="7">
        <f>E182+E185+E189+E192+E195+E199+E203+E206+E209+E212+E215+E221+E224+E227</f>
        <v>2989307</v>
      </c>
      <c r="F181" s="7">
        <f>F182+F185+F189+F192+F195+F199+F203+F206+F209+F212</f>
        <v>1972564.5929999999</v>
      </c>
      <c r="G181" s="7">
        <f t="shared" si="178"/>
        <v>1251285.7069999999</v>
      </c>
      <c r="H181" s="7">
        <f>H182+H185+H189+H192+H195+H199+H203+H206+H209+H212+H215+H221+H224+H227</f>
        <v>3223850.3</v>
      </c>
      <c r="I181" s="7">
        <f>I182+I185+I189+I192+I195+I199+I203+I206+I209+I212+I215+I221+I224+I227</f>
        <v>3491645.7</v>
      </c>
      <c r="J181" s="7">
        <f>J182+J185+J189+J192+J195+J199+J203+J206+J209+J212+J215+J221+J224+J227</f>
        <v>24466.799999999999</v>
      </c>
      <c r="K181" s="9">
        <f t="shared" si="393"/>
        <v>1060200.6669999999</v>
      </c>
      <c r="L181" s="9">
        <f t="shared" si="394"/>
        <v>3013773.8</v>
      </c>
      <c r="M181" s="9">
        <f>M182+M185+M189+M192+M195+M199+M203+M206+M209+M212+M215+M221+M227</f>
        <v>244500</v>
      </c>
      <c r="N181" s="9">
        <f t="shared" si="410"/>
        <v>3258273.8</v>
      </c>
      <c r="O181" s="9">
        <f>O182+O185+O189+O192+O195+O199+O203+O206+O209+O212+O215+O221+O227</f>
        <v>-4108.6000000000004</v>
      </c>
      <c r="P181" s="9">
        <f t="shared" si="411"/>
        <v>3254165.1999999997</v>
      </c>
      <c r="Q181" s="9">
        <f>Q182+Q185+Q189+Q192+Q195+Q199+Q203+Q206+Q209+Q212+Q215+Q221+Q227+Q218+Q230</f>
        <v>110341.14000000001</v>
      </c>
      <c r="R181" s="9">
        <f t="shared" si="471"/>
        <v>3364506.34</v>
      </c>
      <c r="S181" s="9">
        <f>S182+S185+S189+S192+S195+S199+S203+S206+S209+S212+S215+S221+S227+S218+S230</f>
        <v>-9921.7060000000001</v>
      </c>
      <c r="T181" s="9">
        <f t="shared" si="413"/>
        <v>3354584.6340000001</v>
      </c>
      <c r="U181" s="9">
        <f>U182+U185+U189+U192+U195+U199+U203+U206+U209+U212+U215+U221+U227+U218+U230</f>
        <v>-2969.3989999999999</v>
      </c>
      <c r="V181" s="35">
        <f t="shared" si="480"/>
        <v>3351615.2349999999</v>
      </c>
      <c r="W181" s="9">
        <f>W182+W185+W189+W192+W195+W199+W203+W206+W209+W212+W215+W221+W227+W218+W230</f>
        <v>-69331.902999999991</v>
      </c>
      <c r="X181" s="9">
        <f t="shared" si="481"/>
        <v>3282283.3319999999</v>
      </c>
      <c r="Y181" s="9">
        <f>Y182+Y185+Y189+Y192+Y195+Y199+Y203+Y206+Y209+Y212+Y215+Y221+Y227+Y218+Y230+Y224</f>
        <v>9089.9369999999999</v>
      </c>
      <c r="Z181" s="9">
        <f t="shared" si="488"/>
        <v>3291373.2689999999</v>
      </c>
      <c r="AA181" s="9">
        <f>AA182+AA185+AA189+AA192+AA195+AA199+AA203+AA206+AA209+AA212+AA215+AA221+AA227+AA218+AA230+AA224</f>
        <v>215498.05100000001</v>
      </c>
      <c r="AB181" s="9">
        <f t="shared" si="489"/>
        <v>3506871.32</v>
      </c>
      <c r="AC181" s="9">
        <f>AC182+AC185+AC189+AC192+AC195+AC199+AC203+AC206+AC209+AC212+AC215+AC221+AC227+AC218+AC230</f>
        <v>-984.52099999999996</v>
      </c>
      <c r="AD181" s="9">
        <f t="shared" si="490"/>
        <v>3505886.7989999996</v>
      </c>
      <c r="AE181" s="9">
        <f>AE182+AE185+AE189+AE192+AE195+AE199+AE203+AE206+AE209+AE212+AE215+AE221+AE227+AE218+AE230</f>
        <v>-53689.111999999994</v>
      </c>
      <c r="AF181" s="9">
        <f>AF182+AF185+AF189+AF192+AF195+AF199+AF203+AF206+AF212+AF215+AF218+AF221+AF224+AF227+AF230</f>
        <v>3452148.5869999998</v>
      </c>
      <c r="AG181" s="9">
        <f>AG182+AG185+AG189+AG192+AG195+AG199+AG203+AG206+AG209+AG212+AG215+AG221+AG227+AG218+AG230</f>
        <v>-20083.811999999998</v>
      </c>
      <c r="AH181" s="9">
        <f>AH182+AH185+AH189+AH192+AH195+AH199+AH203+AH206+AH212+AH215+AH218+AH221+AH224+AH227+AH230</f>
        <v>3430365.314999999</v>
      </c>
      <c r="AI181" s="17"/>
    </row>
    <row r="182" spans="1:35" ht="31.5" x14ac:dyDescent="0.25">
      <c r="A182" s="48">
        <v>1</v>
      </c>
      <c r="B182" s="47" t="s">
        <v>30</v>
      </c>
      <c r="C182" s="36">
        <f>C184</f>
        <v>200914.08299999998</v>
      </c>
      <c r="D182" s="36">
        <f t="shared" si="177"/>
        <v>-3926.68299999999</v>
      </c>
      <c r="E182" s="36">
        <f>E184</f>
        <v>196987.4</v>
      </c>
      <c r="F182" s="36">
        <f>F184</f>
        <v>214319.89300000001</v>
      </c>
      <c r="G182" s="36">
        <f t="shared" si="178"/>
        <v>23851.807000000001</v>
      </c>
      <c r="H182" s="36">
        <f>H184</f>
        <v>238171.7</v>
      </c>
      <c r="I182" s="36">
        <f>I184</f>
        <v>91267.7</v>
      </c>
      <c r="J182" s="36">
        <f>J184</f>
        <v>0</v>
      </c>
      <c r="K182" s="38">
        <f t="shared" si="393"/>
        <v>-3926.68299999999</v>
      </c>
      <c r="L182" s="38">
        <f t="shared" si="394"/>
        <v>196987.4</v>
      </c>
      <c r="M182" s="38">
        <f>M184</f>
        <v>0</v>
      </c>
      <c r="N182" s="38">
        <f t="shared" si="410"/>
        <v>196987.4</v>
      </c>
      <c r="O182" s="38">
        <f>O184</f>
        <v>-4108.6000000000004</v>
      </c>
      <c r="P182" s="38">
        <f t="shared" si="411"/>
        <v>192878.8</v>
      </c>
      <c r="Q182" s="38">
        <f>Q184</f>
        <v>13850.383</v>
      </c>
      <c r="R182" s="38">
        <f t="shared" si="471"/>
        <v>206729.18299999999</v>
      </c>
      <c r="S182" s="38">
        <f>S184</f>
        <v>-473.84</v>
      </c>
      <c r="T182" s="38">
        <f t="shared" si="413"/>
        <v>206255.34299999999</v>
      </c>
      <c r="U182" s="38">
        <f>U184</f>
        <v>-2463.866</v>
      </c>
      <c r="V182" s="39">
        <f t="shared" si="480"/>
        <v>203791.47699999998</v>
      </c>
      <c r="W182" s="38">
        <f>W184</f>
        <v>0</v>
      </c>
      <c r="X182" s="38">
        <f t="shared" si="481"/>
        <v>203791.47699999998</v>
      </c>
      <c r="Y182" s="9">
        <f>Y184</f>
        <v>16.888000000000002</v>
      </c>
      <c r="Z182" s="9">
        <f t="shared" si="488"/>
        <v>203808.36499999999</v>
      </c>
      <c r="AA182" s="9">
        <f>AA184</f>
        <v>-315.70499999999998</v>
      </c>
      <c r="AB182" s="9">
        <f t="shared" si="489"/>
        <v>203492.66</v>
      </c>
      <c r="AC182" s="9">
        <f>AC184</f>
        <v>0</v>
      </c>
      <c r="AD182" s="9">
        <f t="shared" si="490"/>
        <v>203492.66</v>
      </c>
      <c r="AE182" s="9">
        <f>AE184</f>
        <v>0</v>
      </c>
      <c r="AF182" s="9">
        <f t="shared" si="491"/>
        <v>203492.66</v>
      </c>
      <c r="AG182" s="9">
        <f>AG184</f>
        <v>0</v>
      </c>
      <c r="AH182" s="9">
        <f t="shared" ref="AH182" si="493">AF182+AG182</f>
        <v>203492.66</v>
      </c>
      <c r="AI182" s="17" t="s">
        <v>118</v>
      </c>
    </row>
    <row r="183" spans="1:35" x14ac:dyDescent="0.25">
      <c r="A183" s="48"/>
      <c r="B183" s="6" t="s">
        <v>8</v>
      </c>
      <c r="C183" s="36"/>
      <c r="D183" s="36"/>
      <c r="E183" s="36"/>
      <c r="F183" s="36"/>
      <c r="G183" s="36"/>
      <c r="H183" s="36"/>
      <c r="I183" s="36"/>
      <c r="J183" s="36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9"/>
      <c r="W183" s="38"/>
      <c r="X183" s="38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17"/>
    </row>
    <row r="184" spans="1:35" x14ac:dyDescent="0.25">
      <c r="A184" s="48"/>
      <c r="B184" s="6" t="s">
        <v>9</v>
      </c>
      <c r="C184" s="36">
        <v>200914.08299999998</v>
      </c>
      <c r="D184" s="36">
        <f t="shared" si="177"/>
        <v>-3926.68299999999</v>
      </c>
      <c r="E184" s="36">
        <v>196987.4</v>
      </c>
      <c r="F184" s="36">
        <v>214319.89300000001</v>
      </c>
      <c r="G184" s="36">
        <f t="shared" si="178"/>
        <v>23851.807000000001</v>
      </c>
      <c r="H184" s="36">
        <v>238171.7</v>
      </c>
      <c r="I184" s="36">
        <v>91267.7</v>
      </c>
      <c r="J184" s="36">
        <f>-9712.8-1.2-97670.4-58500+5604.2+1.2+4108.6+97670.4+58500</f>
        <v>0</v>
      </c>
      <c r="K184" s="38">
        <f t="shared" si="393"/>
        <v>-3926.68299999999</v>
      </c>
      <c r="L184" s="38">
        <f t="shared" si="394"/>
        <v>196987.4</v>
      </c>
      <c r="M184" s="38"/>
      <c r="N184" s="38">
        <f t="shared" si="410"/>
        <v>196987.4</v>
      </c>
      <c r="O184" s="38">
        <f>-4108.6+500-500</f>
        <v>-4108.6000000000004</v>
      </c>
      <c r="P184" s="38">
        <f t="shared" si="411"/>
        <v>192878.8</v>
      </c>
      <c r="Q184" s="38">
        <f>2661.545+10714.998+473.84</f>
        <v>13850.383</v>
      </c>
      <c r="R184" s="38">
        <f t="shared" ref="R184:R185" si="494">P184+Q184</f>
        <v>206729.18299999999</v>
      </c>
      <c r="S184" s="38">
        <v>-473.84</v>
      </c>
      <c r="T184" s="38">
        <f t="shared" si="413"/>
        <v>206255.34299999999</v>
      </c>
      <c r="U184" s="38">
        <f>-1897.977-565.889</f>
        <v>-2463.866</v>
      </c>
      <c r="V184" s="39">
        <f t="shared" ref="V184:V185" si="495">T184+U184</f>
        <v>203791.47699999998</v>
      </c>
      <c r="W184" s="38"/>
      <c r="X184" s="38">
        <f t="shared" ref="X184:X185" si="496">V184+W184</f>
        <v>203791.47699999998</v>
      </c>
      <c r="Y184" s="9">
        <v>16.888000000000002</v>
      </c>
      <c r="Z184" s="9">
        <f t="shared" ref="Z184:Z185" si="497">X184+Y184</f>
        <v>203808.36499999999</v>
      </c>
      <c r="AA184" s="9">
        <v>-315.70499999999998</v>
      </c>
      <c r="AB184" s="9">
        <f t="shared" ref="AB184:AB185" si="498">Z184+AA184</f>
        <v>203492.66</v>
      </c>
      <c r="AC184" s="9"/>
      <c r="AD184" s="9">
        <f t="shared" ref="AD184:AD185" si="499">AB184+AC184</f>
        <v>203492.66</v>
      </c>
      <c r="AE184" s="9"/>
      <c r="AF184" s="9">
        <f t="shared" ref="AF184:AF185" si="500">AD184+AE184</f>
        <v>203492.66</v>
      </c>
      <c r="AG184" s="9"/>
      <c r="AH184" s="9">
        <f t="shared" ref="AH184:AH185" si="501">AF184+AG184</f>
        <v>203492.66</v>
      </c>
      <c r="AI184" s="17"/>
    </row>
    <row r="185" spans="1:35" x14ac:dyDescent="0.25">
      <c r="A185" s="48">
        <v>2</v>
      </c>
      <c r="B185" s="6" t="s">
        <v>31</v>
      </c>
      <c r="C185" s="7">
        <f>C187+C188</f>
        <v>165569.29999999999</v>
      </c>
      <c r="D185" s="7">
        <f t="shared" si="177"/>
        <v>25846.5</v>
      </c>
      <c r="E185" s="7">
        <f>E187+E188</f>
        <v>191415.8</v>
      </c>
      <c r="F185" s="7">
        <f>F187+F188</f>
        <v>168896.1</v>
      </c>
      <c r="G185" s="7">
        <f t="shared" si="178"/>
        <v>23470.299999999988</v>
      </c>
      <c r="H185" s="7">
        <f>H187+H188</f>
        <v>192366.4</v>
      </c>
      <c r="I185" s="7">
        <f>I187+I188</f>
        <v>194297.60000000001</v>
      </c>
      <c r="J185" s="7">
        <f>J187+J188</f>
        <v>127.5</v>
      </c>
      <c r="K185" s="9">
        <f t="shared" si="393"/>
        <v>25974</v>
      </c>
      <c r="L185" s="9">
        <f t="shared" si="394"/>
        <v>191543.3</v>
      </c>
      <c r="M185" s="9">
        <f>M187+M188</f>
        <v>0</v>
      </c>
      <c r="N185" s="9">
        <f t="shared" si="410"/>
        <v>191543.3</v>
      </c>
      <c r="O185" s="9"/>
      <c r="P185" s="9">
        <f t="shared" si="411"/>
        <v>191543.3</v>
      </c>
      <c r="Q185" s="9"/>
      <c r="R185" s="9">
        <f t="shared" si="494"/>
        <v>191543.3</v>
      </c>
      <c r="S185" s="9"/>
      <c r="T185" s="9">
        <f t="shared" si="413"/>
        <v>191543.3</v>
      </c>
      <c r="U185" s="9"/>
      <c r="V185" s="35">
        <f t="shared" si="495"/>
        <v>191543.3</v>
      </c>
      <c r="W185" s="9"/>
      <c r="X185" s="9">
        <f t="shared" si="496"/>
        <v>191543.3</v>
      </c>
      <c r="Y185" s="9"/>
      <c r="Z185" s="9">
        <f t="shared" si="497"/>
        <v>191543.3</v>
      </c>
      <c r="AA185" s="9"/>
      <c r="AB185" s="9">
        <f t="shared" si="498"/>
        <v>191543.3</v>
      </c>
      <c r="AC185" s="9">
        <f>AC187+AC188</f>
        <v>0</v>
      </c>
      <c r="AD185" s="9">
        <f t="shared" si="499"/>
        <v>191543.3</v>
      </c>
      <c r="AE185" s="18">
        <f>AE187+AE188</f>
        <v>-5856.9</v>
      </c>
      <c r="AF185" s="9">
        <f t="shared" si="500"/>
        <v>185686.39999999999</v>
      </c>
      <c r="AG185" s="9">
        <f>AG187+AG188</f>
        <v>0</v>
      </c>
      <c r="AH185" s="9">
        <f t="shared" si="501"/>
        <v>185686.39999999999</v>
      </c>
      <c r="AI185" s="17" t="s">
        <v>153</v>
      </c>
    </row>
    <row r="186" spans="1:35" x14ac:dyDescent="0.25">
      <c r="A186" s="48"/>
      <c r="B186" s="6" t="s">
        <v>8</v>
      </c>
      <c r="C186" s="7"/>
      <c r="D186" s="7"/>
      <c r="E186" s="7"/>
      <c r="F186" s="7"/>
      <c r="G186" s="7"/>
      <c r="H186" s="7"/>
      <c r="I186" s="7"/>
      <c r="J186" s="7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35"/>
      <c r="W186" s="9"/>
      <c r="X186" s="9"/>
      <c r="Y186" s="9"/>
      <c r="Z186" s="9"/>
      <c r="AA186" s="9"/>
      <c r="AB186" s="9"/>
      <c r="AC186" s="9"/>
      <c r="AD186" s="9"/>
      <c r="AE186" s="18"/>
      <c r="AF186" s="9"/>
      <c r="AG186" s="9"/>
      <c r="AH186" s="9"/>
      <c r="AI186" s="17"/>
    </row>
    <row r="187" spans="1:35" x14ac:dyDescent="0.25">
      <c r="A187" s="48"/>
      <c r="B187" s="6" t="s">
        <v>9</v>
      </c>
      <c r="C187" s="7">
        <v>71335.3</v>
      </c>
      <c r="D187" s="7">
        <f t="shared" si="177"/>
        <v>-3238</v>
      </c>
      <c r="E187" s="7">
        <v>68097.3</v>
      </c>
      <c r="F187" s="7">
        <v>74662.100000000006</v>
      </c>
      <c r="G187" s="7">
        <f t="shared" si="178"/>
        <v>-5614.2000000000116</v>
      </c>
      <c r="H187" s="7">
        <v>69047.899999999994</v>
      </c>
      <c r="I187" s="7">
        <v>70979.100000000006</v>
      </c>
      <c r="J187" s="7">
        <f>127.5</f>
        <v>127.5</v>
      </c>
      <c r="K187" s="9">
        <f t="shared" si="393"/>
        <v>-3110.5</v>
      </c>
      <c r="L187" s="9">
        <f t="shared" si="394"/>
        <v>68224.800000000003</v>
      </c>
      <c r="M187" s="9"/>
      <c r="N187" s="9">
        <f t="shared" si="410"/>
        <v>68224.800000000003</v>
      </c>
      <c r="O187" s="9"/>
      <c r="P187" s="9">
        <f t="shared" si="411"/>
        <v>68224.800000000003</v>
      </c>
      <c r="Q187" s="9"/>
      <c r="R187" s="9">
        <f t="shared" ref="R187:R189" si="502">P187+Q187</f>
        <v>68224.800000000003</v>
      </c>
      <c r="S187" s="9"/>
      <c r="T187" s="9">
        <f t="shared" si="413"/>
        <v>68224.800000000003</v>
      </c>
      <c r="U187" s="9"/>
      <c r="V187" s="35">
        <f t="shared" ref="V187:V189" si="503">T187+U187</f>
        <v>68224.800000000003</v>
      </c>
      <c r="W187" s="9"/>
      <c r="X187" s="9">
        <f t="shared" ref="X187:X189" si="504">V187+W187</f>
        <v>68224.800000000003</v>
      </c>
      <c r="Y187" s="9"/>
      <c r="Z187" s="9">
        <f t="shared" ref="Z187:Z189" si="505">X187+Y187</f>
        <v>68224.800000000003</v>
      </c>
      <c r="AA187" s="9"/>
      <c r="AB187" s="9">
        <f t="shared" ref="AB187:AB189" si="506">Z187+AA187</f>
        <v>68224.800000000003</v>
      </c>
      <c r="AC187" s="9"/>
      <c r="AD187" s="9">
        <f t="shared" ref="AD187:AD189" si="507">AB187+AC187</f>
        <v>68224.800000000003</v>
      </c>
      <c r="AE187" s="18">
        <v>-5856.9</v>
      </c>
      <c r="AF187" s="9">
        <f t="shared" ref="AF187:AF189" si="508">AD187+AE187</f>
        <v>62367.9</v>
      </c>
      <c r="AG187" s="9"/>
      <c r="AH187" s="9">
        <f t="shared" ref="AH187:AH189" si="509">AF187+AG187</f>
        <v>62367.9</v>
      </c>
      <c r="AI187" s="17"/>
    </row>
    <row r="188" spans="1:35" x14ac:dyDescent="0.25">
      <c r="A188" s="48"/>
      <c r="B188" s="6" t="s">
        <v>10</v>
      </c>
      <c r="C188" s="7">
        <v>94234</v>
      </c>
      <c r="D188" s="7">
        <f t="shared" si="177"/>
        <v>29084.5</v>
      </c>
      <c r="E188" s="7">
        <v>123318.5</v>
      </c>
      <c r="F188" s="7">
        <v>94234</v>
      </c>
      <c r="G188" s="7">
        <f t="shared" si="178"/>
        <v>29084.5</v>
      </c>
      <c r="H188" s="7">
        <v>123318.5</v>
      </c>
      <c r="I188" s="7">
        <v>123318.5</v>
      </c>
      <c r="J188" s="7"/>
      <c r="K188" s="9">
        <f t="shared" si="393"/>
        <v>29084.5</v>
      </c>
      <c r="L188" s="9">
        <f t="shared" si="394"/>
        <v>123318.5</v>
      </c>
      <c r="M188" s="9"/>
      <c r="N188" s="9">
        <f t="shared" si="410"/>
        <v>123318.5</v>
      </c>
      <c r="O188" s="9"/>
      <c r="P188" s="9">
        <f t="shared" si="411"/>
        <v>123318.5</v>
      </c>
      <c r="Q188" s="9"/>
      <c r="R188" s="9">
        <f t="shared" si="502"/>
        <v>123318.5</v>
      </c>
      <c r="S188" s="9"/>
      <c r="T188" s="9">
        <f t="shared" si="413"/>
        <v>123318.5</v>
      </c>
      <c r="U188" s="9"/>
      <c r="V188" s="35">
        <f t="shared" si="503"/>
        <v>123318.5</v>
      </c>
      <c r="W188" s="9"/>
      <c r="X188" s="9">
        <f t="shared" si="504"/>
        <v>123318.5</v>
      </c>
      <c r="Y188" s="9"/>
      <c r="Z188" s="9">
        <f t="shared" si="505"/>
        <v>123318.5</v>
      </c>
      <c r="AA188" s="9"/>
      <c r="AB188" s="9">
        <f t="shared" si="506"/>
        <v>123318.5</v>
      </c>
      <c r="AC188" s="9"/>
      <c r="AD188" s="9">
        <f t="shared" si="507"/>
        <v>123318.5</v>
      </c>
      <c r="AE188" s="18"/>
      <c r="AF188" s="9">
        <f t="shared" si="508"/>
        <v>123318.5</v>
      </c>
      <c r="AG188" s="9"/>
      <c r="AH188" s="9">
        <f t="shared" si="509"/>
        <v>123318.5</v>
      </c>
      <c r="AI188" s="17" t="s">
        <v>154</v>
      </c>
    </row>
    <row r="189" spans="1:35" x14ac:dyDescent="0.25">
      <c r="A189" s="48">
        <v>3</v>
      </c>
      <c r="B189" s="6" t="s">
        <v>32</v>
      </c>
      <c r="C189" s="7">
        <f>C191</f>
        <v>39578.800000000003</v>
      </c>
      <c r="D189" s="7">
        <f t="shared" si="177"/>
        <v>-23801.500000000004</v>
      </c>
      <c r="E189" s="7">
        <f>E191</f>
        <v>15777.3</v>
      </c>
      <c r="F189" s="7">
        <f>F191</f>
        <v>41791.800000000003</v>
      </c>
      <c r="G189" s="7">
        <f t="shared" si="178"/>
        <v>-25884.9</v>
      </c>
      <c r="H189" s="7">
        <f>H191</f>
        <v>15906.9</v>
      </c>
      <c r="I189" s="7">
        <f>I191</f>
        <v>15906.9</v>
      </c>
      <c r="J189" s="7">
        <f>J191</f>
        <v>0</v>
      </c>
      <c r="K189" s="9">
        <f t="shared" si="393"/>
        <v>-23801.500000000004</v>
      </c>
      <c r="L189" s="9">
        <f t="shared" si="394"/>
        <v>15777.3</v>
      </c>
      <c r="M189" s="9">
        <f>M191</f>
        <v>0</v>
      </c>
      <c r="N189" s="9">
        <f t="shared" si="410"/>
        <v>15777.3</v>
      </c>
      <c r="O189" s="9"/>
      <c r="P189" s="9">
        <f t="shared" si="411"/>
        <v>15777.3</v>
      </c>
      <c r="Q189" s="9"/>
      <c r="R189" s="9">
        <f t="shared" si="502"/>
        <v>15777.3</v>
      </c>
      <c r="S189" s="9"/>
      <c r="T189" s="9">
        <f t="shared" si="413"/>
        <v>15777.3</v>
      </c>
      <c r="U189" s="9"/>
      <c r="V189" s="35">
        <f t="shared" si="503"/>
        <v>15777.3</v>
      </c>
      <c r="W189" s="9"/>
      <c r="X189" s="9">
        <f t="shared" si="504"/>
        <v>15777.3</v>
      </c>
      <c r="Y189" s="9"/>
      <c r="Z189" s="9">
        <f t="shared" si="505"/>
        <v>15777.3</v>
      </c>
      <c r="AA189" s="9">
        <f>AA191</f>
        <v>0</v>
      </c>
      <c r="AB189" s="9">
        <f t="shared" si="506"/>
        <v>15777.3</v>
      </c>
      <c r="AC189" s="9">
        <f>AC191</f>
        <v>0</v>
      </c>
      <c r="AD189" s="9">
        <f t="shared" si="507"/>
        <v>15777.3</v>
      </c>
      <c r="AE189" s="9">
        <f>AE191</f>
        <v>0</v>
      </c>
      <c r="AF189" s="9">
        <f t="shared" si="508"/>
        <v>15777.3</v>
      </c>
      <c r="AG189" s="9">
        <f>AG191</f>
        <v>0</v>
      </c>
      <c r="AH189" s="9">
        <f t="shared" si="509"/>
        <v>15777.3</v>
      </c>
      <c r="AI189" s="17"/>
    </row>
    <row r="190" spans="1:35" x14ac:dyDescent="0.25">
      <c r="A190" s="48"/>
      <c r="B190" s="6" t="s">
        <v>8</v>
      </c>
      <c r="C190" s="7"/>
      <c r="D190" s="7"/>
      <c r="E190" s="7"/>
      <c r="F190" s="7"/>
      <c r="G190" s="7"/>
      <c r="H190" s="7"/>
      <c r="I190" s="7"/>
      <c r="J190" s="7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35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7"/>
    </row>
    <row r="191" spans="1:35" x14ac:dyDescent="0.25">
      <c r="A191" s="48"/>
      <c r="B191" s="6" t="s">
        <v>9</v>
      </c>
      <c r="C191" s="7">
        <v>39578.800000000003</v>
      </c>
      <c r="D191" s="7">
        <f t="shared" si="177"/>
        <v>-23801.500000000004</v>
      </c>
      <c r="E191" s="7">
        <v>15777.3</v>
      </c>
      <c r="F191" s="7">
        <v>41791.800000000003</v>
      </c>
      <c r="G191" s="7">
        <f t="shared" si="178"/>
        <v>-25884.9</v>
      </c>
      <c r="H191" s="7">
        <v>15906.9</v>
      </c>
      <c r="I191" s="7">
        <v>15906.9</v>
      </c>
      <c r="J191" s="7"/>
      <c r="K191" s="9">
        <f t="shared" si="393"/>
        <v>-23801.500000000004</v>
      </c>
      <c r="L191" s="9">
        <f t="shared" si="394"/>
        <v>15777.3</v>
      </c>
      <c r="M191" s="9"/>
      <c r="N191" s="9">
        <f t="shared" si="410"/>
        <v>15777.3</v>
      </c>
      <c r="O191" s="9"/>
      <c r="P191" s="9">
        <f t="shared" si="411"/>
        <v>15777.3</v>
      </c>
      <c r="Q191" s="9"/>
      <c r="R191" s="9">
        <f t="shared" ref="R191:R192" si="510">P191+Q191</f>
        <v>15777.3</v>
      </c>
      <c r="S191" s="9"/>
      <c r="T191" s="9">
        <f t="shared" si="413"/>
        <v>15777.3</v>
      </c>
      <c r="U191" s="9"/>
      <c r="V191" s="35">
        <f t="shared" ref="V191:V192" si="511">T191+U191</f>
        <v>15777.3</v>
      </c>
      <c r="W191" s="9"/>
      <c r="X191" s="9">
        <f t="shared" ref="X191:X192" si="512">V191+W191</f>
        <v>15777.3</v>
      </c>
      <c r="Y191" s="9"/>
      <c r="Z191" s="9">
        <f t="shared" ref="Z191:Z192" si="513">X191+Y191</f>
        <v>15777.3</v>
      </c>
      <c r="AA191" s="9"/>
      <c r="AB191" s="9">
        <f t="shared" ref="AB191:AB192" si="514">Z191+AA191</f>
        <v>15777.3</v>
      </c>
      <c r="AC191" s="9"/>
      <c r="AD191" s="9">
        <f t="shared" ref="AD191:AD192" si="515">AB191+AC191</f>
        <v>15777.3</v>
      </c>
      <c r="AE191" s="9"/>
      <c r="AF191" s="9">
        <f t="shared" ref="AF191:AF192" si="516">AD191+AE191</f>
        <v>15777.3</v>
      </c>
      <c r="AG191" s="9"/>
      <c r="AH191" s="9">
        <f t="shared" ref="AH191:AH192" si="517">AF191+AG191</f>
        <v>15777.3</v>
      </c>
      <c r="AI191" s="17"/>
    </row>
    <row r="192" spans="1:35" x14ac:dyDescent="0.25">
      <c r="A192" s="48">
        <v>4</v>
      </c>
      <c r="B192" s="6" t="s">
        <v>33</v>
      </c>
      <c r="C192" s="7">
        <f>C194</f>
        <v>27006.6</v>
      </c>
      <c r="D192" s="7">
        <f t="shared" si="177"/>
        <v>-1113.0999999999985</v>
      </c>
      <c r="E192" s="7">
        <f>E194</f>
        <v>25893.5</v>
      </c>
      <c r="F192" s="7">
        <f>F194</f>
        <v>27407</v>
      </c>
      <c r="G192" s="7">
        <f t="shared" si="178"/>
        <v>-1639.2999999999993</v>
      </c>
      <c r="H192" s="7">
        <f>H194</f>
        <v>25767.7</v>
      </c>
      <c r="I192" s="7">
        <f>I194</f>
        <v>25985.599999999999</v>
      </c>
      <c r="J192" s="7">
        <f>J194</f>
        <v>0</v>
      </c>
      <c r="K192" s="9">
        <f t="shared" si="393"/>
        <v>-1113.0999999999985</v>
      </c>
      <c r="L192" s="9">
        <f t="shared" si="394"/>
        <v>25893.5</v>
      </c>
      <c r="M192" s="9">
        <f>M194</f>
        <v>0</v>
      </c>
      <c r="N192" s="9">
        <f t="shared" si="410"/>
        <v>25893.5</v>
      </c>
      <c r="O192" s="9"/>
      <c r="P192" s="9">
        <f t="shared" si="411"/>
        <v>25893.5</v>
      </c>
      <c r="Q192" s="9"/>
      <c r="R192" s="9">
        <f t="shared" si="510"/>
        <v>25893.5</v>
      </c>
      <c r="S192" s="9"/>
      <c r="T192" s="9">
        <f t="shared" si="413"/>
        <v>25893.5</v>
      </c>
      <c r="U192" s="9"/>
      <c r="V192" s="35">
        <f t="shared" si="511"/>
        <v>25893.5</v>
      </c>
      <c r="W192" s="9"/>
      <c r="X192" s="9">
        <f t="shared" si="512"/>
        <v>25893.5</v>
      </c>
      <c r="Y192" s="9"/>
      <c r="Z192" s="9">
        <f t="shared" si="513"/>
        <v>25893.5</v>
      </c>
      <c r="AA192" s="9"/>
      <c r="AB192" s="9">
        <f t="shared" si="514"/>
        <v>25893.5</v>
      </c>
      <c r="AC192" s="9"/>
      <c r="AD192" s="9">
        <f t="shared" si="515"/>
        <v>25893.5</v>
      </c>
      <c r="AE192" s="9"/>
      <c r="AF192" s="9">
        <f t="shared" si="516"/>
        <v>25893.5</v>
      </c>
      <c r="AG192" s="9"/>
      <c r="AH192" s="9">
        <f t="shared" si="517"/>
        <v>25893.5</v>
      </c>
      <c r="AI192" s="17"/>
    </row>
    <row r="193" spans="1:35" x14ac:dyDescent="0.25">
      <c r="A193" s="48"/>
      <c r="B193" s="6" t="s">
        <v>8</v>
      </c>
      <c r="C193" s="7"/>
      <c r="D193" s="7"/>
      <c r="E193" s="7"/>
      <c r="F193" s="7"/>
      <c r="G193" s="7"/>
      <c r="H193" s="7"/>
      <c r="I193" s="7"/>
      <c r="J193" s="7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35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7"/>
    </row>
    <row r="194" spans="1:35" x14ac:dyDescent="0.25">
      <c r="A194" s="48"/>
      <c r="B194" s="6" t="s">
        <v>9</v>
      </c>
      <c r="C194" s="7">
        <v>27006.6</v>
      </c>
      <c r="D194" s="7">
        <f t="shared" si="177"/>
        <v>-1113.0999999999985</v>
      </c>
      <c r="E194" s="7">
        <v>25893.5</v>
      </c>
      <c r="F194" s="7">
        <v>27407</v>
      </c>
      <c r="G194" s="7">
        <f t="shared" si="178"/>
        <v>-1639.2999999999993</v>
      </c>
      <c r="H194" s="7">
        <v>25767.7</v>
      </c>
      <c r="I194" s="7">
        <v>25985.599999999999</v>
      </c>
      <c r="J194" s="7"/>
      <c r="K194" s="9">
        <f t="shared" si="393"/>
        <v>-1113.0999999999985</v>
      </c>
      <c r="L194" s="9">
        <f t="shared" si="394"/>
        <v>25893.5</v>
      </c>
      <c r="M194" s="9"/>
      <c r="N194" s="9">
        <f t="shared" si="410"/>
        <v>25893.5</v>
      </c>
      <c r="O194" s="9"/>
      <c r="P194" s="9">
        <f t="shared" si="411"/>
        <v>25893.5</v>
      </c>
      <c r="Q194" s="9"/>
      <c r="R194" s="9">
        <f t="shared" ref="R194:R195" si="518">P194+Q194</f>
        <v>25893.5</v>
      </c>
      <c r="S194" s="9"/>
      <c r="T194" s="9">
        <f t="shared" si="413"/>
        <v>25893.5</v>
      </c>
      <c r="U194" s="9"/>
      <c r="V194" s="35">
        <f t="shared" ref="V194:V195" si="519">T194+U194</f>
        <v>25893.5</v>
      </c>
      <c r="W194" s="9"/>
      <c r="X194" s="9">
        <f t="shared" ref="X194:X195" si="520">V194+W194</f>
        <v>25893.5</v>
      </c>
      <c r="Y194" s="9"/>
      <c r="Z194" s="9">
        <f t="shared" ref="Z194:Z195" si="521">X194+Y194</f>
        <v>25893.5</v>
      </c>
      <c r="AA194" s="9"/>
      <c r="AB194" s="9">
        <f t="shared" ref="AB194:AB195" si="522">Z194+AA194</f>
        <v>25893.5</v>
      </c>
      <c r="AC194" s="9"/>
      <c r="AD194" s="9">
        <f t="shared" ref="AD194:AD195" si="523">AB194+AC194</f>
        <v>25893.5</v>
      </c>
      <c r="AE194" s="9"/>
      <c r="AF194" s="9">
        <f t="shared" ref="AF194:AF195" si="524">AD194+AE194</f>
        <v>25893.5</v>
      </c>
      <c r="AG194" s="9"/>
      <c r="AH194" s="9">
        <f t="shared" ref="AH194:AH195" si="525">AF194+AG194</f>
        <v>25893.5</v>
      </c>
      <c r="AI194" s="17"/>
    </row>
    <row r="195" spans="1:35" x14ac:dyDescent="0.25">
      <c r="A195" s="48">
        <v>5</v>
      </c>
      <c r="B195" s="6" t="s">
        <v>34</v>
      </c>
      <c r="C195" s="36">
        <f>C197</f>
        <v>230473.19999999998</v>
      </c>
      <c r="D195" s="36">
        <f t="shared" si="177"/>
        <v>-3570.3999999999942</v>
      </c>
      <c r="E195" s="36">
        <f>E197</f>
        <v>226902.8</v>
      </c>
      <c r="F195" s="36">
        <f>F197</f>
        <v>127275.1</v>
      </c>
      <c r="G195" s="36">
        <f t="shared" si="178"/>
        <v>-5651.3000000000029</v>
      </c>
      <c r="H195" s="36">
        <f>H197</f>
        <v>121623.8</v>
      </c>
      <c r="I195" s="36">
        <f>I197</f>
        <v>37985.199999999997</v>
      </c>
      <c r="J195" s="36">
        <f>J197</f>
        <v>30815.200000000001</v>
      </c>
      <c r="K195" s="38">
        <f t="shared" si="393"/>
        <v>27244.800000000017</v>
      </c>
      <c r="L195" s="38">
        <f t="shared" si="394"/>
        <v>257718</v>
      </c>
      <c r="M195" s="38">
        <f>M197</f>
        <v>0</v>
      </c>
      <c r="N195" s="38">
        <f t="shared" si="410"/>
        <v>257718</v>
      </c>
      <c r="O195" s="38"/>
      <c r="P195" s="38">
        <f t="shared" si="411"/>
        <v>257718</v>
      </c>
      <c r="Q195" s="38">
        <f>Q197+Q198</f>
        <v>85417.108000000007</v>
      </c>
      <c r="R195" s="38">
        <f t="shared" si="518"/>
        <v>343135.10800000001</v>
      </c>
      <c r="S195" s="38">
        <f>S197+S198</f>
        <v>-9447.866</v>
      </c>
      <c r="T195" s="38">
        <f t="shared" si="413"/>
        <v>333687.24200000003</v>
      </c>
      <c r="U195" s="38">
        <f>U197+U198</f>
        <v>-225.946</v>
      </c>
      <c r="V195" s="39">
        <f t="shared" si="519"/>
        <v>333461.29600000003</v>
      </c>
      <c r="W195" s="38">
        <f>W197+W198</f>
        <v>1004.7250000000001</v>
      </c>
      <c r="X195" s="38">
        <f t="shared" si="520"/>
        <v>334466.02100000001</v>
      </c>
      <c r="Y195" s="9">
        <f>Y197+Y198</f>
        <v>0</v>
      </c>
      <c r="Z195" s="9">
        <f t="shared" si="521"/>
        <v>334466.02100000001</v>
      </c>
      <c r="AA195" s="9">
        <f>AA197+AA198</f>
        <v>9328.7559999999994</v>
      </c>
      <c r="AB195" s="9">
        <f t="shared" si="522"/>
        <v>343794.777</v>
      </c>
      <c r="AC195" s="9">
        <f>AC197+AC198</f>
        <v>0</v>
      </c>
      <c r="AD195" s="9">
        <f t="shared" si="523"/>
        <v>343794.777</v>
      </c>
      <c r="AE195" s="18">
        <f>AE197+AE198</f>
        <v>-1993.673</v>
      </c>
      <c r="AF195" s="9">
        <f t="shared" si="524"/>
        <v>341801.10399999999</v>
      </c>
      <c r="AG195" s="9">
        <f>AG197+AG198</f>
        <v>0</v>
      </c>
      <c r="AH195" s="9">
        <f t="shared" si="525"/>
        <v>341801.10399999999</v>
      </c>
      <c r="AI195" s="17" t="s">
        <v>97</v>
      </c>
    </row>
    <row r="196" spans="1:35" x14ac:dyDescent="0.25">
      <c r="A196" s="48"/>
      <c r="B196" s="6" t="s">
        <v>8</v>
      </c>
      <c r="C196" s="36"/>
      <c r="D196" s="36"/>
      <c r="E196" s="36"/>
      <c r="F196" s="36"/>
      <c r="G196" s="36"/>
      <c r="H196" s="36"/>
      <c r="I196" s="36"/>
      <c r="J196" s="36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9"/>
      <c r="W196" s="38"/>
      <c r="X196" s="38"/>
      <c r="Y196" s="9"/>
      <c r="Z196" s="9"/>
      <c r="AA196" s="9"/>
      <c r="AB196" s="9"/>
      <c r="AC196" s="9"/>
      <c r="AD196" s="9"/>
      <c r="AE196" s="18"/>
      <c r="AF196" s="9"/>
      <c r="AG196" s="9"/>
      <c r="AH196" s="9"/>
      <c r="AI196" s="17"/>
    </row>
    <row r="197" spans="1:35" x14ac:dyDescent="0.25">
      <c r="A197" s="48"/>
      <c r="B197" s="6" t="s">
        <v>9</v>
      </c>
      <c r="C197" s="36">
        <v>230473.19999999998</v>
      </c>
      <c r="D197" s="36">
        <f t="shared" si="177"/>
        <v>-3570.3999999999942</v>
      </c>
      <c r="E197" s="36">
        <v>226902.8</v>
      </c>
      <c r="F197" s="36">
        <v>127275.1</v>
      </c>
      <c r="G197" s="36">
        <f t="shared" si="178"/>
        <v>-5651.3000000000029</v>
      </c>
      <c r="H197" s="36">
        <v>121623.8</v>
      </c>
      <c r="I197" s="36">
        <v>37985.199999999997</v>
      </c>
      <c r="J197" s="36">
        <f>25000+5815.2</f>
        <v>30815.200000000001</v>
      </c>
      <c r="K197" s="38">
        <f t="shared" si="393"/>
        <v>27244.800000000017</v>
      </c>
      <c r="L197" s="38">
        <f t="shared" si="394"/>
        <v>257718</v>
      </c>
      <c r="M197" s="38"/>
      <c r="N197" s="38">
        <f t="shared" si="410"/>
        <v>257718</v>
      </c>
      <c r="O197" s="38"/>
      <c r="P197" s="38">
        <f t="shared" si="411"/>
        <v>257718</v>
      </c>
      <c r="Q197" s="38">
        <f>203.162+9447.866+42+724.08</f>
        <v>10417.108</v>
      </c>
      <c r="R197" s="38">
        <f t="shared" ref="R197:R199" si="526">P197+Q197</f>
        <v>268135.10800000001</v>
      </c>
      <c r="S197" s="38">
        <v>-9447.866</v>
      </c>
      <c r="T197" s="38">
        <f t="shared" si="413"/>
        <v>258687.242</v>
      </c>
      <c r="U197" s="38">
        <f>-225.946</f>
        <v>-225.946</v>
      </c>
      <c r="V197" s="39">
        <f t="shared" ref="V197:V199" si="527">T197+U197</f>
        <v>258461.296</v>
      </c>
      <c r="W197" s="38">
        <v>-436.59</v>
      </c>
      <c r="X197" s="38">
        <f t="shared" ref="X197:X199" si="528">V197+W197</f>
        <v>258024.70600000001</v>
      </c>
      <c r="Y197" s="9"/>
      <c r="Z197" s="9">
        <f t="shared" ref="Z197:Z199" si="529">X197+Y197</f>
        <v>258024.70600000001</v>
      </c>
      <c r="AA197" s="9">
        <f>-119.644+9448.4</f>
        <v>9328.7559999999994</v>
      </c>
      <c r="AB197" s="9">
        <f t="shared" ref="AB197:AB199" si="530">Z197+AA197</f>
        <v>267353.462</v>
      </c>
      <c r="AC197" s="9"/>
      <c r="AD197" s="9">
        <f t="shared" ref="AD197:AD199" si="531">AB197+AC197</f>
        <v>267353.462</v>
      </c>
      <c r="AE197" s="18">
        <f>-198-1795.673</f>
        <v>-1993.673</v>
      </c>
      <c r="AF197" s="9">
        <f t="shared" ref="AF197:AF198" si="532">AD197+AE197</f>
        <v>265359.78899999999</v>
      </c>
      <c r="AG197" s="9"/>
      <c r="AH197" s="9">
        <f t="shared" ref="AH197:AH198" si="533">AF197+AG197</f>
        <v>265359.78899999999</v>
      </c>
      <c r="AI197" s="17"/>
    </row>
    <row r="198" spans="1:35" x14ac:dyDescent="0.25">
      <c r="A198" s="48"/>
      <c r="B198" s="6" t="s">
        <v>10</v>
      </c>
      <c r="C198" s="36"/>
      <c r="D198" s="36"/>
      <c r="E198" s="36"/>
      <c r="F198" s="36"/>
      <c r="G198" s="36"/>
      <c r="H198" s="36"/>
      <c r="I198" s="36"/>
      <c r="J198" s="36"/>
      <c r="K198" s="38"/>
      <c r="L198" s="38"/>
      <c r="M198" s="38"/>
      <c r="N198" s="38"/>
      <c r="O198" s="38"/>
      <c r="P198" s="38"/>
      <c r="Q198" s="38">
        <v>75000</v>
      </c>
      <c r="R198" s="38">
        <f t="shared" si="526"/>
        <v>75000</v>
      </c>
      <c r="S198" s="38"/>
      <c r="T198" s="38">
        <f t="shared" si="413"/>
        <v>75000</v>
      </c>
      <c r="U198" s="38"/>
      <c r="V198" s="39">
        <f t="shared" si="527"/>
        <v>75000</v>
      </c>
      <c r="W198" s="38">
        <v>1441.3150000000001</v>
      </c>
      <c r="X198" s="38">
        <f t="shared" si="528"/>
        <v>76441.315000000002</v>
      </c>
      <c r="Y198" s="9"/>
      <c r="Z198" s="9">
        <f t="shared" si="529"/>
        <v>76441.315000000002</v>
      </c>
      <c r="AA198" s="9"/>
      <c r="AB198" s="9">
        <f t="shared" si="530"/>
        <v>76441.315000000002</v>
      </c>
      <c r="AC198" s="9"/>
      <c r="AD198" s="9">
        <f t="shared" si="531"/>
        <v>76441.315000000002</v>
      </c>
      <c r="AE198" s="18"/>
      <c r="AF198" s="9">
        <f t="shared" si="532"/>
        <v>76441.315000000002</v>
      </c>
      <c r="AG198" s="9"/>
      <c r="AH198" s="9">
        <f t="shared" si="533"/>
        <v>76441.315000000002</v>
      </c>
      <c r="AI198" s="17"/>
    </row>
    <row r="199" spans="1:35" x14ac:dyDescent="0.25">
      <c r="A199" s="48">
        <v>6</v>
      </c>
      <c r="B199" s="6" t="s">
        <v>35</v>
      </c>
      <c r="C199" s="7">
        <f>C201</f>
        <v>1126827</v>
      </c>
      <c r="D199" s="7">
        <f t="shared" si="177"/>
        <v>1002358.2999999998</v>
      </c>
      <c r="E199" s="7">
        <f>E201</f>
        <v>2129185.2999999998</v>
      </c>
      <c r="F199" s="7">
        <f>F201</f>
        <v>1062079.2</v>
      </c>
      <c r="G199" s="7">
        <f t="shared" si="178"/>
        <v>1408533.7</v>
      </c>
      <c r="H199" s="7">
        <f>H201</f>
        <v>2470612.9</v>
      </c>
      <c r="I199" s="7">
        <f>I201</f>
        <v>2974671.6</v>
      </c>
      <c r="J199" s="7">
        <f>J201</f>
        <v>-0.4</v>
      </c>
      <c r="K199" s="18">
        <f t="shared" si="393"/>
        <v>1002357.8999999999</v>
      </c>
      <c r="L199" s="18">
        <f t="shared" si="394"/>
        <v>2129184.9</v>
      </c>
      <c r="M199" s="9">
        <f>M201+M202</f>
        <v>244500</v>
      </c>
      <c r="N199" s="9">
        <f>N201+N202</f>
        <v>2373684.9</v>
      </c>
      <c r="O199" s="9"/>
      <c r="P199" s="9">
        <f t="shared" si="411"/>
        <v>2373684.9</v>
      </c>
      <c r="Q199" s="29">
        <f>Q201+Q202</f>
        <v>7939.7839999999997</v>
      </c>
      <c r="R199" s="29">
        <f t="shared" si="526"/>
        <v>2381624.6839999999</v>
      </c>
      <c r="S199" s="29">
        <f>S201+S202</f>
        <v>0</v>
      </c>
      <c r="T199" s="9">
        <f t="shared" si="413"/>
        <v>2381624.6839999999</v>
      </c>
      <c r="U199" s="9">
        <f>U201+U202</f>
        <v>0</v>
      </c>
      <c r="V199" s="35">
        <f t="shared" si="527"/>
        <v>2381624.6839999999</v>
      </c>
      <c r="W199" s="9">
        <f>W201+W202</f>
        <v>-69971.001999999993</v>
      </c>
      <c r="X199" s="9">
        <f t="shared" si="528"/>
        <v>2311653.682</v>
      </c>
      <c r="Y199" s="9">
        <f>Y201+Y202</f>
        <v>0</v>
      </c>
      <c r="Z199" s="9">
        <f t="shared" si="529"/>
        <v>2311653.682</v>
      </c>
      <c r="AA199" s="9">
        <f>AA201+AA202</f>
        <v>206985</v>
      </c>
      <c r="AB199" s="9">
        <f t="shared" si="530"/>
        <v>2518638.682</v>
      </c>
      <c r="AC199" s="9">
        <f>AC201+AC202</f>
        <v>0</v>
      </c>
      <c r="AD199" s="9">
        <f t="shared" si="531"/>
        <v>2518638.682</v>
      </c>
      <c r="AE199" s="18">
        <f>AE201+AE202</f>
        <v>-39682.120000000003</v>
      </c>
      <c r="AF199" s="9">
        <f>AF201+AF202</f>
        <v>2478907.4619999998</v>
      </c>
      <c r="AG199" s="18">
        <f>AG201+AG202</f>
        <v>-17947.361999999997</v>
      </c>
      <c r="AH199" s="9">
        <f>AH201+AH202</f>
        <v>2460960.0999999996</v>
      </c>
      <c r="AI199" s="17" t="s">
        <v>111</v>
      </c>
    </row>
    <row r="200" spans="1:35" x14ac:dyDescent="0.25">
      <c r="A200" s="48"/>
      <c r="B200" s="6" t="s">
        <v>8</v>
      </c>
      <c r="C200" s="7"/>
      <c r="D200" s="7"/>
      <c r="E200" s="7"/>
      <c r="F200" s="7"/>
      <c r="G200" s="7"/>
      <c r="H200" s="7"/>
      <c r="I200" s="7"/>
      <c r="J200" s="7"/>
      <c r="K200" s="18"/>
      <c r="L200" s="18"/>
      <c r="M200" s="9"/>
      <c r="N200" s="9"/>
      <c r="O200" s="9"/>
      <c r="P200" s="9"/>
      <c r="Q200" s="29"/>
      <c r="R200" s="29"/>
      <c r="S200" s="29"/>
      <c r="T200" s="9"/>
      <c r="U200" s="9"/>
      <c r="V200" s="35"/>
      <c r="W200" s="9"/>
      <c r="X200" s="9"/>
      <c r="Y200" s="9"/>
      <c r="Z200" s="9"/>
      <c r="AA200" s="9"/>
      <c r="AB200" s="9"/>
      <c r="AC200" s="9"/>
      <c r="AD200" s="9"/>
      <c r="AE200" s="18"/>
      <c r="AF200" s="9"/>
      <c r="AG200" s="18"/>
      <c r="AH200" s="9"/>
      <c r="AI200" s="17"/>
    </row>
    <row r="201" spans="1:35" x14ac:dyDescent="0.25">
      <c r="A201" s="48"/>
      <c r="B201" s="6" t="s">
        <v>9</v>
      </c>
      <c r="C201" s="7">
        <f>1026827+100000</f>
        <v>1126827</v>
      </c>
      <c r="D201" s="7">
        <f t="shared" si="177"/>
        <v>1002358.2999999998</v>
      </c>
      <c r="E201" s="7">
        <v>2129185.2999999998</v>
      </c>
      <c r="F201" s="7">
        <v>1062079.2</v>
      </c>
      <c r="G201" s="7">
        <f t="shared" si="178"/>
        <v>1408533.7</v>
      </c>
      <c r="H201" s="7">
        <v>2470612.9</v>
      </c>
      <c r="I201" s="7">
        <v>2974671.6</v>
      </c>
      <c r="J201" s="7">
        <v>-0.4</v>
      </c>
      <c r="K201" s="18">
        <f t="shared" si="393"/>
        <v>1002357.8999999999</v>
      </c>
      <c r="L201" s="18">
        <f t="shared" si="394"/>
        <v>2129184.9</v>
      </c>
      <c r="M201" s="9"/>
      <c r="N201" s="9">
        <f t="shared" si="410"/>
        <v>2129184.9</v>
      </c>
      <c r="O201" s="9"/>
      <c r="P201" s="9">
        <f t="shared" si="411"/>
        <v>2129184.9</v>
      </c>
      <c r="Q201" s="29">
        <v>7939.7839999999997</v>
      </c>
      <c r="R201" s="29">
        <f t="shared" ref="R201:R203" si="534">P201+Q201</f>
        <v>2137124.6839999999</v>
      </c>
      <c r="S201" s="29"/>
      <c r="T201" s="9">
        <f t="shared" si="413"/>
        <v>2137124.6839999999</v>
      </c>
      <c r="U201" s="9"/>
      <c r="V201" s="35">
        <f t="shared" ref="V201:V203" si="535">T201+U201</f>
        <v>2137124.6839999999</v>
      </c>
      <c r="W201" s="9">
        <f>-70114.395-609.995+753.388</f>
        <v>-69971.001999999993</v>
      </c>
      <c r="X201" s="9">
        <f t="shared" ref="X201:X203" si="536">V201+W201</f>
        <v>2067153.6819999998</v>
      </c>
      <c r="Y201" s="9"/>
      <c r="Z201" s="9">
        <f t="shared" ref="Z201:Z203" si="537">X201+Y201</f>
        <v>2067153.6819999998</v>
      </c>
      <c r="AA201" s="9">
        <f>-73800-36200+78800</f>
        <v>-31200</v>
      </c>
      <c r="AB201" s="9">
        <f t="shared" ref="AB201:AB203" si="538">Z201+AA201</f>
        <v>2035953.6819999998</v>
      </c>
      <c r="AC201" s="9"/>
      <c r="AD201" s="9">
        <f t="shared" ref="AD201:AD203" si="539">AB201+AC201</f>
        <v>2035953.6819999998</v>
      </c>
      <c r="AE201" s="45">
        <f>-13976.084-25706.036</f>
        <v>-39682.120000000003</v>
      </c>
      <c r="AF201" s="9">
        <f t="shared" ref="AF201:AF203" si="540">AD201+AE201</f>
        <v>1996271.5619999997</v>
      </c>
      <c r="AG201" s="18">
        <f>-18002.6-1664.3-1532.218+992.217+777.829+1481.71</f>
        <v>-17947.361999999997</v>
      </c>
      <c r="AH201" s="9">
        <f t="shared" ref="AH201" si="541">AF201+AG201</f>
        <v>1978324.1999999997</v>
      </c>
      <c r="AI201" s="17"/>
    </row>
    <row r="202" spans="1:35" x14ac:dyDescent="0.25">
      <c r="A202" s="48"/>
      <c r="B202" s="6" t="s">
        <v>10</v>
      </c>
      <c r="C202" s="7"/>
      <c r="D202" s="7"/>
      <c r="E202" s="7"/>
      <c r="F202" s="7"/>
      <c r="G202" s="7"/>
      <c r="H202" s="7"/>
      <c r="I202" s="7"/>
      <c r="J202" s="7"/>
      <c r="K202" s="18"/>
      <c r="L202" s="18"/>
      <c r="M202" s="9">
        <v>244500</v>
      </c>
      <c r="N202" s="9">
        <f>L202+M202</f>
        <v>244500</v>
      </c>
      <c r="O202" s="9"/>
      <c r="P202" s="9">
        <f t="shared" si="411"/>
        <v>244500</v>
      </c>
      <c r="Q202" s="29"/>
      <c r="R202" s="29">
        <f t="shared" si="534"/>
        <v>244500</v>
      </c>
      <c r="S202" s="29"/>
      <c r="T202" s="9">
        <f t="shared" si="413"/>
        <v>244500</v>
      </c>
      <c r="U202" s="9"/>
      <c r="V202" s="35">
        <f t="shared" si="535"/>
        <v>244500</v>
      </c>
      <c r="W202" s="9"/>
      <c r="X202" s="9">
        <f t="shared" si="536"/>
        <v>244500</v>
      </c>
      <c r="Y202" s="9"/>
      <c r="Z202" s="9">
        <f t="shared" si="537"/>
        <v>244500</v>
      </c>
      <c r="AA202" s="9">
        <v>238185</v>
      </c>
      <c r="AB202" s="9">
        <f t="shared" si="538"/>
        <v>482685</v>
      </c>
      <c r="AC202" s="9"/>
      <c r="AD202" s="9">
        <f t="shared" si="539"/>
        <v>482685</v>
      </c>
      <c r="AE202" s="18"/>
      <c r="AF202" s="9">
        <v>482635.9</v>
      </c>
      <c r="AG202" s="18"/>
      <c r="AH202" s="9">
        <v>482635.9</v>
      </c>
      <c r="AI202" s="17"/>
    </row>
    <row r="203" spans="1:35" ht="31.5" x14ac:dyDescent="0.25">
      <c r="A203" s="48">
        <v>7</v>
      </c>
      <c r="B203" s="43" t="s">
        <v>149</v>
      </c>
      <c r="C203" s="7">
        <f>C205</f>
        <v>0</v>
      </c>
      <c r="D203" s="7">
        <f t="shared" si="177"/>
        <v>14396</v>
      </c>
      <c r="E203" s="7">
        <f>E205</f>
        <v>14396</v>
      </c>
      <c r="F203" s="7">
        <f>F205</f>
        <v>47715.5</v>
      </c>
      <c r="G203" s="7">
        <f t="shared" si="178"/>
        <v>-47715.5</v>
      </c>
      <c r="H203" s="7">
        <f>H205</f>
        <v>0</v>
      </c>
      <c r="I203" s="7">
        <f>I205</f>
        <v>0</v>
      </c>
      <c r="J203" s="7">
        <f>J205</f>
        <v>0</v>
      </c>
      <c r="K203" s="9">
        <f t="shared" si="393"/>
        <v>14396</v>
      </c>
      <c r="L203" s="9">
        <f t="shared" si="394"/>
        <v>14396</v>
      </c>
      <c r="M203" s="9">
        <f>M205</f>
        <v>0</v>
      </c>
      <c r="N203" s="9">
        <f t="shared" si="410"/>
        <v>14396</v>
      </c>
      <c r="O203" s="9"/>
      <c r="P203" s="9">
        <f t="shared" si="411"/>
        <v>14396</v>
      </c>
      <c r="Q203" s="9"/>
      <c r="R203" s="9">
        <f t="shared" si="534"/>
        <v>14396</v>
      </c>
      <c r="S203" s="9"/>
      <c r="T203" s="9">
        <f t="shared" si="413"/>
        <v>14396</v>
      </c>
      <c r="U203" s="9"/>
      <c r="V203" s="35">
        <f t="shared" si="535"/>
        <v>14396</v>
      </c>
      <c r="W203" s="9"/>
      <c r="X203" s="9">
        <f t="shared" si="536"/>
        <v>14396</v>
      </c>
      <c r="Y203" s="9"/>
      <c r="Z203" s="9">
        <f t="shared" si="537"/>
        <v>14396</v>
      </c>
      <c r="AA203" s="9"/>
      <c r="AB203" s="9">
        <f t="shared" si="538"/>
        <v>14396</v>
      </c>
      <c r="AC203" s="9">
        <f>AC205</f>
        <v>-221.68</v>
      </c>
      <c r="AD203" s="9">
        <f t="shared" si="539"/>
        <v>14174.32</v>
      </c>
      <c r="AE203" s="9">
        <f>AE205</f>
        <v>0</v>
      </c>
      <c r="AF203" s="9">
        <f t="shared" si="540"/>
        <v>14174.32</v>
      </c>
      <c r="AG203" s="9">
        <f>AG205</f>
        <v>0</v>
      </c>
      <c r="AH203" s="9">
        <f t="shared" ref="AH203" si="542">AF203+AG203</f>
        <v>14174.32</v>
      </c>
      <c r="AI203" s="17" t="s">
        <v>150</v>
      </c>
    </row>
    <row r="204" spans="1:35" x14ac:dyDescent="0.25">
      <c r="A204" s="48"/>
      <c r="B204" s="6" t="s">
        <v>8</v>
      </c>
      <c r="C204" s="7"/>
      <c r="D204" s="7"/>
      <c r="E204" s="7"/>
      <c r="F204" s="7"/>
      <c r="G204" s="7"/>
      <c r="H204" s="7"/>
      <c r="I204" s="7"/>
      <c r="J204" s="7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35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17"/>
    </row>
    <row r="205" spans="1:35" x14ac:dyDescent="0.25">
      <c r="A205" s="48"/>
      <c r="B205" s="6" t="s">
        <v>9</v>
      </c>
      <c r="C205" s="7">
        <v>0</v>
      </c>
      <c r="D205" s="7">
        <f t="shared" si="177"/>
        <v>14396</v>
      </c>
      <c r="E205" s="8">
        <v>14396</v>
      </c>
      <c r="F205" s="7">
        <v>47715.5</v>
      </c>
      <c r="G205" s="7">
        <f t="shared" si="178"/>
        <v>-47715.5</v>
      </c>
      <c r="H205" s="7"/>
      <c r="I205" s="7"/>
      <c r="J205" s="8"/>
      <c r="K205" s="9">
        <f t="shared" si="393"/>
        <v>14396</v>
      </c>
      <c r="L205" s="9">
        <f t="shared" si="394"/>
        <v>14396</v>
      </c>
      <c r="M205" s="9"/>
      <c r="N205" s="9">
        <f t="shared" si="410"/>
        <v>14396</v>
      </c>
      <c r="O205" s="9"/>
      <c r="P205" s="9">
        <f t="shared" si="411"/>
        <v>14396</v>
      </c>
      <c r="Q205" s="9"/>
      <c r="R205" s="9">
        <f t="shared" ref="R205:R206" si="543">P205+Q205</f>
        <v>14396</v>
      </c>
      <c r="S205" s="9"/>
      <c r="T205" s="9">
        <f t="shared" si="413"/>
        <v>14396</v>
      </c>
      <c r="U205" s="9"/>
      <c r="V205" s="35">
        <f t="shared" ref="V205:V206" si="544">T205+U205</f>
        <v>14396</v>
      </c>
      <c r="W205" s="9"/>
      <c r="X205" s="9">
        <f t="shared" ref="X205:X206" si="545">V205+W205</f>
        <v>14396</v>
      </c>
      <c r="Y205" s="9"/>
      <c r="Z205" s="9">
        <f t="shared" ref="Z205:Z206" si="546">X205+Y205</f>
        <v>14396</v>
      </c>
      <c r="AA205" s="9"/>
      <c r="AB205" s="9">
        <f t="shared" ref="AB205:AB206" si="547">Z205+AA205</f>
        <v>14396</v>
      </c>
      <c r="AC205" s="9">
        <v>-221.68</v>
      </c>
      <c r="AD205" s="9">
        <f t="shared" ref="AD205:AD206" si="548">AB205+AC205</f>
        <v>14174.32</v>
      </c>
      <c r="AE205" s="9"/>
      <c r="AF205" s="9">
        <f t="shared" ref="AF205:AF206" si="549">AD205+AE205</f>
        <v>14174.32</v>
      </c>
      <c r="AG205" s="9"/>
      <c r="AH205" s="9">
        <f t="shared" ref="AH205:AH206" si="550">AF205+AG205</f>
        <v>14174.32</v>
      </c>
      <c r="AI205" s="17"/>
    </row>
    <row r="206" spans="1:35" ht="31.5" x14ac:dyDescent="0.25">
      <c r="A206" s="48">
        <v>8</v>
      </c>
      <c r="B206" s="13" t="s">
        <v>38</v>
      </c>
      <c r="C206" s="7">
        <f>C208</f>
        <v>147736.65000000002</v>
      </c>
      <c r="D206" s="7">
        <f t="shared" si="177"/>
        <v>-23257.050000000017</v>
      </c>
      <c r="E206" s="7">
        <f>E208</f>
        <v>124479.6</v>
      </c>
      <c r="F206" s="7">
        <f>F208</f>
        <v>162565.79999999999</v>
      </c>
      <c r="G206" s="7">
        <f t="shared" si="178"/>
        <v>-31619.299999999988</v>
      </c>
      <c r="H206" s="7">
        <f>H208</f>
        <v>130946.5</v>
      </c>
      <c r="I206" s="7">
        <f>I208</f>
        <v>129485</v>
      </c>
      <c r="J206" s="7">
        <f>J208</f>
        <v>0</v>
      </c>
      <c r="K206" s="9">
        <f t="shared" si="393"/>
        <v>-23257.050000000017</v>
      </c>
      <c r="L206" s="9">
        <f t="shared" si="394"/>
        <v>124479.6</v>
      </c>
      <c r="M206" s="9">
        <f>M208</f>
        <v>0</v>
      </c>
      <c r="N206" s="9">
        <f t="shared" si="410"/>
        <v>124479.6</v>
      </c>
      <c r="O206" s="9"/>
      <c r="P206" s="9">
        <f t="shared" si="411"/>
        <v>124479.6</v>
      </c>
      <c r="Q206" s="9"/>
      <c r="R206" s="9">
        <f t="shared" si="543"/>
        <v>124479.6</v>
      </c>
      <c r="S206" s="9">
        <f>S208</f>
        <v>0</v>
      </c>
      <c r="T206" s="9">
        <f t="shared" si="413"/>
        <v>124479.6</v>
      </c>
      <c r="U206" s="9"/>
      <c r="V206" s="35">
        <f t="shared" si="544"/>
        <v>124479.6</v>
      </c>
      <c r="W206" s="9"/>
      <c r="X206" s="9">
        <f t="shared" si="545"/>
        <v>124479.6</v>
      </c>
      <c r="Y206" s="9"/>
      <c r="Z206" s="9">
        <f t="shared" si="546"/>
        <v>124479.6</v>
      </c>
      <c r="AA206" s="9"/>
      <c r="AB206" s="9">
        <f t="shared" si="547"/>
        <v>124479.6</v>
      </c>
      <c r="AC206" s="9">
        <f>AC208</f>
        <v>-216.25299999999999</v>
      </c>
      <c r="AD206" s="9">
        <f t="shared" si="548"/>
        <v>124263.34700000001</v>
      </c>
      <c r="AE206" s="18">
        <f>AE208</f>
        <v>-4700.7529999999997</v>
      </c>
      <c r="AF206" s="9">
        <f t="shared" si="549"/>
        <v>119562.59400000001</v>
      </c>
      <c r="AG206" s="9">
        <f>AG208</f>
        <v>0</v>
      </c>
      <c r="AH206" s="9">
        <f t="shared" si="550"/>
        <v>119562.59400000001</v>
      </c>
      <c r="AI206" s="17" t="s">
        <v>151</v>
      </c>
    </row>
    <row r="207" spans="1:35" x14ac:dyDescent="0.25">
      <c r="A207" s="48"/>
      <c r="B207" s="6" t="s">
        <v>8</v>
      </c>
      <c r="C207" s="7"/>
      <c r="D207" s="7"/>
      <c r="E207" s="7"/>
      <c r="F207" s="7"/>
      <c r="G207" s="7"/>
      <c r="H207" s="7"/>
      <c r="I207" s="7"/>
      <c r="J207" s="7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35"/>
      <c r="W207" s="9"/>
      <c r="X207" s="9"/>
      <c r="Y207" s="9"/>
      <c r="Z207" s="9"/>
      <c r="AA207" s="9"/>
      <c r="AB207" s="9"/>
      <c r="AC207" s="9"/>
      <c r="AD207" s="9"/>
      <c r="AE207" s="18"/>
      <c r="AF207" s="9"/>
      <c r="AG207" s="9"/>
      <c r="AH207" s="9"/>
      <c r="AI207" s="17"/>
    </row>
    <row r="208" spans="1:35" x14ac:dyDescent="0.25">
      <c r="A208" s="48"/>
      <c r="B208" s="6" t="s">
        <v>9</v>
      </c>
      <c r="C208" s="7">
        <v>147736.65000000002</v>
      </c>
      <c r="D208" s="7">
        <f t="shared" si="177"/>
        <v>-23257.050000000017</v>
      </c>
      <c r="E208" s="7">
        <v>124479.6</v>
      </c>
      <c r="F208" s="7">
        <v>162565.79999999999</v>
      </c>
      <c r="G208" s="7">
        <f t="shared" si="178"/>
        <v>-31619.299999999988</v>
      </c>
      <c r="H208" s="7">
        <v>130946.5</v>
      </c>
      <c r="I208" s="7">
        <v>129485</v>
      </c>
      <c r="J208" s="7"/>
      <c r="K208" s="9">
        <f t="shared" si="393"/>
        <v>-23257.050000000017</v>
      </c>
      <c r="L208" s="9">
        <f t="shared" si="394"/>
        <v>124479.6</v>
      </c>
      <c r="M208" s="9"/>
      <c r="N208" s="9">
        <f t="shared" si="410"/>
        <v>124479.6</v>
      </c>
      <c r="O208" s="9"/>
      <c r="P208" s="9">
        <f t="shared" si="411"/>
        <v>124479.6</v>
      </c>
      <c r="Q208" s="9"/>
      <c r="R208" s="9">
        <f t="shared" ref="R208" si="551">P208+Q208</f>
        <v>124479.6</v>
      </c>
      <c r="S208" s="9"/>
      <c r="T208" s="9">
        <f t="shared" si="413"/>
        <v>124479.6</v>
      </c>
      <c r="U208" s="9"/>
      <c r="V208" s="35">
        <f t="shared" ref="V208" si="552">T208+U208</f>
        <v>124479.6</v>
      </c>
      <c r="W208" s="9"/>
      <c r="X208" s="9">
        <f t="shared" ref="X208" si="553">V208+W208</f>
        <v>124479.6</v>
      </c>
      <c r="Y208" s="9"/>
      <c r="Z208" s="9">
        <f t="shared" ref="Z208" si="554">X208+Y208</f>
        <v>124479.6</v>
      </c>
      <c r="AA208" s="9"/>
      <c r="AB208" s="9">
        <f t="shared" ref="AB208" si="555">Z208+AA208</f>
        <v>124479.6</v>
      </c>
      <c r="AC208" s="9">
        <v>-216.25299999999999</v>
      </c>
      <c r="AD208" s="9">
        <f t="shared" ref="AD208" si="556">AB208+AC208</f>
        <v>124263.34700000001</v>
      </c>
      <c r="AE208" s="18">
        <f>290.554-1460-3531.307</f>
        <v>-4700.7529999999997</v>
      </c>
      <c r="AF208" s="9">
        <f t="shared" ref="AF208" si="557">AD208+AE208</f>
        <v>119562.59400000001</v>
      </c>
      <c r="AG208" s="9"/>
      <c r="AH208" s="9">
        <f t="shared" ref="AH208" si="558">AF208+AG208</f>
        <v>119562.59400000001</v>
      </c>
      <c r="AI208" s="17"/>
    </row>
    <row r="209" spans="1:36" hidden="1" x14ac:dyDescent="0.25">
      <c r="A209" s="21">
        <v>9</v>
      </c>
      <c r="B209" s="13" t="s">
        <v>39</v>
      </c>
      <c r="C209" s="7">
        <f>C211</f>
        <v>12202.600000000006</v>
      </c>
      <c r="D209" s="7">
        <f t="shared" si="177"/>
        <v>-12202.600000000006</v>
      </c>
      <c r="E209" s="7">
        <f>E211</f>
        <v>0</v>
      </c>
      <c r="F209" s="7">
        <f>F211</f>
        <v>117249.3</v>
      </c>
      <c r="G209" s="7">
        <f t="shared" si="178"/>
        <v>-117249.3</v>
      </c>
      <c r="H209" s="7">
        <f>H211</f>
        <v>0</v>
      </c>
      <c r="I209" s="7">
        <f>I211</f>
        <v>0</v>
      </c>
      <c r="J209" s="7">
        <f>J211</f>
        <v>0</v>
      </c>
      <c r="K209" s="9">
        <f t="shared" si="393"/>
        <v>-12202.600000000006</v>
      </c>
      <c r="L209" s="9">
        <f t="shared" si="394"/>
        <v>0</v>
      </c>
      <c r="M209" s="9">
        <f>M211</f>
        <v>0</v>
      </c>
      <c r="N209" s="9">
        <f t="shared" si="410"/>
        <v>0</v>
      </c>
      <c r="O209" s="9"/>
      <c r="P209" s="9"/>
      <c r="Q209" s="9"/>
      <c r="R209" s="9"/>
      <c r="S209" s="9"/>
      <c r="T209" s="17"/>
      <c r="U209" s="9"/>
      <c r="V209" s="17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17"/>
      <c r="AJ209" s="1">
        <v>0</v>
      </c>
    </row>
    <row r="210" spans="1:36" hidden="1" x14ac:dyDescent="0.25">
      <c r="A210" s="21"/>
      <c r="B210" s="6" t="s">
        <v>8</v>
      </c>
      <c r="C210" s="7"/>
      <c r="D210" s="7"/>
      <c r="E210" s="7"/>
      <c r="F210" s="7"/>
      <c r="G210" s="7"/>
      <c r="H210" s="7"/>
      <c r="I210" s="7"/>
      <c r="J210" s="7"/>
      <c r="K210" s="9"/>
      <c r="L210" s="9"/>
      <c r="M210" s="9"/>
      <c r="N210" s="9"/>
      <c r="O210" s="9"/>
      <c r="P210" s="9"/>
      <c r="Q210" s="9"/>
      <c r="R210" s="9"/>
      <c r="S210" s="9"/>
      <c r="T210" s="17"/>
      <c r="U210" s="9"/>
      <c r="V210" s="17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17"/>
      <c r="AJ210" s="1">
        <v>0</v>
      </c>
    </row>
    <row r="211" spans="1:36" hidden="1" x14ac:dyDescent="0.25">
      <c r="A211" s="21"/>
      <c r="B211" s="6" t="s">
        <v>9</v>
      </c>
      <c r="C211" s="7">
        <v>12202.600000000006</v>
      </c>
      <c r="D211" s="7">
        <f t="shared" si="177"/>
        <v>-12202.600000000006</v>
      </c>
      <c r="E211" s="7"/>
      <c r="F211" s="7">
        <v>117249.3</v>
      </c>
      <c r="G211" s="7">
        <f t="shared" si="178"/>
        <v>-117249.3</v>
      </c>
      <c r="H211" s="7"/>
      <c r="I211" s="7"/>
      <c r="J211" s="7"/>
      <c r="K211" s="9">
        <f t="shared" si="393"/>
        <v>-12202.600000000006</v>
      </c>
      <c r="L211" s="9">
        <f t="shared" si="394"/>
        <v>0</v>
      </c>
      <c r="M211" s="9"/>
      <c r="N211" s="9">
        <f t="shared" si="410"/>
        <v>0</v>
      </c>
      <c r="O211" s="9"/>
      <c r="P211" s="9"/>
      <c r="Q211" s="9"/>
      <c r="R211" s="9"/>
      <c r="S211" s="9"/>
      <c r="T211" s="17"/>
      <c r="U211" s="9"/>
      <c r="V211" s="17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7"/>
      <c r="AJ211" s="1">
        <v>0</v>
      </c>
    </row>
    <row r="212" spans="1:36" ht="31.5" x14ac:dyDescent="0.25">
      <c r="A212" s="48">
        <v>9</v>
      </c>
      <c r="B212" s="6" t="s">
        <v>64</v>
      </c>
      <c r="C212" s="7">
        <f>C214</f>
        <v>3264.9</v>
      </c>
      <c r="D212" s="7">
        <f t="shared" si="177"/>
        <v>-91.400000000000091</v>
      </c>
      <c r="E212" s="7">
        <f>E214</f>
        <v>3173.5</v>
      </c>
      <c r="F212" s="7">
        <f>F214</f>
        <v>3264.9</v>
      </c>
      <c r="G212" s="7">
        <f t="shared" si="178"/>
        <v>-13.099999999999909</v>
      </c>
      <c r="H212" s="7">
        <f>H214</f>
        <v>3251.8</v>
      </c>
      <c r="I212" s="7">
        <f>I214</f>
        <v>0</v>
      </c>
      <c r="J212" s="7">
        <f>J214</f>
        <v>1764.3</v>
      </c>
      <c r="K212" s="9">
        <f t="shared" si="393"/>
        <v>1672.9</v>
      </c>
      <c r="L212" s="9">
        <f t="shared" si="394"/>
        <v>4937.8</v>
      </c>
      <c r="M212" s="9">
        <f>M214</f>
        <v>0</v>
      </c>
      <c r="N212" s="9">
        <f t="shared" si="410"/>
        <v>4937.8</v>
      </c>
      <c r="O212" s="9"/>
      <c r="P212" s="9">
        <f t="shared" ref="P212:P223" si="559">N212+O212</f>
        <v>4937.8</v>
      </c>
      <c r="Q212" s="9"/>
      <c r="R212" s="9">
        <f t="shared" ref="R212" si="560">P212+Q212</f>
        <v>4937.8</v>
      </c>
      <c r="S212" s="9"/>
      <c r="T212" s="9">
        <f t="shared" ref="T212:T223" si="561">R212+S212</f>
        <v>4937.8</v>
      </c>
      <c r="U212" s="9"/>
      <c r="V212" s="35">
        <f t="shared" ref="V212" si="562">T212+U212</f>
        <v>4937.8</v>
      </c>
      <c r="W212" s="9"/>
      <c r="X212" s="9">
        <f t="shared" ref="X212" si="563">V212+W212</f>
        <v>4937.8</v>
      </c>
      <c r="Y212" s="9"/>
      <c r="Z212" s="9">
        <f t="shared" ref="Z212" si="564">X212+Y212</f>
        <v>4937.8</v>
      </c>
      <c r="AA212" s="9"/>
      <c r="AB212" s="9">
        <f t="shared" ref="AB212" si="565">Z212+AA212</f>
        <v>4937.8</v>
      </c>
      <c r="AC212" s="9"/>
      <c r="AD212" s="9">
        <f t="shared" ref="AD212" si="566">AB212+AC212</f>
        <v>4937.8</v>
      </c>
      <c r="AE212" s="9"/>
      <c r="AF212" s="9">
        <f t="shared" ref="AF212" si="567">AD212+AE212</f>
        <v>4937.8</v>
      </c>
      <c r="AG212" s="9"/>
      <c r="AH212" s="9">
        <f t="shared" ref="AH212" si="568">AF212+AG212</f>
        <v>4937.8</v>
      </c>
      <c r="AI212" s="17"/>
    </row>
    <row r="213" spans="1:36" x14ac:dyDescent="0.25">
      <c r="A213" s="48"/>
      <c r="B213" s="6" t="s">
        <v>8</v>
      </c>
      <c r="C213" s="7"/>
      <c r="D213" s="7"/>
      <c r="E213" s="7"/>
      <c r="F213" s="7"/>
      <c r="G213" s="7"/>
      <c r="H213" s="7"/>
      <c r="I213" s="7"/>
      <c r="J213" s="7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35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17"/>
    </row>
    <row r="214" spans="1:36" x14ac:dyDescent="0.25">
      <c r="A214" s="48"/>
      <c r="B214" s="6" t="s">
        <v>9</v>
      </c>
      <c r="C214" s="7">
        <v>3264.9</v>
      </c>
      <c r="D214" s="7">
        <f t="shared" si="177"/>
        <v>-91.400000000000091</v>
      </c>
      <c r="E214" s="8">
        <v>3173.5</v>
      </c>
      <c r="F214" s="7">
        <v>3264.9</v>
      </c>
      <c r="G214" s="7">
        <f t="shared" si="178"/>
        <v>-13.099999999999909</v>
      </c>
      <c r="H214" s="8">
        <v>3251.8</v>
      </c>
      <c r="I214" s="7"/>
      <c r="J214" s="8">
        <f>1926.5-162.2</f>
        <v>1764.3</v>
      </c>
      <c r="K214" s="9">
        <f t="shared" si="393"/>
        <v>1672.9</v>
      </c>
      <c r="L214" s="9">
        <f t="shared" si="394"/>
        <v>4937.8</v>
      </c>
      <c r="M214" s="9"/>
      <c r="N214" s="9">
        <f t="shared" si="410"/>
        <v>4937.8</v>
      </c>
      <c r="O214" s="9"/>
      <c r="P214" s="9">
        <f t="shared" si="559"/>
        <v>4937.8</v>
      </c>
      <c r="Q214" s="9"/>
      <c r="R214" s="9">
        <f t="shared" ref="R214:R215" si="569">P214+Q214</f>
        <v>4937.8</v>
      </c>
      <c r="S214" s="9"/>
      <c r="T214" s="9">
        <f t="shared" si="561"/>
        <v>4937.8</v>
      </c>
      <c r="U214" s="9"/>
      <c r="V214" s="35">
        <f t="shared" ref="V214:V215" si="570">T214+U214</f>
        <v>4937.8</v>
      </c>
      <c r="W214" s="9"/>
      <c r="X214" s="9">
        <f t="shared" ref="X214:X215" si="571">V214+W214</f>
        <v>4937.8</v>
      </c>
      <c r="Y214" s="9"/>
      <c r="Z214" s="9">
        <f t="shared" ref="Z214:Z215" si="572">X214+Y214</f>
        <v>4937.8</v>
      </c>
      <c r="AA214" s="9"/>
      <c r="AB214" s="9">
        <f t="shared" ref="AB214:AB215" si="573">Z214+AA214</f>
        <v>4937.8</v>
      </c>
      <c r="AC214" s="9"/>
      <c r="AD214" s="9">
        <f t="shared" ref="AD214:AD215" si="574">AB214+AC214</f>
        <v>4937.8</v>
      </c>
      <c r="AE214" s="9"/>
      <c r="AF214" s="9">
        <f t="shared" ref="AF214:AF215" si="575">AD214+AE214</f>
        <v>4937.8</v>
      </c>
      <c r="AG214" s="9"/>
      <c r="AH214" s="9">
        <f t="shared" ref="AH214:AH215" si="576">AF214+AG214</f>
        <v>4937.8</v>
      </c>
      <c r="AI214" s="17"/>
    </row>
    <row r="215" spans="1:36" ht="47.25" x14ac:dyDescent="0.25">
      <c r="A215" s="48">
        <v>10</v>
      </c>
      <c r="B215" s="6" t="s">
        <v>66</v>
      </c>
      <c r="C215" s="7">
        <f>C217</f>
        <v>0</v>
      </c>
      <c r="D215" s="7">
        <f t="shared" ref="D215" si="577">E215-C215</f>
        <v>44886.6</v>
      </c>
      <c r="E215" s="8">
        <f>E217</f>
        <v>44886.6</v>
      </c>
      <c r="F215" s="7">
        <f>F217</f>
        <v>0</v>
      </c>
      <c r="G215" s="7">
        <f t="shared" ref="G215" si="578">H215-F215</f>
        <v>0</v>
      </c>
      <c r="H215" s="8">
        <f>H217</f>
        <v>0</v>
      </c>
      <c r="I215" s="7">
        <f>I217</f>
        <v>0</v>
      </c>
      <c r="J215" s="8">
        <f>J217</f>
        <v>0</v>
      </c>
      <c r="K215" s="9">
        <f t="shared" si="393"/>
        <v>44886.6</v>
      </c>
      <c r="L215" s="9">
        <f t="shared" si="394"/>
        <v>44886.6</v>
      </c>
      <c r="M215" s="9">
        <f>M217</f>
        <v>0</v>
      </c>
      <c r="N215" s="9">
        <f t="shared" si="410"/>
        <v>44886.6</v>
      </c>
      <c r="O215" s="9"/>
      <c r="P215" s="9">
        <f t="shared" si="559"/>
        <v>44886.6</v>
      </c>
      <c r="Q215" s="9"/>
      <c r="R215" s="9">
        <f t="shared" si="569"/>
        <v>44886.6</v>
      </c>
      <c r="S215" s="9"/>
      <c r="T215" s="9">
        <f t="shared" si="561"/>
        <v>44886.6</v>
      </c>
      <c r="U215" s="9"/>
      <c r="V215" s="35">
        <f t="shared" si="570"/>
        <v>44886.6</v>
      </c>
      <c r="W215" s="9"/>
      <c r="X215" s="38">
        <f t="shared" si="571"/>
        <v>44886.6</v>
      </c>
      <c r="Y215" s="9">
        <f>Y217</f>
        <v>-1059.251</v>
      </c>
      <c r="Z215" s="9">
        <f t="shared" si="572"/>
        <v>43827.349000000002</v>
      </c>
      <c r="AA215" s="9">
        <f>AA217</f>
        <v>0</v>
      </c>
      <c r="AB215" s="9">
        <f t="shared" si="573"/>
        <v>43827.349000000002</v>
      </c>
      <c r="AC215" s="9">
        <f>AC217</f>
        <v>-546.58799999999997</v>
      </c>
      <c r="AD215" s="9">
        <f t="shared" si="574"/>
        <v>43280.760999999999</v>
      </c>
      <c r="AE215" s="9">
        <f>AE217</f>
        <v>0</v>
      </c>
      <c r="AF215" s="9">
        <f t="shared" si="575"/>
        <v>43280.760999999999</v>
      </c>
      <c r="AG215" s="9">
        <f>AG217</f>
        <v>0</v>
      </c>
      <c r="AH215" s="9">
        <f t="shared" si="576"/>
        <v>43280.760999999999</v>
      </c>
      <c r="AI215" s="17" t="s">
        <v>146</v>
      </c>
    </row>
    <row r="216" spans="1:36" x14ac:dyDescent="0.25">
      <c r="A216" s="48"/>
      <c r="B216" s="6" t="s">
        <v>8</v>
      </c>
      <c r="C216" s="7"/>
      <c r="D216" s="7"/>
      <c r="E216" s="8"/>
      <c r="F216" s="7"/>
      <c r="G216" s="7"/>
      <c r="H216" s="8"/>
      <c r="I216" s="7"/>
      <c r="J216" s="8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35"/>
      <c r="W216" s="9"/>
      <c r="X216" s="38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17"/>
    </row>
    <row r="217" spans="1:36" x14ac:dyDescent="0.25">
      <c r="A217" s="48"/>
      <c r="B217" s="6" t="s">
        <v>9</v>
      </c>
      <c r="C217" s="7"/>
      <c r="D217" s="7">
        <f t="shared" ref="D217:D221" si="579">E217-C217</f>
        <v>44886.6</v>
      </c>
      <c r="E217" s="8">
        <v>44886.6</v>
      </c>
      <c r="F217" s="7"/>
      <c r="G217" s="7">
        <f t="shared" ref="G217:G221" si="580">H217-F217</f>
        <v>0</v>
      </c>
      <c r="H217" s="8"/>
      <c r="I217" s="7"/>
      <c r="J217" s="8"/>
      <c r="K217" s="9">
        <f t="shared" si="393"/>
        <v>44886.6</v>
      </c>
      <c r="L217" s="9">
        <f t="shared" si="394"/>
        <v>44886.6</v>
      </c>
      <c r="M217" s="9"/>
      <c r="N217" s="9">
        <f t="shared" si="410"/>
        <v>44886.6</v>
      </c>
      <c r="O217" s="9"/>
      <c r="P217" s="9">
        <f t="shared" si="559"/>
        <v>44886.6</v>
      </c>
      <c r="Q217" s="9"/>
      <c r="R217" s="9">
        <f t="shared" ref="R217:R221" si="581">P217+Q217</f>
        <v>44886.6</v>
      </c>
      <c r="S217" s="9"/>
      <c r="T217" s="9">
        <f t="shared" si="561"/>
        <v>44886.6</v>
      </c>
      <c r="U217" s="9"/>
      <c r="V217" s="35">
        <f t="shared" ref="V217:V218" si="582">T217+U217</f>
        <v>44886.6</v>
      </c>
      <c r="W217" s="9"/>
      <c r="X217" s="38">
        <f t="shared" ref="X217:X218" si="583">V217+W217</f>
        <v>44886.6</v>
      </c>
      <c r="Y217" s="9">
        <v>-1059.251</v>
      </c>
      <c r="Z217" s="9">
        <f t="shared" ref="Z217:Z218" si="584">X217+Y217</f>
        <v>43827.349000000002</v>
      </c>
      <c r="AA217" s="9"/>
      <c r="AB217" s="9">
        <f t="shared" ref="AB217:AB218" si="585">Z217+AA217</f>
        <v>43827.349000000002</v>
      </c>
      <c r="AC217" s="9">
        <v>-546.58799999999997</v>
      </c>
      <c r="AD217" s="9">
        <f t="shared" ref="AD217:AD218" si="586">AB217+AC217</f>
        <v>43280.760999999999</v>
      </c>
      <c r="AE217" s="9"/>
      <c r="AF217" s="9">
        <f t="shared" ref="AF217:AF218" si="587">AD217+AE217</f>
        <v>43280.760999999999</v>
      </c>
      <c r="AG217" s="9"/>
      <c r="AH217" s="9">
        <f t="shared" ref="AH217:AH218" si="588">AF217+AG217</f>
        <v>43280.760999999999</v>
      </c>
      <c r="AI217" s="17"/>
    </row>
    <row r="218" spans="1:36" x14ac:dyDescent="0.25">
      <c r="A218" s="48">
        <v>11</v>
      </c>
      <c r="B218" s="6" t="s">
        <v>105</v>
      </c>
      <c r="C218" s="7"/>
      <c r="D218" s="7"/>
      <c r="E218" s="8"/>
      <c r="F218" s="7"/>
      <c r="G218" s="7"/>
      <c r="H218" s="8"/>
      <c r="I218" s="7"/>
      <c r="J218" s="8"/>
      <c r="K218" s="9"/>
      <c r="L218" s="9"/>
      <c r="M218" s="9"/>
      <c r="N218" s="9"/>
      <c r="O218" s="9"/>
      <c r="P218" s="9"/>
      <c r="Q218" s="29">
        <f>Q220</f>
        <v>1285.865</v>
      </c>
      <c r="R218" s="29">
        <f t="shared" si="581"/>
        <v>1285.865</v>
      </c>
      <c r="S218" s="29">
        <f>S220</f>
        <v>0</v>
      </c>
      <c r="T218" s="9">
        <f t="shared" si="561"/>
        <v>1285.865</v>
      </c>
      <c r="U218" s="9">
        <f>U220</f>
        <v>0</v>
      </c>
      <c r="V218" s="35">
        <f t="shared" si="582"/>
        <v>1285.865</v>
      </c>
      <c r="W218" s="9">
        <f>W220</f>
        <v>0</v>
      </c>
      <c r="X218" s="9">
        <f t="shared" si="583"/>
        <v>1285.865</v>
      </c>
      <c r="Y218" s="9">
        <f>Y220</f>
        <v>0</v>
      </c>
      <c r="Z218" s="9">
        <f t="shared" si="584"/>
        <v>1285.865</v>
      </c>
      <c r="AA218" s="9">
        <f>AA220</f>
        <v>0</v>
      </c>
      <c r="AB218" s="9">
        <f t="shared" si="585"/>
        <v>1285.865</v>
      </c>
      <c r="AC218" s="9">
        <f>AC220</f>
        <v>0</v>
      </c>
      <c r="AD218" s="9">
        <f t="shared" si="586"/>
        <v>1285.865</v>
      </c>
      <c r="AE218" s="9">
        <f>AE220</f>
        <v>0</v>
      </c>
      <c r="AF218" s="9">
        <f t="shared" si="587"/>
        <v>1285.865</v>
      </c>
      <c r="AG218" s="9">
        <f>AG220</f>
        <v>0</v>
      </c>
      <c r="AH218" s="9">
        <f t="shared" si="588"/>
        <v>1285.865</v>
      </c>
      <c r="AI218" s="17" t="s">
        <v>106</v>
      </c>
    </row>
    <row r="219" spans="1:36" x14ac:dyDescent="0.25">
      <c r="A219" s="48"/>
      <c r="B219" s="6" t="s">
        <v>8</v>
      </c>
      <c r="C219" s="7"/>
      <c r="D219" s="7"/>
      <c r="E219" s="8"/>
      <c r="F219" s="7"/>
      <c r="G219" s="7"/>
      <c r="H219" s="8"/>
      <c r="I219" s="7"/>
      <c r="J219" s="8"/>
      <c r="K219" s="9"/>
      <c r="L219" s="9"/>
      <c r="M219" s="9"/>
      <c r="N219" s="9"/>
      <c r="O219" s="9"/>
      <c r="P219" s="9"/>
      <c r="Q219" s="29"/>
      <c r="R219" s="29"/>
      <c r="S219" s="29"/>
      <c r="T219" s="9"/>
      <c r="U219" s="9"/>
      <c r="V219" s="35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17"/>
    </row>
    <row r="220" spans="1:36" x14ac:dyDescent="0.25">
      <c r="A220" s="48"/>
      <c r="B220" s="6" t="s">
        <v>9</v>
      </c>
      <c r="C220" s="7"/>
      <c r="D220" s="7"/>
      <c r="E220" s="8"/>
      <c r="F220" s="7"/>
      <c r="G220" s="7"/>
      <c r="H220" s="8"/>
      <c r="I220" s="7"/>
      <c r="J220" s="8"/>
      <c r="K220" s="9"/>
      <c r="L220" s="9"/>
      <c r="M220" s="9"/>
      <c r="N220" s="9"/>
      <c r="O220" s="9"/>
      <c r="P220" s="9"/>
      <c r="Q220" s="29">
        <v>1285.865</v>
      </c>
      <c r="R220" s="29">
        <f t="shared" si="581"/>
        <v>1285.865</v>
      </c>
      <c r="S220" s="29"/>
      <c r="T220" s="9">
        <f t="shared" si="561"/>
        <v>1285.865</v>
      </c>
      <c r="U220" s="9"/>
      <c r="V220" s="35">
        <f t="shared" ref="V220:V221" si="589">T220+U220</f>
        <v>1285.865</v>
      </c>
      <c r="W220" s="9"/>
      <c r="X220" s="9">
        <f t="shared" ref="X220:X221" si="590">V220+W220</f>
        <v>1285.865</v>
      </c>
      <c r="Y220" s="9"/>
      <c r="Z220" s="9">
        <f t="shared" ref="Z220:Z221" si="591">X220+Y220</f>
        <v>1285.865</v>
      </c>
      <c r="AA220" s="9"/>
      <c r="AB220" s="9">
        <f t="shared" ref="AB220:AB221" si="592">Z220+AA220</f>
        <v>1285.865</v>
      </c>
      <c r="AC220" s="9"/>
      <c r="AD220" s="9">
        <f t="shared" ref="AD220:AD221" si="593">AB220+AC220</f>
        <v>1285.865</v>
      </c>
      <c r="AE220" s="9"/>
      <c r="AF220" s="9">
        <f t="shared" ref="AF220:AF221" si="594">AD220+AE220</f>
        <v>1285.865</v>
      </c>
      <c r="AG220" s="9"/>
      <c r="AH220" s="9">
        <f t="shared" ref="AH220:AH221" si="595">AF220+AG220</f>
        <v>1285.865</v>
      </c>
      <c r="AI220" s="17"/>
    </row>
    <row r="221" spans="1:36" ht="31.5" x14ac:dyDescent="0.25">
      <c r="A221" s="48">
        <v>12</v>
      </c>
      <c r="B221" s="6" t="s">
        <v>69</v>
      </c>
      <c r="C221" s="7">
        <f>C223</f>
        <v>0</v>
      </c>
      <c r="D221" s="7">
        <f t="shared" si="579"/>
        <v>5936.7</v>
      </c>
      <c r="E221" s="8">
        <f>E223</f>
        <v>5936.7</v>
      </c>
      <c r="F221" s="7">
        <f>F223</f>
        <v>0</v>
      </c>
      <c r="G221" s="7">
        <f t="shared" si="580"/>
        <v>12930.1</v>
      </c>
      <c r="H221" s="8">
        <f>H223</f>
        <v>12930.1</v>
      </c>
      <c r="I221" s="7">
        <f>I223</f>
        <v>7773.6</v>
      </c>
      <c r="J221" s="8">
        <f>J223</f>
        <v>-967.3</v>
      </c>
      <c r="K221" s="9">
        <f t="shared" si="393"/>
        <v>4969.3999999999996</v>
      </c>
      <c r="L221" s="9">
        <f t="shared" si="394"/>
        <v>4969.3999999999996</v>
      </c>
      <c r="M221" s="9">
        <f>M223</f>
        <v>0</v>
      </c>
      <c r="N221" s="9">
        <f t="shared" si="410"/>
        <v>4969.3999999999996</v>
      </c>
      <c r="O221" s="9"/>
      <c r="P221" s="9">
        <f t="shared" si="559"/>
        <v>4969.3999999999996</v>
      </c>
      <c r="Q221" s="29">
        <f>Q223</f>
        <v>1750</v>
      </c>
      <c r="R221" s="29">
        <f t="shared" si="581"/>
        <v>6719.4</v>
      </c>
      <c r="S221" s="29">
        <f>S223</f>
        <v>0</v>
      </c>
      <c r="T221" s="9">
        <f t="shared" si="561"/>
        <v>6719.4</v>
      </c>
      <c r="U221" s="9">
        <f>U223</f>
        <v>-279.58699999999999</v>
      </c>
      <c r="V221" s="35">
        <f t="shared" si="589"/>
        <v>6439.8130000000001</v>
      </c>
      <c r="W221" s="9">
        <f>W223</f>
        <v>-365.62599999999998</v>
      </c>
      <c r="X221" s="9">
        <f t="shared" si="590"/>
        <v>6074.1869999999999</v>
      </c>
      <c r="Y221" s="9">
        <f>Y223</f>
        <v>0</v>
      </c>
      <c r="Z221" s="9">
        <f t="shared" si="591"/>
        <v>6074.1869999999999</v>
      </c>
      <c r="AA221" s="9">
        <f>AA223</f>
        <v>0</v>
      </c>
      <c r="AB221" s="9">
        <f t="shared" si="592"/>
        <v>6074.1869999999999</v>
      </c>
      <c r="AC221" s="9">
        <f>AC223</f>
        <v>0</v>
      </c>
      <c r="AD221" s="9">
        <f t="shared" si="593"/>
        <v>6074.1869999999999</v>
      </c>
      <c r="AE221" s="45">
        <f>AE223</f>
        <v>44.334000000000003</v>
      </c>
      <c r="AF221" s="9">
        <f t="shared" si="594"/>
        <v>6118.5209999999997</v>
      </c>
      <c r="AG221" s="18">
        <f>AG223</f>
        <v>-2136.4499999999998</v>
      </c>
      <c r="AH221" s="9">
        <f t="shared" si="595"/>
        <v>3982.0709999999999</v>
      </c>
      <c r="AI221" s="17" t="s">
        <v>104</v>
      </c>
    </row>
    <row r="222" spans="1:36" x14ac:dyDescent="0.25">
      <c r="A222" s="48"/>
      <c r="B222" s="6" t="s">
        <v>8</v>
      </c>
      <c r="C222" s="7"/>
      <c r="D222" s="7"/>
      <c r="E222" s="8"/>
      <c r="F222" s="7"/>
      <c r="G222" s="7"/>
      <c r="H222" s="8"/>
      <c r="I222" s="7"/>
      <c r="J222" s="8"/>
      <c r="K222" s="9"/>
      <c r="L222" s="9"/>
      <c r="M222" s="9"/>
      <c r="N222" s="9"/>
      <c r="O222" s="9"/>
      <c r="P222" s="9"/>
      <c r="Q222" s="29"/>
      <c r="R222" s="29"/>
      <c r="S222" s="29"/>
      <c r="T222" s="9"/>
      <c r="U222" s="9"/>
      <c r="V222" s="35"/>
      <c r="W222" s="9"/>
      <c r="X222" s="9"/>
      <c r="Y222" s="9"/>
      <c r="Z222" s="9"/>
      <c r="AA222" s="9"/>
      <c r="AB222" s="9"/>
      <c r="AC222" s="9"/>
      <c r="AD222" s="9"/>
      <c r="AE222" s="18"/>
      <c r="AF222" s="9"/>
      <c r="AG222" s="18"/>
      <c r="AH222" s="9"/>
      <c r="AI222" s="17"/>
    </row>
    <row r="223" spans="1:36" x14ac:dyDescent="0.25">
      <c r="A223" s="48"/>
      <c r="B223" s="6" t="s">
        <v>9</v>
      </c>
      <c r="C223" s="7"/>
      <c r="D223" s="7">
        <f t="shared" ref="D223:D224" si="596">E223-C223</f>
        <v>5936.7</v>
      </c>
      <c r="E223" s="8">
        <v>5936.7</v>
      </c>
      <c r="F223" s="7"/>
      <c r="G223" s="7">
        <f t="shared" ref="G223:G224" si="597">H223-F223</f>
        <v>12930.1</v>
      </c>
      <c r="H223" s="8">
        <v>12930.1</v>
      </c>
      <c r="I223" s="7">
        <v>7773.6</v>
      </c>
      <c r="J223" s="8">
        <v>-967.3</v>
      </c>
      <c r="K223" s="9">
        <f t="shared" si="393"/>
        <v>4969.3999999999996</v>
      </c>
      <c r="L223" s="9">
        <f t="shared" si="394"/>
        <v>4969.3999999999996</v>
      </c>
      <c r="M223" s="9"/>
      <c r="N223" s="9">
        <f t="shared" si="410"/>
        <v>4969.3999999999996</v>
      </c>
      <c r="O223" s="9"/>
      <c r="P223" s="9">
        <f t="shared" si="559"/>
        <v>4969.3999999999996</v>
      </c>
      <c r="Q223" s="29">
        <v>1750</v>
      </c>
      <c r="R223" s="29">
        <f t="shared" ref="R223" si="598">P223+Q223</f>
        <v>6719.4</v>
      </c>
      <c r="S223" s="29"/>
      <c r="T223" s="9">
        <f t="shared" si="561"/>
        <v>6719.4</v>
      </c>
      <c r="U223" s="9">
        <f>-279.587</f>
        <v>-279.58699999999999</v>
      </c>
      <c r="V223" s="35">
        <f t="shared" ref="V223" si="599">T223+U223</f>
        <v>6439.8130000000001</v>
      </c>
      <c r="W223" s="9">
        <f>-257.626-108</f>
        <v>-365.62599999999998</v>
      </c>
      <c r="X223" s="9">
        <f t="shared" ref="X223" si="600">V223+W223</f>
        <v>6074.1869999999999</v>
      </c>
      <c r="Y223" s="9"/>
      <c r="Z223" s="9">
        <f t="shared" ref="Z223:Z226" si="601">X223+Y223</f>
        <v>6074.1869999999999</v>
      </c>
      <c r="AA223" s="9"/>
      <c r="AB223" s="9">
        <f t="shared" ref="AB223:AB226" si="602">Z223+AA223</f>
        <v>6074.1869999999999</v>
      </c>
      <c r="AC223" s="9"/>
      <c r="AD223" s="9">
        <f t="shared" ref="AD223:AD224" si="603">AB223+AC223</f>
        <v>6074.1869999999999</v>
      </c>
      <c r="AE223" s="18">
        <v>44.334000000000003</v>
      </c>
      <c r="AF223" s="9">
        <f t="shared" ref="AF223:AF224" si="604">AD223+AE223</f>
        <v>6118.5209999999997</v>
      </c>
      <c r="AG223" s="18">
        <v>-2136.4499999999998</v>
      </c>
      <c r="AH223" s="9">
        <f t="shared" ref="AH223:AH224" si="605">AF223+AG223</f>
        <v>3982.0709999999999</v>
      </c>
      <c r="AI223" s="17"/>
    </row>
    <row r="224" spans="1:36" ht="31.5" x14ac:dyDescent="0.25">
      <c r="A224" s="48">
        <v>13</v>
      </c>
      <c r="B224" s="6" t="s">
        <v>147</v>
      </c>
      <c r="C224" s="7">
        <f>C226</f>
        <v>0</v>
      </c>
      <c r="D224" s="7">
        <f t="shared" si="596"/>
        <v>7272.5</v>
      </c>
      <c r="E224" s="8">
        <f>E226</f>
        <v>7272.5</v>
      </c>
      <c r="F224" s="7">
        <f>F226</f>
        <v>0</v>
      </c>
      <c r="G224" s="7">
        <f t="shared" si="597"/>
        <v>7272.5</v>
      </c>
      <c r="H224" s="8">
        <f>H226</f>
        <v>7272.5</v>
      </c>
      <c r="I224" s="7">
        <f>I226</f>
        <v>7272.5</v>
      </c>
      <c r="J224" s="8">
        <f>J226</f>
        <v>-7272.5</v>
      </c>
      <c r="K224" s="9">
        <f t="shared" si="393"/>
        <v>0</v>
      </c>
      <c r="L224" s="9">
        <f t="shared" si="394"/>
        <v>0</v>
      </c>
      <c r="M224" s="17">
        <f t="shared" ref="M224" si="606">N224-E224</f>
        <v>0</v>
      </c>
      <c r="N224" s="17">
        <f t="shared" ref="N224" si="607">G224+L224</f>
        <v>7272.5</v>
      </c>
      <c r="O224" s="17"/>
      <c r="P224" s="17"/>
      <c r="Q224" s="17"/>
      <c r="R224" s="17"/>
      <c r="S224" s="17"/>
      <c r="T224" s="17"/>
      <c r="U224" s="17"/>
      <c r="V224" s="17"/>
      <c r="W224" s="9"/>
      <c r="X224" s="9"/>
      <c r="Y224" s="9">
        <f>Y226</f>
        <v>10132.299999999999</v>
      </c>
      <c r="Z224" s="9">
        <f t="shared" si="601"/>
        <v>10132.299999999999</v>
      </c>
      <c r="AA224" s="9">
        <f>AA226</f>
        <v>-500</v>
      </c>
      <c r="AB224" s="9">
        <f t="shared" si="602"/>
        <v>9632.2999999999993</v>
      </c>
      <c r="AC224" s="9">
        <f>AC226</f>
        <v>0</v>
      </c>
      <c r="AD224" s="9">
        <f t="shared" si="603"/>
        <v>9632.2999999999993</v>
      </c>
      <c r="AE224" s="9">
        <f>AE226</f>
        <v>0</v>
      </c>
      <c r="AF224" s="9">
        <f t="shared" si="604"/>
        <v>9632.2999999999993</v>
      </c>
      <c r="AG224" s="18">
        <f>AG226</f>
        <v>-1699.46</v>
      </c>
      <c r="AH224" s="9">
        <f t="shared" si="605"/>
        <v>7932.8399999999992</v>
      </c>
      <c r="AI224" s="17" t="s">
        <v>148</v>
      </c>
    </row>
    <row r="225" spans="1:35" x14ac:dyDescent="0.25">
      <c r="A225" s="48"/>
      <c r="B225" s="6" t="s">
        <v>8</v>
      </c>
      <c r="C225" s="7"/>
      <c r="D225" s="7"/>
      <c r="E225" s="8"/>
      <c r="F225" s="7"/>
      <c r="G225" s="7"/>
      <c r="H225" s="8"/>
      <c r="I225" s="8"/>
      <c r="J225" s="8"/>
      <c r="K225" s="9"/>
      <c r="L225" s="9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18"/>
      <c r="AH225" s="9"/>
      <c r="AI225" s="17"/>
    </row>
    <row r="226" spans="1:35" x14ac:dyDescent="0.25">
      <c r="A226" s="48"/>
      <c r="B226" s="6" t="s">
        <v>9</v>
      </c>
      <c r="C226" s="7"/>
      <c r="D226" s="7">
        <f t="shared" ref="D226:D227" si="608">E226-C226</f>
        <v>7272.5</v>
      </c>
      <c r="E226" s="8">
        <v>7272.5</v>
      </c>
      <c r="F226" s="7"/>
      <c r="G226" s="7">
        <f t="shared" ref="G226:G227" si="609">H226-F226</f>
        <v>7272.5</v>
      </c>
      <c r="H226" s="8">
        <v>7272.5</v>
      </c>
      <c r="I226" s="8">
        <v>7272.5</v>
      </c>
      <c r="J226" s="8">
        <v>-7272.5</v>
      </c>
      <c r="K226" s="9">
        <f t="shared" si="393"/>
        <v>0</v>
      </c>
      <c r="L226" s="9">
        <f t="shared" si="394"/>
        <v>0</v>
      </c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9"/>
      <c r="X226" s="9"/>
      <c r="Y226" s="9">
        <v>10132.299999999999</v>
      </c>
      <c r="Z226" s="9">
        <f t="shared" si="601"/>
        <v>10132.299999999999</v>
      </c>
      <c r="AA226" s="9">
        <v>-500</v>
      </c>
      <c r="AB226" s="9">
        <f t="shared" si="602"/>
        <v>9632.2999999999993</v>
      </c>
      <c r="AC226" s="9"/>
      <c r="AD226" s="9">
        <f t="shared" ref="AD226:AD227" si="610">AB226+AC226</f>
        <v>9632.2999999999993</v>
      </c>
      <c r="AE226" s="9"/>
      <c r="AF226" s="9">
        <f t="shared" ref="AF226:AF227" si="611">AD226+AE226</f>
        <v>9632.2999999999993</v>
      </c>
      <c r="AG226" s="18">
        <v>-1699.46</v>
      </c>
      <c r="AH226" s="9">
        <f t="shared" ref="AH226:AH227" si="612">AF226+AG226</f>
        <v>7932.8399999999992</v>
      </c>
      <c r="AI226" s="17"/>
    </row>
    <row r="227" spans="1:35" ht="31.5" x14ac:dyDescent="0.25">
      <c r="A227" s="48">
        <v>14</v>
      </c>
      <c r="B227" s="6" t="s">
        <v>63</v>
      </c>
      <c r="C227" s="7">
        <f>C229</f>
        <v>0</v>
      </c>
      <c r="D227" s="7">
        <f t="shared" si="608"/>
        <v>3000</v>
      </c>
      <c r="E227" s="8">
        <f>E229</f>
        <v>3000</v>
      </c>
      <c r="F227" s="7">
        <f>F229</f>
        <v>0</v>
      </c>
      <c r="G227" s="7">
        <f t="shared" si="609"/>
        <v>5000</v>
      </c>
      <c r="H227" s="8">
        <f>H229</f>
        <v>5000</v>
      </c>
      <c r="I227" s="7">
        <f>I229</f>
        <v>7000</v>
      </c>
      <c r="J227" s="8">
        <f>J229</f>
        <v>0</v>
      </c>
      <c r="K227" s="9">
        <f t="shared" si="393"/>
        <v>3000</v>
      </c>
      <c r="L227" s="9">
        <f t="shared" si="394"/>
        <v>3000</v>
      </c>
      <c r="M227" s="9">
        <f>M229</f>
        <v>0</v>
      </c>
      <c r="N227" s="9">
        <f t="shared" ref="N227:N229" si="613">L227+M227</f>
        <v>3000</v>
      </c>
      <c r="O227" s="9"/>
      <c r="P227" s="9">
        <f t="shared" ref="P227:P233" si="614">N227+O227</f>
        <v>3000</v>
      </c>
      <c r="Q227" s="9"/>
      <c r="R227" s="9">
        <f t="shared" ref="R227" si="615">P227+Q227</f>
        <v>3000</v>
      </c>
      <c r="S227" s="9"/>
      <c r="T227" s="9">
        <f t="shared" ref="T227:T232" si="616">R227+S227</f>
        <v>3000</v>
      </c>
      <c r="U227" s="9"/>
      <c r="V227" s="35">
        <f t="shared" ref="V227" si="617">T227+U227</f>
        <v>3000</v>
      </c>
      <c r="W227" s="9"/>
      <c r="X227" s="9">
        <f t="shared" ref="X227" si="618">V227+W227</f>
        <v>3000</v>
      </c>
      <c r="Y227" s="9"/>
      <c r="Z227" s="9">
        <f t="shared" ref="Z227" si="619">X227+Y227</f>
        <v>3000</v>
      </c>
      <c r="AA227" s="9"/>
      <c r="AB227" s="9">
        <f t="shared" ref="AB227" si="620">Z227+AA227</f>
        <v>3000</v>
      </c>
      <c r="AC227" s="9"/>
      <c r="AD227" s="9">
        <f t="shared" si="610"/>
        <v>3000</v>
      </c>
      <c r="AE227" s="18">
        <f>AE229</f>
        <v>-1500</v>
      </c>
      <c r="AF227" s="9">
        <f t="shared" si="611"/>
        <v>1500</v>
      </c>
      <c r="AG227" s="9">
        <f>AG229</f>
        <v>0</v>
      </c>
      <c r="AH227" s="9">
        <f t="shared" si="612"/>
        <v>1500</v>
      </c>
      <c r="AI227" s="17" t="s">
        <v>152</v>
      </c>
    </row>
    <row r="228" spans="1:35" x14ac:dyDescent="0.25">
      <c r="A228" s="48"/>
      <c r="B228" s="6" t="s">
        <v>8</v>
      </c>
      <c r="C228" s="7"/>
      <c r="D228" s="7"/>
      <c r="E228" s="8"/>
      <c r="F228" s="7"/>
      <c r="G228" s="7"/>
      <c r="H228" s="8"/>
      <c r="I228" s="7"/>
      <c r="J228" s="8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35"/>
      <c r="W228" s="9"/>
      <c r="X228" s="9"/>
      <c r="Y228" s="9"/>
      <c r="Z228" s="9"/>
      <c r="AA228" s="9"/>
      <c r="AB228" s="9"/>
      <c r="AC228" s="9"/>
      <c r="AD228" s="9"/>
      <c r="AE228" s="18"/>
      <c r="AF228" s="9"/>
      <c r="AG228" s="9"/>
      <c r="AH228" s="9"/>
      <c r="AI228" s="17"/>
    </row>
    <row r="229" spans="1:35" x14ac:dyDescent="0.25">
      <c r="A229" s="48"/>
      <c r="B229" s="6" t="s">
        <v>9</v>
      </c>
      <c r="C229" s="7"/>
      <c r="D229" s="7">
        <f t="shared" ref="D229" si="621">E229-C229</f>
        <v>3000</v>
      </c>
      <c r="E229" s="8">
        <v>3000</v>
      </c>
      <c r="F229" s="7"/>
      <c r="G229" s="7">
        <f t="shared" ref="G229" si="622">H229-F229</f>
        <v>5000</v>
      </c>
      <c r="H229" s="8">
        <v>5000</v>
      </c>
      <c r="I229" s="8">
        <v>7000</v>
      </c>
      <c r="J229" s="8"/>
      <c r="K229" s="9">
        <f t="shared" si="393"/>
        <v>3000</v>
      </c>
      <c r="L229" s="9">
        <f t="shared" si="394"/>
        <v>3000</v>
      </c>
      <c r="M229" s="9"/>
      <c r="N229" s="9">
        <f t="shared" si="613"/>
        <v>3000</v>
      </c>
      <c r="O229" s="9"/>
      <c r="P229" s="9">
        <f t="shared" si="614"/>
        <v>3000</v>
      </c>
      <c r="Q229" s="9"/>
      <c r="R229" s="9">
        <f t="shared" ref="R229:R233" si="623">P229+Q229</f>
        <v>3000</v>
      </c>
      <c r="S229" s="9"/>
      <c r="T229" s="9">
        <f t="shared" si="616"/>
        <v>3000</v>
      </c>
      <c r="U229" s="9"/>
      <c r="V229" s="35">
        <f t="shared" ref="V229:V230" si="624">T229+U229</f>
        <v>3000</v>
      </c>
      <c r="W229" s="9"/>
      <c r="X229" s="9">
        <f t="shared" ref="X229:X230" si="625">V229+W229</f>
        <v>3000</v>
      </c>
      <c r="Y229" s="9"/>
      <c r="Z229" s="9">
        <f t="shared" ref="Z229:Z230" si="626">X229+Y229</f>
        <v>3000</v>
      </c>
      <c r="AA229" s="9"/>
      <c r="AB229" s="9">
        <f t="shared" ref="AB229:AB230" si="627">Z229+AA229</f>
        <v>3000</v>
      </c>
      <c r="AC229" s="9"/>
      <c r="AD229" s="9">
        <f t="shared" ref="AD229:AD230" si="628">AB229+AC229</f>
        <v>3000</v>
      </c>
      <c r="AE229" s="18">
        <v>-1500</v>
      </c>
      <c r="AF229" s="9">
        <f t="shared" ref="AF229:AF230" si="629">AD229+AE229</f>
        <v>1500</v>
      </c>
      <c r="AG229" s="9"/>
      <c r="AH229" s="9">
        <f t="shared" ref="AH229:AH230" si="630">AF229+AG229</f>
        <v>1500</v>
      </c>
      <c r="AI229" s="17"/>
    </row>
    <row r="230" spans="1:35" ht="31.5" x14ac:dyDescent="0.25">
      <c r="A230" s="48">
        <v>15</v>
      </c>
      <c r="B230" s="6" t="s">
        <v>124</v>
      </c>
      <c r="C230" s="7"/>
      <c r="D230" s="7"/>
      <c r="E230" s="8"/>
      <c r="F230" s="7"/>
      <c r="G230" s="7"/>
      <c r="H230" s="8"/>
      <c r="I230" s="8"/>
      <c r="J230" s="8"/>
      <c r="K230" s="9"/>
      <c r="L230" s="9"/>
      <c r="M230" s="9"/>
      <c r="N230" s="9"/>
      <c r="O230" s="9"/>
      <c r="P230" s="9"/>
      <c r="Q230" s="29">
        <f>Q232</f>
        <v>98</v>
      </c>
      <c r="R230" s="29">
        <f t="shared" si="623"/>
        <v>98</v>
      </c>
      <c r="S230" s="29">
        <f>S232</f>
        <v>0</v>
      </c>
      <c r="T230" s="9">
        <f t="shared" si="616"/>
        <v>98</v>
      </c>
      <c r="U230" s="9">
        <f>U232</f>
        <v>0</v>
      </c>
      <c r="V230" s="35">
        <f t="shared" si="624"/>
        <v>98</v>
      </c>
      <c r="W230" s="9">
        <f>W232</f>
        <v>0</v>
      </c>
      <c r="X230" s="9">
        <f t="shared" si="625"/>
        <v>98</v>
      </c>
      <c r="Y230" s="9">
        <f>Y232</f>
        <v>0</v>
      </c>
      <c r="Z230" s="9">
        <f t="shared" si="626"/>
        <v>98</v>
      </c>
      <c r="AA230" s="9">
        <f>AA232</f>
        <v>0</v>
      </c>
      <c r="AB230" s="9">
        <f t="shared" si="627"/>
        <v>98</v>
      </c>
      <c r="AC230" s="9">
        <f>AC232</f>
        <v>0</v>
      </c>
      <c r="AD230" s="9">
        <f t="shared" si="628"/>
        <v>98</v>
      </c>
      <c r="AE230" s="9">
        <f>AE232</f>
        <v>0</v>
      </c>
      <c r="AF230" s="9">
        <f t="shared" si="629"/>
        <v>98</v>
      </c>
      <c r="AG230" s="9">
        <f>AG232</f>
        <v>0</v>
      </c>
      <c r="AH230" s="9">
        <f t="shared" si="630"/>
        <v>98</v>
      </c>
      <c r="AI230" s="17" t="s">
        <v>125</v>
      </c>
    </row>
    <row r="231" spans="1:35" x14ac:dyDescent="0.25">
      <c r="A231" s="48"/>
      <c r="B231" s="6" t="s">
        <v>8</v>
      </c>
      <c r="C231" s="7"/>
      <c r="D231" s="7"/>
      <c r="E231" s="8"/>
      <c r="F231" s="7"/>
      <c r="G231" s="7"/>
      <c r="H231" s="8"/>
      <c r="I231" s="8"/>
      <c r="J231" s="8"/>
      <c r="K231" s="9"/>
      <c r="L231" s="9"/>
      <c r="M231" s="9"/>
      <c r="N231" s="9"/>
      <c r="O231" s="9"/>
      <c r="P231" s="9"/>
      <c r="Q231" s="29"/>
      <c r="R231" s="29"/>
      <c r="S231" s="29"/>
      <c r="T231" s="9"/>
      <c r="U231" s="9"/>
      <c r="V231" s="35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17"/>
    </row>
    <row r="232" spans="1:35" x14ac:dyDescent="0.25">
      <c r="A232" s="48"/>
      <c r="B232" s="6" t="s">
        <v>9</v>
      </c>
      <c r="C232" s="7"/>
      <c r="D232" s="7"/>
      <c r="E232" s="8"/>
      <c r="F232" s="7"/>
      <c r="G232" s="7"/>
      <c r="H232" s="8"/>
      <c r="I232" s="8"/>
      <c r="J232" s="8"/>
      <c r="K232" s="9"/>
      <c r="L232" s="9"/>
      <c r="M232" s="9"/>
      <c r="N232" s="9"/>
      <c r="O232" s="9"/>
      <c r="P232" s="9"/>
      <c r="Q232" s="29">
        <f>98</f>
        <v>98</v>
      </c>
      <c r="R232" s="29">
        <f t="shared" ref="R232" si="631">P232+Q232</f>
        <v>98</v>
      </c>
      <c r="S232" s="29"/>
      <c r="T232" s="9">
        <f t="shared" si="616"/>
        <v>98</v>
      </c>
      <c r="U232" s="9"/>
      <c r="V232" s="35">
        <f t="shared" ref="V232" si="632">T232+U232</f>
        <v>98</v>
      </c>
      <c r="W232" s="9"/>
      <c r="X232" s="9">
        <f t="shared" ref="X232" si="633">V232+W232</f>
        <v>98</v>
      </c>
      <c r="Y232" s="9"/>
      <c r="Z232" s="9">
        <f t="shared" ref="Z232" si="634">X232+Y232</f>
        <v>98</v>
      </c>
      <c r="AA232" s="9"/>
      <c r="AB232" s="9">
        <f t="shared" ref="AB232" si="635">Z232+AA232</f>
        <v>98</v>
      </c>
      <c r="AC232" s="9"/>
      <c r="AD232" s="9">
        <f t="shared" ref="AD232" si="636">AB232+AC232</f>
        <v>98</v>
      </c>
      <c r="AE232" s="9"/>
      <c r="AF232" s="9">
        <f t="shared" ref="AF232" si="637">AD232+AE232</f>
        <v>98</v>
      </c>
      <c r="AG232" s="9"/>
      <c r="AH232" s="9">
        <f t="shared" ref="AH232" si="638">AF232+AG232</f>
        <v>98</v>
      </c>
      <c r="AI232" s="17"/>
    </row>
    <row r="233" spans="1:35" ht="15.75" customHeight="1" x14ac:dyDescent="0.25">
      <c r="A233" s="59" t="s">
        <v>36</v>
      </c>
      <c r="B233" s="59"/>
      <c r="C233" s="7">
        <f>C18+C181</f>
        <v>5028648.3640000001</v>
      </c>
      <c r="D233" s="7">
        <f>E233-C233</f>
        <v>2595358.5360000003</v>
      </c>
      <c r="E233" s="7">
        <f>E18+E181</f>
        <v>7624006.9000000004</v>
      </c>
      <c r="F233" s="7">
        <f>F18+F181</f>
        <v>5094412.2599999988</v>
      </c>
      <c r="G233" s="7">
        <f>H233-F233</f>
        <v>2098996.7400000012</v>
      </c>
      <c r="H233" s="7">
        <f>H18+H181</f>
        <v>7193409</v>
      </c>
      <c r="I233" s="7">
        <f>I18+I181</f>
        <v>7431281.3999999994</v>
      </c>
      <c r="J233" s="7">
        <f>J18+J181</f>
        <v>171241.99999999997</v>
      </c>
      <c r="K233" s="9">
        <f t="shared" ref="K233" si="639">L233-C233</f>
        <v>2766600.5360000003</v>
      </c>
      <c r="L233" s="9">
        <f t="shared" ref="L233" si="640">E233+J233</f>
        <v>7795248.9000000004</v>
      </c>
      <c r="M233" s="9">
        <f>M18+M181</f>
        <v>-1000</v>
      </c>
      <c r="N233" s="9">
        <f>N18+N181</f>
        <v>7794248.9000000004</v>
      </c>
      <c r="O233" s="9">
        <f>O18+O181</f>
        <v>21194.298000000017</v>
      </c>
      <c r="P233" s="9">
        <f t="shared" si="614"/>
        <v>7815443.1980000008</v>
      </c>
      <c r="Q233" s="9">
        <f>Q18+Q181</f>
        <v>761472.08199999994</v>
      </c>
      <c r="R233" s="9">
        <f t="shared" si="623"/>
        <v>8576915.2800000012</v>
      </c>
      <c r="S233" s="9">
        <f>S18+S181</f>
        <v>-32000.04</v>
      </c>
      <c r="T233" s="9">
        <f>R233+S233</f>
        <v>8544915.2400000021</v>
      </c>
      <c r="U233" s="9">
        <f>U18+U181</f>
        <v>-50095.693999999989</v>
      </c>
      <c r="V233" s="35">
        <f>T233+U233</f>
        <v>8494819.546000002</v>
      </c>
      <c r="W233" s="9">
        <f>W18+W181</f>
        <v>369948.44100000005</v>
      </c>
      <c r="X233" s="9">
        <f>V233+W233</f>
        <v>8864767.9870000016</v>
      </c>
      <c r="Y233" s="9">
        <f>Y18+Y181</f>
        <v>77258.351999999999</v>
      </c>
      <c r="Z233" s="9">
        <f>X233+Y233</f>
        <v>8942026.3390000015</v>
      </c>
      <c r="AA233" s="9">
        <f>AA18+AA181</f>
        <v>239615.43600000002</v>
      </c>
      <c r="AB233" s="9">
        <f>Z233+AA233</f>
        <v>9181641.7750000022</v>
      </c>
      <c r="AC233" s="9">
        <f>AC18+AC181</f>
        <v>-10776.205000000002</v>
      </c>
      <c r="AD233" s="9">
        <f>AB233+AC233</f>
        <v>9170865.5700000022</v>
      </c>
      <c r="AE233" s="9">
        <f>AE18+AE181</f>
        <v>-73221.870999999985</v>
      </c>
      <c r="AF233" s="9">
        <f>AF18+AF181</f>
        <v>9097594.5990000013</v>
      </c>
      <c r="AG233" s="9">
        <f>AG18+AG181</f>
        <v>-23205.848999999998</v>
      </c>
      <c r="AH233" s="9">
        <f>AH18+AH181</f>
        <v>9072689.290000001</v>
      </c>
      <c r="AI233" s="17"/>
    </row>
  </sheetData>
  <autoFilter ref="A17:AJ233">
    <filterColumn colId="35">
      <filters blank="1"/>
    </filterColumn>
  </autoFilter>
  <mergeCells count="24">
    <mergeCell ref="A233:B233"/>
    <mergeCell ref="A16:A17"/>
    <mergeCell ref="B16:B17"/>
    <mergeCell ref="C16:C17"/>
    <mergeCell ref="K16:L16"/>
    <mergeCell ref="F16:F17"/>
    <mergeCell ref="I16:I17"/>
    <mergeCell ref="G16:H16"/>
    <mergeCell ref="D16:E16"/>
    <mergeCell ref="J16:J17"/>
    <mergeCell ref="AG16:AH17"/>
    <mergeCell ref="A13:Z13"/>
    <mergeCell ref="A12:Z12"/>
    <mergeCell ref="T16:T17"/>
    <mergeCell ref="W16:X17"/>
    <mergeCell ref="Y16:Z17"/>
    <mergeCell ref="Q16:R16"/>
    <mergeCell ref="U16:V16"/>
    <mergeCell ref="AE16:AF17"/>
    <mergeCell ref="AC16:AD17"/>
    <mergeCell ref="AA16:AB17"/>
    <mergeCell ref="M16:N16"/>
    <mergeCell ref="O16:P16"/>
    <mergeCell ref="S16:S17"/>
  </mergeCells>
  <printOptions horizontalCentered="1"/>
  <pageMargins left="0.15748031496062992" right="0.19685039370078741" top="0.19685039370078741" bottom="0.51181102362204722" header="0.31496062992125984" footer="0.19685039370078741"/>
  <pageSetup paperSize="9" scale="87" fitToHeight="5" orientation="portrait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8</vt:lpstr>
      <vt:lpstr>'Приложение № 8'!Заголовки_для_печати</vt:lpstr>
      <vt:lpstr>'Приложение № 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2013-11-26T09:52:55Z</dcterms:modified>
</cp:coreProperties>
</file>