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319\Отчет в ПГД за 2013 год\Пакет в ПГД и КСП\Проект решения с приложениями\"/>
    </mc:Choice>
  </mc:AlternateContent>
  <bookViews>
    <workbookView xWindow="480" yWindow="276" windowWidth="23256" windowHeight="12156"/>
  </bookViews>
  <sheets>
    <sheet name="прил. № 1" sheetId="1" r:id="rId1"/>
  </sheets>
  <definedNames>
    <definedName name="_xlnm._FilterDatabase" localSheetId="0" hidden="1">'прил. № 1'!$A$9:$H$631</definedName>
    <definedName name="_xlnm.Print_Titles" localSheetId="0">'прил. № 1'!$9:$9</definedName>
  </definedNames>
  <calcPr calcId="152511"/>
</workbook>
</file>

<file path=xl/calcChain.xml><?xml version="1.0" encoding="utf-8"?>
<calcChain xmlns="http://schemas.openxmlformats.org/spreadsheetml/2006/main">
  <c r="G61" i="1" l="1"/>
  <c r="F243" i="1" l="1"/>
  <c r="G138" i="1" l="1"/>
  <c r="F138" i="1"/>
  <c r="G83" i="1"/>
  <c r="G607" i="1"/>
  <c r="G576" i="1"/>
  <c r="F576" i="1"/>
  <c r="G567" i="1"/>
  <c r="G559" i="1"/>
  <c r="G550" i="1"/>
  <c r="G532" i="1"/>
  <c r="G515" i="1"/>
  <c r="G501" i="1"/>
  <c r="G486" i="1"/>
  <c r="G474" i="1"/>
  <c r="F474" i="1"/>
  <c r="G463" i="1"/>
  <c r="G448" i="1"/>
  <c r="F440" i="1"/>
  <c r="G428" i="1" l="1"/>
  <c r="G410" i="1"/>
  <c r="G392" i="1"/>
  <c r="G372" i="1"/>
  <c r="G354" i="1"/>
  <c r="G336" i="1"/>
  <c r="G317" i="1"/>
  <c r="G299" i="1"/>
  <c r="G281" i="1"/>
  <c r="G202" i="1"/>
  <c r="G211" i="1" s="1"/>
  <c r="G242" i="1" l="1"/>
  <c r="G263" i="1" s="1"/>
  <c r="G228" i="1"/>
  <c r="G187" i="1"/>
  <c r="F187" i="1"/>
  <c r="G175" i="1"/>
  <c r="G168" i="1"/>
  <c r="G155" i="1"/>
  <c r="G146" i="1"/>
  <c r="F146" i="1"/>
  <c r="G144" i="1"/>
  <c r="G142" i="1" l="1"/>
  <c r="G140" i="1"/>
  <c r="G136" i="1"/>
  <c r="G134" i="1"/>
  <c r="G130" i="1"/>
  <c r="G128" i="1"/>
  <c r="G126" i="1"/>
  <c r="G122" i="1"/>
  <c r="G119" i="1"/>
  <c r="G116" i="1"/>
  <c r="G107" i="1"/>
  <c r="G81" i="1" l="1"/>
  <c r="G54" i="1"/>
  <c r="F54" i="1"/>
  <c r="G51" i="1"/>
  <c r="F51" i="1"/>
  <c r="G49" i="1"/>
  <c r="G628" i="1"/>
  <c r="G45" i="1"/>
  <c r="G47" i="1"/>
  <c r="F47" i="1"/>
  <c r="G43" i="1"/>
  <c r="G33" i="1"/>
  <c r="F33" i="1"/>
  <c r="G30" i="1" l="1"/>
  <c r="G27" i="1"/>
  <c r="F27" i="1"/>
  <c r="G25" i="1"/>
  <c r="G22" i="1"/>
  <c r="G20" i="1"/>
  <c r="G631" i="1" l="1"/>
  <c r="H16" i="1"/>
  <c r="H19" i="1"/>
  <c r="H21" i="1"/>
  <c r="H28" i="1"/>
  <c r="H29" i="1"/>
  <c r="H32" i="1"/>
  <c r="H35" i="1"/>
  <c r="H42" i="1"/>
  <c r="H44" i="1"/>
  <c r="H48" i="1"/>
  <c r="H52" i="1"/>
  <c r="H55" i="1"/>
  <c r="H61" i="1"/>
  <c r="H63" i="1"/>
  <c r="H64" i="1"/>
  <c r="H82" i="1"/>
  <c r="H90" i="1"/>
  <c r="H92" i="1"/>
  <c r="H93" i="1"/>
  <c r="H95" i="1"/>
  <c r="H96" i="1"/>
  <c r="H104" i="1"/>
  <c r="H105" i="1"/>
  <c r="H106" i="1"/>
  <c r="H109" i="1"/>
  <c r="H110" i="1"/>
  <c r="H115" i="1"/>
  <c r="H117" i="1"/>
  <c r="H118" i="1"/>
  <c r="H120" i="1"/>
  <c r="H121" i="1"/>
  <c r="H123" i="1"/>
  <c r="H125" i="1"/>
  <c r="H127" i="1"/>
  <c r="H129" i="1"/>
  <c r="H133" i="1"/>
  <c r="H156" i="1"/>
  <c r="H165" i="1"/>
  <c r="H172" i="1"/>
  <c r="H200" i="1"/>
  <c r="H201" i="1"/>
  <c r="H206" i="1"/>
  <c r="H222" i="1"/>
  <c r="H223" i="1"/>
  <c r="H224" i="1"/>
  <c r="H232" i="1"/>
  <c r="H241" i="1"/>
  <c r="H244" i="1"/>
  <c r="H247" i="1"/>
  <c r="H248" i="1"/>
  <c r="H250" i="1"/>
  <c r="H253" i="1"/>
  <c r="H254" i="1"/>
  <c r="H255" i="1"/>
  <c r="H274" i="1"/>
  <c r="H278" i="1"/>
  <c r="H292" i="1"/>
  <c r="H296" i="1"/>
  <c r="H310" i="1"/>
  <c r="H314" i="1"/>
  <c r="H328" i="1"/>
  <c r="H332" i="1"/>
  <c r="H347" i="1"/>
  <c r="H351" i="1"/>
  <c r="H365" i="1"/>
  <c r="H368" i="1"/>
  <c r="H387" i="1"/>
  <c r="H411" i="1"/>
  <c r="H414" i="1"/>
  <c r="H422" i="1"/>
  <c r="H423" i="1"/>
  <c r="H425" i="1"/>
  <c r="H484" i="1"/>
  <c r="H487" i="1"/>
  <c r="H498" i="1"/>
  <c r="H502" i="1"/>
  <c r="H503" i="1"/>
  <c r="H513" i="1"/>
  <c r="H518" i="1"/>
  <c r="H546" i="1"/>
  <c r="H577" i="1"/>
  <c r="H580" i="1"/>
  <c r="H586" i="1"/>
  <c r="H591" i="1"/>
  <c r="H592" i="1"/>
  <c r="H594" i="1"/>
  <c r="H597" i="1"/>
  <c r="H599" i="1"/>
  <c r="H600" i="1"/>
  <c r="H602" i="1"/>
  <c r="F620" i="1"/>
  <c r="H620" i="1" s="1"/>
  <c r="F614" i="1"/>
  <c r="H614" i="1" s="1"/>
  <c r="F609" i="1"/>
  <c r="H609" i="1" s="1"/>
  <c r="F603" i="1"/>
  <c r="H603" i="1" s="1"/>
  <c r="F598" i="1"/>
  <c r="H598" i="1" s="1"/>
  <c r="F596" i="1"/>
  <c r="H596" i="1" s="1"/>
  <c r="F593" i="1"/>
  <c r="F567" i="1"/>
  <c r="F559" i="1"/>
  <c r="F545" i="1"/>
  <c r="H545" i="1" s="1"/>
  <c r="F543" i="1"/>
  <c r="H543" i="1" s="1"/>
  <c r="F528" i="1"/>
  <c r="H528" i="1" s="1"/>
  <c r="F527" i="1"/>
  <c r="H527" i="1" s="1"/>
  <c r="F526" i="1"/>
  <c r="F515" i="1"/>
  <c r="H515" i="1" s="1"/>
  <c r="F501" i="1"/>
  <c r="H501" i="1" s="1"/>
  <c r="F486" i="1"/>
  <c r="H486" i="1" s="1"/>
  <c r="F458" i="1"/>
  <c r="F463" i="1" s="1"/>
  <c r="H463" i="1" s="1"/>
  <c r="F446" i="1"/>
  <c r="H446" i="1" s="1"/>
  <c r="F445" i="1"/>
  <c r="H445" i="1" s="1"/>
  <c r="F444" i="1"/>
  <c r="F443" i="1"/>
  <c r="H440" i="1"/>
  <c r="F419" i="1"/>
  <c r="H419" i="1" s="1"/>
  <c r="F412" i="1"/>
  <c r="H412" i="1" s="1"/>
  <c r="F406" i="1"/>
  <c r="F410" i="1" s="1"/>
  <c r="F386" i="1"/>
  <c r="F383" i="1"/>
  <c r="F367" i="1"/>
  <c r="F372" i="1" s="1"/>
  <c r="H372" i="1" s="1"/>
  <c r="F350" i="1"/>
  <c r="F354" i="1" s="1"/>
  <c r="H354" i="1" s="1"/>
  <c r="F331" i="1"/>
  <c r="F336" i="1" s="1"/>
  <c r="H336" i="1" s="1"/>
  <c r="F313" i="1"/>
  <c r="F317" i="1" s="1"/>
  <c r="H317" i="1" s="1"/>
  <c r="F295" i="1"/>
  <c r="F299" i="1" s="1"/>
  <c r="H299" i="1" s="1"/>
  <c r="F277" i="1"/>
  <c r="F281" i="1" s="1"/>
  <c r="H281" i="1" s="1"/>
  <c r="F256" i="1"/>
  <c r="H256" i="1" s="1"/>
  <c r="F252" i="1"/>
  <c r="H252" i="1" s="1"/>
  <c r="F251" i="1"/>
  <c r="H251" i="1" s="1"/>
  <c r="F249" i="1"/>
  <c r="H249" i="1" s="1"/>
  <c r="F246" i="1"/>
  <c r="H246" i="1" s="1"/>
  <c r="F245" i="1"/>
  <c r="H245" i="1" s="1"/>
  <c r="H243" i="1"/>
  <c r="F242" i="1"/>
  <c r="F228" i="1"/>
  <c r="H228" i="1" s="1"/>
  <c r="F203" i="1"/>
  <c r="H203" i="1" s="1"/>
  <c r="F202" i="1"/>
  <c r="F175" i="1"/>
  <c r="H175" i="1" s="1"/>
  <c r="F168" i="1"/>
  <c r="H168" i="1" s="1"/>
  <c r="F153" i="1"/>
  <c r="H153" i="1" s="1"/>
  <c r="F147" i="1"/>
  <c r="H147" i="1" s="1"/>
  <c r="F143" i="1"/>
  <c r="F144" i="1" s="1"/>
  <c r="H144" i="1" s="1"/>
  <c r="F142" i="1"/>
  <c r="F139" i="1"/>
  <c r="F140" i="1" s="1"/>
  <c r="H140" i="1" s="1"/>
  <c r="F135" i="1"/>
  <c r="F136" i="1" s="1"/>
  <c r="H136" i="1" s="1"/>
  <c r="F132" i="1"/>
  <c r="F130" i="1"/>
  <c r="H130" i="1" s="1"/>
  <c r="F128" i="1"/>
  <c r="H128" i="1" s="1"/>
  <c r="F126" i="1"/>
  <c r="H126" i="1" s="1"/>
  <c r="F122" i="1"/>
  <c r="H122" i="1" s="1"/>
  <c r="F119" i="1"/>
  <c r="H119" i="1" s="1"/>
  <c r="F114" i="1"/>
  <c r="H114" i="1" s="1"/>
  <c r="F113" i="1"/>
  <c r="H113" i="1" s="1"/>
  <c r="F112" i="1"/>
  <c r="F103" i="1"/>
  <c r="H103" i="1" s="1"/>
  <c r="F98" i="1"/>
  <c r="H98" i="1" s="1"/>
  <c r="F97" i="1"/>
  <c r="H97" i="1" s="1"/>
  <c r="F94" i="1"/>
  <c r="H94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73" i="1"/>
  <c r="H73" i="1" s="1"/>
  <c r="F72" i="1"/>
  <c r="H72" i="1" s="1"/>
  <c r="F71" i="1"/>
  <c r="H71" i="1" s="1"/>
  <c r="H54" i="1"/>
  <c r="F49" i="1"/>
  <c r="H49" i="1" s="1"/>
  <c r="F45" i="1"/>
  <c r="H45" i="1" s="1"/>
  <c r="F40" i="1"/>
  <c r="H40" i="1" s="1"/>
  <c r="F34" i="1"/>
  <c r="H34" i="1" s="1"/>
  <c r="H33" i="1"/>
  <c r="F30" i="1"/>
  <c r="H30" i="1" s="1"/>
  <c r="F23" i="1"/>
  <c r="F25" i="1" s="1"/>
  <c r="H25" i="1" s="1"/>
  <c r="F22" i="1"/>
  <c r="H22" i="1" s="1"/>
  <c r="F18" i="1"/>
  <c r="H18" i="1" s="1"/>
  <c r="F15" i="1"/>
  <c r="F14" i="1"/>
  <c r="H14" i="1" s="1"/>
  <c r="F13" i="1"/>
  <c r="H13" i="1" s="1"/>
  <c r="F12" i="1"/>
  <c r="H12" i="1" s="1"/>
  <c r="F11" i="1"/>
  <c r="H11" i="1" s="1"/>
  <c r="F532" i="1" l="1"/>
  <c r="H532" i="1" s="1"/>
  <c r="F134" i="1"/>
  <c r="H134" i="1" s="1"/>
  <c r="F448" i="1"/>
  <c r="H448" i="1" s="1"/>
  <c r="H202" i="1"/>
  <c r="F211" i="1"/>
  <c r="H211" i="1" s="1"/>
  <c r="H242" i="1"/>
  <c r="F263" i="1"/>
  <c r="H263" i="1" s="1"/>
  <c r="F392" i="1"/>
  <c r="H392" i="1" s="1"/>
  <c r="H135" i="1"/>
  <c r="F116" i="1"/>
  <c r="H116" i="1" s="1"/>
  <c r="H143" i="1"/>
  <c r="H132" i="1"/>
  <c r="H112" i="1"/>
  <c r="H23" i="1"/>
  <c r="H383" i="1"/>
  <c r="H458" i="1"/>
  <c r="H139" i="1"/>
  <c r="F43" i="1"/>
  <c r="H43" i="1" s="1"/>
  <c r="F20" i="1"/>
  <c r="F107" i="1"/>
  <c r="H107" i="1" s="1"/>
  <c r="F81" i="1"/>
  <c r="H81" i="1" s="1"/>
  <c r="F428" i="1"/>
  <c r="H428" i="1" s="1"/>
  <c r="F550" i="1"/>
  <c r="H550" i="1" s="1"/>
  <c r="F607" i="1"/>
  <c r="H607" i="1" s="1"/>
  <c r="F155" i="1"/>
  <c r="H155" i="1" s="1"/>
  <c r="F628" i="1"/>
  <c r="H628" i="1" s="1"/>
  <c r="F631" i="1" l="1"/>
  <c r="H631" i="1" s="1"/>
  <c r="H20" i="1"/>
</calcChain>
</file>

<file path=xl/sharedStrings.xml><?xml version="1.0" encoding="utf-8"?>
<sst xmlns="http://schemas.openxmlformats.org/spreadsheetml/2006/main" count="1934" uniqueCount="424">
  <si>
    <t>тыс.руб.</t>
  </si>
  <si>
    <t>Код гл. администратора доходов</t>
  </si>
  <si>
    <t>Наименование главного администратора</t>
  </si>
  <si>
    <t>КВД</t>
  </si>
  <si>
    <t>Наименование КВД</t>
  </si>
  <si>
    <t>048</t>
  </si>
  <si>
    <t>Управление Федеральной службы по надзору в сфере природопользования по Пермскому краю</t>
  </si>
  <si>
    <t>11201000010000</t>
  </si>
  <si>
    <t>120</t>
  </si>
  <si>
    <t>Плата за негативное воздействие на окружающую среду</t>
  </si>
  <si>
    <t>11201010010000</t>
  </si>
  <si>
    <t>Плата за выбросы загрязняющих веществ в атмосферный воздух стационарными объектами</t>
  </si>
  <si>
    <t>11201020010000</t>
  </si>
  <si>
    <t>Плата за выбросы загрязняющих веществ в атмосферный воздух передвижными объектами</t>
  </si>
  <si>
    <t>11201030010000</t>
  </si>
  <si>
    <t>Плата за выбросы загрязняющих веществ в водные объекты</t>
  </si>
  <si>
    <t>11201040010000</t>
  </si>
  <si>
    <t>Плата за размещение отходов производства и потребления</t>
  </si>
  <si>
    <t>11201050010000</t>
  </si>
  <si>
    <t>Плата за иные виды негативного воздействия на окружающую среду</t>
  </si>
  <si>
    <t>11625010010000</t>
  </si>
  <si>
    <t>140</t>
  </si>
  <si>
    <t>Денежные взыскания (штрафы) за нарушение законодательства о недрах</t>
  </si>
  <si>
    <t>11625030010000</t>
  </si>
  <si>
    <t>Денежные взыскания (штрафы) за нарушение законодательства об охране и использовании животного мира</t>
  </si>
  <si>
    <t>11625050010000</t>
  </si>
  <si>
    <t>Денежные взыскания (штрафы) за нарушение законодательства в области охраны окружающей среды</t>
  </si>
  <si>
    <t>11625060010000</t>
  </si>
  <si>
    <t>Денежные взыскания (штрафы) за нарушение земельного законодательства</t>
  </si>
  <si>
    <t>Итого по главному администратору доходов</t>
  </si>
  <si>
    <t>060</t>
  </si>
  <si>
    <t>Федеральная служба по надзору в сфере здравоохранения и социального развития</t>
  </si>
  <si>
    <t>11690040040000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</si>
  <si>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</si>
  <si>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076</t>
  </si>
  <si>
    <t>Средневолжское территориальное управление государственного комитета Российской Федерации по рыболовству</t>
  </si>
  <si>
    <t>096</t>
  </si>
  <si>
    <t>Федеральная служба по надзору в сфере связи, информационных технологий и массовых коммуникаций</t>
  </si>
  <si>
    <t>10807130010000</t>
  </si>
  <si>
    <t>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</si>
  <si>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</si>
  <si>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106</t>
  </si>
  <si>
    <t>Управление государственного автодорожного надзора по Пермскому краю Федеральной службы по надзору в сфере транспорта</t>
  </si>
  <si>
    <t>141</t>
  </si>
  <si>
    <t>Территориальное управление Федеральной службы по надзору в сфере защиты прав потребителей и благополучия человека по Пермскому краю</t>
  </si>
  <si>
    <t>11608010010000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</si>
  <si>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</si>
  <si>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11608020010000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</si>
  <si>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</si>
  <si>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11628000010000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</si>
  <si>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</si>
  <si>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150</t>
  </si>
  <si>
    <t>Федеральная служба по труду и занятости</t>
  </si>
  <si>
    <t>157</t>
  </si>
  <si>
    <t>Федеральная служба государственной статистики</t>
  </si>
  <si>
    <t>161</t>
  </si>
  <si>
    <t>Федеральная антимонопольная служба</t>
  </si>
  <si>
    <t>11633040040000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</si>
  <si>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</si>
  <si>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163</t>
  </si>
  <si>
    <t>Департамент имущественных отношений администрации города Перми</t>
  </si>
  <si>
    <t>11101040040000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</si>
  <si>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</si>
  <si>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11105012040000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</si>
  <si>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</si>
  <si>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11105034040000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</si>
  <si>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</si>
  <si>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11105074041000</t>
  </si>
  <si>
    <t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</si>
  <si>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>11105074042000</t>
  </si>
  <si>
    <t>Доходы от сдачи в аренду имущества, составляющего казну городских округов (за исключением земельных участков). Пени и проценты по данному виду дохода</t>
  </si>
  <si>
    <t>11107014040000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</si>
  <si>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</si>
  <si>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11109044040000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</si>
  <si>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</t>
  </si>
  <si>
    <t>11301994040000</t>
  </si>
  <si>
    <t>130</t>
  </si>
  <si>
    <t>Прочие доходы от оказания платных услуг (работ) получателями средств бюджетов городских округов</t>
  </si>
  <si>
    <t>11302064040000</t>
  </si>
  <si>
    <t>Доходы, поступающие в порядке возмещения расходов, понесенных в связи с эксплуатацией  имущества городских округов</t>
  </si>
  <si>
    <t>11302994040000</t>
  </si>
  <si>
    <t>Прочие доходы от компенсации затрат  бюджетов городских округов</t>
  </si>
  <si>
    <t>11402042040000</t>
  </si>
  <si>
    <t>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</si>
  <si>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</t>
  </si>
  <si>
    <t>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</si>
  <si>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</si>
  <si>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</si>
  <si>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</si>
  <si>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</si>
  <si>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178-ФЗ)</t>
  </si>
  <si>
    <t>11402043042000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</si>
  <si>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</si>
  <si>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</si>
  <si>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доходов от реализации муниципального имущества в порядке, установленном 159-ФЗ)</t>
  </si>
  <si>
    <t>11623041040000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</si>
  <si>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</si>
  <si>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11623042040000</t>
  </si>
  <si>
    <t>Доходы от возмещения ущерба при возникновении иных страховых случаев, когда выгодоприобретателями  выступают получатели средств бюджетов городских округов</t>
  </si>
  <si>
    <t>11701040040000</t>
  </si>
  <si>
    <t>180</t>
  </si>
  <si>
    <t>Невыясненные поступления, зачисляемые в бюджеты городских округов</t>
  </si>
  <si>
    <t>11705040040000</t>
  </si>
  <si>
    <t>Прочие неналоговые доходы бюджетов городских округов</t>
  </si>
  <si>
    <t>20704050040000</t>
  </si>
  <si>
    <t>Прочие безвозмездные поступления в бюджеты городских округов</t>
  </si>
  <si>
    <t>177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</si>
  <si>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</si>
  <si>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182</t>
  </si>
  <si>
    <t>Управление Федеральной налоговой службы по Пермскому краю</t>
  </si>
  <si>
    <t>10102010010000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</si>
  <si>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</si>
  <si>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</si>
  <si>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</si>
  <si>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10102030010000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</si>
  <si>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</si>
  <si>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10102040010000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</si>
  <si>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 Налогового кодекса Российской Федерации</t>
  </si>
  <si>
    <t>10502010020000</t>
  </si>
  <si>
    <t>Единый налог на вмененный доход для отдельных видов деятельности</t>
  </si>
  <si>
    <t>10503010010000</t>
  </si>
  <si>
    <t>Единый сельскохозяйственный налог</t>
  </si>
  <si>
    <t>10504010020000</t>
  </si>
  <si>
    <t>Налог, взимаемый в связи с применением патентной системы налогообложения, зачисляемый в бюджеты городских округов</t>
  </si>
  <si>
    <t>10601020040000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</si>
  <si>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</si>
  <si>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10604011020000</t>
  </si>
  <si>
    <t>Транспортный налог с организаций</t>
  </si>
  <si>
    <t>10604012020000</t>
  </si>
  <si>
    <t>Транспортный налог с физических лиц</t>
  </si>
  <si>
    <t>10606012040000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</si>
  <si>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</si>
  <si>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10606022040000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</si>
  <si>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</si>
  <si>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10803010010000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</si>
  <si>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</si>
  <si>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11603010010000</t>
  </si>
  <si>
    <t>Денежные взыскания (штрафы) за нарушение законодательства о налогах и сборах, предусмотренные статьями 116, 118, 119.1, пунктами 1 и 2 статьи 120, статьями 125, 126, 128, 129, 129.1, 132, 133, 134, 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</si>
  <si>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11603030010000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</si>
  <si>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</si>
  <si>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11606000010000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</si>
  <si>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</si>
  <si>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188</t>
  </si>
  <si>
    <t>Главное Управление Министерства внутренних дел по Пермскому краю</t>
  </si>
  <si>
    <t>11621040040000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</si>
  <si>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</si>
  <si>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11630013010000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</si>
  <si>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</si>
  <si>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11630030010000</t>
  </si>
  <si>
    <t>Прочие денежные взыскания (штрафы) за  правонарушения в области дорожного движения</t>
  </si>
  <si>
    <t>11643000010000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</si>
  <si>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</si>
  <si>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192</t>
  </si>
  <si>
    <t>Управление Федеральной миграционной службы по Пермскому краю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</si>
  <si>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правонарушениях.</t>
  </si>
  <si>
    <t>318</t>
  </si>
  <si>
    <t>Управление Министерства юстиции Российской Федерации по Пермскому краю</t>
  </si>
  <si>
    <t>10807110010000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</si>
  <si>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</si>
  <si>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10807120010000</t>
  </si>
  <si>
    <t>Государственная пошлина за государственную регистрацию региональных отделений политической партии</t>
  </si>
  <si>
    <t>321</t>
  </si>
  <si>
    <t>Управление Федеральной службы государственной регистрации кадастра и картографии по Пермскому краю</t>
  </si>
  <si>
    <t>322</t>
  </si>
  <si>
    <t>Управление Федеральной службы судебных приставов по Пермскому краю</t>
  </si>
  <si>
    <t>388</t>
  </si>
  <si>
    <t>Региональное управление N133 Федерального медико-биологического агентства</t>
  </si>
  <si>
    <t>498</t>
  </si>
  <si>
    <t>Пермское межрегиональное управление по технологическому и экологическому надзору Федеральной службы по экологическому, технологическому и атомному надзору</t>
  </si>
  <si>
    <t>11645000010000</t>
  </si>
  <si>
    <t>Денежные взыскания (штрафы) за нарушение законодательства Российской Федерации о промышленной безопасности</t>
  </si>
  <si>
    <t>804</t>
  </si>
  <si>
    <t>Инспекция государственного строительного надзора Пермского края</t>
  </si>
  <si>
    <t>808</t>
  </si>
  <si>
    <t>Государственная инспекция по контролю за объектами культурного наследия Пермского края</t>
  </si>
  <si>
    <t>825</t>
  </si>
  <si>
    <t>Министерство культуры и массовых коммуникаций Пермского края</t>
  </si>
  <si>
    <t>843</t>
  </si>
  <si>
    <t>Инспекция государственного жилищного надзора Пермского края</t>
  </si>
  <si>
    <t>902</t>
  </si>
  <si>
    <t>Департамент финансов администрации города Перми</t>
  </si>
  <si>
    <t>20201001040000</t>
  </si>
  <si>
    <t>151</t>
  </si>
  <si>
    <t>Дотации бюджетам городских округов на выравнивание бюджетной обеспеченности</t>
  </si>
  <si>
    <t>20202999040000</t>
  </si>
  <si>
    <t>Прочие субсидии бюджетам городских округов</t>
  </si>
  <si>
    <t>903</t>
  </si>
  <si>
    <t>Департамент градостроительства и архитектуры администрации города Перми</t>
  </si>
  <si>
    <t>20204999040000</t>
  </si>
  <si>
    <t>Прочие межбюджетные трансферты, передаваемые бюджетам городских округов</t>
  </si>
  <si>
    <t>21804010040000</t>
  </si>
  <si>
    <t>Доходы бюджетов городских округов от возврата бюджетными учреждениями остатков субсидий прошлых лет</t>
  </si>
  <si>
    <t>21804020040000</t>
  </si>
  <si>
    <t>Доходы бюджетов городских округов от возврата автономными учреждениями остатков субсидий прошлых лет</t>
  </si>
  <si>
    <t>21904000040000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</si>
  <si>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</si>
  <si>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910</t>
  </si>
  <si>
    <t>управление записи актов гражданского состояния администрации города Перми</t>
  </si>
  <si>
    <t>20203003040000</t>
  </si>
  <si>
    <t>Субвенции бюджетам городских округов на государственную регистрацию актов гражданского состояния</t>
  </si>
  <si>
    <t>915</t>
  </si>
  <si>
    <t>Управление по экологии и природопользованию администрации города Перми</t>
  </si>
  <si>
    <t>920</t>
  </si>
  <si>
    <t>Управление здравоохранения администрации города Перми</t>
  </si>
  <si>
    <t>20202077040000</t>
  </si>
  <si>
    <t>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</si>
  <si>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>20203024040014</t>
  </si>
  <si>
    <t>Субвенция на оплату проезда пациентов, проживающих в городе Перми, за пределы Пермского края в федеральные  специализированные медицинские организации и иные государственные и муниципальные учреждения здравоохранения для лечения и обследования</t>
  </si>
  <si>
    <t>20203024040016</t>
  </si>
  <si>
    <t>Субвенции на предоставление мер социальной поддержки по оплате жилищно-коммунальных услуг отдельным категориям граждан, работающих и проживающих в сельской местности и поселках городского типа (рабочих поселках)</t>
  </si>
  <si>
    <t>20203024040024</t>
  </si>
  <si>
    <t>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</t>
  </si>
  <si>
    <t>20203055040000</t>
  </si>
  <si>
    <t>Субвенции бюджетам городских округов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</si>
  <si>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20204034040002</t>
  </si>
  <si>
    <t>Межбюджетные трансферты, передаваемые бюджетам городских округов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</si>
  <si>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924</t>
  </si>
  <si>
    <t>Департамент культуры и молодежной политики администрации города Перми</t>
  </si>
  <si>
    <t>20204025040000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</si>
  <si>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</si>
  <si>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930</t>
  </si>
  <si>
    <t>Департамент образования администрации города Перми</t>
  </si>
  <si>
    <t>20202204040000</t>
  </si>
  <si>
    <t>Субсидии бюджетам городских округов на модернизацию региональных систем дошкольного образования</t>
  </si>
  <si>
    <t>20203021040000</t>
  </si>
  <si>
    <t>Субвенции бюджетам городских округов на ежемесячное денежное вознаграждение за классное руководство</t>
  </si>
  <si>
    <t>20203024040001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</si>
  <si>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</si>
  <si>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20203024040002</t>
  </si>
  <si>
    <t>Субвенции на организацию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ограниченными возможностями здоровья в развитии, специальных учебно-воспитательных учреждениях открытого типа, оздоровительных  образовательных учреждениях санаторного типа для детей, нуждающихся в длительном лечении</t>
  </si>
  <si>
    <t>20203024040003</t>
  </si>
  <si>
    <t>Субвенции на 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</si>
  <si>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20203024040005</t>
  </si>
  <si>
    <t>Субвенции на выплату компенсации части родительской платы за содержание ребенка в образовательных организациях, реализующих основную общеобразовательную программу  дошкольного образования и администрирование данных выплат</t>
  </si>
  <si>
    <t>20203024040017</t>
  </si>
  <si>
    <t>Субвенции на предоставление дополнительных мер материального обеспечения и социальной защиты работников образования</t>
  </si>
  <si>
    <t>20203024040018</t>
  </si>
  <si>
    <t>Субвенции на предоставление мер социальной поддержки учащимся из малоимущих семей</t>
  </si>
  <si>
    <t>20203024040019</t>
  </si>
  <si>
    <t>Субвенции на предоставление мер социальной поддержки учащимся из малоимущих многодетных семей</t>
  </si>
  <si>
    <t>20203024040021</t>
  </si>
  <si>
    <t>Субвенции на стипендиальное обеспечение обучающихся в 10-х и 11-х классах общеобразовательных учреждений</t>
  </si>
  <si>
    <t>20203024040022</t>
  </si>
  <si>
    <t>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</t>
  </si>
  <si>
    <t>20203024040023</t>
  </si>
  <si>
    <t>Субвенции на оказание дополнительных мер социальной поддержки отдельных категорий лиц, которым присуждены ученые степени кандидата и доктора наук, работающих в учреждениях общего образования</t>
  </si>
  <si>
    <t>20203029040000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</si>
  <si>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</si>
  <si>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20203078040000</t>
  </si>
  <si>
    <t>Субвенции бюджетам городских округов на модернизацию региональных систем общего образования</t>
  </si>
  <si>
    <t>931</t>
  </si>
  <si>
    <t>Администрация Ленинского района города Перми</t>
  </si>
  <si>
    <t>11105034041000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</si>
  <si>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Платежи (перерасчеты) по данному виду дохода</t>
  </si>
  <si>
    <t>11105034042000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</si>
  <si>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Пени и проценты по данному виду дохода</t>
  </si>
  <si>
    <t>20203024040007</t>
  </si>
  <si>
    <t>Субвенции на образование комиссии по делам несовершеннолетних и защите их прав и организацию их деятельности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</si>
  <si>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</si>
  <si>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</si>
  <si>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</si>
  <si>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</si>
  <si>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</si>
  <si>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г.Перми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</si>
  <si>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</si>
  <si>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</si>
  <si>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</si>
  <si>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</si>
  <si>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</si>
  <si>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</si>
  <si>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</si>
  <si>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</si>
  <si>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</si>
  <si>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</si>
  <si>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20202088040001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</si>
  <si>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</si>
  <si>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944</t>
  </si>
  <si>
    <t>Управление внешнего благоустройства администрации города Перми</t>
  </si>
  <si>
    <t>20202116040000</t>
  </si>
  <si>
    <t>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</t>
  </si>
  <si>
    <t>945</t>
  </si>
  <si>
    <t>Департамент дорог и транспорта администрации города Перми</t>
  </si>
  <si>
    <t>20203024040012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</si>
  <si>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</si>
  <si>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951</t>
  </si>
  <si>
    <t>Департамент промышленной политики, инвестиций и предпринимательства администрации города Перми</t>
  </si>
  <si>
    <t>955</t>
  </si>
  <si>
    <t>Комитет социальной защиты населения администрации города Перми</t>
  </si>
  <si>
    <t>20203033040000</t>
  </si>
  <si>
    <t>Субвенции бюджетам городских округов на оздоровление детей</t>
  </si>
  <si>
    <t>964</t>
  </si>
  <si>
    <t>Департамент общественной безопасности администрации города Перми</t>
  </si>
  <si>
    <t>20203007040000</t>
  </si>
  <si>
    <t>Субвенции бюджетам городских округов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</si>
  <si>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20203024040011</t>
  </si>
  <si>
    <t>Субвенции на обязательное государственное страхование жизни граждан, участвующих в обеспечении общественного порядка</t>
  </si>
  <si>
    <t>965</t>
  </si>
  <si>
    <t>Управление по развитию потребительского рынка администрации города Перми</t>
  </si>
  <si>
    <t>10807150010000</t>
  </si>
  <si>
    <t>Государственная пошлина за выдачу разрешения на установку рекламной конструкции</t>
  </si>
  <si>
    <t>975</t>
  </si>
  <si>
    <t>Администрация города Перми</t>
  </si>
  <si>
    <t>20203024040008</t>
  </si>
  <si>
    <t>Субвенции на составление протоколов об административных правонарушениях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</si>
  <si>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</si>
  <si>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</si>
  <si>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</si>
  <si>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</si>
  <si>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11632000040000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</si>
  <si>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</si>
  <si>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978</t>
  </si>
  <si>
    <t>Избирательная комиссия города Перми</t>
  </si>
  <si>
    <t>985</t>
  </si>
  <si>
    <t>Пермская городская Дума</t>
  </si>
  <si>
    <t>991</t>
  </si>
  <si>
    <t>Управление жилищных отношений администрации города Перми</t>
  </si>
  <si>
    <t>20202008040000</t>
  </si>
  <si>
    <t>Субсидии бюджетам городских округов на обеспечение жильем молодых семей</t>
  </si>
  <si>
    <t>20202088040002</t>
  </si>
  <si>
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</si>
  <si>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20202089040002</t>
  </si>
  <si>
    <t>Субсидии бюджетам городских округов на обеспечение мероприятий по переселению граждан из аварийного жилищного фонда за счет средств бюджетов</t>
  </si>
  <si>
    <t>20203024040015</t>
  </si>
  <si>
    <t>Субвенции на выполнение полномочий по постановке на учет граждан, имеющих право на поучение жилищных субсидий в связи с переселением из районов Крайнего Севера и приравненных к ним местностей</t>
  </si>
  <si>
    <t>20203024040025</t>
  </si>
  <si>
    <t>Субвенции на осуществление государственных полномочий по обеспечению жилыми помещениями граждан, уволенных с военной службы (службы), и приравненных к ним лиц</t>
  </si>
  <si>
    <t>20203024040026</t>
  </si>
  <si>
    <t>Субвенции на осуществление государственных полномочий по обеспечению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</si>
  <si>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20203024040027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</si>
  <si>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</si>
  <si>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20203026040000</t>
  </si>
  <si>
    <t>Субвенции бюджетам городских округов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</si>
  <si>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20203069040000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</si>
  <si>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</si>
  <si>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20203070040000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</si>
  <si>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</si>
  <si>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20203077040000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</si>
  <si>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</si>
  <si>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20203119040000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</si>
  <si>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</si>
  <si>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20203999040000</t>
  </si>
  <si>
    <t>Прочие субвенции бюджетам городских округов</t>
  </si>
  <si>
    <t>992</t>
  </si>
  <si>
    <t>Департамент земельных отношений администрации города Перми</t>
  </si>
  <si>
    <t>11105012041000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</si>
  <si>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Платежи (перерасчеты) по данному виду дохода</t>
  </si>
  <si>
    <t>11105012041004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</si>
  <si>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Задолженность (недоимка) по данному виду дохода, сложившаяся по состоянию на начало финансового года</t>
  </si>
  <si>
    <t>11105012042000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</si>
  <si>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 Пени и проценты по данному виду дохода</t>
  </si>
  <si>
    <t>11105012043000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</si>
  <si>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Денежные взыскания (штрафы) по данному виду дохода согласно законодательству Российской Федерации</t>
  </si>
  <si>
    <t>11105024040000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</si>
  <si>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</si>
  <si>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11105024041000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</si>
  <si>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Платежи (перерасчеты) по данному виду дохода</t>
  </si>
  <si>
    <t>11105024041004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</si>
  <si>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Задолженность (недоимка) по данному виду дохода, сложившаяся по состоянию на начало финансового года</t>
  </si>
  <si>
    <t>11105024042000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</si>
  <si>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Пени и проценты по данному виду дохода</t>
  </si>
  <si>
    <t>11105024043000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</si>
  <si>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автономных учреждений). Денежные взыскания (штрафы) по данному виду дохода согласно законодательству Российской Федерации</t>
  </si>
  <si>
    <t>11406012040000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</si>
  <si>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</si>
  <si>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</si>
  <si>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</si>
  <si>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</si>
  <si>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«Иные доходы бюджета города Перми, администрирование которых может осуществляться главными администраторами доходов бюджета города Перми в пределах их компетенции» </t>
  </si>
  <si>
    <t>000</t>
  </si>
  <si>
    <t/>
  </si>
  <si>
    <t>Итого доходов</t>
  </si>
  <si>
    <t>Приложение № 1</t>
  </si>
  <si>
    <t>к решению Пермской городской Думы</t>
  </si>
  <si>
    <t xml:space="preserve"> от             №</t>
  </si>
  <si>
    <t>Отчет</t>
  </si>
  <si>
    <t>% выполн. плана</t>
  </si>
  <si>
    <t>Исполнено на 01.01.2014 г.</t>
  </si>
  <si>
    <t>об исполнении доходов бюджета города Перми по кодам классификации доходов за 2013 год</t>
  </si>
  <si>
    <t>081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</si>
  <si>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</si>
  <si>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11625020010000</t>
  </si>
  <si>
    <t>Денежные взыскания (штрафы) за нарушение водного законодательства на водных объектах, находящихся в собственности городских округов</t>
  </si>
  <si>
    <t>11625084040000</t>
  </si>
  <si>
    <t>Федеральная служба финансово-бюджетного надзора</t>
  </si>
  <si>
    <t>Управление Федеральной службы по ветеринарному и фитосанитарному надзору по Пермскому краю</t>
  </si>
  <si>
    <t>160</t>
  </si>
  <si>
    <t>Федеральная служба по регулированию алкогольного рынка</t>
  </si>
  <si>
    <t>Денежные взыскания (штрафы) за нарушение законодательства Российской Федерации об электроэнергетике</t>
  </si>
  <si>
    <t>11641000010000</t>
  </si>
  <si>
    <t>11105074040000</t>
  </si>
  <si>
    <t>11651020020000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</si>
  <si>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</si>
  <si>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</si>
  <si>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10502020020000</t>
  </si>
  <si>
    <t>Единый налог на вмененный доход для отдельных видов деятельности (за налоговые периоды, истекшие до 1 января 2011 года)</t>
  </si>
  <si>
    <t>10503020010000</t>
  </si>
  <si>
    <t>Единый сельскохозяйственный налог (за налоговые периоды, истекшие до 1 января 2011 года)</t>
  </si>
  <si>
    <t>10904052040000</t>
  </si>
  <si>
    <t>10907012040000</t>
  </si>
  <si>
    <t>10907032040000</t>
  </si>
  <si>
    <t>10907052040000</t>
  </si>
  <si>
    <t>Земельный налог (по обязательствам, возникшим до 1 января 2006 года), мобилизуемый на территориях городских округов.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</si>
  <si>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</si>
  <si>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</si>
  <si>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</si>
  <si>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844</t>
  </si>
  <si>
    <t>Инспекция государственного технического надзора Пермского края</t>
  </si>
  <si>
    <t>20202051040000</t>
  </si>
  <si>
    <t>Субсидии бюджетам городских округов на реализацию федеральных целевых программ</t>
  </si>
  <si>
    <t>10807173011000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</si>
  <si>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</si>
  <si>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11637030040000</t>
  </si>
  <si>
    <t>11646000040000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</si>
  <si>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городских округов</t>
  </si>
  <si>
    <t>Поступления сумм в возмещение 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 иных договоров</t>
  </si>
  <si>
    <t>21804030040000</t>
  </si>
  <si>
    <t>Доходы бюджетов городских округов от возврата иными организациями остатков субсидий прошлых лет</t>
  </si>
  <si>
    <t>20202132040000</t>
  </si>
  <si>
    <t>Субсидии бюджетам городских округов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</si>
  <si>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11401040040000</t>
  </si>
  <si>
    <t>Доходы от продажи квартир, находящихся в собственности городских округов</t>
  </si>
  <si>
    <t>805</t>
  </si>
  <si>
    <t>Агентство по занятости Пермского края</t>
  </si>
  <si>
    <t>Уточненный план по решению ПГД от 18.12.2012 № 300 (ред. от 17.12.2013)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</si>
</sst>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2" fillId="0" borderId="0" xfId="0" applyFont="1" applyFill="1" applyAlignment="1">
      <alignment horizontal="center" vertical="top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164" fontId="5" fillId="0" borderId="0" xfId="0" applyNumberFormat="1" applyFont="1" applyFill="1" applyAlignment="1">
      <alignment vertical="top"/>
    </xf>
    <xf numFmtId="164" fontId="5" fillId="0" borderId="0" xfId="0" applyNumberFormat="1" applyFont="1" applyFill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0" xfId="0" applyFont="1" applyFill="1" applyAlignment="1">
      <alignment vertical="top"/>
    </xf>
    <xf numFmtId="166" fontId="5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49" fontId="1" fillId="0" borderId="4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right" vertical="top" wrapText="1"/>
    </xf>
    <xf numFmtId="49" fontId="1" fillId="0" borderId="8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horizontal="right" vertical="center" wrapText="1"/>
    </xf>
    <xf numFmtId="49" fontId="1" fillId="0" borderId="10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166" fontId="1" fillId="0" borderId="2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166" fontId="3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1"/>
  <sheetViews>
    <sheetView tabSelected="1" view="pageBreakPreview" topLeftCell="A619" zoomScale="60" zoomScaleNormal="80" workbookViewId="0">
      <selection activeCell="N14" sqref="N14"/>
    </sheetView>
  </sheetViews>
  <sheetFormatPr defaultColWidth="9.109375" defaultRowHeight="13.8" x14ac:dyDescent="0.25"/>
  <cols>
    <col min="1" max="1" width="7.88671875" style="12" customWidth="1"/>
    <col min="2" max="2" width="24.33203125" style="2" customWidth="1"/>
    <col min="3" max="3" width="15.21875" style="49" customWidth="1"/>
    <col min="4" max="4" width="4.6640625" style="39" customWidth="1"/>
    <col min="5" max="5" width="37.109375" style="37" customWidth="1"/>
    <col min="6" max="6" width="14.6640625" style="4" customWidth="1"/>
    <col min="7" max="7" width="15.109375" style="4" customWidth="1"/>
    <col min="8" max="8" width="10.109375" style="2" customWidth="1"/>
    <col min="9" max="16384" width="9.109375" style="2"/>
  </cols>
  <sheetData>
    <row r="1" spans="1:8" ht="14.4" x14ac:dyDescent="0.3">
      <c r="A1" s="5"/>
      <c r="B1" s="6"/>
      <c r="C1" s="48"/>
      <c r="D1" s="38"/>
      <c r="E1" s="7"/>
      <c r="F1" s="60" t="s">
        <v>371</v>
      </c>
      <c r="G1" s="61"/>
      <c r="H1" s="61"/>
    </row>
    <row r="2" spans="1:8" ht="14.4" x14ac:dyDescent="0.3">
      <c r="A2" s="5"/>
      <c r="B2" s="6"/>
      <c r="C2" s="48"/>
      <c r="D2" s="38"/>
      <c r="E2" s="7"/>
      <c r="F2" s="60" t="s">
        <v>372</v>
      </c>
      <c r="G2" s="61"/>
      <c r="H2" s="61"/>
    </row>
    <row r="3" spans="1:8" ht="14.4" x14ac:dyDescent="0.3">
      <c r="A3" s="5"/>
      <c r="B3" s="6"/>
      <c r="C3" s="48"/>
      <c r="D3" s="38"/>
      <c r="E3" s="7"/>
      <c r="F3" s="60" t="s">
        <v>373</v>
      </c>
      <c r="G3" s="61"/>
      <c r="H3" s="61"/>
    </row>
    <row r="4" spans="1:8" x14ac:dyDescent="0.25">
      <c r="A4" s="8"/>
      <c r="B4" s="9"/>
      <c r="E4" s="10"/>
      <c r="F4" s="11"/>
    </row>
    <row r="5" spans="1:8" ht="15.6" x14ac:dyDescent="0.3">
      <c r="A5" s="62" t="s">
        <v>374</v>
      </c>
      <c r="B5" s="62"/>
      <c r="C5" s="62"/>
      <c r="D5" s="62"/>
      <c r="E5" s="62"/>
      <c r="F5" s="62"/>
      <c r="G5" s="62"/>
      <c r="H5" s="62"/>
    </row>
    <row r="6" spans="1:8" ht="15.6" x14ac:dyDescent="0.3">
      <c r="A6" s="62" t="s">
        <v>377</v>
      </c>
      <c r="B6" s="62"/>
      <c r="C6" s="62"/>
      <c r="D6" s="62"/>
      <c r="E6" s="62"/>
      <c r="F6" s="62"/>
      <c r="G6" s="62"/>
      <c r="H6" s="62"/>
    </row>
    <row r="7" spans="1:8" x14ac:dyDescent="0.25">
      <c r="A7" s="1"/>
      <c r="B7" s="1"/>
      <c r="C7" s="50"/>
      <c r="D7" s="40"/>
      <c r="E7" s="1"/>
      <c r="F7" s="3"/>
    </row>
    <row r="8" spans="1:8" x14ac:dyDescent="0.25">
      <c r="B8" s="13"/>
      <c r="C8" s="51"/>
      <c r="D8" s="41"/>
      <c r="E8" s="13"/>
      <c r="F8" s="14"/>
      <c r="H8" s="14" t="s">
        <v>0</v>
      </c>
    </row>
    <row r="9" spans="1:8" ht="82.8" x14ac:dyDescent="0.25">
      <c r="A9" s="15" t="s">
        <v>1</v>
      </c>
      <c r="B9" s="16" t="s">
        <v>2</v>
      </c>
      <c r="C9" s="77" t="s">
        <v>3</v>
      </c>
      <c r="D9" s="78"/>
      <c r="E9" s="17" t="s">
        <v>4</v>
      </c>
      <c r="F9" s="58" t="s">
        <v>423</v>
      </c>
      <c r="G9" s="18" t="s">
        <v>376</v>
      </c>
      <c r="H9" s="18" t="s">
        <v>375</v>
      </c>
    </row>
    <row r="10" spans="1:8" ht="27.6" x14ac:dyDescent="0.25">
      <c r="A10" s="69" t="s">
        <v>5</v>
      </c>
      <c r="B10" s="70" t="s">
        <v>6</v>
      </c>
      <c r="C10" s="52" t="s">
        <v>7</v>
      </c>
      <c r="D10" s="42" t="s">
        <v>8</v>
      </c>
      <c r="E10" s="19" t="s">
        <v>9</v>
      </c>
      <c r="F10" s="20">
        <v>0</v>
      </c>
      <c r="G10" s="20">
        <v>0</v>
      </c>
      <c r="H10" s="21"/>
    </row>
    <row r="11" spans="1:8" ht="41.4" x14ac:dyDescent="0.25">
      <c r="A11" s="69"/>
      <c r="B11" s="70"/>
      <c r="C11" s="52" t="s">
        <v>10</v>
      </c>
      <c r="D11" s="42" t="s">
        <v>8</v>
      </c>
      <c r="E11" s="19" t="s">
        <v>11</v>
      </c>
      <c r="F11" s="20">
        <f>1718.2-254.3</f>
        <v>1463.9</v>
      </c>
      <c r="G11" s="20">
        <v>2430.4609999999998</v>
      </c>
      <c r="H11" s="21">
        <f t="shared" ref="H11:H94" si="0">G11/F11*100</f>
        <v>166.02643623198304</v>
      </c>
    </row>
    <row r="12" spans="1:8" ht="41.4" x14ac:dyDescent="0.25">
      <c r="A12" s="69"/>
      <c r="B12" s="70"/>
      <c r="C12" s="52" t="s">
        <v>12</v>
      </c>
      <c r="D12" s="42" t="s">
        <v>8</v>
      </c>
      <c r="E12" s="22" t="s">
        <v>13</v>
      </c>
      <c r="F12" s="20">
        <f>621.8-79.5</f>
        <v>542.29999999999995</v>
      </c>
      <c r="G12" s="20">
        <v>369.733</v>
      </c>
      <c r="H12" s="21">
        <f t="shared" si="0"/>
        <v>68.178683385579944</v>
      </c>
    </row>
    <row r="13" spans="1:8" ht="27.6" x14ac:dyDescent="0.25">
      <c r="A13" s="69"/>
      <c r="B13" s="70"/>
      <c r="C13" s="52" t="s">
        <v>14</v>
      </c>
      <c r="D13" s="42" t="s">
        <v>8</v>
      </c>
      <c r="E13" s="19" t="s">
        <v>15</v>
      </c>
      <c r="F13" s="20">
        <f>10505.3-4729.3</f>
        <v>5775.9999999999991</v>
      </c>
      <c r="G13" s="20">
        <v>5113.3519999999999</v>
      </c>
      <c r="H13" s="21">
        <f t="shared" si="0"/>
        <v>88.527562326869813</v>
      </c>
    </row>
    <row r="14" spans="1:8" ht="27.6" x14ac:dyDescent="0.25">
      <c r="A14" s="69"/>
      <c r="B14" s="70"/>
      <c r="C14" s="52" t="s">
        <v>16</v>
      </c>
      <c r="D14" s="42" t="s">
        <v>8</v>
      </c>
      <c r="E14" s="22" t="s">
        <v>17</v>
      </c>
      <c r="F14" s="20">
        <f>3354.5+1496.1-2000</f>
        <v>2850.6000000000004</v>
      </c>
      <c r="G14" s="20">
        <v>1876.038</v>
      </c>
      <c r="H14" s="21">
        <f t="shared" si="0"/>
        <v>65.812039570616705</v>
      </c>
    </row>
    <row r="15" spans="1:8" ht="27.6" x14ac:dyDescent="0.25">
      <c r="A15" s="69"/>
      <c r="B15" s="70"/>
      <c r="C15" s="52" t="s">
        <v>18</v>
      </c>
      <c r="D15" s="42" t="s">
        <v>8</v>
      </c>
      <c r="E15" s="22" t="s">
        <v>19</v>
      </c>
      <c r="F15" s="20">
        <f>163.6-163.6</f>
        <v>0</v>
      </c>
      <c r="G15" s="20">
        <v>-76.17</v>
      </c>
      <c r="H15" s="21"/>
    </row>
    <row r="16" spans="1:8" ht="27.6" x14ac:dyDescent="0.25">
      <c r="A16" s="69"/>
      <c r="B16" s="70"/>
      <c r="C16" s="52" t="s">
        <v>20</v>
      </c>
      <c r="D16" s="42" t="s">
        <v>21</v>
      </c>
      <c r="E16" s="19" t="s">
        <v>22</v>
      </c>
      <c r="F16" s="20">
        <v>2700</v>
      </c>
      <c r="G16" s="20">
        <v>3061.1959999999999</v>
      </c>
      <c r="H16" s="21">
        <f t="shared" si="0"/>
        <v>113.37762962962962</v>
      </c>
    </row>
    <row r="17" spans="1:8" ht="41.4" x14ac:dyDescent="0.25">
      <c r="A17" s="69"/>
      <c r="B17" s="70"/>
      <c r="C17" s="52" t="s">
        <v>23</v>
      </c>
      <c r="D17" s="42" t="s">
        <v>21</v>
      </c>
      <c r="E17" s="19" t="s">
        <v>24</v>
      </c>
      <c r="F17" s="20">
        <v>0</v>
      </c>
      <c r="G17" s="20">
        <v>0</v>
      </c>
      <c r="H17" s="21"/>
    </row>
    <row r="18" spans="1:8" ht="41.4" x14ac:dyDescent="0.25">
      <c r="A18" s="69"/>
      <c r="B18" s="70"/>
      <c r="C18" s="52" t="s">
        <v>25</v>
      </c>
      <c r="D18" s="42" t="s">
        <v>21</v>
      </c>
      <c r="E18" s="19" t="s">
        <v>26</v>
      </c>
      <c r="F18" s="20">
        <f>3000+2676.6</f>
        <v>5676.6</v>
      </c>
      <c r="G18" s="20">
        <v>8584.5589999999993</v>
      </c>
      <c r="H18" s="21">
        <f t="shared" si="0"/>
        <v>151.22712539195996</v>
      </c>
    </row>
    <row r="19" spans="1:8" ht="27.6" x14ac:dyDescent="0.25">
      <c r="A19" s="69"/>
      <c r="B19" s="70"/>
      <c r="C19" s="52" t="s">
        <v>27</v>
      </c>
      <c r="D19" s="42" t="s">
        <v>21</v>
      </c>
      <c r="E19" s="19" t="s">
        <v>28</v>
      </c>
      <c r="F19" s="20">
        <v>30</v>
      </c>
      <c r="G19" s="20">
        <v>120</v>
      </c>
      <c r="H19" s="21">
        <f t="shared" si="0"/>
        <v>400</v>
      </c>
    </row>
    <row r="20" spans="1:8" x14ac:dyDescent="0.25">
      <c r="A20" s="23" t="s">
        <v>5</v>
      </c>
      <c r="B20" s="24" t="s">
        <v>29</v>
      </c>
      <c r="C20" s="53"/>
      <c r="D20" s="43"/>
      <c r="E20" s="25"/>
      <c r="F20" s="26">
        <f>SUM(F10:F19)</f>
        <v>19039.400000000001</v>
      </c>
      <c r="G20" s="26">
        <f>SUM(G10:G19)</f>
        <v>21479.169000000002</v>
      </c>
      <c r="H20" s="21">
        <f t="shared" si="0"/>
        <v>112.81431662762482</v>
      </c>
    </row>
    <row r="21" spans="1:8" ht="56.4" customHeight="1" x14ac:dyDescent="0.25">
      <c r="A21" s="15" t="s">
        <v>30</v>
      </c>
      <c r="B21" s="27" t="s">
        <v>31</v>
      </c>
      <c r="C21" s="54" t="s">
        <v>32</v>
      </c>
      <c r="D21" s="44" t="s">
        <v>21</v>
      </c>
      <c r="E21" s="22" t="s">
        <v>33</v>
      </c>
      <c r="F21" s="20">
        <v>750</v>
      </c>
      <c r="G21" s="20">
        <v>2296.9940000000001</v>
      </c>
      <c r="H21" s="21">
        <f t="shared" si="0"/>
        <v>306.26586666666668</v>
      </c>
    </row>
    <row r="22" spans="1:8" x14ac:dyDescent="0.25">
      <c r="A22" s="23" t="s">
        <v>30</v>
      </c>
      <c r="B22" s="24" t="s">
        <v>29</v>
      </c>
      <c r="C22" s="53"/>
      <c r="D22" s="43"/>
      <c r="E22" s="25"/>
      <c r="F22" s="26">
        <f>SUM(F21)</f>
        <v>750</v>
      </c>
      <c r="G22" s="26">
        <f>SUM(G21)</f>
        <v>2296.9940000000001</v>
      </c>
      <c r="H22" s="21">
        <f t="shared" si="0"/>
        <v>306.26586666666668</v>
      </c>
    </row>
    <row r="23" spans="1:8" ht="96.6" customHeight="1" x14ac:dyDescent="0.25">
      <c r="A23" s="66" t="s">
        <v>34</v>
      </c>
      <c r="B23" s="71" t="s">
        <v>35</v>
      </c>
      <c r="C23" s="55" t="s">
        <v>23</v>
      </c>
      <c r="D23" s="45" t="s">
        <v>21</v>
      </c>
      <c r="E23" s="28" t="s">
        <v>24</v>
      </c>
      <c r="F23" s="20">
        <f>1265+3739.4</f>
        <v>5004.3999999999996</v>
      </c>
      <c r="G23" s="20">
        <v>3386.1559999999999</v>
      </c>
      <c r="H23" s="21">
        <f t="shared" si="0"/>
        <v>67.663576053073299</v>
      </c>
    </row>
    <row r="24" spans="1:8" ht="55.2" x14ac:dyDescent="0.25">
      <c r="A24" s="68"/>
      <c r="B24" s="73"/>
      <c r="C24" s="52" t="s">
        <v>32</v>
      </c>
      <c r="D24" s="46" t="s">
        <v>21</v>
      </c>
      <c r="E24" s="28" t="s">
        <v>33</v>
      </c>
      <c r="F24" s="20">
        <v>0</v>
      </c>
      <c r="G24" s="20">
        <v>3</v>
      </c>
      <c r="H24" s="21"/>
    </row>
    <row r="25" spans="1:8" x14ac:dyDescent="0.25">
      <c r="A25" s="23" t="s">
        <v>34</v>
      </c>
      <c r="B25" s="24" t="s">
        <v>29</v>
      </c>
      <c r="C25" s="53"/>
      <c r="D25" s="43"/>
      <c r="E25" s="25"/>
      <c r="F25" s="26">
        <f>SUM(F23:F24)</f>
        <v>5004.3999999999996</v>
      </c>
      <c r="G25" s="26">
        <f>SUM(G23:G24)</f>
        <v>3389.1559999999999</v>
      </c>
      <c r="H25" s="21">
        <f t="shared" si="0"/>
        <v>67.723523299496449</v>
      </c>
    </row>
    <row r="26" spans="1:8" ht="69" x14ac:dyDescent="0.25">
      <c r="A26" s="15" t="s">
        <v>378</v>
      </c>
      <c r="B26" s="27" t="s">
        <v>384</v>
      </c>
      <c r="C26" s="52" t="s">
        <v>27</v>
      </c>
      <c r="D26" s="42" t="s">
        <v>21</v>
      </c>
      <c r="E26" s="19" t="s">
        <v>28</v>
      </c>
      <c r="F26" s="20">
        <v>0</v>
      </c>
      <c r="G26" s="20">
        <v>6</v>
      </c>
      <c r="H26" s="21"/>
    </row>
    <row r="27" spans="1:8" x14ac:dyDescent="0.25">
      <c r="A27" s="23" t="s">
        <v>378</v>
      </c>
      <c r="B27" s="24" t="s">
        <v>29</v>
      </c>
      <c r="C27" s="53"/>
      <c r="D27" s="43"/>
      <c r="E27" s="25"/>
      <c r="F27" s="26">
        <f>SUM(F26)</f>
        <v>0</v>
      </c>
      <c r="G27" s="26">
        <f>SUM(G26)</f>
        <v>6</v>
      </c>
      <c r="H27" s="21"/>
    </row>
    <row r="28" spans="1:8" ht="110.4" x14ac:dyDescent="0.25">
      <c r="A28" s="69" t="s">
        <v>36</v>
      </c>
      <c r="B28" s="70" t="s">
        <v>37</v>
      </c>
      <c r="C28" s="52" t="s">
        <v>38</v>
      </c>
      <c r="D28" s="46" t="s">
        <v>39</v>
      </c>
      <c r="E28" s="29" t="s">
        <v>40</v>
      </c>
      <c r="F28" s="20">
        <v>400</v>
      </c>
      <c r="G28" s="20">
        <v>308.7</v>
      </c>
      <c r="H28" s="21">
        <f t="shared" si="0"/>
        <v>77.174999999999997</v>
      </c>
    </row>
    <row r="29" spans="1:8" ht="55.2" x14ac:dyDescent="0.25">
      <c r="A29" s="69"/>
      <c r="B29" s="70"/>
      <c r="C29" s="52" t="s">
        <v>32</v>
      </c>
      <c r="D29" s="46" t="s">
        <v>21</v>
      </c>
      <c r="E29" s="28" t="s">
        <v>33</v>
      </c>
      <c r="F29" s="20">
        <v>2585</v>
      </c>
      <c r="G29" s="20">
        <v>2477.471</v>
      </c>
      <c r="H29" s="21">
        <f t="shared" si="0"/>
        <v>95.840270793036751</v>
      </c>
    </row>
    <row r="30" spans="1:8" x14ac:dyDescent="0.25">
      <c r="A30" s="23" t="s">
        <v>36</v>
      </c>
      <c r="B30" s="24" t="s">
        <v>29</v>
      </c>
      <c r="C30" s="53"/>
      <c r="D30" s="43"/>
      <c r="E30" s="25"/>
      <c r="F30" s="26">
        <f>SUM(F28:F29)</f>
        <v>2985</v>
      </c>
      <c r="G30" s="26">
        <f>SUM(G28:G29)</f>
        <v>2786.1709999999998</v>
      </c>
      <c r="H30" s="21">
        <f t="shared" si="0"/>
        <v>93.339061976549402</v>
      </c>
    </row>
    <row r="31" spans="1:8" ht="41.4" x14ac:dyDescent="0.25">
      <c r="A31" s="66" t="s">
        <v>41</v>
      </c>
      <c r="B31" s="71" t="s">
        <v>42</v>
      </c>
      <c r="C31" s="52" t="s">
        <v>148</v>
      </c>
      <c r="D31" s="46" t="s">
        <v>21</v>
      </c>
      <c r="E31" s="28" t="s">
        <v>149</v>
      </c>
      <c r="F31" s="26">
        <v>0</v>
      </c>
      <c r="G31" s="26">
        <v>11</v>
      </c>
      <c r="H31" s="21"/>
    </row>
    <row r="32" spans="1:8" ht="55.2" x14ac:dyDescent="0.25">
      <c r="A32" s="68"/>
      <c r="B32" s="73"/>
      <c r="C32" s="52" t="s">
        <v>32</v>
      </c>
      <c r="D32" s="46" t="s">
        <v>21</v>
      </c>
      <c r="E32" s="28" t="s">
        <v>33</v>
      </c>
      <c r="F32" s="20">
        <v>70</v>
      </c>
      <c r="G32" s="20">
        <v>116.54900000000001</v>
      </c>
      <c r="H32" s="21">
        <f t="shared" si="0"/>
        <v>166.49857142857144</v>
      </c>
    </row>
    <row r="33" spans="1:8" x14ac:dyDescent="0.25">
      <c r="A33" s="23" t="s">
        <v>41</v>
      </c>
      <c r="B33" s="24" t="s">
        <v>29</v>
      </c>
      <c r="C33" s="53"/>
      <c r="D33" s="43"/>
      <c r="E33" s="25"/>
      <c r="F33" s="26">
        <f>SUM(F31:F32)</f>
        <v>70</v>
      </c>
      <c r="G33" s="26">
        <f>SUM(G31:G32)</f>
        <v>127.54900000000001</v>
      </c>
      <c r="H33" s="21">
        <f t="shared" si="0"/>
        <v>182.21285714285716</v>
      </c>
    </row>
    <row r="34" spans="1:8" ht="82.8" x14ac:dyDescent="0.25">
      <c r="A34" s="69" t="s">
        <v>43</v>
      </c>
      <c r="B34" s="70" t="s">
        <v>44</v>
      </c>
      <c r="C34" s="52" t="s">
        <v>45</v>
      </c>
      <c r="D34" s="46" t="s">
        <v>21</v>
      </c>
      <c r="E34" s="28" t="s">
        <v>46</v>
      </c>
      <c r="F34" s="20">
        <f>200-58</f>
        <v>142</v>
      </c>
      <c r="G34" s="20">
        <v>158.69999999999999</v>
      </c>
      <c r="H34" s="21">
        <f t="shared" si="0"/>
        <v>111.76056338028168</v>
      </c>
    </row>
    <row r="35" spans="1:8" ht="69" x14ac:dyDescent="0.25">
      <c r="A35" s="69"/>
      <c r="B35" s="70"/>
      <c r="C35" s="52" t="s">
        <v>47</v>
      </c>
      <c r="D35" s="46" t="s">
        <v>21</v>
      </c>
      <c r="E35" s="28" t="s">
        <v>48</v>
      </c>
      <c r="F35" s="20">
        <v>58</v>
      </c>
      <c r="G35" s="20">
        <v>0</v>
      </c>
      <c r="H35" s="21">
        <f t="shared" si="0"/>
        <v>0</v>
      </c>
    </row>
    <row r="36" spans="1:8" ht="55.2" x14ac:dyDescent="0.25">
      <c r="A36" s="69"/>
      <c r="B36" s="70"/>
      <c r="C36" s="52" t="s">
        <v>380</v>
      </c>
      <c r="D36" s="42" t="s">
        <v>21</v>
      </c>
      <c r="E36" s="28" t="s">
        <v>379</v>
      </c>
      <c r="F36" s="20">
        <v>0</v>
      </c>
      <c r="G36" s="20">
        <v>1</v>
      </c>
      <c r="H36" s="21"/>
    </row>
    <row r="37" spans="1:8" ht="41.4" x14ac:dyDescent="0.25">
      <c r="A37" s="69"/>
      <c r="B37" s="70"/>
      <c r="C37" s="52" t="s">
        <v>25</v>
      </c>
      <c r="D37" s="42" t="s">
        <v>21</v>
      </c>
      <c r="E37" s="19" t="s">
        <v>26</v>
      </c>
      <c r="F37" s="20">
        <v>0</v>
      </c>
      <c r="G37" s="20">
        <v>330.7</v>
      </c>
      <c r="H37" s="21"/>
    </row>
    <row r="38" spans="1:8" ht="27.6" x14ac:dyDescent="0.25">
      <c r="A38" s="69"/>
      <c r="B38" s="70"/>
      <c r="C38" s="52" t="s">
        <v>27</v>
      </c>
      <c r="D38" s="42" t="s">
        <v>21</v>
      </c>
      <c r="E38" s="19" t="s">
        <v>28</v>
      </c>
      <c r="F38" s="20">
        <v>0</v>
      </c>
      <c r="G38" s="20">
        <v>1.2</v>
      </c>
      <c r="H38" s="21"/>
    </row>
    <row r="39" spans="1:8" ht="55.2" x14ac:dyDescent="0.25">
      <c r="A39" s="69"/>
      <c r="B39" s="70"/>
      <c r="C39" s="52" t="s">
        <v>382</v>
      </c>
      <c r="D39" s="42" t="s">
        <v>21</v>
      </c>
      <c r="E39" s="28" t="s">
        <v>381</v>
      </c>
      <c r="F39" s="20">
        <v>0</v>
      </c>
      <c r="G39" s="20">
        <v>10</v>
      </c>
      <c r="H39" s="21"/>
    </row>
    <row r="40" spans="1:8" ht="82.8" x14ac:dyDescent="0.25">
      <c r="A40" s="69"/>
      <c r="B40" s="70"/>
      <c r="C40" s="52" t="s">
        <v>49</v>
      </c>
      <c r="D40" s="46" t="s">
        <v>21</v>
      </c>
      <c r="E40" s="28" t="s">
        <v>50</v>
      </c>
      <c r="F40" s="20">
        <f>14850+873.4</f>
        <v>15723.4</v>
      </c>
      <c r="G40" s="20">
        <v>14224.475</v>
      </c>
      <c r="H40" s="21">
        <f t="shared" si="0"/>
        <v>90.466915552615859</v>
      </c>
    </row>
    <row r="41" spans="1:8" ht="96.6" x14ac:dyDescent="0.25">
      <c r="A41" s="69"/>
      <c r="B41" s="70"/>
      <c r="C41" s="52" t="s">
        <v>150</v>
      </c>
      <c r="D41" s="46" t="s">
        <v>21</v>
      </c>
      <c r="E41" s="28" t="s">
        <v>154</v>
      </c>
      <c r="F41" s="20">
        <v>0</v>
      </c>
      <c r="G41" s="20">
        <v>104.07899999999999</v>
      </c>
      <c r="H41" s="21"/>
    </row>
    <row r="42" spans="1:8" ht="55.2" x14ac:dyDescent="0.25">
      <c r="A42" s="69"/>
      <c r="B42" s="70"/>
      <c r="C42" s="52" t="s">
        <v>32</v>
      </c>
      <c r="D42" s="46" t="s">
        <v>21</v>
      </c>
      <c r="E42" s="28" t="s">
        <v>33</v>
      </c>
      <c r="F42" s="20">
        <v>2290</v>
      </c>
      <c r="G42" s="20">
        <v>3578.0929999999998</v>
      </c>
      <c r="H42" s="21">
        <f t="shared" si="0"/>
        <v>156.24860262008733</v>
      </c>
    </row>
    <row r="43" spans="1:8" x14ac:dyDescent="0.25">
      <c r="A43" s="23" t="s">
        <v>43</v>
      </c>
      <c r="B43" s="24" t="s">
        <v>29</v>
      </c>
      <c r="C43" s="53"/>
      <c r="D43" s="43"/>
      <c r="E43" s="25"/>
      <c r="F43" s="26">
        <f>SUM(F34:F42)</f>
        <v>18213.400000000001</v>
      </c>
      <c r="G43" s="26">
        <f>SUM(G34:G42)</f>
        <v>18408.246999999999</v>
      </c>
      <c r="H43" s="21">
        <f t="shared" si="0"/>
        <v>101.06980025695367</v>
      </c>
    </row>
    <row r="44" spans="1:8" ht="55.2" x14ac:dyDescent="0.25">
      <c r="A44" s="15" t="s">
        <v>51</v>
      </c>
      <c r="B44" s="28" t="s">
        <v>52</v>
      </c>
      <c r="C44" s="52" t="s">
        <v>32</v>
      </c>
      <c r="D44" s="46" t="s">
        <v>21</v>
      </c>
      <c r="E44" s="28" t="s">
        <v>33</v>
      </c>
      <c r="F44" s="20">
        <v>100</v>
      </c>
      <c r="G44" s="20">
        <v>87</v>
      </c>
      <c r="H44" s="21">
        <f t="shared" si="0"/>
        <v>87</v>
      </c>
    </row>
    <row r="45" spans="1:8" x14ac:dyDescent="0.25">
      <c r="A45" s="23" t="s">
        <v>51</v>
      </c>
      <c r="B45" s="24" t="s">
        <v>29</v>
      </c>
      <c r="C45" s="53"/>
      <c r="D45" s="43"/>
      <c r="E45" s="25"/>
      <c r="F45" s="26">
        <f>SUM(F44)</f>
        <v>100</v>
      </c>
      <c r="G45" s="26">
        <f>SUM(G44)</f>
        <v>87</v>
      </c>
      <c r="H45" s="21">
        <f t="shared" si="0"/>
        <v>87</v>
      </c>
    </row>
    <row r="46" spans="1:8" ht="96.6" x14ac:dyDescent="0.25">
      <c r="A46" s="15" t="s">
        <v>182</v>
      </c>
      <c r="B46" s="28" t="s">
        <v>383</v>
      </c>
      <c r="C46" s="52" t="s">
        <v>150</v>
      </c>
      <c r="D46" s="46" t="s">
        <v>21</v>
      </c>
      <c r="E46" s="28" t="s">
        <v>154</v>
      </c>
      <c r="F46" s="20">
        <v>0</v>
      </c>
      <c r="G46" s="20">
        <v>178</v>
      </c>
      <c r="H46" s="21"/>
    </row>
    <row r="47" spans="1:8" x14ac:dyDescent="0.25">
      <c r="A47" s="23" t="s">
        <v>182</v>
      </c>
      <c r="B47" s="24" t="s">
        <v>29</v>
      </c>
      <c r="C47" s="53"/>
      <c r="D47" s="43"/>
      <c r="E47" s="25"/>
      <c r="F47" s="26">
        <f>SUM(F46)</f>
        <v>0</v>
      </c>
      <c r="G47" s="26">
        <f>SUM(G46)</f>
        <v>178</v>
      </c>
      <c r="H47" s="21"/>
    </row>
    <row r="48" spans="1:8" ht="55.2" x14ac:dyDescent="0.25">
      <c r="A48" s="15" t="s">
        <v>53</v>
      </c>
      <c r="B48" s="28" t="s">
        <v>54</v>
      </c>
      <c r="C48" s="52" t="s">
        <v>32</v>
      </c>
      <c r="D48" s="46" t="s">
        <v>21</v>
      </c>
      <c r="E48" s="28" t="s">
        <v>33</v>
      </c>
      <c r="F48" s="20">
        <v>9</v>
      </c>
      <c r="G48" s="20">
        <v>247.274</v>
      </c>
      <c r="H48" s="21">
        <f t="shared" si="0"/>
        <v>2747.4888888888886</v>
      </c>
    </row>
    <row r="49" spans="1:8" x14ac:dyDescent="0.25">
      <c r="A49" s="23" t="s">
        <v>53</v>
      </c>
      <c r="B49" s="24" t="s">
        <v>29</v>
      </c>
      <c r="C49" s="53"/>
      <c r="D49" s="43"/>
      <c r="E49" s="25"/>
      <c r="F49" s="26">
        <f>SUM(F48)</f>
        <v>9</v>
      </c>
      <c r="G49" s="26">
        <f>SUM(G48)</f>
        <v>247.274</v>
      </c>
      <c r="H49" s="21">
        <f t="shared" si="0"/>
        <v>2747.4888888888886</v>
      </c>
    </row>
    <row r="50" spans="1:8" ht="82.8" x14ac:dyDescent="0.25">
      <c r="A50" s="15" t="s">
        <v>385</v>
      </c>
      <c r="B50" s="28" t="s">
        <v>386</v>
      </c>
      <c r="C50" s="52" t="s">
        <v>45</v>
      </c>
      <c r="D50" s="46" t="s">
        <v>21</v>
      </c>
      <c r="E50" s="28" t="s">
        <v>46</v>
      </c>
      <c r="F50" s="20">
        <v>0</v>
      </c>
      <c r="G50" s="20">
        <v>18</v>
      </c>
      <c r="H50" s="21"/>
    </row>
    <row r="51" spans="1:8" x14ac:dyDescent="0.25">
      <c r="A51" s="23" t="s">
        <v>385</v>
      </c>
      <c r="B51" s="24" t="s">
        <v>29</v>
      </c>
      <c r="C51" s="53"/>
      <c r="D51" s="43"/>
      <c r="E51" s="25"/>
      <c r="F51" s="26">
        <f>SUM(F50)</f>
        <v>0</v>
      </c>
      <c r="G51" s="26">
        <f>SUM(G50)</f>
        <v>18</v>
      </c>
      <c r="H51" s="21"/>
    </row>
    <row r="52" spans="1:8" ht="82.8" x14ac:dyDescent="0.25">
      <c r="A52" s="66" t="s">
        <v>55</v>
      </c>
      <c r="B52" s="71" t="s">
        <v>56</v>
      </c>
      <c r="C52" s="52" t="s">
        <v>57</v>
      </c>
      <c r="D52" s="46" t="s">
        <v>21</v>
      </c>
      <c r="E52" s="28" t="s">
        <v>58</v>
      </c>
      <c r="F52" s="20">
        <v>335</v>
      </c>
      <c r="G52" s="20">
        <v>308</v>
      </c>
      <c r="H52" s="21">
        <f t="shared" si="0"/>
        <v>91.940298507462686</v>
      </c>
    </row>
    <row r="53" spans="1:8" ht="55.2" x14ac:dyDescent="0.25">
      <c r="A53" s="68"/>
      <c r="B53" s="73"/>
      <c r="C53" s="52" t="s">
        <v>388</v>
      </c>
      <c r="D53" s="46" t="s">
        <v>21</v>
      </c>
      <c r="E53" s="28" t="s">
        <v>387</v>
      </c>
      <c r="F53" s="20">
        <v>0</v>
      </c>
      <c r="G53" s="20">
        <v>260</v>
      </c>
      <c r="H53" s="21"/>
    </row>
    <row r="54" spans="1:8" x14ac:dyDescent="0.25">
      <c r="A54" s="23" t="s">
        <v>55</v>
      </c>
      <c r="B54" s="24" t="s">
        <v>29</v>
      </c>
      <c r="C54" s="53"/>
      <c r="D54" s="43"/>
      <c r="E54" s="25"/>
      <c r="F54" s="26">
        <f>SUM(F52:F53)</f>
        <v>335</v>
      </c>
      <c r="G54" s="26">
        <f>SUM(G52:G53)</f>
        <v>568</v>
      </c>
      <c r="H54" s="21">
        <f t="shared" si="0"/>
        <v>169.55223880597015</v>
      </c>
    </row>
    <row r="55" spans="1:8" ht="69" x14ac:dyDescent="0.25">
      <c r="A55" s="69" t="s">
        <v>59</v>
      </c>
      <c r="B55" s="70" t="s">
        <v>60</v>
      </c>
      <c r="C55" s="52" t="s">
        <v>61</v>
      </c>
      <c r="D55" s="46" t="s">
        <v>8</v>
      </c>
      <c r="E55" s="28" t="s">
        <v>62</v>
      </c>
      <c r="F55" s="20">
        <v>1389.4</v>
      </c>
      <c r="G55" s="20">
        <v>3137.5610000000001</v>
      </c>
      <c r="H55" s="21">
        <f t="shared" si="0"/>
        <v>225.82128976536632</v>
      </c>
    </row>
    <row r="56" spans="1:8" ht="110.4" x14ac:dyDescent="0.25">
      <c r="A56" s="69"/>
      <c r="B56" s="70"/>
      <c r="C56" s="52" t="s">
        <v>63</v>
      </c>
      <c r="D56" s="46" t="s">
        <v>8</v>
      </c>
      <c r="E56" s="29" t="s">
        <v>64</v>
      </c>
      <c r="F56" s="20">
        <v>0</v>
      </c>
      <c r="G56" s="20">
        <v>0</v>
      </c>
      <c r="H56" s="21"/>
    </row>
    <row r="57" spans="1:8" ht="96.6" x14ac:dyDescent="0.25">
      <c r="A57" s="69"/>
      <c r="B57" s="70"/>
      <c r="C57" s="52" t="s">
        <v>65</v>
      </c>
      <c r="D57" s="46" t="s">
        <v>8</v>
      </c>
      <c r="E57" s="28" t="s">
        <v>66</v>
      </c>
      <c r="F57" s="20">
        <v>0</v>
      </c>
      <c r="G57" s="20">
        <v>0</v>
      </c>
      <c r="H57" s="21"/>
    </row>
    <row r="58" spans="1:8" ht="110.4" x14ac:dyDescent="0.25">
      <c r="A58" s="69"/>
      <c r="B58" s="70"/>
      <c r="C58" s="52" t="s">
        <v>252</v>
      </c>
      <c r="D58" s="46" t="s">
        <v>8</v>
      </c>
      <c r="E58" s="28" t="s">
        <v>253</v>
      </c>
      <c r="F58" s="20">
        <v>0</v>
      </c>
      <c r="G58" s="20">
        <v>60538.654000000002</v>
      </c>
      <c r="H58" s="21"/>
    </row>
    <row r="59" spans="1:8" ht="110.4" x14ac:dyDescent="0.25">
      <c r="A59" s="69"/>
      <c r="B59" s="70"/>
      <c r="C59" s="52" t="s">
        <v>254</v>
      </c>
      <c r="D59" s="46" t="s">
        <v>8</v>
      </c>
      <c r="E59" s="28" t="s">
        <v>255</v>
      </c>
      <c r="F59" s="20">
        <v>0</v>
      </c>
      <c r="G59" s="20">
        <v>1200.8779999999999</v>
      </c>
      <c r="H59" s="21"/>
    </row>
    <row r="60" spans="1:8" ht="41.4" x14ac:dyDescent="0.25">
      <c r="A60" s="69"/>
      <c r="B60" s="70"/>
      <c r="C60" s="52" t="s">
        <v>389</v>
      </c>
      <c r="D60" s="46" t="s">
        <v>8</v>
      </c>
      <c r="E60" s="28" t="s">
        <v>392</v>
      </c>
      <c r="F60" s="20">
        <v>0</v>
      </c>
      <c r="G60" s="20">
        <v>3.4129999999999998</v>
      </c>
      <c r="H60" s="21"/>
    </row>
    <row r="61" spans="1:8" ht="69" x14ac:dyDescent="0.25">
      <c r="A61" s="69"/>
      <c r="B61" s="70"/>
      <c r="C61" s="52" t="s">
        <v>67</v>
      </c>
      <c r="D61" s="46" t="s">
        <v>8</v>
      </c>
      <c r="E61" s="28" t="s">
        <v>68</v>
      </c>
      <c r="F61" s="20">
        <v>175668.3</v>
      </c>
      <c r="G61" s="20">
        <f>93438.376</f>
        <v>93438.376000000004</v>
      </c>
      <c r="H61" s="21">
        <f t="shared" si="0"/>
        <v>53.190231817578933</v>
      </c>
    </row>
    <row r="62" spans="1:8" ht="69" x14ac:dyDescent="0.25">
      <c r="A62" s="69"/>
      <c r="B62" s="70"/>
      <c r="C62" s="52" t="s">
        <v>69</v>
      </c>
      <c r="D62" s="46" t="s">
        <v>8</v>
      </c>
      <c r="E62" s="28" t="s">
        <v>70</v>
      </c>
      <c r="F62" s="20">
        <v>0</v>
      </c>
      <c r="G62" s="20">
        <v>2077.2109999999998</v>
      </c>
      <c r="H62" s="21"/>
    </row>
    <row r="63" spans="1:8" ht="82.8" x14ac:dyDescent="0.25">
      <c r="A63" s="69"/>
      <c r="B63" s="70"/>
      <c r="C63" s="52" t="s">
        <v>71</v>
      </c>
      <c r="D63" s="46" t="s">
        <v>8</v>
      </c>
      <c r="E63" s="28" t="s">
        <v>72</v>
      </c>
      <c r="F63" s="20">
        <v>5950.5</v>
      </c>
      <c r="G63" s="20">
        <v>7342.2740000000003</v>
      </c>
      <c r="H63" s="21">
        <f t="shared" si="0"/>
        <v>123.38919418536258</v>
      </c>
    </row>
    <row r="64" spans="1:8" ht="110.4" x14ac:dyDescent="0.25">
      <c r="A64" s="69"/>
      <c r="B64" s="70"/>
      <c r="C64" s="52" t="s">
        <v>73</v>
      </c>
      <c r="D64" s="46" t="s">
        <v>8</v>
      </c>
      <c r="E64" s="28" t="s">
        <v>74</v>
      </c>
      <c r="F64" s="20">
        <v>717</v>
      </c>
      <c r="G64" s="20">
        <v>731.13199999999995</v>
      </c>
      <c r="H64" s="21">
        <f t="shared" si="0"/>
        <v>101.97099023709902</v>
      </c>
    </row>
    <row r="65" spans="1:8" ht="41.4" x14ac:dyDescent="0.25">
      <c r="A65" s="69"/>
      <c r="B65" s="70"/>
      <c r="C65" s="52" t="s">
        <v>75</v>
      </c>
      <c r="D65" s="46" t="s">
        <v>76</v>
      </c>
      <c r="E65" s="28" t="s">
        <v>77</v>
      </c>
      <c r="F65" s="20">
        <v>0</v>
      </c>
      <c r="G65" s="20">
        <v>0</v>
      </c>
      <c r="H65" s="21"/>
    </row>
    <row r="66" spans="1:8" ht="55.2" x14ac:dyDescent="0.25">
      <c r="A66" s="69"/>
      <c r="B66" s="70"/>
      <c r="C66" s="52" t="s">
        <v>78</v>
      </c>
      <c r="D66" s="46" t="s">
        <v>76</v>
      </c>
      <c r="E66" s="28" t="s">
        <v>79</v>
      </c>
      <c r="F66" s="20">
        <v>0</v>
      </c>
      <c r="G66" s="20">
        <v>491.1</v>
      </c>
      <c r="H66" s="21"/>
    </row>
    <row r="67" spans="1:8" ht="27.6" x14ac:dyDescent="0.25">
      <c r="A67" s="69"/>
      <c r="B67" s="70"/>
      <c r="C67" s="52" t="s">
        <v>80</v>
      </c>
      <c r="D67" s="46" t="s">
        <v>76</v>
      </c>
      <c r="E67" s="28" t="s">
        <v>81</v>
      </c>
      <c r="F67" s="20">
        <v>0</v>
      </c>
      <c r="G67" s="20">
        <v>1542.5319999999999</v>
      </c>
      <c r="H67" s="21"/>
    </row>
    <row r="68" spans="1:8" ht="110.4" x14ac:dyDescent="0.25">
      <c r="A68" s="69"/>
      <c r="B68" s="70"/>
      <c r="C68" s="52" t="s">
        <v>82</v>
      </c>
      <c r="D68" s="46" t="s">
        <v>83</v>
      </c>
      <c r="E68" s="29" t="s">
        <v>84</v>
      </c>
      <c r="F68" s="20">
        <v>0</v>
      </c>
      <c r="G68" s="20"/>
      <c r="H68" s="21"/>
    </row>
    <row r="69" spans="1:8" ht="124.2" x14ac:dyDescent="0.25">
      <c r="A69" s="69"/>
      <c r="B69" s="70"/>
      <c r="C69" s="52" t="s">
        <v>82</v>
      </c>
      <c r="D69" s="46" t="s">
        <v>85</v>
      </c>
      <c r="E69" s="29" t="s">
        <v>86</v>
      </c>
      <c r="F69" s="20">
        <v>0</v>
      </c>
      <c r="G69" s="20">
        <v>49.039000000000001</v>
      </c>
      <c r="H69" s="21"/>
    </row>
    <row r="70" spans="1:8" ht="138" x14ac:dyDescent="0.25">
      <c r="A70" s="69"/>
      <c r="B70" s="70"/>
      <c r="C70" s="52" t="s">
        <v>87</v>
      </c>
      <c r="D70" s="46" t="s">
        <v>85</v>
      </c>
      <c r="E70" s="29" t="s">
        <v>88</v>
      </c>
      <c r="F70" s="20">
        <v>0</v>
      </c>
      <c r="G70" s="20">
        <v>9.7780000000000005</v>
      </c>
      <c r="H70" s="21"/>
    </row>
    <row r="71" spans="1:8" ht="179.4" x14ac:dyDescent="0.25">
      <c r="A71" s="69"/>
      <c r="B71" s="70"/>
      <c r="C71" s="52" t="s">
        <v>89</v>
      </c>
      <c r="D71" s="46" t="s">
        <v>83</v>
      </c>
      <c r="E71" s="29" t="s">
        <v>90</v>
      </c>
      <c r="F71" s="20">
        <f>291795.3+50000+65805.5</f>
        <v>407600.8</v>
      </c>
      <c r="G71" s="20">
        <v>293841.18</v>
      </c>
      <c r="H71" s="21">
        <f t="shared" si="0"/>
        <v>72.090432599739756</v>
      </c>
    </row>
    <row r="72" spans="1:8" ht="207" x14ac:dyDescent="0.25">
      <c r="A72" s="69"/>
      <c r="B72" s="70"/>
      <c r="C72" s="52" t="s">
        <v>91</v>
      </c>
      <c r="D72" s="46" t="s">
        <v>83</v>
      </c>
      <c r="E72" s="29" t="s">
        <v>92</v>
      </c>
      <c r="F72" s="20">
        <f>35015.4+30238.5</f>
        <v>65253.9</v>
      </c>
      <c r="G72" s="20">
        <v>42556.82</v>
      </c>
      <c r="H72" s="21">
        <f t="shared" si="0"/>
        <v>65.217282032185039</v>
      </c>
    </row>
    <row r="73" spans="1:8" ht="179.4" x14ac:dyDescent="0.25">
      <c r="A73" s="69"/>
      <c r="B73" s="70"/>
      <c r="C73" s="52" t="s">
        <v>93</v>
      </c>
      <c r="D73" s="46" t="s">
        <v>83</v>
      </c>
      <c r="E73" s="29" t="s">
        <v>94</v>
      </c>
      <c r="F73" s="20">
        <f>325260.9-73425.2</f>
        <v>251835.7</v>
      </c>
      <c r="G73" s="20">
        <v>257411.712</v>
      </c>
      <c r="H73" s="21">
        <f t="shared" si="0"/>
        <v>102.21414676314755</v>
      </c>
    </row>
    <row r="74" spans="1:8" ht="96.6" x14ac:dyDescent="0.25">
      <c r="A74" s="69"/>
      <c r="B74" s="70"/>
      <c r="C74" s="52" t="s">
        <v>95</v>
      </c>
      <c r="D74" s="46" t="s">
        <v>21</v>
      </c>
      <c r="E74" s="28" t="s">
        <v>96</v>
      </c>
      <c r="F74" s="20">
        <v>0</v>
      </c>
      <c r="G74" s="20"/>
      <c r="H74" s="21"/>
    </row>
    <row r="75" spans="1:8" ht="69" x14ac:dyDescent="0.25">
      <c r="A75" s="69"/>
      <c r="B75" s="70"/>
      <c r="C75" s="52" t="s">
        <v>97</v>
      </c>
      <c r="D75" s="46" t="s">
        <v>21</v>
      </c>
      <c r="E75" s="28" t="s">
        <v>98</v>
      </c>
      <c r="F75" s="20">
        <v>0</v>
      </c>
      <c r="G75" s="20"/>
      <c r="H75" s="21"/>
    </row>
    <row r="76" spans="1:8" ht="82.8" x14ac:dyDescent="0.25">
      <c r="A76" s="69"/>
      <c r="B76" s="70"/>
      <c r="C76" s="52" t="s">
        <v>390</v>
      </c>
      <c r="D76" s="46" t="s">
        <v>21</v>
      </c>
      <c r="E76" s="28" t="s">
        <v>391</v>
      </c>
      <c r="F76" s="20"/>
      <c r="G76" s="20">
        <v>62</v>
      </c>
      <c r="H76" s="21"/>
    </row>
    <row r="77" spans="1:8" ht="55.2" x14ac:dyDescent="0.25">
      <c r="A77" s="69"/>
      <c r="B77" s="70"/>
      <c r="C77" s="52" t="s">
        <v>32</v>
      </c>
      <c r="D77" s="46" t="s">
        <v>21</v>
      </c>
      <c r="E77" s="28" t="s">
        <v>33</v>
      </c>
      <c r="F77" s="20">
        <v>0</v>
      </c>
      <c r="G77" s="20">
        <v>5.4</v>
      </c>
      <c r="H77" s="21"/>
    </row>
    <row r="78" spans="1:8" ht="41.4" x14ac:dyDescent="0.25">
      <c r="A78" s="69"/>
      <c r="B78" s="70"/>
      <c r="C78" s="52" t="s">
        <v>99</v>
      </c>
      <c r="D78" s="46" t="s">
        <v>100</v>
      </c>
      <c r="E78" s="28" t="s">
        <v>101</v>
      </c>
      <c r="F78" s="20">
        <v>0</v>
      </c>
      <c r="G78" s="20">
        <v>-119.13500000000001</v>
      </c>
      <c r="H78" s="21"/>
    </row>
    <row r="79" spans="1:8" ht="27.6" x14ac:dyDescent="0.25">
      <c r="A79" s="69"/>
      <c r="B79" s="70"/>
      <c r="C79" s="52" t="s">
        <v>102</v>
      </c>
      <c r="D79" s="46" t="s">
        <v>100</v>
      </c>
      <c r="E79" s="28" t="s">
        <v>103</v>
      </c>
      <c r="F79" s="20">
        <v>0</v>
      </c>
      <c r="G79" s="20">
        <v>3571.3760000000002</v>
      </c>
      <c r="H79" s="21"/>
    </row>
    <row r="80" spans="1:8" ht="27.6" x14ac:dyDescent="0.25">
      <c r="A80" s="69"/>
      <c r="B80" s="70"/>
      <c r="C80" s="52" t="s">
        <v>104</v>
      </c>
      <c r="D80" s="46" t="s">
        <v>100</v>
      </c>
      <c r="E80" s="28" t="s">
        <v>105</v>
      </c>
      <c r="F80" s="20">
        <v>0</v>
      </c>
      <c r="G80" s="20"/>
      <c r="H80" s="21"/>
    </row>
    <row r="81" spans="1:8" x14ac:dyDescent="0.25">
      <c r="A81" s="23" t="s">
        <v>59</v>
      </c>
      <c r="B81" s="24" t="s">
        <v>29</v>
      </c>
      <c r="C81" s="53"/>
      <c r="D81" s="43"/>
      <c r="E81" s="25"/>
      <c r="F81" s="26">
        <f>SUM(F55:F80)</f>
        <v>908415.60000000009</v>
      </c>
      <c r="G81" s="26">
        <f>SUM(G55:G80)</f>
        <v>767891.30100000009</v>
      </c>
      <c r="H81" s="21">
        <f t="shared" si="0"/>
        <v>84.530835996211422</v>
      </c>
    </row>
    <row r="82" spans="1:8" ht="96.6" x14ac:dyDescent="0.25">
      <c r="A82" s="15" t="s">
        <v>106</v>
      </c>
      <c r="B82" s="27" t="s">
        <v>107</v>
      </c>
      <c r="C82" s="52" t="s">
        <v>32</v>
      </c>
      <c r="D82" s="46" t="s">
        <v>21</v>
      </c>
      <c r="E82" s="28" t="s">
        <v>33</v>
      </c>
      <c r="F82" s="20">
        <v>86</v>
      </c>
      <c r="G82" s="20">
        <v>24.1</v>
      </c>
      <c r="H82" s="21">
        <f t="shared" si="0"/>
        <v>28.02325581395349</v>
      </c>
    </row>
    <row r="83" spans="1:8" x14ac:dyDescent="0.25">
      <c r="A83" s="23" t="s">
        <v>106</v>
      </c>
      <c r="B83" s="24" t="s">
        <v>29</v>
      </c>
      <c r="C83" s="53"/>
      <c r="D83" s="43"/>
      <c r="E83" s="25"/>
      <c r="F83" s="26">
        <f>SUM(F82)</f>
        <v>86</v>
      </c>
      <c r="G83" s="26">
        <f>SUM(G82)</f>
        <v>24.1</v>
      </c>
      <c r="H83" s="21">
        <f t="shared" si="0"/>
        <v>28.02325581395349</v>
      </c>
    </row>
    <row r="84" spans="1:8" ht="110.4" x14ac:dyDescent="0.25">
      <c r="A84" s="69" t="s">
        <v>108</v>
      </c>
      <c r="B84" s="70" t="s">
        <v>109</v>
      </c>
      <c r="C84" s="52" t="s">
        <v>110</v>
      </c>
      <c r="D84" s="46" t="s">
        <v>39</v>
      </c>
      <c r="E84" s="29" t="s">
        <v>111</v>
      </c>
      <c r="F84" s="20">
        <f>8547591.5+103642.7+1266.6+50000+98642.9+176000-42354.359</f>
        <v>8934789.341</v>
      </c>
      <c r="G84" s="20">
        <v>8801401.4859999996</v>
      </c>
      <c r="H84" s="21">
        <f t="shared" si="0"/>
        <v>98.507095691804281</v>
      </c>
    </row>
    <row r="85" spans="1:8" ht="151.80000000000001" x14ac:dyDescent="0.25">
      <c r="A85" s="69"/>
      <c r="B85" s="70"/>
      <c r="C85" s="52" t="s">
        <v>112</v>
      </c>
      <c r="D85" s="46" t="s">
        <v>39</v>
      </c>
      <c r="E85" s="29" t="s">
        <v>113</v>
      </c>
      <c r="F85" s="20">
        <f>150984.2-53070.266</f>
        <v>97913.934000000008</v>
      </c>
      <c r="G85" s="20">
        <v>110752.038</v>
      </c>
      <c r="H85" s="21">
        <f t="shared" si="0"/>
        <v>113.11162106917286</v>
      </c>
    </row>
    <row r="86" spans="1:8" ht="69" x14ac:dyDescent="0.25">
      <c r="A86" s="69"/>
      <c r="B86" s="70"/>
      <c r="C86" s="52" t="s">
        <v>114</v>
      </c>
      <c r="D86" s="46" t="s">
        <v>39</v>
      </c>
      <c r="E86" s="28" t="s">
        <v>115</v>
      </c>
      <c r="F86" s="20">
        <f>173545.2+197080.913</f>
        <v>370626.11300000001</v>
      </c>
      <c r="G86" s="20">
        <v>382718.42499999999</v>
      </c>
      <c r="H86" s="21">
        <f t="shared" si="0"/>
        <v>103.26267134879403</v>
      </c>
    </row>
    <row r="87" spans="1:8" ht="138" x14ac:dyDescent="0.25">
      <c r="A87" s="69"/>
      <c r="B87" s="70"/>
      <c r="C87" s="52" t="s">
        <v>116</v>
      </c>
      <c r="D87" s="46" t="s">
        <v>39</v>
      </c>
      <c r="E87" s="29" t="s">
        <v>117</v>
      </c>
      <c r="F87" s="20">
        <f>5599.3+12738.081</f>
        <v>18337.381000000001</v>
      </c>
      <c r="G87" s="20">
        <v>9467.9969999999994</v>
      </c>
      <c r="H87" s="21">
        <f t="shared" si="0"/>
        <v>51.632220544471416</v>
      </c>
    </row>
    <row r="88" spans="1:8" ht="27.6" x14ac:dyDescent="0.25">
      <c r="A88" s="69"/>
      <c r="B88" s="70"/>
      <c r="C88" s="52" t="s">
        <v>118</v>
      </c>
      <c r="D88" s="46" t="s">
        <v>39</v>
      </c>
      <c r="E88" s="28" t="s">
        <v>119</v>
      </c>
      <c r="F88" s="20">
        <f>591102.8-12326-61251.6</f>
        <v>517525.20000000007</v>
      </c>
      <c r="G88" s="20">
        <v>522609.48700000002</v>
      </c>
      <c r="H88" s="21">
        <f t="shared" si="0"/>
        <v>100.98242307814189</v>
      </c>
    </row>
    <row r="89" spans="1:8" ht="55.2" x14ac:dyDescent="0.25">
      <c r="A89" s="69"/>
      <c r="B89" s="70"/>
      <c r="C89" s="52" t="s">
        <v>393</v>
      </c>
      <c r="D89" s="46" t="s">
        <v>39</v>
      </c>
      <c r="E89" s="29" t="s">
        <v>394</v>
      </c>
      <c r="F89" s="20"/>
      <c r="G89" s="20">
        <v>3855.2220000000002</v>
      </c>
      <c r="H89" s="21"/>
    </row>
    <row r="90" spans="1:8" x14ac:dyDescent="0.25">
      <c r="A90" s="69"/>
      <c r="B90" s="70"/>
      <c r="C90" s="52" t="s">
        <v>120</v>
      </c>
      <c r="D90" s="46" t="s">
        <v>39</v>
      </c>
      <c r="E90" s="28" t="s">
        <v>121</v>
      </c>
      <c r="F90" s="20">
        <v>1261.5999999999999</v>
      </c>
      <c r="G90" s="20">
        <v>1521.87</v>
      </c>
      <c r="H90" s="21">
        <f t="shared" si="0"/>
        <v>120.63015218769817</v>
      </c>
    </row>
    <row r="91" spans="1:8" ht="41.4" x14ac:dyDescent="0.25">
      <c r="A91" s="69"/>
      <c r="B91" s="70"/>
      <c r="C91" s="52" t="s">
        <v>395</v>
      </c>
      <c r="D91" s="46" t="s">
        <v>39</v>
      </c>
      <c r="E91" s="28" t="s">
        <v>396</v>
      </c>
      <c r="F91" s="20"/>
      <c r="G91" s="20">
        <v>100.63800000000001</v>
      </c>
      <c r="H91" s="21"/>
    </row>
    <row r="92" spans="1:8" ht="55.2" x14ac:dyDescent="0.25">
      <c r="A92" s="69"/>
      <c r="B92" s="70"/>
      <c r="C92" s="52" t="s">
        <v>122</v>
      </c>
      <c r="D92" s="46" t="s">
        <v>39</v>
      </c>
      <c r="E92" s="28" t="s">
        <v>123</v>
      </c>
      <c r="F92" s="20">
        <v>11309.6</v>
      </c>
      <c r="G92" s="20">
        <v>17605.994999999999</v>
      </c>
      <c r="H92" s="21">
        <f t="shared" si="0"/>
        <v>155.6730123081276</v>
      </c>
    </row>
    <row r="93" spans="1:8" ht="69" x14ac:dyDescent="0.25">
      <c r="A93" s="69"/>
      <c r="B93" s="70"/>
      <c r="C93" s="52" t="s">
        <v>124</v>
      </c>
      <c r="D93" s="46" t="s">
        <v>39</v>
      </c>
      <c r="E93" s="28" t="s">
        <v>125</v>
      </c>
      <c r="F93" s="20">
        <v>225378</v>
      </c>
      <c r="G93" s="20">
        <v>208645.73199999999</v>
      </c>
      <c r="H93" s="21">
        <f t="shared" si="0"/>
        <v>92.575908917463096</v>
      </c>
    </row>
    <row r="94" spans="1:8" x14ac:dyDescent="0.25">
      <c r="A94" s="69"/>
      <c r="B94" s="70"/>
      <c r="C94" s="52" t="s">
        <v>126</v>
      </c>
      <c r="D94" s="46" t="s">
        <v>39</v>
      </c>
      <c r="E94" s="28" t="s">
        <v>127</v>
      </c>
      <c r="F94" s="20">
        <f>175745.2+65.729</f>
        <v>175810.929</v>
      </c>
      <c r="G94" s="20">
        <v>182457.601</v>
      </c>
      <c r="H94" s="21">
        <f t="shared" si="0"/>
        <v>103.7805795338241</v>
      </c>
    </row>
    <row r="95" spans="1:8" x14ac:dyDescent="0.25">
      <c r="A95" s="69"/>
      <c r="B95" s="70"/>
      <c r="C95" s="52" t="s">
        <v>128</v>
      </c>
      <c r="D95" s="46" t="s">
        <v>39</v>
      </c>
      <c r="E95" s="28" t="s">
        <v>129</v>
      </c>
      <c r="F95" s="20">
        <v>741859</v>
      </c>
      <c r="G95" s="20">
        <v>808619.00399999996</v>
      </c>
      <c r="H95" s="21">
        <f t="shared" ref="H95:H168" si="1">G95/F95*100</f>
        <v>108.99901517673842</v>
      </c>
    </row>
    <row r="96" spans="1:8" ht="96.6" x14ac:dyDescent="0.25">
      <c r="A96" s="69"/>
      <c r="B96" s="70"/>
      <c r="C96" s="52" t="s">
        <v>130</v>
      </c>
      <c r="D96" s="46" t="s">
        <v>39</v>
      </c>
      <c r="E96" s="28" t="s">
        <v>131</v>
      </c>
      <c r="F96" s="20">
        <v>80509.600000000006</v>
      </c>
      <c r="G96" s="20">
        <v>152102.329</v>
      </c>
      <c r="H96" s="21">
        <f t="shared" si="1"/>
        <v>188.92446242435682</v>
      </c>
    </row>
    <row r="97" spans="1:8" ht="96.6" x14ac:dyDescent="0.25">
      <c r="A97" s="69"/>
      <c r="B97" s="70"/>
      <c r="C97" s="52" t="s">
        <v>132</v>
      </c>
      <c r="D97" s="46" t="s">
        <v>39</v>
      </c>
      <c r="E97" s="28" t="s">
        <v>133</v>
      </c>
      <c r="F97" s="20">
        <f>2901330.3-5690.9+19002.361+122009.358+7507.27</f>
        <v>3044158.389</v>
      </c>
      <c r="G97" s="20">
        <v>3049747.3590000002</v>
      </c>
      <c r="H97" s="21">
        <f t="shared" si="1"/>
        <v>100.18359655726836</v>
      </c>
    </row>
    <row r="98" spans="1:8" ht="69" x14ac:dyDescent="0.25">
      <c r="A98" s="69"/>
      <c r="B98" s="70"/>
      <c r="C98" s="52" t="s">
        <v>134</v>
      </c>
      <c r="D98" s="46" t="s">
        <v>39</v>
      </c>
      <c r="E98" s="28" t="s">
        <v>135</v>
      </c>
      <c r="F98" s="20">
        <f>98999.3+5687.7</f>
        <v>104687</v>
      </c>
      <c r="G98" s="20">
        <v>118514.876</v>
      </c>
      <c r="H98" s="21">
        <f t="shared" si="1"/>
        <v>113.20878045984696</v>
      </c>
    </row>
    <row r="99" spans="1:8" ht="55.2" x14ac:dyDescent="0.25">
      <c r="A99" s="69"/>
      <c r="B99" s="70"/>
      <c r="C99" s="52" t="s">
        <v>397</v>
      </c>
      <c r="D99" s="46" t="s">
        <v>39</v>
      </c>
      <c r="E99" s="28" t="s">
        <v>401</v>
      </c>
      <c r="F99" s="20"/>
      <c r="G99" s="20">
        <v>-40.668999999999997</v>
      </c>
      <c r="H99" s="21"/>
    </row>
    <row r="100" spans="1:8" ht="27.6" x14ac:dyDescent="0.25">
      <c r="A100" s="69"/>
      <c r="B100" s="70"/>
      <c r="C100" s="52" t="s">
        <v>398</v>
      </c>
      <c r="D100" s="46" t="s">
        <v>39</v>
      </c>
      <c r="E100" s="28" t="s">
        <v>402</v>
      </c>
      <c r="F100" s="20"/>
      <c r="G100" s="20">
        <v>3.298</v>
      </c>
      <c r="H100" s="21"/>
    </row>
    <row r="101" spans="1:8" ht="96.6" x14ac:dyDescent="0.25">
      <c r="A101" s="69"/>
      <c r="B101" s="70"/>
      <c r="C101" s="52" t="s">
        <v>399</v>
      </c>
      <c r="D101" s="46" t="s">
        <v>39</v>
      </c>
      <c r="E101" s="28" t="s">
        <v>403</v>
      </c>
      <c r="F101" s="20"/>
      <c r="G101" s="20">
        <v>0.20399999999999999</v>
      </c>
      <c r="H101" s="21"/>
    </row>
    <row r="102" spans="1:8" ht="41.4" x14ac:dyDescent="0.25">
      <c r="A102" s="69"/>
      <c r="B102" s="70"/>
      <c r="C102" s="52" t="s">
        <v>400</v>
      </c>
      <c r="D102" s="46" t="s">
        <v>39</v>
      </c>
      <c r="E102" s="28" t="s">
        <v>404</v>
      </c>
      <c r="F102" s="20"/>
      <c r="G102" s="20">
        <v>-2E-3</v>
      </c>
      <c r="H102" s="21"/>
    </row>
    <row r="103" spans="1:8" ht="151.80000000000001" x14ac:dyDescent="0.25">
      <c r="A103" s="69"/>
      <c r="B103" s="70"/>
      <c r="C103" s="52" t="s">
        <v>136</v>
      </c>
      <c r="D103" s="46" t="s">
        <v>21</v>
      </c>
      <c r="E103" s="29" t="s">
        <v>137</v>
      </c>
      <c r="F103" s="20">
        <f>5542+1003.2</f>
        <v>6545.2</v>
      </c>
      <c r="G103" s="20">
        <v>3930.2910000000002</v>
      </c>
      <c r="H103" s="21">
        <f t="shared" si="1"/>
        <v>60.048447717411236</v>
      </c>
    </row>
    <row r="104" spans="1:8" ht="82.8" x14ac:dyDescent="0.25">
      <c r="A104" s="69"/>
      <c r="B104" s="70"/>
      <c r="C104" s="52" t="s">
        <v>138</v>
      </c>
      <c r="D104" s="46" t="s">
        <v>21</v>
      </c>
      <c r="E104" s="28" t="s">
        <v>139</v>
      </c>
      <c r="F104" s="20">
        <v>300</v>
      </c>
      <c r="G104" s="20">
        <v>293.87799999999999</v>
      </c>
      <c r="H104" s="21">
        <f t="shared" si="1"/>
        <v>97.959333333333333</v>
      </c>
    </row>
    <row r="105" spans="1:8" ht="82.8" x14ac:dyDescent="0.25">
      <c r="A105" s="69"/>
      <c r="B105" s="70"/>
      <c r="C105" s="52" t="s">
        <v>140</v>
      </c>
      <c r="D105" s="46" t="s">
        <v>21</v>
      </c>
      <c r="E105" s="28" t="s">
        <v>141</v>
      </c>
      <c r="F105" s="20">
        <v>1200</v>
      </c>
      <c r="G105" s="20">
        <v>1362.35</v>
      </c>
      <c r="H105" s="21">
        <f t="shared" si="1"/>
        <v>113.52916666666665</v>
      </c>
    </row>
    <row r="106" spans="1:8" ht="55.2" x14ac:dyDescent="0.25">
      <c r="A106" s="69"/>
      <c r="B106" s="70"/>
      <c r="C106" s="52" t="s">
        <v>32</v>
      </c>
      <c r="D106" s="46" t="s">
        <v>21</v>
      </c>
      <c r="E106" s="28" t="s">
        <v>33</v>
      </c>
      <c r="F106" s="20">
        <v>334</v>
      </c>
      <c r="G106" s="20">
        <v>88.984999999999999</v>
      </c>
      <c r="H106" s="21">
        <f t="shared" si="1"/>
        <v>26.642215568862277</v>
      </c>
    </row>
    <row r="107" spans="1:8" x14ac:dyDescent="0.25">
      <c r="A107" s="23" t="s">
        <v>108</v>
      </c>
      <c r="B107" s="24" t="s">
        <v>29</v>
      </c>
      <c r="C107" s="53"/>
      <c r="D107" s="43"/>
      <c r="E107" s="25"/>
      <c r="F107" s="26">
        <f>SUM(F84:F106)</f>
        <v>14332545.286999997</v>
      </c>
      <c r="G107" s="26">
        <f>SUM(G84:G106)</f>
        <v>14375758.393999998</v>
      </c>
      <c r="H107" s="21">
        <f t="shared" si="1"/>
        <v>100.30150336967152</v>
      </c>
    </row>
    <row r="108" spans="1:8" ht="82.8" x14ac:dyDescent="0.25">
      <c r="A108" s="69" t="s">
        <v>142</v>
      </c>
      <c r="B108" s="70" t="s">
        <v>143</v>
      </c>
      <c r="C108" s="52" t="s">
        <v>140</v>
      </c>
      <c r="D108" s="46" t="s">
        <v>21</v>
      </c>
      <c r="E108" s="28" t="s">
        <v>141</v>
      </c>
      <c r="F108" s="20">
        <v>0</v>
      </c>
      <c r="G108" s="20">
        <v>0</v>
      </c>
      <c r="H108" s="21"/>
    </row>
    <row r="109" spans="1:8" ht="82.8" x14ac:dyDescent="0.25">
      <c r="A109" s="69"/>
      <c r="B109" s="70"/>
      <c r="C109" s="52" t="s">
        <v>45</v>
      </c>
      <c r="D109" s="46" t="s">
        <v>21</v>
      </c>
      <c r="E109" s="28" t="s">
        <v>46</v>
      </c>
      <c r="F109" s="20">
        <v>546</v>
      </c>
      <c r="G109" s="20">
        <v>1244.201</v>
      </c>
      <c r="H109" s="21">
        <f t="shared" si="1"/>
        <v>227.87564102564102</v>
      </c>
    </row>
    <row r="110" spans="1:8" ht="82.8" x14ac:dyDescent="0.25">
      <c r="A110" s="69"/>
      <c r="B110" s="70"/>
      <c r="C110" s="52" t="s">
        <v>144</v>
      </c>
      <c r="D110" s="46" t="s">
        <v>21</v>
      </c>
      <c r="E110" s="28" t="s">
        <v>145</v>
      </c>
      <c r="F110" s="20">
        <v>122</v>
      </c>
      <c r="G110" s="20">
        <v>1.5</v>
      </c>
      <c r="H110" s="21">
        <f t="shared" si="1"/>
        <v>1.2295081967213115</v>
      </c>
    </row>
    <row r="111" spans="1:8" ht="82.8" x14ac:dyDescent="0.25">
      <c r="A111" s="69"/>
      <c r="B111" s="70"/>
      <c r="C111" s="52" t="s">
        <v>49</v>
      </c>
      <c r="D111" s="46" t="s">
        <v>21</v>
      </c>
      <c r="E111" s="28" t="s">
        <v>50</v>
      </c>
      <c r="F111" s="20">
        <v>0</v>
      </c>
      <c r="G111" s="20">
        <v>0</v>
      </c>
      <c r="H111" s="21"/>
    </row>
    <row r="112" spans="1:8" ht="82.8" x14ac:dyDescent="0.25">
      <c r="A112" s="69"/>
      <c r="B112" s="70"/>
      <c r="C112" s="52" t="s">
        <v>146</v>
      </c>
      <c r="D112" s="46" t="s">
        <v>21</v>
      </c>
      <c r="E112" s="28" t="s">
        <v>147</v>
      </c>
      <c r="F112" s="20">
        <f>120-112</f>
        <v>8</v>
      </c>
      <c r="G112" s="20">
        <v>482.6</v>
      </c>
      <c r="H112" s="21">
        <f t="shared" si="1"/>
        <v>6032.5</v>
      </c>
    </row>
    <row r="113" spans="1:8" ht="41.4" x14ac:dyDescent="0.25">
      <c r="A113" s="69"/>
      <c r="B113" s="70"/>
      <c r="C113" s="52" t="s">
        <v>148</v>
      </c>
      <c r="D113" s="46" t="s">
        <v>21</v>
      </c>
      <c r="E113" s="28" t="s">
        <v>149</v>
      </c>
      <c r="F113" s="20">
        <f>150+830+121.2</f>
        <v>1101.2</v>
      </c>
      <c r="G113" s="20">
        <v>6091.5879999999997</v>
      </c>
      <c r="H113" s="21">
        <f t="shared" si="1"/>
        <v>553.17726116963308</v>
      </c>
    </row>
    <row r="114" spans="1:8" ht="96.6" x14ac:dyDescent="0.25">
      <c r="A114" s="69"/>
      <c r="B114" s="70"/>
      <c r="C114" s="52" t="s">
        <v>150</v>
      </c>
      <c r="D114" s="46" t="s">
        <v>21</v>
      </c>
      <c r="E114" s="28" t="s">
        <v>151</v>
      </c>
      <c r="F114" s="20">
        <f>2065+3379.4</f>
        <v>5444.4</v>
      </c>
      <c r="G114" s="20">
        <v>8406.3590000000004</v>
      </c>
      <c r="H114" s="21">
        <f t="shared" si="1"/>
        <v>154.40377268385865</v>
      </c>
    </row>
    <row r="115" spans="1:8" ht="55.2" x14ac:dyDescent="0.25">
      <c r="A115" s="69"/>
      <c r="B115" s="70"/>
      <c r="C115" s="52" t="s">
        <v>32</v>
      </c>
      <c r="D115" s="46" t="s">
        <v>21</v>
      </c>
      <c r="E115" s="28" t="s">
        <v>33</v>
      </c>
      <c r="F115" s="20">
        <v>3455.7</v>
      </c>
      <c r="G115" s="20">
        <v>8462.2279999999992</v>
      </c>
      <c r="H115" s="21">
        <f t="shared" si="1"/>
        <v>244.87739097722601</v>
      </c>
    </row>
    <row r="116" spans="1:8" x14ac:dyDescent="0.25">
      <c r="A116" s="23" t="s">
        <v>142</v>
      </c>
      <c r="B116" s="24" t="s">
        <v>29</v>
      </c>
      <c r="C116" s="53"/>
      <c r="D116" s="43"/>
      <c r="E116" s="25"/>
      <c r="F116" s="26">
        <f>SUM(F108:F115)</f>
        <v>10677.3</v>
      </c>
      <c r="G116" s="26">
        <f>SUM(G108:G115)</f>
        <v>24688.475999999999</v>
      </c>
      <c r="H116" s="21">
        <f t="shared" si="1"/>
        <v>231.22396111376472</v>
      </c>
    </row>
    <row r="117" spans="1:8" ht="96.6" x14ac:dyDescent="0.25">
      <c r="A117" s="69" t="s">
        <v>152</v>
      </c>
      <c r="B117" s="71" t="s">
        <v>153</v>
      </c>
      <c r="C117" s="52" t="s">
        <v>150</v>
      </c>
      <c r="D117" s="46" t="s">
        <v>21</v>
      </c>
      <c r="E117" s="28" t="s">
        <v>154</v>
      </c>
      <c r="F117" s="20">
        <v>300</v>
      </c>
      <c r="G117" s="20">
        <v>186.964</v>
      </c>
      <c r="H117" s="21">
        <f t="shared" si="1"/>
        <v>62.321333333333328</v>
      </c>
    </row>
    <row r="118" spans="1:8" ht="55.2" x14ac:dyDescent="0.25">
      <c r="A118" s="69"/>
      <c r="B118" s="73"/>
      <c r="C118" s="52" t="s">
        <v>32</v>
      </c>
      <c r="D118" s="46" t="s">
        <v>21</v>
      </c>
      <c r="E118" s="28" t="s">
        <v>33</v>
      </c>
      <c r="F118" s="20">
        <v>29650</v>
      </c>
      <c r="G118" s="20">
        <v>27439.891</v>
      </c>
      <c r="H118" s="21">
        <f t="shared" si="1"/>
        <v>92.546006745362561</v>
      </c>
    </row>
    <row r="119" spans="1:8" x14ac:dyDescent="0.25">
      <c r="A119" s="23" t="s">
        <v>152</v>
      </c>
      <c r="B119" s="24" t="s">
        <v>29</v>
      </c>
      <c r="C119" s="53"/>
      <c r="D119" s="43"/>
      <c r="E119" s="25"/>
      <c r="F119" s="26">
        <f>SUM(F117:F118)</f>
        <v>29950</v>
      </c>
      <c r="G119" s="26">
        <f>SUM(G117:G118)</f>
        <v>27626.855</v>
      </c>
      <c r="H119" s="21">
        <f t="shared" si="1"/>
        <v>92.243255425709521</v>
      </c>
    </row>
    <row r="120" spans="1:8" ht="110.4" x14ac:dyDescent="0.25">
      <c r="A120" s="69" t="s">
        <v>155</v>
      </c>
      <c r="B120" s="71" t="s">
        <v>156</v>
      </c>
      <c r="C120" s="52" t="s">
        <v>157</v>
      </c>
      <c r="D120" s="46" t="s">
        <v>39</v>
      </c>
      <c r="E120" s="28" t="s">
        <v>158</v>
      </c>
      <c r="F120" s="20">
        <v>468</v>
      </c>
      <c r="G120" s="20">
        <v>493.6</v>
      </c>
      <c r="H120" s="21">
        <f t="shared" si="1"/>
        <v>105.47008547008548</v>
      </c>
    </row>
    <row r="121" spans="1:8" ht="55.2" x14ac:dyDescent="0.25">
      <c r="A121" s="69"/>
      <c r="B121" s="73"/>
      <c r="C121" s="52" t="s">
        <v>159</v>
      </c>
      <c r="D121" s="46" t="s">
        <v>39</v>
      </c>
      <c r="E121" s="28" t="s">
        <v>160</v>
      </c>
      <c r="F121" s="20">
        <v>30</v>
      </c>
      <c r="G121" s="20">
        <v>51.6</v>
      </c>
      <c r="H121" s="21">
        <f t="shared" si="1"/>
        <v>172</v>
      </c>
    </row>
    <row r="122" spans="1:8" x14ac:dyDescent="0.25">
      <c r="A122" s="23" t="s">
        <v>155</v>
      </c>
      <c r="B122" s="24" t="s">
        <v>29</v>
      </c>
      <c r="C122" s="53"/>
      <c r="D122" s="43"/>
      <c r="E122" s="25"/>
      <c r="F122" s="26">
        <f>SUM(F120:F121)</f>
        <v>498</v>
      </c>
      <c r="G122" s="26">
        <f>SUM(G120:G121)</f>
        <v>545.20000000000005</v>
      </c>
      <c r="H122" s="21">
        <f t="shared" si="1"/>
        <v>109.47791164658636</v>
      </c>
    </row>
    <row r="123" spans="1:8" ht="27.6" x14ac:dyDescent="0.25">
      <c r="A123" s="69" t="s">
        <v>161</v>
      </c>
      <c r="B123" s="70" t="s">
        <v>162</v>
      </c>
      <c r="C123" s="52" t="s">
        <v>27</v>
      </c>
      <c r="D123" s="46" t="s">
        <v>21</v>
      </c>
      <c r="E123" s="28" t="s">
        <v>28</v>
      </c>
      <c r="F123" s="20">
        <v>678</v>
      </c>
      <c r="G123" s="20">
        <v>612.91700000000003</v>
      </c>
      <c r="H123" s="21">
        <f t="shared" si="1"/>
        <v>90.400737463126845</v>
      </c>
    </row>
    <row r="124" spans="1:8" ht="96.6" x14ac:dyDescent="0.25">
      <c r="A124" s="69"/>
      <c r="B124" s="70"/>
      <c r="C124" s="52" t="s">
        <v>150</v>
      </c>
      <c r="D124" s="46" t="s">
        <v>21</v>
      </c>
      <c r="E124" s="28" t="s">
        <v>151</v>
      </c>
      <c r="F124" s="20">
        <v>0</v>
      </c>
      <c r="G124" s="20">
        <v>80.105999999999995</v>
      </c>
      <c r="H124" s="21"/>
    </row>
    <row r="125" spans="1:8" ht="55.2" x14ac:dyDescent="0.25">
      <c r="A125" s="69"/>
      <c r="B125" s="70"/>
      <c r="C125" s="52" t="s">
        <v>32</v>
      </c>
      <c r="D125" s="46" t="s">
        <v>21</v>
      </c>
      <c r="E125" s="28" t="s">
        <v>33</v>
      </c>
      <c r="F125" s="20">
        <v>154</v>
      </c>
      <c r="G125" s="20">
        <v>207.32499999999999</v>
      </c>
      <c r="H125" s="21">
        <f t="shared" si="1"/>
        <v>134.62662337662337</v>
      </c>
    </row>
    <row r="126" spans="1:8" x14ac:dyDescent="0.25">
      <c r="A126" s="23" t="s">
        <v>161</v>
      </c>
      <c r="B126" s="24" t="s">
        <v>29</v>
      </c>
      <c r="C126" s="53"/>
      <c r="D126" s="43"/>
      <c r="E126" s="25"/>
      <c r="F126" s="26">
        <f>SUM(F123:F125)</f>
        <v>832</v>
      </c>
      <c r="G126" s="26">
        <f>SUM(G123:G125)</f>
        <v>900.34799999999996</v>
      </c>
      <c r="H126" s="21">
        <f t="shared" si="1"/>
        <v>108.21490384615385</v>
      </c>
    </row>
    <row r="127" spans="1:8" ht="82.8" x14ac:dyDescent="0.25">
      <c r="A127" s="15" t="s">
        <v>163</v>
      </c>
      <c r="B127" s="28" t="s">
        <v>164</v>
      </c>
      <c r="C127" s="52" t="s">
        <v>144</v>
      </c>
      <c r="D127" s="46" t="s">
        <v>21</v>
      </c>
      <c r="E127" s="28" t="s">
        <v>145</v>
      </c>
      <c r="F127" s="20">
        <v>127.2</v>
      </c>
      <c r="G127" s="20">
        <v>556.87400000000002</v>
      </c>
      <c r="H127" s="21">
        <f t="shared" si="1"/>
        <v>437.79402515723274</v>
      </c>
    </row>
    <row r="128" spans="1:8" x14ac:dyDescent="0.25">
      <c r="A128" s="23" t="s">
        <v>163</v>
      </c>
      <c r="B128" s="24" t="s">
        <v>29</v>
      </c>
      <c r="C128" s="53"/>
      <c r="D128" s="43"/>
      <c r="E128" s="25"/>
      <c r="F128" s="26">
        <f>SUM(F127)</f>
        <v>127.2</v>
      </c>
      <c r="G128" s="26">
        <f>SUM(G127)</f>
        <v>556.87400000000002</v>
      </c>
      <c r="H128" s="21">
        <f t="shared" si="1"/>
        <v>437.79402515723274</v>
      </c>
    </row>
    <row r="129" spans="1:8" ht="82.8" x14ac:dyDescent="0.25">
      <c r="A129" s="15" t="s">
        <v>165</v>
      </c>
      <c r="B129" s="28" t="s">
        <v>166</v>
      </c>
      <c r="C129" s="52" t="s">
        <v>49</v>
      </c>
      <c r="D129" s="46" t="s">
        <v>21</v>
      </c>
      <c r="E129" s="28" t="s">
        <v>50</v>
      </c>
      <c r="F129" s="20">
        <v>250</v>
      </c>
      <c r="G129" s="20">
        <v>255.1</v>
      </c>
      <c r="H129" s="21">
        <f t="shared" si="1"/>
        <v>102.03999999999999</v>
      </c>
    </row>
    <row r="130" spans="1:8" x14ac:dyDescent="0.25">
      <c r="A130" s="23" t="s">
        <v>165</v>
      </c>
      <c r="B130" s="24" t="s">
        <v>29</v>
      </c>
      <c r="C130" s="53"/>
      <c r="D130" s="43"/>
      <c r="E130" s="25"/>
      <c r="F130" s="26">
        <f>SUM(F129)</f>
        <v>250</v>
      </c>
      <c r="G130" s="26">
        <f>SUM(G129)</f>
        <v>255.1</v>
      </c>
      <c r="H130" s="21">
        <f t="shared" si="1"/>
        <v>102.03999999999999</v>
      </c>
    </row>
    <row r="131" spans="1:8" ht="55.2" x14ac:dyDescent="0.25">
      <c r="A131" s="66" t="s">
        <v>167</v>
      </c>
      <c r="B131" s="71" t="s">
        <v>168</v>
      </c>
      <c r="C131" s="52" t="s">
        <v>388</v>
      </c>
      <c r="D131" s="46" t="s">
        <v>21</v>
      </c>
      <c r="E131" s="28" t="s">
        <v>387</v>
      </c>
      <c r="F131" s="20">
        <v>0</v>
      </c>
      <c r="G131" s="20">
        <v>621.5</v>
      </c>
      <c r="H131" s="21"/>
    </row>
    <row r="132" spans="1:8" ht="55.2" x14ac:dyDescent="0.25">
      <c r="A132" s="67"/>
      <c r="B132" s="72"/>
      <c r="C132" s="52" t="s">
        <v>169</v>
      </c>
      <c r="D132" s="46" t="s">
        <v>21</v>
      </c>
      <c r="E132" s="28" t="s">
        <v>170</v>
      </c>
      <c r="F132" s="20">
        <f>1331+3237.2</f>
        <v>4568.2</v>
      </c>
      <c r="G132" s="20">
        <v>7957.4170000000004</v>
      </c>
      <c r="H132" s="21">
        <f t="shared" si="1"/>
        <v>174.19151963574276</v>
      </c>
    </row>
    <row r="133" spans="1:8" ht="55.2" x14ac:dyDescent="0.25">
      <c r="A133" s="68"/>
      <c r="B133" s="73"/>
      <c r="C133" s="52" t="s">
        <v>32</v>
      </c>
      <c r="D133" s="46" t="s">
        <v>21</v>
      </c>
      <c r="E133" s="28" t="s">
        <v>33</v>
      </c>
      <c r="F133" s="20">
        <v>11070</v>
      </c>
      <c r="G133" s="20">
        <v>2042.8</v>
      </c>
      <c r="H133" s="21">
        <f t="shared" si="1"/>
        <v>18.453477868112014</v>
      </c>
    </row>
    <row r="134" spans="1:8" x14ac:dyDescent="0.25">
      <c r="A134" s="23" t="s">
        <v>167</v>
      </c>
      <c r="B134" s="24" t="s">
        <v>29</v>
      </c>
      <c r="C134" s="53"/>
      <c r="D134" s="43"/>
      <c r="E134" s="25"/>
      <c r="F134" s="26">
        <f>SUM(F131:F133)</f>
        <v>15638.2</v>
      </c>
      <c r="G134" s="26">
        <f>SUM(G131:G133)</f>
        <v>10621.717000000001</v>
      </c>
      <c r="H134" s="21">
        <f t="shared" si="1"/>
        <v>67.921608625033571</v>
      </c>
    </row>
    <row r="135" spans="1:8" ht="55.2" x14ac:dyDescent="0.25">
      <c r="A135" s="15" t="s">
        <v>171</v>
      </c>
      <c r="B135" s="27" t="s">
        <v>172</v>
      </c>
      <c r="C135" s="52" t="s">
        <v>32</v>
      </c>
      <c r="D135" s="46" t="s">
        <v>21</v>
      </c>
      <c r="E135" s="28" t="s">
        <v>33</v>
      </c>
      <c r="F135" s="20">
        <f>2000+1589+317.577</f>
        <v>3906.5770000000002</v>
      </c>
      <c r="G135" s="20">
        <v>9039.9789999999994</v>
      </c>
      <c r="H135" s="21">
        <f t="shared" si="1"/>
        <v>231.40409110072574</v>
      </c>
    </row>
    <row r="136" spans="1:8" x14ac:dyDescent="0.25">
      <c r="A136" s="23" t="s">
        <v>171</v>
      </c>
      <c r="B136" s="24" t="s">
        <v>29</v>
      </c>
      <c r="C136" s="53"/>
      <c r="D136" s="43"/>
      <c r="E136" s="25"/>
      <c r="F136" s="26">
        <f>SUM(F135)</f>
        <v>3906.5770000000002</v>
      </c>
      <c r="G136" s="26">
        <f>SUM(G135)</f>
        <v>9039.9789999999994</v>
      </c>
      <c r="H136" s="21">
        <f t="shared" si="1"/>
        <v>231.40409110072574</v>
      </c>
    </row>
    <row r="137" spans="1:8" ht="55.2" x14ac:dyDescent="0.25">
      <c r="A137" s="15" t="s">
        <v>421</v>
      </c>
      <c r="B137" s="28" t="s">
        <v>422</v>
      </c>
      <c r="C137" s="52" t="s">
        <v>32</v>
      </c>
      <c r="D137" s="46" t="s">
        <v>21</v>
      </c>
      <c r="E137" s="28" t="s">
        <v>33</v>
      </c>
      <c r="F137" s="20"/>
      <c r="G137" s="20">
        <v>28.311</v>
      </c>
      <c r="H137" s="21"/>
    </row>
    <row r="138" spans="1:8" x14ac:dyDescent="0.25">
      <c r="A138" s="15" t="s">
        <v>421</v>
      </c>
      <c r="B138" s="24" t="s">
        <v>29</v>
      </c>
      <c r="C138" s="53"/>
      <c r="D138" s="43"/>
      <c r="E138" s="25"/>
      <c r="F138" s="26">
        <f>SUM(F137)</f>
        <v>0</v>
      </c>
      <c r="G138" s="26">
        <f>SUM(G137)</f>
        <v>28.311</v>
      </c>
      <c r="H138" s="21"/>
    </row>
    <row r="139" spans="1:8" ht="58.8" customHeight="1" x14ac:dyDescent="0.25">
      <c r="A139" s="15" t="s">
        <v>173</v>
      </c>
      <c r="B139" s="27" t="s">
        <v>174</v>
      </c>
      <c r="C139" s="52" t="s">
        <v>32</v>
      </c>
      <c r="D139" s="46" t="s">
        <v>21</v>
      </c>
      <c r="E139" s="28" t="s">
        <v>33</v>
      </c>
      <c r="F139" s="20">
        <f>20+227.9</f>
        <v>247.9</v>
      </c>
      <c r="G139" s="20">
        <v>340.8</v>
      </c>
      <c r="H139" s="21">
        <f t="shared" si="1"/>
        <v>137.47478822105688</v>
      </c>
    </row>
    <row r="140" spans="1:8" x14ac:dyDescent="0.25">
      <c r="A140" s="23" t="s">
        <v>173</v>
      </c>
      <c r="B140" s="24" t="s">
        <v>29</v>
      </c>
      <c r="C140" s="53"/>
      <c r="D140" s="43"/>
      <c r="E140" s="25"/>
      <c r="F140" s="26">
        <f>SUM(F139)</f>
        <v>247.9</v>
      </c>
      <c r="G140" s="26">
        <f>SUM(G139)</f>
        <v>340.8</v>
      </c>
      <c r="H140" s="21">
        <f t="shared" si="1"/>
        <v>137.47478822105688</v>
      </c>
    </row>
    <row r="141" spans="1:8" ht="55.2" x14ac:dyDescent="0.25">
      <c r="A141" s="15" t="s">
        <v>175</v>
      </c>
      <c r="B141" s="27" t="s">
        <v>176</v>
      </c>
      <c r="C141" s="52" t="s">
        <v>32</v>
      </c>
      <c r="D141" s="46" t="s">
        <v>21</v>
      </c>
      <c r="E141" s="28" t="s">
        <v>33</v>
      </c>
      <c r="F141" s="20">
        <v>0</v>
      </c>
      <c r="G141" s="20">
        <v>0</v>
      </c>
      <c r="H141" s="21"/>
    </row>
    <row r="142" spans="1:8" x14ac:dyDescent="0.25">
      <c r="A142" s="23" t="s">
        <v>175</v>
      </c>
      <c r="B142" s="24" t="s">
        <v>29</v>
      </c>
      <c r="C142" s="53"/>
      <c r="D142" s="43"/>
      <c r="E142" s="25"/>
      <c r="F142" s="26">
        <f>SUM(F141)</f>
        <v>0</v>
      </c>
      <c r="G142" s="26">
        <f>SUM(G141)</f>
        <v>0</v>
      </c>
      <c r="H142" s="21"/>
    </row>
    <row r="143" spans="1:8" ht="57.6" customHeight="1" x14ac:dyDescent="0.25">
      <c r="A143" s="15" t="s">
        <v>177</v>
      </c>
      <c r="B143" s="27" t="s">
        <v>178</v>
      </c>
      <c r="C143" s="52" t="s">
        <v>32</v>
      </c>
      <c r="D143" s="46" t="s">
        <v>21</v>
      </c>
      <c r="E143" s="28" t="s">
        <v>33</v>
      </c>
      <c r="F143" s="20">
        <f>9300+3084.1</f>
        <v>12384.1</v>
      </c>
      <c r="G143" s="20">
        <v>12415.923000000001</v>
      </c>
      <c r="H143" s="21">
        <f t="shared" si="1"/>
        <v>100.256966594262</v>
      </c>
    </row>
    <row r="144" spans="1:8" x14ac:dyDescent="0.25">
      <c r="A144" s="23" t="s">
        <v>177</v>
      </c>
      <c r="B144" s="24" t="s">
        <v>29</v>
      </c>
      <c r="C144" s="53"/>
      <c r="D144" s="43"/>
      <c r="E144" s="25"/>
      <c r="F144" s="26">
        <f>SUM(F143)</f>
        <v>12384.1</v>
      </c>
      <c r="G144" s="26">
        <f>SUM(G143)</f>
        <v>12415.923000000001</v>
      </c>
      <c r="H144" s="21">
        <f t="shared" si="1"/>
        <v>100.256966594262</v>
      </c>
    </row>
    <row r="145" spans="1:8" ht="59.4" customHeight="1" x14ac:dyDescent="0.25">
      <c r="A145" s="15" t="s">
        <v>405</v>
      </c>
      <c r="B145" s="27" t="s">
        <v>406</v>
      </c>
      <c r="C145" s="52" t="s">
        <v>32</v>
      </c>
      <c r="D145" s="46" t="s">
        <v>21</v>
      </c>
      <c r="E145" s="28" t="s">
        <v>33</v>
      </c>
      <c r="F145" s="20">
        <v>0</v>
      </c>
      <c r="G145" s="20">
        <v>191.36500000000001</v>
      </c>
      <c r="H145" s="21"/>
    </row>
    <row r="146" spans="1:8" x14ac:dyDescent="0.25">
      <c r="A146" s="23" t="s">
        <v>405</v>
      </c>
      <c r="B146" s="24" t="s">
        <v>29</v>
      </c>
      <c r="C146" s="53"/>
      <c r="D146" s="43"/>
      <c r="E146" s="25"/>
      <c r="F146" s="26">
        <f>SUM(F145)</f>
        <v>0</v>
      </c>
      <c r="G146" s="26">
        <f>SUM(G145)</f>
        <v>191.36500000000001</v>
      </c>
      <c r="H146" s="21"/>
    </row>
    <row r="147" spans="1:8" ht="27.6" x14ac:dyDescent="0.25">
      <c r="A147" s="69" t="s">
        <v>179</v>
      </c>
      <c r="B147" s="70" t="s">
        <v>180</v>
      </c>
      <c r="C147" s="52" t="s">
        <v>80</v>
      </c>
      <c r="D147" s="46" t="s">
        <v>76</v>
      </c>
      <c r="E147" s="28" t="s">
        <v>81</v>
      </c>
      <c r="F147" s="20">
        <f>9089.5-5210.3</f>
        <v>3879.2</v>
      </c>
      <c r="G147" s="20">
        <v>4185.424</v>
      </c>
      <c r="H147" s="21">
        <f t="shared" si="1"/>
        <v>107.89399876263148</v>
      </c>
    </row>
    <row r="148" spans="1:8" ht="96.6" x14ac:dyDescent="0.25">
      <c r="A148" s="69"/>
      <c r="B148" s="70"/>
      <c r="C148" s="52" t="s">
        <v>95</v>
      </c>
      <c r="D148" s="46" t="s">
        <v>21</v>
      </c>
      <c r="E148" s="28" t="s">
        <v>96</v>
      </c>
      <c r="F148" s="20">
        <v>0</v>
      </c>
      <c r="G148" s="20">
        <v>0</v>
      </c>
      <c r="H148" s="21"/>
    </row>
    <row r="149" spans="1:8" ht="69" x14ac:dyDescent="0.25">
      <c r="A149" s="69"/>
      <c r="B149" s="70"/>
      <c r="C149" s="52" t="s">
        <v>97</v>
      </c>
      <c r="D149" s="46" t="s">
        <v>21</v>
      </c>
      <c r="E149" s="28" t="s">
        <v>98</v>
      </c>
      <c r="F149" s="20">
        <v>0</v>
      </c>
      <c r="G149" s="20">
        <v>0</v>
      </c>
      <c r="H149" s="21"/>
    </row>
    <row r="150" spans="1:8" ht="55.2" x14ac:dyDescent="0.25">
      <c r="A150" s="69"/>
      <c r="B150" s="70"/>
      <c r="C150" s="52" t="s">
        <v>32</v>
      </c>
      <c r="D150" s="46" t="s">
        <v>21</v>
      </c>
      <c r="E150" s="28" t="s">
        <v>33</v>
      </c>
      <c r="F150" s="20">
        <v>0</v>
      </c>
      <c r="G150" s="20">
        <v>3</v>
      </c>
      <c r="H150" s="21"/>
    </row>
    <row r="151" spans="1:8" ht="41.4" x14ac:dyDescent="0.25">
      <c r="A151" s="69"/>
      <c r="B151" s="70"/>
      <c r="C151" s="52" t="s">
        <v>99</v>
      </c>
      <c r="D151" s="46" t="s">
        <v>100</v>
      </c>
      <c r="E151" s="28" t="s">
        <v>101</v>
      </c>
      <c r="F151" s="20">
        <v>0</v>
      </c>
      <c r="G151" s="20">
        <v>4.3650000000000002</v>
      </c>
      <c r="H151" s="21"/>
    </row>
    <row r="152" spans="1:8" ht="27.6" x14ac:dyDescent="0.25">
      <c r="A152" s="66"/>
      <c r="B152" s="71"/>
      <c r="C152" s="56" t="s">
        <v>102</v>
      </c>
      <c r="D152" s="47" t="s">
        <v>100</v>
      </c>
      <c r="E152" s="30" t="s">
        <v>103</v>
      </c>
      <c r="F152" s="20">
        <v>0</v>
      </c>
      <c r="G152" s="20">
        <v>0</v>
      </c>
      <c r="H152" s="21"/>
    </row>
    <row r="153" spans="1:8" ht="41.4" x14ac:dyDescent="0.25">
      <c r="A153" s="69"/>
      <c r="B153" s="70"/>
      <c r="C153" s="52" t="s">
        <v>181</v>
      </c>
      <c r="D153" s="46" t="s">
        <v>182</v>
      </c>
      <c r="E153" s="28" t="s">
        <v>183</v>
      </c>
      <c r="F153" s="20">
        <f>212936.8+418.9</f>
        <v>213355.69999999998</v>
      </c>
      <c r="G153" s="20">
        <v>213355.7</v>
      </c>
      <c r="H153" s="21">
        <f t="shared" si="1"/>
        <v>100.00000000000003</v>
      </c>
    </row>
    <row r="154" spans="1:8" ht="27.6" x14ac:dyDescent="0.25">
      <c r="A154" s="68"/>
      <c r="B154" s="73"/>
      <c r="C154" s="52" t="s">
        <v>184</v>
      </c>
      <c r="D154" s="46" t="s">
        <v>182</v>
      </c>
      <c r="E154" s="31" t="s">
        <v>185</v>
      </c>
      <c r="F154" s="20">
        <v>0</v>
      </c>
      <c r="G154" s="20">
        <v>0</v>
      </c>
      <c r="H154" s="21"/>
    </row>
    <row r="155" spans="1:8" x14ac:dyDescent="0.25">
      <c r="A155" s="23" t="s">
        <v>179</v>
      </c>
      <c r="B155" s="24" t="s">
        <v>29</v>
      </c>
      <c r="C155" s="53"/>
      <c r="D155" s="43"/>
      <c r="E155" s="25"/>
      <c r="F155" s="26">
        <f>SUM(F147:F154)</f>
        <v>217234.9</v>
      </c>
      <c r="G155" s="26">
        <f>SUM(G147:G154)</f>
        <v>217548.489</v>
      </c>
      <c r="H155" s="21">
        <f t="shared" si="1"/>
        <v>100.14435479750261</v>
      </c>
    </row>
    <row r="156" spans="1:8" ht="41.4" x14ac:dyDescent="0.25">
      <c r="A156" s="69" t="s">
        <v>186</v>
      </c>
      <c r="B156" s="70" t="s">
        <v>187</v>
      </c>
      <c r="C156" s="52" t="s">
        <v>75</v>
      </c>
      <c r="D156" s="46" t="s">
        <v>76</v>
      </c>
      <c r="E156" s="28" t="s">
        <v>77</v>
      </c>
      <c r="F156" s="20">
        <v>180</v>
      </c>
      <c r="G156" s="20">
        <v>317.97000000000003</v>
      </c>
      <c r="H156" s="21">
        <f t="shared" si="1"/>
        <v>176.65</v>
      </c>
    </row>
    <row r="157" spans="1:8" ht="55.2" x14ac:dyDescent="0.25">
      <c r="A157" s="69"/>
      <c r="B157" s="70"/>
      <c r="C157" s="52" t="s">
        <v>78</v>
      </c>
      <c r="D157" s="46" t="s">
        <v>76</v>
      </c>
      <c r="E157" s="28" t="s">
        <v>79</v>
      </c>
      <c r="F157" s="20">
        <v>0</v>
      </c>
      <c r="G157" s="20">
        <v>0</v>
      </c>
      <c r="H157" s="21"/>
    </row>
    <row r="158" spans="1:8" ht="27.6" x14ac:dyDescent="0.25">
      <c r="A158" s="69"/>
      <c r="B158" s="70"/>
      <c r="C158" s="52" t="s">
        <v>80</v>
      </c>
      <c r="D158" s="46" t="s">
        <v>76</v>
      </c>
      <c r="E158" s="28" t="s">
        <v>81</v>
      </c>
      <c r="F158" s="20">
        <v>0</v>
      </c>
      <c r="G158" s="20">
        <v>88.152000000000001</v>
      </c>
      <c r="H158" s="21"/>
    </row>
    <row r="159" spans="1:8" ht="96.6" x14ac:dyDescent="0.25">
      <c r="A159" s="69"/>
      <c r="B159" s="70"/>
      <c r="C159" s="52" t="s">
        <v>95</v>
      </c>
      <c r="D159" s="46" t="s">
        <v>21</v>
      </c>
      <c r="E159" s="28" t="s">
        <v>96</v>
      </c>
      <c r="F159" s="20">
        <v>0</v>
      </c>
      <c r="G159" s="20">
        <v>0</v>
      </c>
      <c r="H159" s="21"/>
    </row>
    <row r="160" spans="1:8" ht="69" x14ac:dyDescent="0.25">
      <c r="A160" s="69"/>
      <c r="B160" s="70"/>
      <c r="C160" s="52" t="s">
        <v>97</v>
      </c>
      <c r="D160" s="46" t="s">
        <v>21</v>
      </c>
      <c r="E160" s="28" t="s">
        <v>98</v>
      </c>
      <c r="F160" s="20">
        <v>0</v>
      </c>
      <c r="G160" s="20">
        <v>0</v>
      </c>
      <c r="H160" s="21"/>
    </row>
    <row r="161" spans="1:8" ht="55.2" x14ac:dyDescent="0.25">
      <c r="A161" s="69"/>
      <c r="B161" s="70"/>
      <c r="C161" s="52" t="s">
        <v>32</v>
      </c>
      <c r="D161" s="46" t="s">
        <v>21</v>
      </c>
      <c r="E161" s="28" t="s">
        <v>33</v>
      </c>
      <c r="F161" s="20">
        <v>0</v>
      </c>
      <c r="G161" s="20">
        <v>131.476</v>
      </c>
      <c r="H161" s="21"/>
    </row>
    <row r="162" spans="1:8" ht="41.4" x14ac:dyDescent="0.25">
      <c r="A162" s="69"/>
      <c r="B162" s="70"/>
      <c r="C162" s="52" t="s">
        <v>99</v>
      </c>
      <c r="D162" s="46" t="s">
        <v>100</v>
      </c>
      <c r="E162" s="28" t="s">
        <v>101</v>
      </c>
      <c r="F162" s="20">
        <v>0</v>
      </c>
      <c r="G162" s="20">
        <v>0</v>
      </c>
      <c r="H162" s="21"/>
    </row>
    <row r="163" spans="1:8" ht="27.6" x14ac:dyDescent="0.25">
      <c r="A163" s="69"/>
      <c r="B163" s="70"/>
      <c r="C163" s="52" t="s">
        <v>102</v>
      </c>
      <c r="D163" s="46" t="s">
        <v>100</v>
      </c>
      <c r="E163" s="28" t="s">
        <v>103</v>
      </c>
      <c r="F163" s="20">
        <v>0</v>
      </c>
      <c r="G163" s="20">
        <v>0</v>
      </c>
      <c r="H163" s="21"/>
    </row>
    <row r="164" spans="1:8" ht="41.4" x14ac:dyDescent="0.25">
      <c r="A164" s="69"/>
      <c r="B164" s="70"/>
      <c r="C164" s="52" t="s">
        <v>188</v>
      </c>
      <c r="D164" s="46" t="s">
        <v>182</v>
      </c>
      <c r="E164" s="28" t="s">
        <v>189</v>
      </c>
      <c r="F164" s="20">
        <v>0</v>
      </c>
      <c r="G164" s="20">
        <v>0</v>
      </c>
      <c r="H164" s="21"/>
    </row>
    <row r="165" spans="1:8" ht="41.4" x14ac:dyDescent="0.25">
      <c r="A165" s="69"/>
      <c r="B165" s="70"/>
      <c r="C165" s="52" t="s">
        <v>190</v>
      </c>
      <c r="D165" s="46" t="s">
        <v>100</v>
      </c>
      <c r="E165" s="28" t="s">
        <v>191</v>
      </c>
      <c r="F165" s="20">
        <v>13158.117</v>
      </c>
      <c r="G165" s="20">
        <v>13158.117</v>
      </c>
      <c r="H165" s="21">
        <f t="shared" si="1"/>
        <v>100</v>
      </c>
    </row>
    <row r="166" spans="1:8" ht="41.4" x14ac:dyDescent="0.25">
      <c r="A166" s="69"/>
      <c r="B166" s="70"/>
      <c r="C166" s="52" t="s">
        <v>192</v>
      </c>
      <c r="D166" s="46" t="s">
        <v>100</v>
      </c>
      <c r="E166" s="28" t="s">
        <v>193</v>
      </c>
      <c r="F166" s="20">
        <v>0</v>
      </c>
      <c r="G166" s="20">
        <v>0</v>
      </c>
      <c r="H166" s="21"/>
    </row>
    <row r="167" spans="1:8" ht="55.2" x14ac:dyDescent="0.25">
      <c r="A167" s="69"/>
      <c r="B167" s="70"/>
      <c r="C167" s="52" t="s">
        <v>194</v>
      </c>
      <c r="D167" s="46" t="s">
        <v>182</v>
      </c>
      <c r="E167" s="28" t="s">
        <v>195</v>
      </c>
      <c r="F167" s="20">
        <v>0</v>
      </c>
      <c r="G167" s="20">
        <v>-9438.9419999999991</v>
      </c>
      <c r="H167" s="21"/>
    </row>
    <row r="168" spans="1:8" x14ac:dyDescent="0.25">
      <c r="A168" s="23" t="s">
        <v>186</v>
      </c>
      <c r="B168" s="24" t="s">
        <v>29</v>
      </c>
      <c r="C168" s="53"/>
      <c r="D168" s="43"/>
      <c r="E168" s="25"/>
      <c r="F168" s="26">
        <f>SUM(F156:F167)</f>
        <v>13338.117</v>
      </c>
      <c r="G168" s="26">
        <f>SUM(G156:G167)</f>
        <v>4256.773000000001</v>
      </c>
      <c r="H168" s="21">
        <f t="shared" si="1"/>
        <v>31.914347430000809</v>
      </c>
    </row>
    <row r="169" spans="1:8" ht="27.6" x14ac:dyDescent="0.25">
      <c r="A169" s="74" t="s">
        <v>196</v>
      </c>
      <c r="B169" s="71" t="s">
        <v>197</v>
      </c>
      <c r="C169" s="52" t="s">
        <v>80</v>
      </c>
      <c r="D169" s="46" t="s">
        <v>76</v>
      </c>
      <c r="E169" s="28" t="s">
        <v>81</v>
      </c>
      <c r="F169" s="20">
        <v>0</v>
      </c>
      <c r="G169" s="20">
        <v>0</v>
      </c>
      <c r="H169" s="21"/>
    </row>
    <row r="170" spans="1:8" ht="55.2" x14ac:dyDescent="0.25">
      <c r="A170" s="75"/>
      <c r="B170" s="72"/>
      <c r="C170" s="52" t="s">
        <v>32</v>
      </c>
      <c r="D170" s="46" t="s">
        <v>21</v>
      </c>
      <c r="E170" s="28" t="s">
        <v>33</v>
      </c>
      <c r="F170" s="20">
        <v>0</v>
      </c>
      <c r="G170" s="20">
        <v>0</v>
      </c>
      <c r="H170" s="21"/>
    </row>
    <row r="171" spans="1:8" ht="41.4" x14ac:dyDescent="0.25">
      <c r="A171" s="75"/>
      <c r="B171" s="72"/>
      <c r="C171" s="52" t="s">
        <v>99</v>
      </c>
      <c r="D171" s="46" t="s">
        <v>100</v>
      </c>
      <c r="E171" s="28" t="s">
        <v>101</v>
      </c>
      <c r="F171" s="20">
        <v>0</v>
      </c>
      <c r="G171" s="20">
        <v>0</v>
      </c>
      <c r="H171" s="21"/>
    </row>
    <row r="172" spans="1:8" ht="41.4" x14ac:dyDescent="0.25">
      <c r="A172" s="75"/>
      <c r="B172" s="72"/>
      <c r="C172" s="52" t="s">
        <v>198</v>
      </c>
      <c r="D172" s="46" t="s">
        <v>182</v>
      </c>
      <c r="E172" s="28" t="s">
        <v>199</v>
      </c>
      <c r="F172" s="20">
        <v>28840.1</v>
      </c>
      <c r="G172" s="20">
        <v>28840.1</v>
      </c>
      <c r="H172" s="21">
        <f t="shared" ref="H172:H232" si="2">G172/F172*100</f>
        <v>100</v>
      </c>
    </row>
    <row r="173" spans="1:8" ht="27.6" x14ac:dyDescent="0.25">
      <c r="A173" s="75"/>
      <c r="B173" s="72"/>
      <c r="C173" s="52" t="s">
        <v>104</v>
      </c>
      <c r="D173" s="46" t="s">
        <v>100</v>
      </c>
      <c r="E173" s="28" t="s">
        <v>105</v>
      </c>
      <c r="F173" s="20">
        <v>0</v>
      </c>
      <c r="G173" s="20">
        <v>0</v>
      </c>
      <c r="H173" s="21"/>
    </row>
    <row r="174" spans="1:8" ht="55.2" x14ac:dyDescent="0.25">
      <c r="A174" s="76"/>
      <c r="B174" s="73"/>
      <c r="C174" s="52" t="s">
        <v>194</v>
      </c>
      <c r="D174" s="46" t="s">
        <v>182</v>
      </c>
      <c r="E174" s="28" t="s">
        <v>195</v>
      </c>
      <c r="F174" s="20">
        <v>0</v>
      </c>
      <c r="G174" s="20">
        <v>-110.40600000000001</v>
      </c>
      <c r="H174" s="21"/>
    </row>
    <row r="175" spans="1:8" x14ac:dyDescent="0.25">
      <c r="A175" s="23" t="s">
        <v>196</v>
      </c>
      <c r="B175" s="24" t="s">
        <v>29</v>
      </c>
      <c r="C175" s="53"/>
      <c r="D175" s="43"/>
      <c r="E175" s="25"/>
      <c r="F175" s="20">
        <f>SUM(F169:F174)</f>
        <v>28840.1</v>
      </c>
      <c r="G175" s="20">
        <f>SUM(G169:G174)</f>
        <v>28729.694</v>
      </c>
      <c r="H175" s="21">
        <f t="shared" si="2"/>
        <v>99.617178858603125</v>
      </c>
    </row>
    <row r="176" spans="1:8" ht="96.6" x14ac:dyDescent="0.25">
      <c r="A176" s="66" t="s">
        <v>200</v>
      </c>
      <c r="B176" s="71" t="s">
        <v>201</v>
      </c>
      <c r="C176" s="52" t="s">
        <v>65</v>
      </c>
      <c r="D176" s="46" t="s">
        <v>8</v>
      </c>
      <c r="E176" s="28" t="s">
        <v>66</v>
      </c>
      <c r="F176" s="20">
        <v>0</v>
      </c>
      <c r="G176" s="20">
        <v>122.43</v>
      </c>
      <c r="H176" s="21"/>
    </row>
    <row r="177" spans="1:8" ht="41.4" x14ac:dyDescent="0.25">
      <c r="A177" s="67"/>
      <c r="B177" s="72"/>
      <c r="C177" s="52" t="s">
        <v>75</v>
      </c>
      <c r="D177" s="46" t="s">
        <v>76</v>
      </c>
      <c r="E177" s="28" t="s">
        <v>77</v>
      </c>
      <c r="F177" s="20">
        <v>0</v>
      </c>
      <c r="G177" s="20">
        <v>0</v>
      </c>
      <c r="H177" s="21"/>
    </row>
    <row r="178" spans="1:8" ht="55.2" x14ac:dyDescent="0.25">
      <c r="A178" s="67"/>
      <c r="B178" s="72"/>
      <c r="C178" s="52" t="s">
        <v>78</v>
      </c>
      <c r="D178" s="46" t="s">
        <v>76</v>
      </c>
      <c r="E178" s="28" t="s">
        <v>79</v>
      </c>
      <c r="F178" s="20">
        <v>0</v>
      </c>
      <c r="G178" s="20">
        <v>0</v>
      </c>
      <c r="H178" s="21"/>
    </row>
    <row r="179" spans="1:8" ht="27.6" x14ac:dyDescent="0.25">
      <c r="A179" s="67"/>
      <c r="B179" s="72"/>
      <c r="C179" s="52" t="s">
        <v>80</v>
      </c>
      <c r="D179" s="46" t="s">
        <v>76</v>
      </c>
      <c r="E179" s="28" t="s">
        <v>81</v>
      </c>
      <c r="F179" s="20">
        <v>0</v>
      </c>
      <c r="G179" s="20">
        <v>173.893</v>
      </c>
      <c r="H179" s="21"/>
    </row>
    <row r="180" spans="1:8" ht="96.6" x14ac:dyDescent="0.25">
      <c r="A180" s="67"/>
      <c r="B180" s="72"/>
      <c r="C180" s="52" t="s">
        <v>95</v>
      </c>
      <c r="D180" s="46" t="s">
        <v>21</v>
      </c>
      <c r="E180" s="28" t="s">
        <v>96</v>
      </c>
      <c r="F180" s="20">
        <v>0</v>
      </c>
      <c r="G180" s="20">
        <v>0</v>
      </c>
      <c r="H180" s="21"/>
    </row>
    <row r="181" spans="1:8" ht="69" x14ac:dyDescent="0.25">
      <c r="A181" s="67"/>
      <c r="B181" s="72"/>
      <c r="C181" s="52" t="s">
        <v>97</v>
      </c>
      <c r="D181" s="46" t="s">
        <v>21</v>
      </c>
      <c r="E181" s="28" t="s">
        <v>98</v>
      </c>
      <c r="F181" s="20">
        <v>0</v>
      </c>
      <c r="G181" s="20">
        <v>0</v>
      </c>
      <c r="H181" s="21"/>
    </row>
    <row r="182" spans="1:8" ht="82.8" x14ac:dyDescent="0.25">
      <c r="A182" s="67"/>
      <c r="B182" s="72"/>
      <c r="C182" s="52" t="s">
        <v>390</v>
      </c>
      <c r="D182" s="46" t="s">
        <v>21</v>
      </c>
      <c r="E182" s="28" t="s">
        <v>391</v>
      </c>
      <c r="F182" s="20">
        <v>0</v>
      </c>
      <c r="G182" s="20">
        <v>899.41700000000003</v>
      </c>
      <c r="H182" s="21"/>
    </row>
    <row r="183" spans="1:8" ht="55.2" x14ac:dyDescent="0.25">
      <c r="A183" s="67"/>
      <c r="B183" s="72"/>
      <c r="C183" s="52" t="s">
        <v>32</v>
      </c>
      <c r="D183" s="46" t="s">
        <v>21</v>
      </c>
      <c r="E183" s="28" t="s">
        <v>33</v>
      </c>
      <c r="F183" s="20">
        <v>0</v>
      </c>
      <c r="G183" s="20">
        <v>31.408000000000001</v>
      </c>
      <c r="H183" s="21"/>
    </row>
    <row r="184" spans="1:8" ht="41.4" x14ac:dyDescent="0.25">
      <c r="A184" s="67"/>
      <c r="B184" s="72"/>
      <c r="C184" s="52" t="s">
        <v>99</v>
      </c>
      <c r="D184" s="46" t="s">
        <v>100</v>
      </c>
      <c r="E184" s="28" t="s">
        <v>101</v>
      </c>
      <c r="F184" s="20">
        <v>0</v>
      </c>
      <c r="G184" s="20">
        <v>0</v>
      </c>
      <c r="H184" s="21"/>
    </row>
    <row r="185" spans="1:8" ht="27.6" x14ac:dyDescent="0.25">
      <c r="A185" s="67"/>
      <c r="B185" s="72"/>
      <c r="C185" s="52" t="s">
        <v>102</v>
      </c>
      <c r="D185" s="46" t="s">
        <v>100</v>
      </c>
      <c r="E185" s="28" t="s">
        <v>103</v>
      </c>
      <c r="F185" s="20">
        <v>0</v>
      </c>
      <c r="G185" s="20">
        <v>0</v>
      </c>
      <c r="H185" s="21"/>
    </row>
    <row r="186" spans="1:8" ht="27.6" x14ac:dyDescent="0.25">
      <c r="A186" s="68"/>
      <c r="B186" s="73"/>
      <c r="C186" s="52" t="s">
        <v>104</v>
      </c>
      <c r="D186" s="46" t="s">
        <v>100</v>
      </c>
      <c r="E186" s="28" t="s">
        <v>105</v>
      </c>
      <c r="F186" s="20">
        <v>0</v>
      </c>
      <c r="G186" s="20">
        <v>0</v>
      </c>
      <c r="H186" s="21"/>
    </row>
    <row r="187" spans="1:8" x14ac:dyDescent="0.25">
      <c r="A187" s="23" t="s">
        <v>200</v>
      </c>
      <c r="B187" s="24" t="s">
        <v>29</v>
      </c>
      <c r="C187" s="53"/>
      <c r="D187" s="43"/>
      <c r="E187" s="25"/>
      <c r="F187" s="20">
        <f>SUM(F176:F186)</f>
        <v>0</v>
      </c>
      <c r="G187" s="20">
        <f>SUM(G176:G186)</f>
        <v>1227.1479999999999</v>
      </c>
      <c r="H187" s="21"/>
    </row>
    <row r="188" spans="1:8" ht="96.6" x14ac:dyDescent="0.25">
      <c r="A188" s="66" t="s">
        <v>202</v>
      </c>
      <c r="B188" s="71" t="s">
        <v>203</v>
      </c>
      <c r="C188" s="52" t="s">
        <v>65</v>
      </c>
      <c r="D188" s="46" t="s">
        <v>8</v>
      </c>
      <c r="E188" s="28" t="s">
        <v>66</v>
      </c>
      <c r="F188" s="20">
        <v>0</v>
      </c>
      <c r="G188" s="20">
        <v>172.71899999999999</v>
      </c>
      <c r="H188" s="21"/>
    </row>
    <row r="189" spans="1:8" ht="41.4" x14ac:dyDescent="0.25">
      <c r="A189" s="67"/>
      <c r="B189" s="72"/>
      <c r="C189" s="52" t="s">
        <v>75</v>
      </c>
      <c r="D189" s="46" t="s">
        <v>76</v>
      </c>
      <c r="E189" s="28" t="s">
        <v>77</v>
      </c>
      <c r="F189" s="20">
        <v>0</v>
      </c>
      <c r="G189" s="20">
        <v>0</v>
      </c>
      <c r="H189" s="21"/>
    </row>
    <row r="190" spans="1:8" ht="55.2" x14ac:dyDescent="0.25">
      <c r="A190" s="67"/>
      <c r="B190" s="72"/>
      <c r="C190" s="52" t="s">
        <v>78</v>
      </c>
      <c r="D190" s="46" t="s">
        <v>76</v>
      </c>
      <c r="E190" s="28" t="s">
        <v>79</v>
      </c>
      <c r="F190" s="20">
        <v>0</v>
      </c>
      <c r="G190" s="20">
        <v>0</v>
      </c>
      <c r="H190" s="21"/>
    </row>
    <row r="191" spans="1:8" ht="27.6" x14ac:dyDescent="0.25">
      <c r="A191" s="67"/>
      <c r="B191" s="72"/>
      <c r="C191" s="52" t="s">
        <v>80</v>
      </c>
      <c r="D191" s="46" t="s">
        <v>76</v>
      </c>
      <c r="E191" s="28" t="s">
        <v>81</v>
      </c>
      <c r="F191" s="20">
        <v>0</v>
      </c>
      <c r="G191" s="20">
        <v>303.86799999999999</v>
      </c>
      <c r="H191" s="21"/>
    </row>
    <row r="192" spans="1:8" ht="110.4" x14ac:dyDescent="0.25">
      <c r="A192" s="67"/>
      <c r="B192" s="72"/>
      <c r="C192" s="52" t="s">
        <v>82</v>
      </c>
      <c r="D192" s="46" t="s">
        <v>83</v>
      </c>
      <c r="E192" s="29" t="s">
        <v>84</v>
      </c>
      <c r="F192" s="20">
        <v>0</v>
      </c>
      <c r="G192" s="20">
        <v>0.71799999999999997</v>
      </c>
      <c r="H192" s="21"/>
    </row>
    <row r="193" spans="1:8" ht="124.2" x14ac:dyDescent="0.25">
      <c r="A193" s="67"/>
      <c r="B193" s="72"/>
      <c r="C193" s="52" t="s">
        <v>82</v>
      </c>
      <c r="D193" s="46" t="s">
        <v>85</v>
      </c>
      <c r="E193" s="29" t="s">
        <v>86</v>
      </c>
      <c r="F193" s="20">
        <v>0</v>
      </c>
      <c r="G193" s="20">
        <v>0</v>
      </c>
      <c r="H193" s="21"/>
    </row>
    <row r="194" spans="1:8" ht="96.6" x14ac:dyDescent="0.25">
      <c r="A194" s="67"/>
      <c r="B194" s="72"/>
      <c r="C194" s="52" t="s">
        <v>95</v>
      </c>
      <c r="D194" s="46" t="s">
        <v>21</v>
      </c>
      <c r="E194" s="28" t="s">
        <v>96</v>
      </c>
      <c r="F194" s="20">
        <v>0</v>
      </c>
      <c r="G194" s="20">
        <v>0</v>
      </c>
      <c r="H194" s="21"/>
    </row>
    <row r="195" spans="1:8" ht="69" x14ac:dyDescent="0.25">
      <c r="A195" s="67"/>
      <c r="B195" s="72"/>
      <c r="C195" s="52" t="s">
        <v>97</v>
      </c>
      <c r="D195" s="46" t="s">
        <v>21</v>
      </c>
      <c r="E195" s="28" t="s">
        <v>98</v>
      </c>
      <c r="F195" s="20">
        <v>0</v>
      </c>
      <c r="G195" s="20">
        <v>0</v>
      </c>
      <c r="H195" s="21"/>
    </row>
    <row r="196" spans="1:8" ht="55.2" x14ac:dyDescent="0.25">
      <c r="A196" s="67"/>
      <c r="B196" s="72"/>
      <c r="C196" s="52" t="s">
        <v>32</v>
      </c>
      <c r="D196" s="46" t="s">
        <v>21</v>
      </c>
      <c r="E196" s="28" t="s">
        <v>33</v>
      </c>
      <c r="F196" s="20">
        <v>0</v>
      </c>
      <c r="G196" s="20">
        <v>30</v>
      </c>
      <c r="H196" s="21"/>
    </row>
    <row r="197" spans="1:8" ht="41.4" x14ac:dyDescent="0.25">
      <c r="A197" s="67"/>
      <c r="B197" s="72"/>
      <c r="C197" s="52" t="s">
        <v>99</v>
      </c>
      <c r="D197" s="46" t="s">
        <v>100</v>
      </c>
      <c r="E197" s="28" t="s">
        <v>101</v>
      </c>
      <c r="F197" s="20">
        <v>0</v>
      </c>
      <c r="G197" s="20">
        <v>0</v>
      </c>
      <c r="H197" s="21"/>
    </row>
    <row r="198" spans="1:8" ht="27.6" x14ac:dyDescent="0.25">
      <c r="A198" s="67"/>
      <c r="B198" s="72"/>
      <c r="C198" s="52" t="s">
        <v>102</v>
      </c>
      <c r="D198" s="46" t="s">
        <v>100</v>
      </c>
      <c r="E198" s="28" t="s">
        <v>103</v>
      </c>
      <c r="F198" s="20">
        <v>0</v>
      </c>
      <c r="G198" s="20">
        <v>4556.4769999999999</v>
      </c>
      <c r="H198" s="21"/>
    </row>
    <row r="199" spans="1:8" ht="69" x14ac:dyDescent="0.25">
      <c r="A199" s="67"/>
      <c r="B199" s="72"/>
      <c r="C199" s="52" t="s">
        <v>204</v>
      </c>
      <c r="D199" s="46" t="s">
        <v>182</v>
      </c>
      <c r="E199" s="28" t="s">
        <v>205</v>
      </c>
      <c r="F199" s="20">
        <v>0</v>
      </c>
      <c r="G199" s="20">
        <v>0</v>
      </c>
      <c r="H199" s="21"/>
    </row>
    <row r="200" spans="1:8" ht="27.6" x14ac:dyDescent="0.25">
      <c r="A200" s="67"/>
      <c r="B200" s="72"/>
      <c r="C200" s="52" t="s">
        <v>184</v>
      </c>
      <c r="D200" s="46" t="s">
        <v>182</v>
      </c>
      <c r="E200" s="28" t="s">
        <v>185</v>
      </c>
      <c r="F200" s="20">
        <v>2477.1999999999998</v>
      </c>
      <c r="G200" s="20">
        <v>2477.1999999999998</v>
      </c>
      <c r="H200" s="21">
        <f t="shared" si="2"/>
        <v>100</v>
      </c>
    </row>
    <row r="201" spans="1:8" ht="110.4" x14ac:dyDescent="0.25">
      <c r="A201" s="67"/>
      <c r="B201" s="72"/>
      <c r="C201" s="56" t="s">
        <v>206</v>
      </c>
      <c r="D201" s="47" t="s">
        <v>182</v>
      </c>
      <c r="E201" s="30" t="s">
        <v>207</v>
      </c>
      <c r="F201" s="20">
        <v>4970.3999999999996</v>
      </c>
      <c r="G201" s="20">
        <v>4970.3999999999996</v>
      </c>
      <c r="H201" s="21">
        <f t="shared" si="2"/>
        <v>100</v>
      </c>
    </row>
    <row r="202" spans="1:8" ht="96.6" x14ac:dyDescent="0.25">
      <c r="A202" s="67"/>
      <c r="B202" s="72"/>
      <c r="C202" s="55" t="s">
        <v>208</v>
      </c>
      <c r="D202" s="44" t="s">
        <v>182</v>
      </c>
      <c r="E202" s="28" t="s">
        <v>209</v>
      </c>
      <c r="F202" s="20">
        <f>257.2+2.1</f>
        <v>259.3</v>
      </c>
      <c r="G202" s="20">
        <f>257.2+2.1</f>
        <v>259.3</v>
      </c>
      <c r="H202" s="21">
        <f t="shared" si="2"/>
        <v>100</v>
      </c>
    </row>
    <row r="203" spans="1:8" ht="96.6" x14ac:dyDescent="0.25">
      <c r="A203" s="67"/>
      <c r="B203" s="72"/>
      <c r="C203" s="52" t="s">
        <v>210</v>
      </c>
      <c r="D203" s="46" t="s">
        <v>182</v>
      </c>
      <c r="E203" s="28" t="s">
        <v>211</v>
      </c>
      <c r="F203" s="20">
        <f>944803.2+8653.6</f>
        <v>953456.79999999993</v>
      </c>
      <c r="G203" s="20">
        <v>928708.09600000002</v>
      </c>
      <c r="H203" s="21">
        <f t="shared" si="2"/>
        <v>97.4043182659141</v>
      </c>
    </row>
    <row r="204" spans="1:8" ht="82.8" x14ac:dyDescent="0.25">
      <c r="A204" s="67"/>
      <c r="B204" s="72"/>
      <c r="C204" s="52" t="s">
        <v>212</v>
      </c>
      <c r="D204" s="46" t="s">
        <v>182</v>
      </c>
      <c r="E204" s="31" t="s">
        <v>213</v>
      </c>
      <c r="F204" s="20">
        <v>0</v>
      </c>
      <c r="G204" s="20">
        <v>0</v>
      </c>
      <c r="H204" s="21"/>
    </row>
    <row r="205" spans="1:8" ht="124.2" x14ac:dyDescent="0.25">
      <c r="A205" s="67"/>
      <c r="B205" s="72"/>
      <c r="C205" s="52" t="s">
        <v>214</v>
      </c>
      <c r="D205" s="46" t="s">
        <v>182</v>
      </c>
      <c r="E205" s="29" t="s">
        <v>215</v>
      </c>
      <c r="F205" s="20">
        <v>0</v>
      </c>
      <c r="G205" s="20">
        <v>5018.6530000000002</v>
      </c>
      <c r="H205" s="21"/>
    </row>
    <row r="206" spans="1:8" ht="41.4" x14ac:dyDescent="0.25">
      <c r="A206" s="67"/>
      <c r="B206" s="72"/>
      <c r="C206" s="52" t="s">
        <v>188</v>
      </c>
      <c r="D206" s="46" t="s">
        <v>182</v>
      </c>
      <c r="E206" s="28" t="s">
        <v>189</v>
      </c>
      <c r="F206" s="20">
        <v>48.343299999999999</v>
      </c>
      <c r="G206" s="20">
        <v>151595.74799999999</v>
      </c>
      <c r="H206" s="21">
        <f t="shared" si="2"/>
        <v>313581.7124606719</v>
      </c>
    </row>
    <row r="207" spans="1:8" ht="27.6" x14ac:dyDescent="0.25">
      <c r="A207" s="67"/>
      <c r="B207" s="72"/>
      <c r="C207" s="52" t="s">
        <v>104</v>
      </c>
      <c r="D207" s="46" t="s">
        <v>100</v>
      </c>
      <c r="E207" s="28" t="s">
        <v>105</v>
      </c>
      <c r="F207" s="20">
        <v>0</v>
      </c>
      <c r="G207" s="20">
        <v>0</v>
      </c>
      <c r="H207" s="21"/>
    </row>
    <row r="208" spans="1:8" ht="41.4" x14ac:dyDescent="0.25">
      <c r="A208" s="67"/>
      <c r="B208" s="72"/>
      <c r="C208" s="52" t="s">
        <v>190</v>
      </c>
      <c r="D208" s="46" t="s">
        <v>100</v>
      </c>
      <c r="E208" s="28" t="s">
        <v>191</v>
      </c>
      <c r="F208" s="20">
        <v>0</v>
      </c>
      <c r="G208" s="20">
        <v>53379.3</v>
      </c>
      <c r="H208" s="21"/>
    </row>
    <row r="209" spans="1:8" ht="41.4" x14ac:dyDescent="0.25">
      <c r="A209" s="67"/>
      <c r="B209" s="72"/>
      <c r="C209" s="52" t="s">
        <v>192</v>
      </c>
      <c r="D209" s="46" t="s">
        <v>100</v>
      </c>
      <c r="E209" s="28" t="s">
        <v>193</v>
      </c>
      <c r="F209" s="20">
        <v>0</v>
      </c>
      <c r="G209" s="20">
        <v>716.221</v>
      </c>
      <c r="H209" s="21"/>
    </row>
    <row r="210" spans="1:8" ht="55.2" x14ac:dyDescent="0.25">
      <c r="A210" s="68"/>
      <c r="B210" s="73"/>
      <c r="C210" s="52" t="s">
        <v>194</v>
      </c>
      <c r="D210" s="46" t="s">
        <v>182</v>
      </c>
      <c r="E210" s="28" t="s">
        <v>195</v>
      </c>
      <c r="F210" s="20">
        <v>0</v>
      </c>
      <c r="G210" s="20">
        <v>-35782.118000000002</v>
      </c>
      <c r="H210" s="21"/>
    </row>
    <row r="211" spans="1:8" x14ac:dyDescent="0.25">
      <c r="A211" s="23" t="s">
        <v>202</v>
      </c>
      <c r="B211" s="24" t="s">
        <v>29</v>
      </c>
      <c r="C211" s="53"/>
      <c r="D211" s="43"/>
      <c r="E211" s="25"/>
      <c r="F211" s="26">
        <f>SUM(F188:F210)</f>
        <v>961212.0432999999</v>
      </c>
      <c r="G211" s="26">
        <f>SUM(G188:G210)</f>
        <v>1116406.5819999999</v>
      </c>
      <c r="H211" s="21">
        <f t="shared" si="2"/>
        <v>116.14571309023465</v>
      </c>
    </row>
    <row r="212" spans="1:8" ht="41.4" x14ac:dyDescent="0.25">
      <c r="A212" s="69" t="s">
        <v>216</v>
      </c>
      <c r="B212" s="70" t="s">
        <v>217</v>
      </c>
      <c r="C212" s="52" t="s">
        <v>75</v>
      </c>
      <c r="D212" s="46" t="s">
        <v>76</v>
      </c>
      <c r="E212" s="28" t="s">
        <v>77</v>
      </c>
      <c r="F212" s="20">
        <v>0</v>
      </c>
      <c r="G212" s="20">
        <v>0</v>
      </c>
      <c r="H212" s="21"/>
    </row>
    <row r="213" spans="1:8" ht="55.2" x14ac:dyDescent="0.25">
      <c r="A213" s="69"/>
      <c r="B213" s="70"/>
      <c r="C213" s="52" t="s">
        <v>78</v>
      </c>
      <c r="D213" s="46" t="s">
        <v>76</v>
      </c>
      <c r="E213" s="28" t="s">
        <v>79</v>
      </c>
      <c r="F213" s="20">
        <v>0</v>
      </c>
      <c r="G213" s="20">
        <v>0</v>
      </c>
      <c r="H213" s="21"/>
    </row>
    <row r="214" spans="1:8" ht="27.6" x14ac:dyDescent="0.25">
      <c r="A214" s="69"/>
      <c r="B214" s="70"/>
      <c r="C214" s="52" t="s">
        <v>80</v>
      </c>
      <c r="D214" s="46" t="s">
        <v>76</v>
      </c>
      <c r="E214" s="28" t="s">
        <v>81</v>
      </c>
      <c r="F214" s="20">
        <v>0</v>
      </c>
      <c r="G214" s="20">
        <v>162.999</v>
      </c>
      <c r="H214" s="21"/>
    </row>
    <row r="215" spans="1:8" ht="110.4" x14ac:dyDescent="0.25">
      <c r="A215" s="69"/>
      <c r="B215" s="70"/>
      <c r="C215" s="52" t="s">
        <v>82</v>
      </c>
      <c r="D215" s="46" t="s">
        <v>83</v>
      </c>
      <c r="E215" s="29" t="s">
        <v>84</v>
      </c>
      <c r="F215" s="20">
        <v>0</v>
      </c>
      <c r="G215" s="20">
        <v>0</v>
      </c>
      <c r="H215" s="21"/>
    </row>
    <row r="216" spans="1:8" ht="124.2" x14ac:dyDescent="0.25">
      <c r="A216" s="69"/>
      <c r="B216" s="70"/>
      <c r="C216" s="52" t="s">
        <v>82</v>
      </c>
      <c r="D216" s="46" t="s">
        <v>85</v>
      </c>
      <c r="E216" s="29" t="s">
        <v>86</v>
      </c>
      <c r="F216" s="20">
        <v>0</v>
      </c>
      <c r="G216" s="20">
        <v>0</v>
      </c>
      <c r="H216" s="21"/>
    </row>
    <row r="217" spans="1:8" ht="96.6" x14ac:dyDescent="0.25">
      <c r="A217" s="69"/>
      <c r="B217" s="70"/>
      <c r="C217" s="52" t="s">
        <v>95</v>
      </c>
      <c r="D217" s="46" t="s">
        <v>21</v>
      </c>
      <c r="E217" s="28" t="s">
        <v>96</v>
      </c>
      <c r="F217" s="20">
        <v>0</v>
      </c>
      <c r="G217" s="20">
        <v>0</v>
      </c>
      <c r="H217" s="21"/>
    </row>
    <row r="218" spans="1:8" ht="69" x14ac:dyDescent="0.25">
      <c r="A218" s="69"/>
      <c r="B218" s="70"/>
      <c r="C218" s="52" t="s">
        <v>97</v>
      </c>
      <c r="D218" s="46" t="s">
        <v>21</v>
      </c>
      <c r="E218" s="28" t="s">
        <v>98</v>
      </c>
      <c r="F218" s="20">
        <v>0</v>
      </c>
      <c r="G218" s="20">
        <v>0</v>
      </c>
      <c r="H218" s="21"/>
    </row>
    <row r="219" spans="1:8" ht="55.2" x14ac:dyDescent="0.25">
      <c r="A219" s="69"/>
      <c r="B219" s="70"/>
      <c r="C219" s="52" t="s">
        <v>32</v>
      </c>
      <c r="D219" s="46" t="s">
        <v>21</v>
      </c>
      <c r="E219" s="28" t="s">
        <v>33</v>
      </c>
      <c r="F219" s="20">
        <v>0</v>
      </c>
      <c r="G219" s="20">
        <v>0</v>
      </c>
      <c r="H219" s="21"/>
    </row>
    <row r="220" spans="1:8" ht="41.4" x14ac:dyDescent="0.25">
      <c r="A220" s="69"/>
      <c r="B220" s="70"/>
      <c r="C220" s="52" t="s">
        <v>99</v>
      </c>
      <c r="D220" s="46" t="s">
        <v>100</v>
      </c>
      <c r="E220" s="28" t="s">
        <v>101</v>
      </c>
      <c r="F220" s="20">
        <v>0</v>
      </c>
      <c r="G220" s="20">
        <v>0</v>
      </c>
      <c r="H220" s="21"/>
    </row>
    <row r="221" spans="1:8" ht="27.6" x14ac:dyDescent="0.25">
      <c r="A221" s="69"/>
      <c r="B221" s="70"/>
      <c r="C221" s="52" t="s">
        <v>102</v>
      </c>
      <c r="D221" s="46" t="s">
        <v>100</v>
      </c>
      <c r="E221" s="28" t="s">
        <v>103</v>
      </c>
      <c r="F221" s="20">
        <v>0</v>
      </c>
      <c r="G221" s="20">
        <v>0</v>
      </c>
      <c r="H221" s="21"/>
    </row>
    <row r="222" spans="1:8" ht="27.6" x14ac:dyDescent="0.25">
      <c r="A222" s="69"/>
      <c r="B222" s="70"/>
      <c r="C222" s="52" t="s">
        <v>184</v>
      </c>
      <c r="D222" s="46" t="s">
        <v>182</v>
      </c>
      <c r="E222" s="28" t="s">
        <v>185</v>
      </c>
      <c r="F222" s="20">
        <v>541</v>
      </c>
      <c r="G222" s="20">
        <v>541</v>
      </c>
      <c r="H222" s="21">
        <f t="shared" si="2"/>
        <v>100</v>
      </c>
    </row>
    <row r="223" spans="1:8" ht="69" x14ac:dyDescent="0.25">
      <c r="A223" s="69"/>
      <c r="B223" s="70"/>
      <c r="C223" s="52" t="s">
        <v>218</v>
      </c>
      <c r="D223" s="46" t="s">
        <v>182</v>
      </c>
      <c r="E223" s="28" t="s">
        <v>219</v>
      </c>
      <c r="F223" s="20">
        <v>2481.4</v>
      </c>
      <c r="G223" s="20">
        <v>2481.4</v>
      </c>
      <c r="H223" s="21">
        <f t="shared" si="2"/>
        <v>100</v>
      </c>
    </row>
    <row r="224" spans="1:8" ht="41.4" x14ac:dyDescent="0.25">
      <c r="A224" s="69"/>
      <c r="B224" s="70"/>
      <c r="C224" s="52" t="s">
        <v>188</v>
      </c>
      <c r="D224" s="46" t="s">
        <v>182</v>
      </c>
      <c r="E224" s="28" t="s">
        <v>189</v>
      </c>
      <c r="F224" s="20">
        <v>1240</v>
      </c>
      <c r="G224" s="20">
        <v>5406</v>
      </c>
      <c r="H224" s="21">
        <f t="shared" si="2"/>
        <v>435.96774193548384</v>
      </c>
    </row>
    <row r="225" spans="1:8" ht="41.4" x14ac:dyDescent="0.25">
      <c r="A225" s="69"/>
      <c r="B225" s="70"/>
      <c r="C225" s="52" t="s">
        <v>190</v>
      </c>
      <c r="D225" s="46" t="s">
        <v>100</v>
      </c>
      <c r="E225" s="28" t="s">
        <v>191</v>
      </c>
      <c r="F225" s="20">
        <v>0</v>
      </c>
      <c r="G225" s="20">
        <v>0</v>
      </c>
      <c r="H225" s="21"/>
    </row>
    <row r="226" spans="1:8" ht="41.4" x14ac:dyDescent="0.25">
      <c r="A226" s="69"/>
      <c r="B226" s="70"/>
      <c r="C226" s="52" t="s">
        <v>192</v>
      </c>
      <c r="D226" s="46" t="s">
        <v>100</v>
      </c>
      <c r="E226" s="28" t="s">
        <v>193</v>
      </c>
      <c r="F226" s="20">
        <v>0</v>
      </c>
      <c r="G226" s="20">
        <v>2201.5590000000002</v>
      </c>
      <c r="H226" s="21"/>
    </row>
    <row r="227" spans="1:8" ht="55.2" x14ac:dyDescent="0.25">
      <c r="A227" s="69"/>
      <c r="B227" s="70"/>
      <c r="C227" s="52" t="s">
        <v>194</v>
      </c>
      <c r="D227" s="46" t="s">
        <v>182</v>
      </c>
      <c r="E227" s="28" t="s">
        <v>195</v>
      </c>
      <c r="F227" s="20">
        <v>0</v>
      </c>
      <c r="G227" s="20">
        <v>0</v>
      </c>
      <c r="H227" s="21"/>
    </row>
    <row r="228" spans="1:8" x14ac:dyDescent="0.25">
      <c r="A228" s="23" t="s">
        <v>216</v>
      </c>
      <c r="B228" s="24" t="s">
        <v>29</v>
      </c>
      <c r="C228" s="53"/>
      <c r="D228" s="43"/>
      <c r="E228" s="25"/>
      <c r="F228" s="26">
        <f>SUM(F212:F227)</f>
        <v>4262.3999999999996</v>
      </c>
      <c r="G228" s="26">
        <f>SUM(G212:G227)</f>
        <v>10792.958000000002</v>
      </c>
      <c r="H228" s="21">
        <f t="shared" si="2"/>
        <v>253.21316629129137</v>
      </c>
    </row>
    <row r="229" spans="1:8" ht="110.4" x14ac:dyDescent="0.25">
      <c r="A229" s="66" t="s">
        <v>220</v>
      </c>
      <c r="B229" s="71" t="s">
        <v>221</v>
      </c>
      <c r="C229" s="52" t="s">
        <v>252</v>
      </c>
      <c r="D229" s="46" t="s">
        <v>8</v>
      </c>
      <c r="E229" s="28" t="s">
        <v>253</v>
      </c>
      <c r="F229" s="20">
        <v>0</v>
      </c>
      <c r="G229" s="20">
        <v>22.306000000000001</v>
      </c>
      <c r="H229" s="21"/>
    </row>
    <row r="230" spans="1:8" ht="41.4" x14ac:dyDescent="0.25">
      <c r="A230" s="67"/>
      <c r="B230" s="72"/>
      <c r="C230" s="52" t="s">
        <v>75</v>
      </c>
      <c r="D230" s="46" t="s">
        <v>76</v>
      </c>
      <c r="E230" s="28" t="s">
        <v>77</v>
      </c>
      <c r="F230" s="20">
        <v>0</v>
      </c>
      <c r="G230" s="20">
        <v>0</v>
      </c>
      <c r="H230" s="21"/>
    </row>
    <row r="231" spans="1:8" ht="55.2" x14ac:dyDescent="0.25">
      <c r="A231" s="67"/>
      <c r="B231" s="72"/>
      <c r="C231" s="52" t="s">
        <v>78</v>
      </c>
      <c r="D231" s="46" t="s">
        <v>76</v>
      </c>
      <c r="E231" s="28" t="s">
        <v>79</v>
      </c>
      <c r="F231" s="20">
        <v>0</v>
      </c>
      <c r="G231" s="20">
        <v>204.58099999999999</v>
      </c>
      <c r="H231" s="21"/>
    </row>
    <row r="232" spans="1:8" ht="27.6" x14ac:dyDescent="0.25">
      <c r="A232" s="67"/>
      <c r="B232" s="72"/>
      <c r="C232" s="52" t="s">
        <v>80</v>
      </c>
      <c r="D232" s="46" t="s">
        <v>76</v>
      </c>
      <c r="E232" s="28" t="s">
        <v>81</v>
      </c>
      <c r="F232" s="20">
        <v>2698.9</v>
      </c>
      <c r="G232" s="20">
        <v>4237.6180000000004</v>
      </c>
      <c r="H232" s="21">
        <f t="shared" si="2"/>
        <v>157.01278298566083</v>
      </c>
    </row>
    <row r="233" spans="1:8" ht="110.4" x14ac:dyDescent="0.25">
      <c r="A233" s="67"/>
      <c r="B233" s="72"/>
      <c r="C233" s="52" t="s">
        <v>82</v>
      </c>
      <c r="D233" s="46" t="s">
        <v>83</v>
      </c>
      <c r="E233" s="29" t="s">
        <v>84</v>
      </c>
      <c r="F233" s="20">
        <v>0</v>
      </c>
      <c r="G233" s="20">
        <v>0</v>
      </c>
      <c r="H233" s="21"/>
    </row>
    <row r="234" spans="1:8" ht="124.2" x14ac:dyDescent="0.25">
      <c r="A234" s="67"/>
      <c r="B234" s="72"/>
      <c r="C234" s="52" t="s">
        <v>82</v>
      </c>
      <c r="D234" s="46" t="s">
        <v>85</v>
      </c>
      <c r="E234" s="29" t="s">
        <v>86</v>
      </c>
      <c r="F234" s="20">
        <v>0</v>
      </c>
      <c r="G234" s="20">
        <v>0</v>
      </c>
      <c r="H234" s="21"/>
    </row>
    <row r="235" spans="1:8" ht="96.6" x14ac:dyDescent="0.25">
      <c r="A235" s="67"/>
      <c r="B235" s="72"/>
      <c r="C235" s="52" t="s">
        <v>95</v>
      </c>
      <c r="D235" s="46" t="s">
        <v>21</v>
      </c>
      <c r="E235" s="28" t="s">
        <v>96</v>
      </c>
      <c r="F235" s="20">
        <v>0</v>
      </c>
      <c r="G235" s="20">
        <v>0</v>
      </c>
      <c r="H235" s="21"/>
    </row>
    <row r="236" spans="1:8" ht="69" x14ac:dyDescent="0.25">
      <c r="A236" s="67"/>
      <c r="B236" s="72"/>
      <c r="C236" s="52" t="s">
        <v>97</v>
      </c>
      <c r="D236" s="46" t="s">
        <v>21</v>
      </c>
      <c r="E236" s="28" t="s">
        <v>98</v>
      </c>
      <c r="F236" s="20">
        <v>0</v>
      </c>
      <c r="G236" s="20">
        <v>0</v>
      </c>
      <c r="H236" s="21"/>
    </row>
    <row r="237" spans="1:8" ht="55.2" x14ac:dyDescent="0.25">
      <c r="A237" s="67"/>
      <c r="B237" s="72"/>
      <c r="C237" s="52" t="s">
        <v>32</v>
      </c>
      <c r="D237" s="46" t="s">
        <v>21</v>
      </c>
      <c r="E237" s="28" t="s">
        <v>33</v>
      </c>
      <c r="F237" s="20">
        <v>0</v>
      </c>
      <c r="G237" s="20">
        <v>100.96</v>
      </c>
      <c r="H237" s="21"/>
    </row>
    <row r="238" spans="1:8" ht="41.4" x14ac:dyDescent="0.25">
      <c r="A238" s="67"/>
      <c r="B238" s="72"/>
      <c r="C238" s="52" t="s">
        <v>99</v>
      </c>
      <c r="D238" s="46" t="s">
        <v>100</v>
      </c>
      <c r="E238" s="28" t="s">
        <v>101</v>
      </c>
      <c r="F238" s="20">
        <v>0</v>
      </c>
      <c r="G238" s="20">
        <v>-8.1509999999999998</v>
      </c>
      <c r="H238" s="21"/>
    </row>
    <row r="239" spans="1:8" ht="27.6" x14ac:dyDescent="0.25">
      <c r="A239" s="67"/>
      <c r="B239" s="72"/>
      <c r="C239" s="52" t="s">
        <v>102</v>
      </c>
      <c r="D239" s="46" t="s">
        <v>100</v>
      </c>
      <c r="E239" s="28" t="s">
        <v>103</v>
      </c>
      <c r="F239" s="20">
        <v>0</v>
      </c>
      <c r="G239" s="20">
        <v>0</v>
      </c>
      <c r="H239" s="21"/>
    </row>
    <row r="240" spans="1:8" ht="41.4" x14ac:dyDescent="0.25">
      <c r="A240" s="67"/>
      <c r="B240" s="72"/>
      <c r="C240" s="52" t="s">
        <v>407</v>
      </c>
      <c r="D240" s="46" t="s">
        <v>182</v>
      </c>
      <c r="E240" s="28" t="s">
        <v>408</v>
      </c>
      <c r="F240" s="20">
        <v>0</v>
      </c>
      <c r="G240" s="20">
        <v>13925.77</v>
      </c>
      <c r="H240" s="21"/>
    </row>
    <row r="241" spans="1:8" ht="69" x14ac:dyDescent="0.25">
      <c r="A241" s="67"/>
      <c r="B241" s="72"/>
      <c r="C241" s="52" t="s">
        <v>204</v>
      </c>
      <c r="D241" s="46" t="s">
        <v>182</v>
      </c>
      <c r="E241" s="28" t="s">
        <v>205</v>
      </c>
      <c r="F241" s="20">
        <v>103514.391</v>
      </c>
      <c r="G241" s="20">
        <v>103514.391</v>
      </c>
      <c r="H241" s="21">
        <f t="shared" ref="H241:H299" si="3">G241/F241*100</f>
        <v>100</v>
      </c>
    </row>
    <row r="242" spans="1:8" ht="41.4" x14ac:dyDescent="0.25">
      <c r="A242" s="67"/>
      <c r="B242" s="72"/>
      <c r="C242" s="56" t="s">
        <v>222</v>
      </c>
      <c r="D242" s="47" t="s">
        <v>182</v>
      </c>
      <c r="E242" s="30" t="s">
        <v>223</v>
      </c>
      <c r="F242" s="20">
        <f>238185-49.1</f>
        <v>238135.9</v>
      </c>
      <c r="G242" s="20">
        <f>238185-49.1</f>
        <v>238135.9</v>
      </c>
      <c r="H242" s="21">
        <f t="shared" si="3"/>
        <v>100</v>
      </c>
    </row>
    <row r="243" spans="1:8" ht="27.6" x14ac:dyDescent="0.25">
      <c r="A243" s="67"/>
      <c r="B243" s="72"/>
      <c r="C243" s="55" t="s">
        <v>184</v>
      </c>
      <c r="D243" s="45" t="s">
        <v>182</v>
      </c>
      <c r="E243" s="28" t="s">
        <v>185</v>
      </c>
      <c r="F243" s="20">
        <f>407657.1+103514.391+25201.32674-103514.391</f>
        <v>432858.42673999997</v>
      </c>
      <c r="G243" s="20">
        <v>382300.48800000001</v>
      </c>
      <c r="H243" s="21">
        <f t="shared" si="3"/>
        <v>88.319982789576599</v>
      </c>
    </row>
    <row r="244" spans="1:8" ht="55.2" x14ac:dyDescent="0.25">
      <c r="A244" s="67"/>
      <c r="B244" s="72"/>
      <c r="C244" s="55" t="s">
        <v>224</v>
      </c>
      <c r="D244" s="45" t="s">
        <v>182</v>
      </c>
      <c r="E244" s="28" t="s">
        <v>225</v>
      </c>
      <c r="F244" s="20">
        <v>70361.100000000006</v>
      </c>
      <c r="G244" s="20">
        <v>64117.440999999999</v>
      </c>
      <c r="H244" s="21">
        <f t="shared" si="3"/>
        <v>91.126262949271677</v>
      </c>
    </row>
    <row r="245" spans="1:8" ht="110.4" x14ac:dyDescent="0.25">
      <c r="A245" s="67"/>
      <c r="B245" s="72"/>
      <c r="C245" s="52" t="s">
        <v>226</v>
      </c>
      <c r="D245" s="46" t="s">
        <v>182</v>
      </c>
      <c r="E245" s="29" t="s">
        <v>227</v>
      </c>
      <c r="F245" s="20">
        <f>2864356.9+2811.2</f>
        <v>2867168.1</v>
      </c>
      <c r="G245" s="20">
        <v>2912602.2859999998</v>
      </c>
      <c r="H245" s="21">
        <f t="shared" si="3"/>
        <v>101.5846362827488</v>
      </c>
    </row>
    <row r="246" spans="1:8" ht="234.6" x14ac:dyDescent="0.25">
      <c r="A246" s="67"/>
      <c r="B246" s="72"/>
      <c r="C246" s="52" t="s">
        <v>228</v>
      </c>
      <c r="D246" s="46" t="s">
        <v>182</v>
      </c>
      <c r="E246" s="29" t="s">
        <v>229</v>
      </c>
      <c r="F246" s="20">
        <f>383695.1+1349.3</f>
        <v>385044.39999999997</v>
      </c>
      <c r="G246" s="20">
        <v>392090.1</v>
      </c>
      <c r="H246" s="21">
        <f t="shared" si="3"/>
        <v>101.8298409222417</v>
      </c>
    </row>
    <row r="247" spans="1:8" ht="82.8" x14ac:dyDescent="0.25">
      <c r="A247" s="67"/>
      <c r="B247" s="72"/>
      <c r="C247" s="52" t="s">
        <v>230</v>
      </c>
      <c r="D247" s="46" t="s">
        <v>182</v>
      </c>
      <c r="E247" s="31" t="s">
        <v>231</v>
      </c>
      <c r="F247" s="20">
        <v>13086.3</v>
      </c>
      <c r="G247" s="20">
        <v>6576.8</v>
      </c>
      <c r="H247" s="21">
        <f t="shared" si="3"/>
        <v>50.2571391455186</v>
      </c>
    </row>
    <row r="248" spans="1:8" ht="96.6" x14ac:dyDescent="0.25">
      <c r="A248" s="67"/>
      <c r="B248" s="72"/>
      <c r="C248" s="55" t="s">
        <v>232</v>
      </c>
      <c r="D248" s="45" t="s">
        <v>182</v>
      </c>
      <c r="E248" s="28" t="s">
        <v>233</v>
      </c>
      <c r="F248" s="20">
        <v>3400.9</v>
      </c>
      <c r="G248" s="20">
        <v>3400.9</v>
      </c>
      <c r="H248" s="21">
        <f t="shared" si="3"/>
        <v>100</v>
      </c>
    </row>
    <row r="249" spans="1:8" ht="96.6" x14ac:dyDescent="0.25">
      <c r="A249" s="67"/>
      <c r="B249" s="72"/>
      <c r="C249" s="55" t="s">
        <v>208</v>
      </c>
      <c r="D249" s="45" t="s">
        <v>182</v>
      </c>
      <c r="E249" s="28" t="s">
        <v>209</v>
      </c>
      <c r="F249" s="20">
        <f>1326.9+11.1</f>
        <v>1338</v>
      </c>
      <c r="G249" s="20">
        <v>1230.96</v>
      </c>
      <c r="H249" s="21">
        <f t="shared" si="3"/>
        <v>92</v>
      </c>
    </row>
    <row r="250" spans="1:8" ht="55.2" x14ac:dyDescent="0.25">
      <c r="A250" s="67"/>
      <c r="B250" s="72"/>
      <c r="C250" s="55" t="s">
        <v>234</v>
      </c>
      <c r="D250" s="45" t="s">
        <v>182</v>
      </c>
      <c r="E250" s="28" t="s">
        <v>235</v>
      </c>
      <c r="F250" s="20">
        <v>62309.599999999999</v>
      </c>
      <c r="G250" s="20">
        <v>60641.3</v>
      </c>
      <c r="H250" s="21">
        <f t="shared" si="3"/>
        <v>97.322563457316377</v>
      </c>
    </row>
    <row r="251" spans="1:8" ht="41.4" x14ac:dyDescent="0.25">
      <c r="A251" s="67"/>
      <c r="B251" s="72"/>
      <c r="C251" s="52" t="s">
        <v>236</v>
      </c>
      <c r="D251" s="46" t="s">
        <v>182</v>
      </c>
      <c r="E251" s="31" t="s">
        <v>237</v>
      </c>
      <c r="F251" s="20">
        <f>36691.4+157.5</f>
        <v>36848.9</v>
      </c>
      <c r="G251" s="20">
        <v>35894</v>
      </c>
      <c r="H251" s="21">
        <f t="shared" si="3"/>
        <v>97.408606498430075</v>
      </c>
    </row>
    <row r="252" spans="1:8" ht="41.4" x14ac:dyDescent="0.25">
      <c r="A252" s="67"/>
      <c r="B252" s="72"/>
      <c r="C252" s="52" t="s">
        <v>238</v>
      </c>
      <c r="D252" s="46" t="s">
        <v>182</v>
      </c>
      <c r="E252" s="28" t="s">
        <v>239</v>
      </c>
      <c r="F252" s="20">
        <f>22081.2+113.4</f>
        <v>22194.600000000002</v>
      </c>
      <c r="G252" s="20">
        <v>24300.9</v>
      </c>
      <c r="H252" s="21">
        <f t="shared" si="3"/>
        <v>109.49014625179096</v>
      </c>
    </row>
    <row r="253" spans="1:8" ht="55.2" x14ac:dyDescent="0.25">
      <c r="A253" s="67"/>
      <c r="B253" s="72"/>
      <c r="C253" s="52" t="s">
        <v>240</v>
      </c>
      <c r="D253" s="46" t="s">
        <v>182</v>
      </c>
      <c r="E253" s="31" t="s">
        <v>241</v>
      </c>
      <c r="F253" s="20">
        <v>22224.7</v>
      </c>
      <c r="G253" s="20">
        <v>19039.43</v>
      </c>
      <c r="H253" s="21">
        <f t="shared" si="3"/>
        <v>85.667883031042038</v>
      </c>
    </row>
    <row r="254" spans="1:8" ht="82.8" x14ac:dyDescent="0.25">
      <c r="A254" s="67"/>
      <c r="B254" s="72"/>
      <c r="C254" s="52" t="s">
        <v>242</v>
      </c>
      <c r="D254" s="46" t="s">
        <v>182</v>
      </c>
      <c r="E254" s="28" t="s">
        <v>243</v>
      </c>
      <c r="F254" s="20">
        <v>30.7</v>
      </c>
      <c r="G254" s="20">
        <v>30.7</v>
      </c>
      <c r="H254" s="21">
        <f t="shared" si="3"/>
        <v>100</v>
      </c>
    </row>
    <row r="255" spans="1:8" ht="82.8" x14ac:dyDescent="0.25">
      <c r="A255" s="67"/>
      <c r="B255" s="72"/>
      <c r="C255" s="52" t="s">
        <v>244</v>
      </c>
      <c r="D255" s="46" t="s">
        <v>182</v>
      </c>
      <c r="E255" s="28" t="s">
        <v>245</v>
      </c>
      <c r="F255" s="20">
        <v>6720.9</v>
      </c>
      <c r="G255" s="20">
        <v>6720.9</v>
      </c>
      <c r="H255" s="21">
        <f t="shared" si="3"/>
        <v>100</v>
      </c>
    </row>
    <row r="256" spans="1:8" ht="96.6" x14ac:dyDescent="0.25">
      <c r="A256" s="67"/>
      <c r="B256" s="72"/>
      <c r="C256" s="52" t="s">
        <v>246</v>
      </c>
      <c r="D256" s="46" t="s">
        <v>182</v>
      </c>
      <c r="E256" s="28" t="s">
        <v>247</v>
      </c>
      <c r="F256" s="20">
        <f>68900.8-3400.9</f>
        <v>65499.9</v>
      </c>
      <c r="G256" s="20">
        <v>77304.7</v>
      </c>
      <c r="H256" s="21">
        <f t="shared" si="3"/>
        <v>118.02262293530219</v>
      </c>
    </row>
    <row r="257" spans="1:8" ht="41.4" x14ac:dyDescent="0.25">
      <c r="A257" s="67"/>
      <c r="B257" s="72"/>
      <c r="C257" s="52" t="s">
        <v>248</v>
      </c>
      <c r="D257" s="46" t="s">
        <v>182</v>
      </c>
      <c r="E257" s="28" t="s">
        <v>249</v>
      </c>
      <c r="F257" s="20">
        <v>0</v>
      </c>
      <c r="G257" s="20">
        <v>52529.34</v>
      </c>
      <c r="H257" s="21"/>
    </row>
    <row r="258" spans="1:8" ht="41.4" x14ac:dyDescent="0.25">
      <c r="A258" s="67"/>
      <c r="B258" s="72"/>
      <c r="C258" s="52" t="s">
        <v>188</v>
      </c>
      <c r="D258" s="46" t="s">
        <v>182</v>
      </c>
      <c r="E258" s="28" t="s">
        <v>189</v>
      </c>
      <c r="F258" s="20">
        <v>0</v>
      </c>
      <c r="G258" s="20">
        <v>24479.9</v>
      </c>
      <c r="H258" s="21"/>
    </row>
    <row r="259" spans="1:8" ht="27.6" x14ac:dyDescent="0.25">
      <c r="A259" s="67"/>
      <c r="B259" s="72"/>
      <c r="C259" s="52" t="s">
        <v>104</v>
      </c>
      <c r="D259" s="46" t="s">
        <v>100</v>
      </c>
      <c r="E259" s="28" t="s">
        <v>105</v>
      </c>
      <c r="F259" s="20">
        <v>0</v>
      </c>
      <c r="G259" s="20">
        <v>0</v>
      </c>
      <c r="H259" s="21"/>
    </row>
    <row r="260" spans="1:8" ht="41.4" x14ac:dyDescent="0.25">
      <c r="A260" s="67"/>
      <c r="B260" s="72"/>
      <c r="C260" s="52" t="s">
        <v>190</v>
      </c>
      <c r="D260" s="46" t="s">
        <v>100</v>
      </c>
      <c r="E260" s="28" t="s">
        <v>191</v>
      </c>
      <c r="F260" s="20">
        <v>0</v>
      </c>
      <c r="G260" s="20">
        <v>5363.3059999999996</v>
      </c>
      <c r="H260" s="21"/>
    </row>
    <row r="261" spans="1:8" ht="41.4" x14ac:dyDescent="0.25">
      <c r="A261" s="67"/>
      <c r="B261" s="72"/>
      <c r="C261" s="52" t="s">
        <v>192</v>
      </c>
      <c r="D261" s="46" t="s">
        <v>100</v>
      </c>
      <c r="E261" s="28" t="s">
        <v>193</v>
      </c>
      <c r="F261" s="20">
        <v>0</v>
      </c>
      <c r="G261" s="20">
        <v>36400.447999999997</v>
      </c>
      <c r="H261" s="21"/>
    </row>
    <row r="262" spans="1:8" ht="55.2" x14ac:dyDescent="0.25">
      <c r="A262" s="68"/>
      <c r="B262" s="73"/>
      <c r="C262" s="52" t="s">
        <v>194</v>
      </c>
      <c r="D262" s="46" t="s">
        <v>182</v>
      </c>
      <c r="E262" s="28" t="s">
        <v>195</v>
      </c>
      <c r="F262" s="20">
        <v>0</v>
      </c>
      <c r="G262" s="20">
        <v>-28657.141</v>
      </c>
      <c r="H262" s="21"/>
    </row>
    <row r="263" spans="1:8" x14ac:dyDescent="0.25">
      <c r="A263" s="23" t="s">
        <v>220</v>
      </c>
      <c r="B263" s="24" t="s">
        <v>29</v>
      </c>
      <c r="C263" s="53"/>
      <c r="D263" s="43"/>
      <c r="E263" s="25"/>
      <c r="F263" s="26">
        <f>SUM(F229:F262)</f>
        <v>4333435.7177400002</v>
      </c>
      <c r="G263" s="26">
        <f>SUM(G229:G262)</f>
        <v>4436500.1330000004</v>
      </c>
      <c r="H263" s="21">
        <f t="shared" si="3"/>
        <v>102.37835338916142</v>
      </c>
    </row>
    <row r="264" spans="1:8" ht="110.4" x14ac:dyDescent="0.25">
      <c r="A264" s="69" t="s">
        <v>250</v>
      </c>
      <c r="B264" s="70" t="s">
        <v>251</v>
      </c>
      <c r="C264" s="52" t="s">
        <v>252</v>
      </c>
      <c r="D264" s="46" t="s">
        <v>8</v>
      </c>
      <c r="E264" s="29" t="s">
        <v>253</v>
      </c>
      <c r="F264" s="20">
        <v>0</v>
      </c>
      <c r="G264" s="20">
        <v>0</v>
      </c>
      <c r="H264" s="21"/>
    </row>
    <row r="265" spans="1:8" ht="110.4" x14ac:dyDescent="0.25">
      <c r="A265" s="69"/>
      <c r="B265" s="70"/>
      <c r="C265" s="52" t="s">
        <v>254</v>
      </c>
      <c r="D265" s="46" t="s">
        <v>8</v>
      </c>
      <c r="E265" s="28" t="s">
        <v>255</v>
      </c>
      <c r="F265" s="20">
        <v>0</v>
      </c>
      <c r="G265" s="20">
        <v>0</v>
      </c>
      <c r="H265" s="21"/>
    </row>
    <row r="266" spans="1:8" ht="41.4" x14ac:dyDescent="0.25">
      <c r="A266" s="69"/>
      <c r="B266" s="70"/>
      <c r="C266" s="52" t="s">
        <v>75</v>
      </c>
      <c r="D266" s="46" t="s">
        <v>76</v>
      </c>
      <c r="E266" s="28" t="s">
        <v>77</v>
      </c>
      <c r="F266" s="20">
        <v>0</v>
      </c>
      <c r="G266" s="20">
        <v>0</v>
      </c>
      <c r="H266" s="21"/>
    </row>
    <row r="267" spans="1:8" ht="55.2" x14ac:dyDescent="0.25">
      <c r="A267" s="69"/>
      <c r="B267" s="70"/>
      <c r="C267" s="52" t="s">
        <v>78</v>
      </c>
      <c r="D267" s="46" t="s">
        <v>76</v>
      </c>
      <c r="E267" s="28" t="s">
        <v>79</v>
      </c>
      <c r="F267" s="20">
        <v>0</v>
      </c>
      <c r="G267" s="20">
        <v>0</v>
      </c>
      <c r="H267" s="21"/>
    </row>
    <row r="268" spans="1:8" ht="27.6" x14ac:dyDescent="0.25">
      <c r="A268" s="69"/>
      <c r="B268" s="70"/>
      <c r="C268" s="52" t="s">
        <v>80</v>
      </c>
      <c r="D268" s="46" t="s">
        <v>76</v>
      </c>
      <c r="E268" s="28" t="s">
        <v>81</v>
      </c>
      <c r="F268" s="20">
        <v>0</v>
      </c>
      <c r="G268" s="20">
        <v>16.678000000000001</v>
      </c>
      <c r="H268" s="21"/>
    </row>
    <row r="269" spans="1:8" ht="110.4" x14ac:dyDescent="0.25">
      <c r="A269" s="69"/>
      <c r="B269" s="70"/>
      <c r="C269" s="52" t="s">
        <v>82</v>
      </c>
      <c r="D269" s="46" t="s">
        <v>83</v>
      </c>
      <c r="E269" s="29" t="s">
        <v>84</v>
      </c>
      <c r="F269" s="20">
        <v>0</v>
      </c>
      <c r="G269" s="20">
        <v>0</v>
      </c>
      <c r="H269" s="21"/>
    </row>
    <row r="270" spans="1:8" ht="124.2" x14ac:dyDescent="0.25">
      <c r="A270" s="69"/>
      <c r="B270" s="70"/>
      <c r="C270" s="52" t="s">
        <v>82</v>
      </c>
      <c r="D270" s="46" t="s">
        <v>85</v>
      </c>
      <c r="E270" s="29" t="s">
        <v>86</v>
      </c>
      <c r="F270" s="20">
        <v>0</v>
      </c>
      <c r="G270" s="20">
        <v>0</v>
      </c>
      <c r="H270" s="21"/>
    </row>
    <row r="271" spans="1:8" ht="96.6" x14ac:dyDescent="0.25">
      <c r="A271" s="69"/>
      <c r="B271" s="70"/>
      <c r="C271" s="52" t="s">
        <v>95</v>
      </c>
      <c r="D271" s="46" t="s">
        <v>21</v>
      </c>
      <c r="E271" s="28" t="s">
        <v>96</v>
      </c>
      <c r="F271" s="20">
        <v>0</v>
      </c>
      <c r="G271" s="20">
        <v>0</v>
      </c>
      <c r="H271" s="21"/>
    </row>
    <row r="272" spans="1:8" ht="69" x14ac:dyDescent="0.25">
      <c r="A272" s="69"/>
      <c r="B272" s="70"/>
      <c r="C272" s="52" t="s">
        <v>97</v>
      </c>
      <c r="D272" s="46" t="s">
        <v>21</v>
      </c>
      <c r="E272" s="28" t="s">
        <v>98</v>
      </c>
      <c r="F272" s="20">
        <v>0</v>
      </c>
      <c r="G272" s="20">
        <v>0</v>
      </c>
      <c r="H272" s="21"/>
    </row>
    <row r="273" spans="1:8" ht="82.8" x14ac:dyDescent="0.25">
      <c r="A273" s="69"/>
      <c r="B273" s="70"/>
      <c r="C273" s="52" t="s">
        <v>390</v>
      </c>
      <c r="D273" s="46" t="s">
        <v>21</v>
      </c>
      <c r="E273" s="28" t="s">
        <v>391</v>
      </c>
      <c r="F273" s="20">
        <v>0</v>
      </c>
      <c r="G273" s="20">
        <v>603.67499999999995</v>
      </c>
      <c r="H273" s="21"/>
    </row>
    <row r="274" spans="1:8" ht="55.2" x14ac:dyDescent="0.25">
      <c r="A274" s="69"/>
      <c r="B274" s="70"/>
      <c r="C274" s="52" t="s">
        <v>32</v>
      </c>
      <c r="D274" s="46" t="s">
        <v>21</v>
      </c>
      <c r="E274" s="28" t="s">
        <v>33</v>
      </c>
      <c r="F274" s="20">
        <v>20.5</v>
      </c>
      <c r="G274" s="20">
        <v>101.59399999999999</v>
      </c>
      <c r="H274" s="21">
        <f t="shared" si="3"/>
        <v>495.58048780487798</v>
      </c>
    </row>
    <row r="275" spans="1:8" ht="41.4" x14ac:dyDescent="0.25">
      <c r="A275" s="69"/>
      <c r="B275" s="70"/>
      <c r="C275" s="52" t="s">
        <v>99</v>
      </c>
      <c r="D275" s="46" t="s">
        <v>100</v>
      </c>
      <c r="E275" s="28" t="s">
        <v>101</v>
      </c>
      <c r="F275" s="20">
        <v>0</v>
      </c>
      <c r="G275" s="20">
        <v>0</v>
      </c>
      <c r="H275" s="21"/>
    </row>
    <row r="276" spans="1:8" ht="27.6" x14ac:dyDescent="0.25">
      <c r="A276" s="69"/>
      <c r="B276" s="70"/>
      <c r="C276" s="52" t="s">
        <v>102</v>
      </c>
      <c r="D276" s="46" t="s">
        <v>100</v>
      </c>
      <c r="E276" s="28" t="s">
        <v>103</v>
      </c>
      <c r="F276" s="20">
        <v>0</v>
      </c>
      <c r="G276" s="20">
        <v>0</v>
      </c>
      <c r="H276" s="21"/>
    </row>
    <row r="277" spans="1:8" ht="41.4" x14ac:dyDescent="0.25">
      <c r="A277" s="69"/>
      <c r="B277" s="70"/>
      <c r="C277" s="52" t="s">
        <v>198</v>
      </c>
      <c r="D277" s="46" t="s">
        <v>182</v>
      </c>
      <c r="E277" s="28" t="s">
        <v>199</v>
      </c>
      <c r="F277" s="20">
        <f>3050-3050</f>
        <v>0</v>
      </c>
      <c r="G277" s="20">
        <v>0</v>
      </c>
      <c r="H277" s="21"/>
    </row>
    <row r="278" spans="1:8" ht="41.4" x14ac:dyDescent="0.25">
      <c r="A278" s="69"/>
      <c r="B278" s="70"/>
      <c r="C278" s="52" t="s">
        <v>256</v>
      </c>
      <c r="D278" s="46" t="s">
        <v>182</v>
      </c>
      <c r="E278" s="28" t="s">
        <v>257</v>
      </c>
      <c r="F278" s="20">
        <v>629.1</v>
      </c>
      <c r="G278" s="20">
        <v>754.1</v>
      </c>
      <c r="H278" s="21">
        <f t="shared" si="3"/>
        <v>119.8696550627881</v>
      </c>
    </row>
    <row r="279" spans="1:8" ht="27.6" x14ac:dyDescent="0.25">
      <c r="A279" s="69"/>
      <c r="B279" s="70"/>
      <c r="C279" s="52" t="s">
        <v>104</v>
      </c>
      <c r="D279" s="46" t="s">
        <v>100</v>
      </c>
      <c r="E279" s="28" t="s">
        <v>105</v>
      </c>
      <c r="F279" s="20">
        <v>0</v>
      </c>
      <c r="G279" s="20">
        <v>0</v>
      </c>
      <c r="H279" s="21"/>
    </row>
    <row r="280" spans="1:8" ht="55.2" x14ac:dyDescent="0.25">
      <c r="A280" s="69"/>
      <c r="B280" s="70"/>
      <c r="C280" s="52" t="s">
        <v>194</v>
      </c>
      <c r="D280" s="46" t="s">
        <v>182</v>
      </c>
      <c r="E280" s="28" t="s">
        <v>195</v>
      </c>
      <c r="F280" s="20">
        <v>0</v>
      </c>
      <c r="G280" s="20">
        <v>0</v>
      </c>
      <c r="H280" s="21"/>
    </row>
    <row r="281" spans="1:8" x14ac:dyDescent="0.25">
      <c r="A281" s="23" t="s">
        <v>250</v>
      </c>
      <c r="B281" s="24" t="s">
        <v>29</v>
      </c>
      <c r="C281" s="53"/>
      <c r="D281" s="43"/>
      <c r="E281" s="25"/>
      <c r="F281" s="26">
        <f>SUM(F264:F280)</f>
        <v>649.6</v>
      </c>
      <c r="G281" s="26">
        <f>SUM(G264:G280)</f>
        <v>1476.047</v>
      </c>
      <c r="H281" s="21">
        <f t="shared" si="3"/>
        <v>227.22398399014776</v>
      </c>
    </row>
    <row r="282" spans="1:8" ht="110.4" x14ac:dyDescent="0.25">
      <c r="A282" s="69" t="s">
        <v>258</v>
      </c>
      <c r="B282" s="70" t="s">
        <v>259</v>
      </c>
      <c r="C282" s="52" t="s">
        <v>252</v>
      </c>
      <c r="D282" s="46" t="s">
        <v>8</v>
      </c>
      <c r="E282" s="29" t="s">
        <v>253</v>
      </c>
      <c r="F282" s="20">
        <v>0</v>
      </c>
      <c r="G282" s="20">
        <v>0</v>
      </c>
      <c r="H282" s="21"/>
    </row>
    <row r="283" spans="1:8" ht="110.4" x14ac:dyDescent="0.25">
      <c r="A283" s="69"/>
      <c r="B283" s="70"/>
      <c r="C283" s="52" t="s">
        <v>254</v>
      </c>
      <c r="D283" s="46" t="s">
        <v>8</v>
      </c>
      <c r="E283" s="28" t="s">
        <v>255</v>
      </c>
      <c r="F283" s="20">
        <v>0</v>
      </c>
      <c r="G283" s="20">
        <v>0</v>
      </c>
      <c r="H283" s="21"/>
    </row>
    <row r="284" spans="1:8" ht="41.4" x14ac:dyDescent="0.25">
      <c r="A284" s="69"/>
      <c r="B284" s="70"/>
      <c r="C284" s="52" t="s">
        <v>75</v>
      </c>
      <c r="D284" s="46" t="s">
        <v>76</v>
      </c>
      <c r="E284" s="28" t="s">
        <v>77</v>
      </c>
      <c r="F284" s="20">
        <v>0</v>
      </c>
      <c r="G284" s="20">
        <v>0</v>
      </c>
      <c r="H284" s="21"/>
    </row>
    <row r="285" spans="1:8" ht="55.2" x14ac:dyDescent="0.25">
      <c r="A285" s="69"/>
      <c r="B285" s="70"/>
      <c r="C285" s="52" t="s">
        <v>78</v>
      </c>
      <c r="D285" s="46" t="s">
        <v>76</v>
      </c>
      <c r="E285" s="28" t="s">
        <v>79</v>
      </c>
      <c r="F285" s="20">
        <v>0</v>
      </c>
      <c r="G285" s="20">
        <v>0</v>
      </c>
      <c r="H285" s="21"/>
    </row>
    <row r="286" spans="1:8" ht="27.6" x14ac:dyDescent="0.25">
      <c r="A286" s="69"/>
      <c r="B286" s="70"/>
      <c r="C286" s="52" t="s">
        <v>80</v>
      </c>
      <c r="D286" s="46" t="s">
        <v>76</v>
      </c>
      <c r="E286" s="28" t="s">
        <v>81</v>
      </c>
      <c r="F286" s="20">
        <v>0</v>
      </c>
      <c r="G286" s="20">
        <v>200.84299999999999</v>
      </c>
      <c r="H286" s="21"/>
    </row>
    <row r="287" spans="1:8" ht="110.4" x14ac:dyDescent="0.25">
      <c r="A287" s="69"/>
      <c r="B287" s="70"/>
      <c r="C287" s="52" t="s">
        <v>82</v>
      </c>
      <c r="D287" s="46" t="s">
        <v>83</v>
      </c>
      <c r="E287" s="29" t="s">
        <v>84</v>
      </c>
      <c r="F287" s="20">
        <v>0</v>
      </c>
      <c r="G287" s="20">
        <v>0</v>
      </c>
      <c r="H287" s="21"/>
    </row>
    <row r="288" spans="1:8" ht="124.2" x14ac:dyDescent="0.25">
      <c r="A288" s="69"/>
      <c r="B288" s="70"/>
      <c r="C288" s="52" t="s">
        <v>82</v>
      </c>
      <c r="D288" s="46" t="s">
        <v>85</v>
      </c>
      <c r="E288" s="29" t="s">
        <v>86</v>
      </c>
      <c r="F288" s="20">
        <v>0</v>
      </c>
      <c r="G288" s="20">
        <v>0</v>
      </c>
      <c r="H288" s="21"/>
    </row>
    <row r="289" spans="1:8" ht="96.6" x14ac:dyDescent="0.25">
      <c r="A289" s="69"/>
      <c r="B289" s="70"/>
      <c r="C289" s="52" t="s">
        <v>95</v>
      </c>
      <c r="D289" s="46" t="s">
        <v>21</v>
      </c>
      <c r="E289" s="28" t="s">
        <v>96</v>
      </c>
      <c r="F289" s="20">
        <v>0</v>
      </c>
      <c r="G289" s="20">
        <v>0</v>
      </c>
      <c r="H289" s="21"/>
    </row>
    <row r="290" spans="1:8" ht="69" x14ac:dyDescent="0.25">
      <c r="A290" s="69"/>
      <c r="B290" s="70"/>
      <c r="C290" s="52" t="s">
        <v>97</v>
      </c>
      <c r="D290" s="46" t="s">
        <v>21</v>
      </c>
      <c r="E290" s="28" t="s">
        <v>98</v>
      </c>
      <c r="F290" s="20">
        <v>0</v>
      </c>
      <c r="G290" s="20">
        <v>0</v>
      </c>
      <c r="H290" s="21"/>
    </row>
    <row r="291" spans="1:8" ht="82.8" x14ac:dyDescent="0.25">
      <c r="A291" s="69"/>
      <c r="B291" s="70"/>
      <c r="C291" s="52" t="s">
        <v>390</v>
      </c>
      <c r="D291" s="46" t="s">
        <v>21</v>
      </c>
      <c r="E291" s="28" t="s">
        <v>391</v>
      </c>
      <c r="F291" s="20">
        <v>0</v>
      </c>
      <c r="G291" s="20">
        <v>40.6</v>
      </c>
      <c r="H291" s="21"/>
    </row>
    <row r="292" spans="1:8" ht="55.2" x14ac:dyDescent="0.25">
      <c r="A292" s="69"/>
      <c r="B292" s="70"/>
      <c r="C292" s="52" t="s">
        <v>32</v>
      </c>
      <c r="D292" s="46" t="s">
        <v>21</v>
      </c>
      <c r="E292" s="28" t="s">
        <v>33</v>
      </c>
      <c r="F292" s="20">
        <v>51.4</v>
      </c>
      <c r="G292" s="20">
        <v>292.73399999999998</v>
      </c>
      <c r="H292" s="21">
        <f t="shared" si="3"/>
        <v>569.52140077821014</v>
      </c>
    </row>
    <row r="293" spans="1:8" ht="41.4" x14ac:dyDescent="0.25">
      <c r="A293" s="69"/>
      <c r="B293" s="70"/>
      <c r="C293" s="52" t="s">
        <v>99</v>
      </c>
      <c r="D293" s="46" t="s">
        <v>100</v>
      </c>
      <c r="E293" s="28" t="s">
        <v>101</v>
      </c>
      <c r="F293" s="20">
        <v>0</v>
      </c>
      <c r="G293" s="20">
        <v>-1.2749999999999999</v>
      </c>
      <c r="H293" s="21"/>
    </row>
    <row r="294" spans="1:8" ht="27.6" x14ac:dyDescent="0.25">
      <c r="A294" s="69"/>
      <c r="B294" s="70"/>
      <c r="C294" s="52" t="s">
        <v>102</v>
      </c>
      <c r="D294" s="46" t="s">
        <v>100</v>
      </c>
      <c r="E294" s="28" t="s">
        <v>103</v>
      </c>
      <c r="F294" s="20">
        <v>0</v>
      </c>
      <c r="G294" s="20">
        <v>0</v>
      </c>
      <c r="H294" s="21"/>
    </row>
    <row r="295" spans="1:8" ht="41.4" x14ac:dyDescent="0.25">
      <c r="A295" s="69"/>
      <c r="B295" s="70"/>
      <c r="C295" s="52" t="s">
        <v>198</v>
      </c>
      <c r="D295" s="46" t="s">
        <v>182</v>
      </c>
      <c r="E295" s="28" t="s">
        <v>199</v>
      </c>
      <c r="F295" s="20">
        <f>4600-4600</f>
        <v>0</v>
      </c>
      <c r="G295" s="20">
        <v>0</v>
      </c>
      <c r="H295" s="21"/>
    </row>
    <row r="296" spans="1:8" ht="41.4" x14ac:dyDescent="0.25">
      <c r="A296" s="69"/>
      <c r="B296" s="70"/>
      <c r="C296" s="52" t="s">
        <v>256</v>
      </c>
      <c r="D296" s="46" t="s">
        <v>182</v>
      </c>
      <c r="E296" s="28" t="s">
        <v>257</v>
      </c>
      <c r="F296" s="20">
        <v>1740</v>
      </c>
      <c r="G296" s="20">
        <v>2359.1999999999998</v>
      </c>
      <c r="H296" s="21">
        <f t="shared" si="3"/>
        <v>135.58620689655172</v>
      </c>
    </row>
    <row r="297" spans="1:8" ht="27.6" x14ac:dyDescent="0.25">
      <c r="A297" s="69"/>
      <c r="B297" s="70"/>
      <c r="C297" s="52" t="s">
        <v>104</v>
      </c>
      <c r="D297" s="46" t="s">
        <v>100</v>
      </c>
      <c r="E297" s="28" t="s">
        <v>105</v>
      </c>
      <c r="F297" s="20">
        <v>0</v>
      </c>
      <c r="G297" s="20">
        <v>0</v>
      </c>
      <c r="H297" s="21"/>
    </row>
    <row r="298" spans="1:8" ht="55.2" x14ac:dyDescent="0.25">
      <c r="A298" s="69"/>
      <c r="B298" s="70"/>
      <c r="C298" s="52" t="s">
        <v>194</v>
      </c>
      <c r="D298" s="46" t="s">
        <v>182</v>
      </c>
      <c r="E298" s="28" t="s">
        <v>195</v>
      </c>
      <c r="F298" s="20">
        <v>0</v>
      </c>
      <c r="G298" s="20">
        <v>-28.553000000000001</v>
      </c>
      <c r="H298" s="21"/>
    </row>
    <row r="299" spans="1:8" x14ac:dyDescent="0.25">
      <c r="A299" s="23" t="s">
        <v>258</v>
      </c>
      <c r="B299" s="24" t="s">
        <v>29</v>
      </c>
      <c r="C299" s="53"/>
      <c r="D299" s="43"/>
      <c r="E299" s="25"/>
      <c r="F299" s="26">
        <f>SUM(F282:F298)</f>
        <v>1791.4</v>
      </c>
      <c r="G299" s="26">
        <f>SUM(G282:G298)</f>
        <v>2863.549</v>
      </c>
      <c r="H299" s="21">
        <f t="shared" si="3"/>
        <v>159.84978229317849</v>
      </c>
    </row>
    <row r="300" spans="1:8" ht="110.4" x14ac:dyDescent="0.25">
      <c r="A300" s="69" t="s">
        <v>260</v>
      </c>
      <c r="B300" s="70" t="s">
        <v>261</v>
      </c>
      <c r="C300" s="52" t="s">
        <v>252</v>
      </c>
      <c r="D300" s="46" t="s">
        <v>8</v>
      </c>
      <c r="E300" s="29" t="s">
        <v>253</v>
      </c>
      <c r="F300" s="20">
        <v>0</v>
      </c>
      <c r="G300" s="20">
        <v>0</v>
      </c>
      <c r="H300" s="21"/>
    </row>
    <row r="301" spans="1:8" ht="110.4" x14ac:dyDescent="0.25">
      <c r="A301" s="69"/>
      <c r="B301" s="70"/>
      <c r="C301" s="52" t="s">
        <v>254</v>
      </c>
      <c r="D301" s="46" t="s">
        <v>8</v>
      </c>
      <c r="E301" s="28" t="s">
        <v>255</v>
      </c>
      <c r="F301" s="20">
        <v>0</v>
      </c>
      <c r="G301" s="20">
        <v>0</v>
      </c>
      <c r="H301" s="21"/>
    </row>
    <row r="302" spans="1:8" ht="41.4" x14ac:dyDescent="0.25">
      <c r="A302" s="69"/>
      <c r="B302" s="70"/>
      <c r="C302" s="52" t="s">
        <v>75</v>
      </c>
      <c r="D302" s="46" t="s">
        <v>76</v>
      </c>
      <c r="E302" s="28" t="s">
        <v>77</v>
      </c>
      <c r="F302" s="20">
        <v>0</v>
      </c>
      <c r="G302" s="20">
        <v>0</v>
      </c>
      <c r="H302" s="21"/>
    </row>
    <row r="303" spans="1:8" ht="55.2" x14ac:dyDescent="0.25">
      <c r="A303" s="69"/>
      <c r="B303" s="70"/>
      <c r="C303" s="52" t="s">
        <v>78</v>
      </c>
      <c r="D303" s="46" t="s">
        <v>76</v>
      </c>
      <c r="E303" s="28" t="s">
        <v>79</v>
      </c>
      <c r="F303" s="20">
        <v>0</v>
      </c>
      <c r="G303" s="20">
        <v>0</v>
      </c>
      <c r="H303" s="21"/>
    </row>
    <row r="304" spans="1:8" ht="27.6" x14ac:dyDescent="0.25">
      <c r="A304" s="69"/>
      <c r="B304" s="70"/>
      <c r="C304" s="52" t="s">
        <v>80</v>
      </c>
      <c r="D304" s="46" t="s">
        <v>76</v>
      </c>
      <c r="E304" s="28" t="s">
        <v>81</v>
      </c>
      <c r="F304" s="20">
        <v>0</v>
      </c>
      <c r="G304" s="20">
        <v>352.65600000000001</v>
      </c>
      <c r="H304" s="21"/>
    </row>
    <row r="305" spans="1:8" ht="110.4" x14ac:dyDescent="0.25">
      <c r="A305" s="69"/>
      <c r="B305" s="70"/>
      <c r="C305" s="52" t="s">
        <v>82</v>
      </c>
      <c r="D305" s="46" t="s">
        <v>83</v>
      </c>
      <c r="E305" s="29" t="s">
        <v>84</v>
      </c>
      <c r="F305" s="20">
        <v>0</v>
      </c>
      <c r="G305" s="20">
        <v>0</v>
      </c>
      <c r="H305" s="21"/>
    </row>
    <row r="306" spans="1:8" ht="124.2" x14ac:dyDescent="0.25">
      <c r="A306" s="69"/>
      <c r="B306" s="70"/>
      <c r="C306" s="52" t="s">
        <v>82</v>
      </c>
      <c r="D306" s="46" t="s">
        <v>85</v>
      </c>
      <c r="E306" s="29" t="s">
        <v>86</v>
      </c>
      <c r="F306" s="20">
        <v>0</v>
      </c>
      <c r="G306" s="20">
        <v>0</v>
      </c>
      <c r="H306" s="21"/>
    </row>
    <row r="307" spans="1:8" ht="96.6" x14ac:dyDescent="0.25">
      <c r="A307" s="69"/>
      <c r="B307" s="70"/>
      <c r="C307" s="52" t="s">
        <v>95</v>
      </c>
      <c r="D307" s="46" t="s">
        <v>21</v>
      </c>
      <c r="E307" s="28" t="s">
        <v>96</v>
      </c>
      <c r="F307" s="20">
        <v>0</v>
      </c>
      <c r="G307" s="20">
        <v>0</v>
      </c>
      <c r="H307" s="21"/>
    </row>
    <row r="308" spans="1:8" ht="69" x14ac:dyDescent="0.25">
      <c r="A308" s="69"/>
      <c r="B308" s="70"/>
      <c r="C308" s="52" t="s">
        <v>97</v>
      </c>
      <c r="D308" s="46" t="s">
        <v>21</v>
      </c>
      <c r="E308" s="28" t="s">
        <v>98</v>
      </c>
      <c r="F308" s="20">
        <v>0</v>
      </c>
      <c r="G308" s="20">
        <v>0</v>
      </c>
      <c r="H308" s="21"/>
    </row>
    <row r="309" spans="1:8" ht="82.8" x14ac:dyDescent="0.25">
      <c r="A309" s="69"/>
      <c r="B309" s="70"/>
      <c r="C309" s="52" t="s">
        <v>390</v>
      </c>
      <c r="D309" s="46" t="s">
        <v>21</v>
      </c>
      <c r="E309" s="28" t="s">
        <v>391</v>
      </c>
      <c r="F309" s="20">
        <v>0</v>
      </c>
      <c r="G309" s="20">
        <v>1993.0450000000001</v>
      </c>
      <c r="H309" s="21"/>
    </row>
    <row r="310" spans="1:8" ht="55.2" x14ac:dyDescent="0.25">
      <c r="A310" s="69"/>
      <c r="B310" s="70"/>
      <c r="C310" s="52" t="s">
        <v>32</v>
      </c>
      <c r="D310" s="46" t="s">
        <v>21</v>
      </c>
      <c r="E310" s="28" t="s">
        <v>33</v>
      </c>
      <c r="F310" s="20">
        <v>54.7</v>
      </c>
      <c r="G310" s="20">
        <v>2451.8339999999998</v>
      </c>
      <c r="H310" s="21">
        <f t="shared" ref="H310:H368" si="4">G310/F310*100</f>
        <v>4482.3290676416809</v>
      </c>
    </row>
    <row r="311" spans="1:8" ht="41.4" x14ac:dyDescent="0.25">
      <c r="A311" s="69"/>
      <c r="B311" s="70"/>
      <c r="C311" s="52" t="s">
        <v>99</v>
      </c>
      <c r="D311" s="46" t="s">
        <v>100</v>
      </c>
      <c r="E311" s="28" t="s">
        <v>101</v>
      </c>
      <c r="F311" s="20">
        <v>0</v>
      </c>
      <c r="G311" s="20">
        <v>-0.74299999999999999</v>
      </c>
      <c r="H311" s="21"/>
    </row>
    <row r="312" spans="1:8" ht="27.6" x14ac:dyDescent="0.25">
      <c r="A312" s="69"/>
      <c r="B312" s="70"/>
      <c r="C312" s="52" t="s">
        <v>102</v>
      </c>
      <c r="D312" s="46" t="s">
        <v>100</v>
      </c>
      <c r="E312" s="28" t="s">
        <v>103</v>
      </c>
      <c r="F312" s="20">
        <v>0</v>
      </c>
      <c r="G312" s="20">
        <v>0</v>
      </c>
      <c r="H312" s="21"/>
    </row>
    <row r="313" spans="1:8" ht="41.4" x14ac:dyDescent="0.25">
      <c r="A313" s="69"/>
      <c r="B313" s="70"/>
      <c r="C313" s="52" t="s">
        <v>198</v>
      </c>
      <c r="D313" s="46" t="s">
        <v>182</v>
      </c>
      <c r="E313" s="28" t="s">
        <v>199</v>
      </c>
      <c r="F313" s="20">
        <f>4600-4600</f>
        <v>0</v>
      </c>
      <c r="G313" s="20">
        <v>0</v>
      </c>
      <c r="H313" s="21"/>
    </row>
    <row r="314" spans="1:8" ht="41.4" x14ac:dyDescent="0.25">
      <c r="A314" s="69"/>
      <c r="B314" s="70"/>
      <c r="C314" s="52" t="s">
        <v>256</v>
      </c>
      <c r="D314" s="46" t="s">
        <v>182</v>
      </c>
      <c r="E314" s="28" t="s">
        <v>257</v>
      </c>
      <c r="F314" s="20">
        <v>1740</v>
      </c>
      <c r="G314" s="20">
        <v>2137.5</v>
      </c>
      <c r="H314" s="21">
        <f t="shared" si="4"/>
        <v>122.84482758620689</v>
      </c>
    </row>
    <row r="315" spans="1:8" ht="27.6" x14ac:dyDescent="0.25">
      <c r="A315" s="69"/>
      <c r="B315" s="70"/>
      <c r="C315" s="52" t="s">
        <v>104</v>
      </c>
      <c r="D315" s="46" t="s">
        <v>100</v>
      </c>
      <c r="E315" s="28" t="s">
        <v>105</v>
      </c>
      <c r="F315" s="20">
        <v>0</v>
      </c>
      <c r="G315" s="20">
        <v>0</v>
      </c>
      <c r="H315" s="21"/>
    </row>
    <row r="316" spans="1:8" ht="55.2" x14ac:dyDescent="0.25">
      <c r="A316" s="69"/>
      <c r="B316" s="70"/>
      <c r="C316" s="52" t="s">
        <v>194</v>
      </c>
      <c r="D316" s="46" t="s">
        <v>182</v>
      </c>
      <c r="E316" s="28" t="s">
        <v>195</v>
      </c>
      <c r="F316" s="20">
        <v>0</v>
      </c>
      <c r="G316" s="20">
        <v>-36.173999999999999</v>
      </c>
      <c r="H316" s="21"/>
    </row>
    <row r="317" spans="1:8" x14ac:dyDescent="0.25">
      <c r="A317" s="23" t="s">
        <v>260</v>
      </c>
      <c r="B317" s="24" t="s">
        <v>29</v>
      </c>
      <c r="C317" s="53"/>
      <c r="D317" s="43"/>
      <c r="E317" s="25"/>
      <c r="F317" s="26">
        <f>SUM(F300:F316)</f>
        <v>1794.7</v>
      </c>
      <c r="G317" s="26">
        <f>SUM(G300:G316)</f>
        <v>6898.1179999999995</v>
      </c>
      <c r="H317" s="21">
        <f t="shared" si="4"/>
        <v>384.36050593413938</v>
      </c>
    </row>
    <row r="318" spans="1:8" ht="110.4" x14ac:dyDescent="0.25">
      <c r="A318" s="69" t="s">
        <v>262</v>
      </c>
      <c r="B318" s="70" t="s">
        <v>263</v>
      </c>
      <c r="C318" s="52" t="s">
        <v>252</v>
      </c>
      <c r="D318" s="46" t="s">
        <v>8</v>
      </c>
      <c r="E318" s="29" t="s">
        <v>253</v>
      </c>
      <c r="F318" s="20">
        <v>0</v>
      </c>
      <c r="G318" s="20">
        <v>0</v>
      </c>
      <c r="H318" s="21"/>
    </row>
    <row r="319" spans="1:8" ht="110.4" x14ac:dyDescent="0.25">
      <c r="A319" s="69"/>
      <c r="B319" s="70"/>
      <c r="C319" s="52" t="s">
        <v>254</v>
      </c>
      <c r="D319" s="46" t="s">
        <v>8</v>
      </c>
      <c r="E319" s="28" t="s">
        <v>255</v>
      </c>
      <c r="F319" s="20">
        <v>0</v>
      </c>
      <c r="G319" s="20">
        <v>0</v>
      </c>
      <c r="H319" s="21"/>
    </row>
    <row r="320" spans="1:8" ht="41.4" x14ac:dyDescent="0.25">
      <c r="A320" s="69"/>
      <c r="B320" s="70"/>
      <c r="C320" s="52" t="s">
        <v>75</v>
      </c>
      <c r="D320" s="46" t="s">
        <v>76</v>
      </c>
      <c r="E320" s="28" t="s">
        <v>77</v>
      </c>
      <c r="F320" s="20">
        <v>0</v>
      </c>
      <c r="G320" s="20">
        <v>0</v>
      </c>
      <c r="H320" s="21"/>
    </row>
    <row r="321" spans="1:8" ht="55.2" x14ac:dyDescent="0.25">
      <c r="A321" s="69"/>
      <c r="B321" s="70"/>
      <c r="C321" s="52" t="s">
        <v>78</v>
      </c>
      <c r="D321" s="46" t="s">
        <v>76</v>
      </c>
      <c r="E321" s="28" t="s">
        <v>79</v>
      </c>
      <c r="F321" s="20">
        <v>0</v>
      </c>
      <c r="G321" s="20">
        <v>0</v>
      </c>
      <c r="H321" s="21"/>
    </row>
    <row r="322" spans="1:8" ht="27.6" x14ac:dyDescent="0.25">
      <c r="A322" s="69"/>
      <c r="B322" s="70"/>
      <c r="C322" s="52" t="s">
        <v>80</v>
      </c>
      <c r="D322" s="46" t="s">
        <v>76</v>
      </c>
      <c r="E322" s="28" t="s">
        <v>81</v>
      </c>
      <c r="F322" s="20">
        <v>0</v>
      </c>
      <c r="G322" s="20">
        <v>206.88399999999999</v>
      </c>
      <c r="H322" s="21"/>
    </row>
    <row r="323" spans="1:8" ht="110.4" x14ac:dyDescent="0.25">
      <c r="A323" s="69"/>
      <c r="B323" s="70"/>
      <c r="C323" s="52" t="s">
        <v>82</v>
      </c>
      <c r="D323" s="46" t="s">
        <v>83</v>
      </c>
      <c r="E323" s="29" t="s">
        <v>84</v>
      </c>
      <c r="F323" s="20">
        <v>0</v>
      </c>
      <c r="G323" s="20">
        <v>0</v>
      </c>
      <c r="H323" s="21"/>
    </row>
    <row r="324" spans="1:8" ht="124.2" x14ac:dyDescent="0.25">
      <c r="A324" s="69"/>
      <c r="B324" s="70"/>
      <c r="C324" s="52" t="s">
        <v>82</v>
      </c>
      <c r="D324" s="46" t="s">
        <v>85</v>
      </c>
      <c r="E324" s="29" t="s">
        <v>86</v>
      </c>
      <c r="F324" s="20">
        <v>0</v>
      </c>
      <c r="G324" s="20">
        <v>0</v>
      </c>
      <c r="H324" s="21"/>
    </row>
    <row r="325" spans="1:8" ht="96.6" x14ac:dyDescent="0.25">
      <c r="A325" s="69"/>
      <c r="B325" s="70"/>
      <c r="C325" s="52" t="s">
        <v>95</v>
      </c>
      <c r="D325" s="46" t="s">
        <v>21</v>
      </c>
      <c r="E325" s="28" t="s">
        <v>96</v>
      </c>
      <c r="F325" s="20">
        <v>0</v>
      </c>
      <c r="G325" s="20">
        <v>0</v>
      </c>
      <c r="H325" s="21"/>
    </row>
    <row r="326" spans="1:8" ht="69" x14ac:dyDescent="0.25">
      <c r="A326" s="69"/>
      <c r="B326" s="70"/>
      <c r="C326" s="52" t="s">
        <v>97</v>
      </c>
      <c r="D326" s="46" t="s">
        <v>21</v>
      </c>
      <c r="E326" s="28" t="s">
        <v>98</v>
      </c>
      <c r="F326" s="20">
        <v>0</v>
      </c>
      <c r="G326" s="20">
        <v>0</v>
      </c>
      <c r="H326" s="21"/>
    </row>
    <row r="327" spans="1:8" ht="82.8" x14ac:dyDescent="0.25">
      <c r="A327" s="69"/>
      <c r="B327" s="70"/>
      <c r="C327" s="52" t="s">
        <v>390</v>
      </c>
      <c r="D327" s="46" t="s">
        <v>21</v>
      </c>
      <c r="E327" s="28" t="s">
        <v>391</v>
      </c>
      <c r="F327" s="20">
        <v>0</v>
      </c>
      <c r="G327" s="20">
        <v>13.234</v>
      </c>
      <c r="H327" s="21"/>
    </row>
    <row r="328" spans="1:8" ht="55.2" x14ac:dyDescent="0.25">
      <c r="A328" s="69"/>
      <c r="B328" s="70"/>
      <c r="C328" s="52" t="s">
        <v>32</v>
      </c>
      <c r="D328" s="46" t="s">
        <v>21</v>
      </c>
      <c r="E328" s="28" t="s">
        <v>33</v>
      </c>
      <c r="F328" s="20">
        <v>35</v>
      </c>
      <c r="G328" s="20">
        <v>70.460999999999999</v>
      </c>
      <c r="H328" s="21">
        <f t="shared" si="4"/>
        <v>201.31714285714284</v>
      </c>
    </row>
    <row r="329" spans="1:8" ht="41.4" x14ac:dyDescent="0.25">
      <c r="A329" s="69"/>
      <c r="B329" s="70"/>
      <c r="C329" s="52" t="s">
        <v>99</v>
      </c>
      <c r="D329" s="46" t="s">
        <v>100</v>
      </c>
      <c r="E329" s="28" t="s">
        <v>101</v>
      </c>
      <c r="F329" s="20">
        <v>0</v>
      </c>
      <c r="G329" s="20">
        <v>0</v>
      </c>
      <c r="H329" s="21"/>
    </row>
    <row r="330" spans="1:8" ht="27.6" x14ac:dyDescent="0.25">
      <c r="A330" s="69"/>
      <c r="B330" s="70"/>
      <c r="C330" s="52" t="s">
        <v>102</v>
      </c>
      <c r="D330" s="46" t="s">
        <v>100</v>
      </c>
      <c r="E330" s="28" t="s">
        <v>103</v>
      </c>
      <c r="F330" s="20">
        <v>0</v>
      </c>
      <c r="G330" s="20">
        <v>0</v>
      </c>
      <c r="H330" s="21"/>
    </row>
    <row r="331" spans="1:8" ht="41.4" x14ac:dyDescent="0.25">
      <c r="A331" s="69"/>
      <c r="B331" s="70"/>
      <c r="C331" s="52" t="s">
        <v>198</v>
      </c>
      <c r="D331" s="46" t="s">
        <v>182</v>
      </c>
      <c r="E331" s="28" t="s">
        <v>199</v>
      </c>
      <c r="F331" s="20">
        <f>3600-3600</f>
        <v>0</v>
      </c>
      <c r="G331" s="20">
        <v>0</v>
      </c>
      <c r="H331" s="21"/>
    </row>
    <row r="332" spans="1:8" ht="41.4" x14ac:dyDescent="0.25">
      <c r="A332" s="69"/>
      <c r="B332" s="70"/>
      <c r="C332" s="52" t="s">
        <v>256</v>
      </c>
      <c r="D332" s="46" t="s">
        <v>182</v>
      </c>
      <c r="E332" s="28" t="s">
        <v>257</v>
      </c>
      <c r="F332" s="20">
        <v>1424</v>
      </c>
      <c r="G332" s="20">
        <v>1822.1</v>
      </c>
      <c r="H332" s="21">
        <f t="shared" si="4"/>
        <v>127.95646067415728</v>
      </c>
    </row>
    <row r="333" spans="1:8" ht="27.6" x14ac:dyDescent="0.25">
      <c r="A333" s="69"/>
      <c r="B333" s="70"/>
      <c r="C333" s="52" t="s">
        <v>104</v>
      </c>
      <c r="D333" s="46" t="s">
        <v>100</v>
      </c>
      <c r="E333" s="28" t="s">
        <v>105</v>
      </c>
      <c r="F333" s="20">
        <v>0</v>
      </c>
      <c r="G333" s="20">
        <v>0</v>
      </c>
      <c r="H333" s="21"/>
    </row>
    <row r="334" spans="1:8" ht="41.4" x14ac:dyDescent="0.25">
      <c r="A334" s="69"/>
      <c r="B334" s="70"/>
      <c r="C334" s="52" t="s">
        <v>192</v>
      </c>
      <c r="D334" s="46" t="s">
        <v>100</v>
      </c>
      <c r="E334" s="28" t="s">
        <v>193</v>
      </c>
      <c r="F334" s="20">
        <v>0</v>
      </c>
      <c r="G334" s="20">
        <v>0</v>
      </c>
      <c r="H334" s="21"/>
    </row>
    <row r="335" spans="1:8" ht="55.2" x14ac:dyDescent="0.25">
      <c r="A335" s="69"/>
      <c r="B335" s="70"/>
      <c r="C335" s="52" t="s">
        <v>194</v>
      </c>
      <c r="D335" s="46" t="s">
        <v>182</v>
      </c>
      <c r="E335" s="28" t="s">
        <v>195</v>
      </c>
      <c r="F335" s="20">
        <v>0</v>
      </c>
      <c r="G335" s="20">
        <v>0</v>
      </c>
      <c r="H335" s="21"/>
    </row>
    <row r="336" spans="1:8" x14ac:dyDescent="0.25">
      <c r="A336" s="23" t="s">
        <v>262</v>
      </c>
      <c r="B336" s="24" t="s">
        <v>29</v>
      </c>
      <c r="C336" s="53"/>
      <c r="D336" s="43"/>
      <c r="E336" s="25"/>
      <c r="F336" s="26">
        <f>SUM(F318:F335)</f>
        <v>1459</v>
      </c>
      <c r="G336" s="26">
        <f>SUM(G318:G335)</f>
        <v>2112.6790000000001</v>
      </c>
      <c r="H336" s="21">
        <f t="shared" si="4"/>
        <v>144.80322138450992</v>
      </c>
    </row>
    <row r="337" spans="1:8" ht="110.4" x14ac:dyDescent="0.25">
      <c r="A337" s="69" t="s">
        <v>264</v>
      </c>
      <c r="B337" s="70" t="s">
        <v>265</v>
      </c>
      <c r="C337" s="52" t="s">
        <v>252</v>
      </c>
      <c r="D337" s="46" t="s">
        <v>8</v>
      </c>
      <c r="E337" s="29" t="s">
        <v>253</v>
      </c>
      <c r="F337" s="20">
        <v>0</v>
      </c>
      <c r="G337" s="20">
        <v>166.36799999999999</v>
      </c>
      <c r="H337" s="21"/>
    </row>
    <row r="338" spans="1:8" ht="110.4" x14ac:dyDescent="0.25">
      <c r="A338" s="69"/>
      <c r="B338" s="70"/>
      <c r="C338" s="52" t="s">
        <v>254</v>
      </c>
      <c r="D338" s="46" t="s">
        <v>8</v>
      </c>
      <c r="E338" s="28" t="s">
        <v>255</v>
      </c>
      <c r="F338" s="20">
        <v>0</v>
      </c>
      <c r="G338" s="20">
        <v>0</v>
      </c>
      <c r="H338" s="21"/>
    </row>
    <row r="339" spans="1:8" ht="41.4" x14ac:dyDescent="0.25">
      <c r="A339" s="69"/>
      <c r="B339" s="70"/>
      <c r="C339" s="52" t="s">
        <v>75</v>
      </c>
      <c r="D339" s="46" t="s">
        <v>76</v>
      </c>
      <c r="E339" s="28" t="s">
        <v>77</v>
      </c>
      <c r="F339" s="20">
        <v>0</v>
      </c>
      <c r="G339" s="20">
        <v>0</v>
      </c>
      <c r="H339" s="21"/>
    </row>
    <row r="340" spans="1:8" ht="55.2" x14ac:dyDescent="0.25">
      <c r="A340" s="69"/>
      <c r="B340" s="70"/>
      <c r="C340" s="52" t="s">
        <v>78</v>
      </c>
      <c r="D340" s="46" t="s">
        <v>76</v>
      </c>
      <c r="E340" s="28" t="s">
        <v>79</v>
      </c>
      <c r="F340" s="20">
        <v>0</v>
      </c>
      <c r="G340" s="20">
        <v>0</v>
      </c>
      <c r="H340" s="21"/>
    </row>
    <row r="341" spans="1:8" ht="27.6" x14ac:dyDescent="0.25">
      <c r="A341" s="69"/>
      <c r="B341" s="70"/>
      <c r="C341" s="52" t="s">
        <v>80</v>
      </c>
      <c r="D341" s="46" t="s">
        <v>76</v>
      </c>
      <c r="E341" s="28" t="s">
        <v>81</v>
      </c>
      <c r="F341" s="20">
        <v>0</v>
      </c>
      <c r="G341" s="20">
        <v>454.846</v>
      </c>
      <c r="H341" s="21"/>
    </row>
    <row r="342" spans="1:8" ht="110.4" x14ac:dyDescent="0.25">
      <c r="A342" s="69"/>
      <c r="B342" s="70"/>
      <c r="C342" s="52" t="s">
        <v>82</v>
      </c>
      <c r="D342" s="46" t="s">
        <v>83</v>
      </c>
      <c r="E342" s="29" t="s">
        <v>84</v>
      </c>
      <c r="F342" s="20">
        <v>0</v>
      </c>
      <c r="G342" s="20">
        <v>0</v>
      </c>
      <c r="H342" s="21"/>
    </row>
    <row r="343" spans="1:8" ht="124.2" x14ac:dyDescent="0.25">
      <c r="A343" s="69"/>
      <c r="B343" s="70"/>
      <c r="C343" s="52" t="s">
        <v>82</v>
      </c>
      <c r="D343" s="46" t="s">
        <v>85</v>
      </c>
      <c r="E343" s="29" t="s">
        <v>86</v>
      </c>
      <c r="F343" s="20">
        <v>0</v>
      </c>
      <c r="G343" s="20">
        <v>0</v>
      </c>
      <c r="H343" s="21"/>
    </row>
    <row r="344" spans="1:8" ht="96.6" x14ac:dyDescent="0.25">
      <c r="A344" s="69"/>
      <c r="B344" s="70"/>
      <c r="C344" s="52" t="s">
        <v>95</v>
      </c>
      <c r="D344" s="46" t="s">
        <v>21</v>
      </c>
      <c r="E344" s="28" t="s">
        <v>96</v>
      </c>
      <c r="F344" s="20">
        <v>0</v>
      </c>
      <c r="G344" s="20">
        <v>0</v>
      </c>
      <c r="H344" s="21"/>
    </row>
    <row r="345" spans="1:8" ht="69" x14ac:dyDescent="0.25">
      <c r="A345" s="69"/>
      <c r="B345" s="70"/>
      <c r="C345" s="52" t="s">
        <v>97</v>
      </c>
      <c r="D345" s="46" t="s">
        <v>21</v>
      </c>
      <c r="E345" s="28" t="s">
        <v>98</v>
      </c>
      <c r="F345" s="20">
        <v>0</v>
      </c>
      <c r="G345" s="20">
        <v>0</v>
      </c>
      <c r="H345" s="21"/>
    </row>
    <row r="346" spans="1:8" ht="82.8" x14ac:dyDescent="0.25">
      <c r="A346" s="69"/>
      <c r="B346" s="70"/>
      <c r="C346" s="52" t="s">
        <v>390</v>
      </c>
      <c r="D346" s="46" t="s">
        <v>21</v>
      </c>
      <c r="E346" s="28" t="s">
        <v>391</v>
      </c>
      <c r="F346" s="20">
        <v>0</v>
      </c>
      <c r="G346" s="20">
        <v>412.35300000000001</v>
      </c>
      <c r="H346" s="21"/>
    </row>
    <row r="347" spans="1:8" ht="55.2" x14ac:dyDescent="0.25">
      <c r="A347" s="69"/>
      <c r="B347" s="70"/>
      <c r="C347" s="52" t="s">
        <v>32</v>
      </c>
      <c r="D347" s="46" t="s">
        <v>21</v>
      </c>
      <c r="E347" s="28" t="s">
        <v>33</v>
      </c>
      <c r="F347" s="20">
        <v>91.6</v>
      </c>
      <c r="G347" s="20">
        <v>137.60900000000001</v>
      </c>
      <c r="H347" s="21">
        <f t="shared" si="4"/>
        <v>150.22816593886466</v>
      </c>
    </row>
    <row r="348" spans="1:8" ht="41.4" x14ac:dyDescent="0.25">
      <c r="A348" s="69"/>
      <c r="B348" s="70"/>
      <c r="C348" s="52" t="s">
        <v>99</v>
      </c>
      <c r="D348" s="46" t="s">
        <v>100</v>
      </c>
      <c r="E348" s="28" t="s">
        <v>101</v>
      </c>
      <c r="F348" s="20">
        <v>0</v>
      </c>
      <c r="G348" s="20">
        <v>0</v>
      </c>
      <c r="H348" s="21"/>
    </row>
    <row r="349" spans="1:8" ht="27.6" x14ac:dyDescent="0.25">
      <c r="A349" s="69"/>
      <c r="B349" s="70"/>
      <c r="C349" s="52" t="s">
        <v>102</v>
      </c>
      <c r="D349" s="46" t="s">
        <v>100</v>
      </c>
      <c r="E349" s="28" t="s">
        <v>103</v>
      </c>
      <c r="F349" s="20">
        <v>0</v>
      </c>
      <c r="G349" s="20">
        <v>0</v>
      </c>
      <c r="H349" s="21"/>
    </row>
    <row r="350" spans="1:8" ht="41.4" x14ac:dyDescent="0.25">
      <c r="A350" s="69"/>
      <c r="B350" s="70"/>
      <c r="C350" s="52" t="s">
        <v>198</v>
      </c>
      <c r="D350" s="46" t="s">
        <v>182</v>
      </c>
      <c r="E350" s="28" t="s">
        <v>199</v>
      </c>
      <c r="F350" s="20">
        <f>3600-3600</f>
        <v>0</v>
      </c>
      <c r="G350" s="20">
        <v>0</v>
      </c>
      <c r="H350" s="21"/>
    </row>
    <row r="351" spans="1:8" ht="41.4" x14ac:dyDescent="0.25">
      <c r="A351" s="69"/>
      <c r="B351" s="70"/>
      <c r="C351" s="52" t="s">
        <v>256</v>
      </c>
      <c r="D351" s="46" t="s">
        <v>182</v>
      </c>
      <c r="E351" s="28" t="s">
        <v>257</v>
      </c>
      <c r="F351" s="20">
        <v>1424</v>
      </c>
      <c r="G351" s="20">
        <v>1678.8</v>
      </c>
      <c r="H351" s="21">
        <f t="shared" si="4"/>
        <v>117.8932584269663</v>
      </c>
    </row>
    <row r="352" spans="1:8" ht="27.6" x14ac:dyDescent="0.25">
      <c r="A352" s="69"/>
      <c r="B352" s="70"/>
      <c r="C352" s="52" t="s">
        <v>104</v>
      </c>
      <c r="D352" s="46" t="s">
        <v>100</v>
      </c>
      <c r="E352" s="28" t="s">
        <v>105</v>
      </c>
      <c r="F352" s="20">
        <v>0</v>
      </c>
      <c r="G352" s="20">
        <v>0</v>
      </c>
      <c r="H352" s="21"/>
    </row>
    <row r="353" spans="1:8" ht="55.2" x14ac:dyDescent="0.25">
      <c r="A353" s="69"/>
      <c r="B353" s="70"/>
      <c r="C353" s="52" t="s">
        <v>194</v>
      </c>
      <c r="D353" s="46" t="s">
        <v>182</v>
      </c>
      <c r="E353" s="28" t="s">
        <v>195</v>
      </c>
      <c r="F353" s="20">
        <v>0</v>
      </c>
      <c r="G353" s="20">
        <v>-0.36499999999999999</v>
      </c>
      <c r="H353" s="21"/>
    </row>
    <row r="354" spans="1:8" x14ac:dyDescent="0.25">
      <c r="A354" s="23" t="s">
        <v>264</v>
      </c>
      <c r="B354" s="24" t="s">
        <v>29</v>
      </c>
      <c r="C354" s="53"/>
      <c r="D354" s="43"/>
      <c r="E354" s="25"/>
      <c r="F354" s="26">
        <f>SUM(F337:F353)</f>
        <v>1515.6</v>
      </c>
      <c r="G354" s="26">
        <f>SUM(G337:G353)</f>
        <v>2849.6109999999999</v>
      </c>
      <c r="H354" s="21">
        <f t="shared" si="4"/>
        <v>188.01867247294803</v>
      </c>
    </row>
    <row r="355" spans="1:8" ht="110.4" x14ac:dyDescent="0.25">
      <c r="A355" s="69" t="s">
        <v>266</v>
      </c>
      <c r="B355" s="70" t="s">
        <v>267</v>
      </c>
      <c r="C355" s="52" t="s">
        <v>252</v>
      </c>
      <c r="D355" s="46" t="s">
        <v>8</v>
      </c>
      <c r="E355" s="29" t="s">
        <v>253</v>
      </c>
      <c r="F355" s="20">
        <v>0</v>
      </c>
      <c r="G355" s="20">
        <v>0</v>
      </c>
      <c r="H355" s="21"/>
    </row>
    <row r="356" spans="1:8" ht="110.4" x14ac:dyDescent="0.25">
      <c r="A356" s="69"/>
      <c r="B356" s="70"/>
      <c r="C356" s="52" t="s">
        <v>254</v>
      </c>
      <c r="D356" s="46" t="s">
        <v>8</v>
      </c>
      <c r="E356" s="28" t="s">
        <v>255</v>
      </c>
      <c r="F356" s="20">
        <v>0</v>
      </c>
      <c r="G356" s="20">
        <v>0</v>
      </c>
      <c r="H356" s="21"/>
    </row>
    <row r="357" spans="1:8" ht="41.4" x14ac:dyDescent="0.25">
      <c r="A357" s="69"/>
      <c r="B357" s="70"/>
      <c r="C357" s="52" t="s">
        <v>75</v>
      </c>
      <c r="D357" s="46" t="s">
        <v>76</v>
      </c>
      <c r="E357" s="28" t="s">
        <v>77</v>
      </c>
      <c r="F357" s="20">
        <v>0</v>
      </c>
      <c r="G357" s="20">
        <v>0</v>
      </c>
      <c r="H357" s="21"/>
    </row>
    <row r="358" spans="1:8" ht="55.2" x14ac:dyDescent="0.25">
      <c r="A358" s="69"/>
      <c r="B358" s="70"/>
      <c r="C358" s="52" t="s">
        <v>78</v>
      </c>
      <c r="D358" s="46" t="s">
        <v>76</v>
      </c>
      <c r="E358" s="28" t="s">
        <v>79</v>
      </c>
      <c r="F358" s="20">
        <v>0</v>
      </c>
      <c r="G358" s="20">
        <v>0</v>
      </c>
      <c r="H358" s="21"/>
    </row>
    <row r="359" spans="1:8" ht="27.6" x14ac:dyDescent="0.25">
      <c r="A359" s="69"/>
      <c r="B359" s="70"/>
      <c r="C359" s="52" t="s">
        <v>80</v>
      </c>
      <c r="D359" s="46" t="s">
        <v>76</v>
      </c>
      <c r="E359" s="28" t="s">
        <v>81</v>
      </c>
      <c r="F359" s="20">
        <v>0</v>
      </c>
      <c r="G359" s="20">
        <v>119.051</v>
      </c>
      <c r="H359" s="21"/>
    </row>
    <row r="360" spans="1:8" ht="110.4" x14ac:dyDescent="0.25">
      <c r="A360" s="69"/>
      <c r="B360" s="70"/>
      <c r="C360" s="52" t="s">
        <v>82</v>
      </c>
      <c r="D360" s="46" t="s">
        <v>83</v>
      </c>
      <c r="E360" s="29" t="s">
        <v>84</v>
      </c>
      <c r="F360" s="20">
        <v>0</v>
      </c>
      <c r="G360" s="20">
        <v>0</v>
      </c>
      <c r="H360" s="21"/>
    </row>
    <row r="361" spans="1:8" ht="124.2" x14ac:dyDescent="0.25">
      <c r="A361" s="69"/>
      <c r="B361" s="70"/>
      <c r="C361" s="52" t="s">
        <v>82</v>
      </c>
      <c r="D361" s="46" t="s">
        <v>85</v>
      </c>
      <c r="E361" s="29" t="s">
        <v>86</v>
      </c>
      <c r="F361" s="20">
        <v>0</v>
      </c>
      <c r="G361" s="20">
        <v>0</v>
      </c>
      <c r="H361" s="21"/>
    </row>
    <row r="362" spans="1:8" ht="96.6" x14ac:dyDescent="0.25">
      <c r="A362" s="69"/>
      <c r="B362" s="70"/>
      <c r="C362" s="52" t="s">
        <v>95</v>
      </c>
      <c r="D362" s="46" t="s">
        <v>21</v>
      </c>
      <c r="E362" s="28" t="s">
        <v>96</v>
      </c>
      <c r="F362" s="20">
        <v>0</v>
      </c>
      <c r="G362" s="20">
        <v>0</v>
      </c>
      <c r="H362" s="21"/>
    </row>
    <row r="363" spans="1:8" ht="69" x14ac:dyDescent="0.25">
      <c r="A363" s="69"/>
      <c r="B363" s="70"/>
      <c r="C363" s="52" t="s">
        <v>97</v>
      </c>
      <c r="D363" s="46" t="s">
        <v>21</v>
      </c>
      <c r="E363" s="28" t="s">
        <v>98</v>
      </c>
      <c r="F363" s="20">
        <v>0</v>
      </c>
      <c r="G363" s="20">
        <v>0</v>
      </c>
      <c r="H363" s="21"/>
    </row>
    <row r="364" spans="1:8" ht="82.8" x14ac:dyDescent="0.25">
      <c r="A364" s="69"/>
      <c r="B364" s="70"/>
      <c r="C364" s="52" t="s">
        <v>390</v>
      </c>
      <c r="D364" s="46" t="s">
        <v>21</v>
      </c>
      <c r="E364" s="28" t="s">
        <v>391</v>
      </c>
      <c r="F364" s="20">
        <v>0</v>
      </c>
      <c r="G364" s="20">
        <v>159.01300000000001</v>
      </c>
      <c r="H364" s="21"/>
    </row>
    <row r="365" spans="1:8" ht="55.2" x14ac:dyDescent="0.25">
      <c r="A365" s="69"/>
      <c r="B365" s="70"/>
      <c r="C365" s="52" t="s">
        <v>32</v>
      </c>
      <c r="D365" s="46" t="s">
        <v>21</v>
      </c>
      <c r="E365" s="28" t="s">
        <v>33</v>
      </c>
      <c r="F365" s="20">
        <v>16.600000000000001</v>
      </c>
      <c r="G365" s="20">
        <v>83.456999999999994</v>
      </c>
      <c r="H365" s="21">
        <f t="shared" si="4"/>
        <v>502.75301204819272</v>
      </c>
    </row>
    <row r="366" spans="1:8" ht="41.4" x14ac:dyDescent="0.25">
      <c r="A366" s="69"/>
      <c r="B366" s="70"/>
      <c r="C366" s="52" t="s">
        <v>99</v>
      </c>
      <c r="D366" s="46" t="s">
        <v>100</v>
      </c>
      <c r="E366" s="28" t="s">
        <v>101</v>
      </c>
      <c r="F366" s="20">
        <v>0</v>
      </c>
      <c r="G366" s="20">
        <v>0</v>
      </c>
      <c r="H366" s="21"/>
    </row>
    <row r="367" spans="1:8" ht="41.4" x14ac:dyDescent="0.25">
      <c r="A367" s="69"/>
      <c r="B367" s="70"/>
      <c r="C367" s="52" t="s">
        <v>198</v>
      </c>
      <c r="D367" s="46" t="s">
        <v>182</v>
      </c>
      <c r="E367" s="28" t="s">
        <v>199</v>
      </c>
      <c r="F367" s="20">
        <f>3200-3200</f>
        <v>0</v>
      </c>
      <c r="G367" s="20">
        <v>0</v>
      </c>
      <c r="H367" s="21"/>
    </row>
    <row r="368" spans="1:8" ht="41.4" x14ac:dyDescent="0.25">
      <c r="A368" s="69"/>
      <c r="B368" s="70"/>
      <c r="C368" s="52" t="s">
        <v>256</v>
      </c>
      <c r="D368" s="46" t="s">
        <v>182</v>
      </c>
      <c r="E368" s="28" t="s">
        <v>257</v>
      </c>
      <c r="F368" s="20">
        <v>1108</v>
      </c>
      <c r="G368" s="20">
        <v>1369.7</v>
      </c>
      <c r="H368" s="21">
        <f t="shared" si="4"/>
        <v>123.61913357400722</v>
      </c>
    </row>
    <row r="369" spans="1:8" ht="27.6" x14ac:dyDescent="0.25">
      <c r="A369" s="69"/>
      <c r="B369" s="70"/>
      <c r="C369" s="52" t="s">
        <v>104</v>
      </c>
      <c r="D369" s="46" t="s">
        <v>100</v>
      </c>
      <c r="E369" s="28" t="s">
        <v>105</v>
      </c>
      <c r="F369" s="20">
        <v>0</v>
      </c>
      <c r="G369" s="20">
        <v>0</v>
      </c>
      <c r="H369" s="21"/>
    </row>
    <row r="370" spans="1:8" ht="41.4" x14ac:dyDescent="0.25">
      <c r="A370" s="69"/>
      <c r="B370" s="70"/>
      <c r="C370" s="52" t="s">
        <v>192</v>
      </c>
      <c r="D370" s="46" t="s">
        <v>100</v>
      </c>
      <c r="E370" s="28" t="s">
        <v>193</v>
      </c>
      <c r="F370" s="20">
        <v>0</v>
      </c>
      <c r="G370" s="20">
        <v>0</v>
      </c>
      <c r="H370" s="21"/>
    </row>
    <row r="371" spans="1:8" ht="55.2" x14ac:dyDescent="0.25">
      <c r="A371" s="69"/>
      <c r="B371" s="70"/>
      <c r="C371" s="52" t="s">
        <v>194</v>
      </c>
      <c r="D371" s="46" t="s">
        <v>182</v>
      </c>
      <c r="E371" s="28" t="s">
        <v>195</v>
      </c>
      <c r="F371" s="20">
        <v>0</v>
      </c>
      <c r="G371" s="20">
        <v>-1.742</v>
      </c>
      <c r="H371" s="21"/>
    </row>
    <row r="372" spans="1:8" x14ac:dyDescent="0.25">
      <c r="A372" s="23" t="s">
        <v>266</v>
      </c>
      <c r="B372" s="24" t="s">
        <v>29</v>
      </c>
      <c r="C372" s="53"/>
      <c r="D372" s="43"/>
      <c r="E372" s="25"/>
      <c r="F372" s="26">
        <f>SUM(F355:F371)</f>
        <v>1124.5999999999999</v>
      </c>
      <c r="G372" s="26">
        <f>SUM(G355:G371)</f>
        <v>1729.479</v>
      </c>
      <c r="H372" s="21">
        <f t="shared" ref="H372:H440" si="5">G372/F372*100</f>
        <v>153.78614618531034</v>
      </c>
    </row>
    <row r="373" spans="1:8" ht="110.4" x14ac:dyDescent="0.25">
      <c r="A373" s="69" t="s">
        <v>268</v>
      </c>
      <c r="B373" s="70" t="s">
        <v>269</v>
      </c>
      <c r="C373" s="52" t="s">
        <v>252</v>
      </c>
      <c r="D373" s="46" t="s">
        <v>8</v>
      </c>
      <c r="E373" s="29" t="s">
        <v>253</v>
      </c>
      <c r="F373" s="20">
        <v>0</v>
      </c>
      <c r="G373" s="20">
        <v>0</v>
      </c>
      <c r="H373" s="21"/>
    </row>
    <row r="374" spans="1:8" ht="110.4" x14ac:dyDescent="0.25">
      <c r="A374" s="69"/>
      <c r="B374" s="70"/>
      <c r="C374" s="52" t="s">
        <v>254</v>
      </c>
      <c r="D374" s="46" t="s">
        <v>8</v>
      </c>
      <c r="E374" s="28" t="s">
        <v>255</v>
      </c>
      <c r="F374" s="20">
        <v>0</v>
      </c>
      <c r="G374" s="20">
        <v>0</v>
      </c>
      <c r="H374" s="21"/>
    </row>
    <row r="375" spans="1:8" ht="41.4" x14ac:dyDescent="0.25">
      <c r="A375" s="69"/>
      <c r="B375" s="70"/>
      <c r="C375" s="52" t="s">
        <v>75</v>
      </c>
      <c r="D375" s="46" t="s">
        <v>76</v>
      </c>
      <c r="E375" s="28" t="s">
        <v>77</v>
      </c>
      <c r="F375" s="20">
        <v>0</v>
      </c>
      <c r="G375" s="20">
        <v>0</v>
      </c>
      <c r="H375" s="21"/>
    </row>
    <row r="376" spans="1:8" ht="55.2" x14ac:dyDescent="0.25">
      <c r="A376" s="69"/>
      <c r="B376" s="70"/>
      <c r="C376" s="52" t="s">
        <v>78</v>
      </c>
      <c r="D376" s="46" t="s">
        <v>76</v>
      </c>
      <c r="E376" s="28" t="s">
        <v>79</v>
      </c>
      <c r="F376" s="20">
        <v>0</v>
      </c>
      <c r="G376" s="20">
        <v>0</v>
      </c>
      <c r="H376" s="21"/>
    </row>
    <row r="377" spans="1:8" ht="27.6" x14ac:dyDescent="0.25">
      <c r="A377" s="69"/>
      <c r="B377" s="70"/>
      <c r="C377" s="52" t="s">
        <v>80</v>
      </c>
      <c r="D377" s="46" t="s">
        <v>76</v>
      </c>
      <c r="E377" s="28" t="s">
        <v>81</v>
      </c>
      <c r="F377" s="20">
        <v>0</v>
      </c>
      <c r="G377" s="20">
        <v>91.412999999999997</v>
      </c>
      <c r="H377" s="21"/>
    </row>
    <row r="378" spans="1:8" ht="110.4" x14ac:dyDescent="0.25">
      <c r="A378" s="69"/>
      <c r="B378" s="70"/>
      <c r="C378" s="52" t="s">
        <v>82</v>
      </c>
      <c r="D378" s="46" t="s">
        <v>83</v>
      </c>
      <c r="E378" s="29" t="s">
        <v>84</v>
      </c>
      <c r="F378" s="20">
        <v>0</v>
      </c>
      <c r="G378" s="20">
        <v>0</v>
      </c>
      <c r="H378" s="21"/>
    </row>
    <row r="379" spans="1:8" ht="124.2" x14ac:dyDescent="0.25">
      <c r="A379" s="69"/>
      <c r="B379" s="70"/>
      <c r="C379" s="52" t="s">
        <v>82</v>
      </c>
      <c r="D379" s="46" t="s">
        <v>85</v>
      </c>
      <c r="E379" s="29" t="s">
        <v>86</v>
      </c>
      <c r="F379" s="20">
        <v>0</v>
      </c>
      <c r="G379" s="20">
        <v>1.1200000000000001</v>
      </c>
      <c r="H379" s="21"/>
    </row>
    <row r="380" spans="1:8" ht="96.6" x14ac:dyDescent="0.25">
      <c r="A380" s="69"/>
      <c r="B380" s="70"/>
      <c r="C380" s="52" t="s">
        <v>95</v>
      </c>
      <c r="D380" s="46" t="s">
        <v>21</v>
      </c>
      <c r="E380" s="28" t="s">
        <v>96</v>
      </c>
      <c r="F380" s="20">
        <v>0</v>
      </c>
      <c r="G380" s="20">
        <v>0</v>
      </c>
      <c r="H380" s="21"/>
    </row>
    <row r="381" spans="1:8" ht="69" x14ac:dyDescent="0.25">
      <c r="A381" s="69"/>
      <c r="B381" s="70"/>
      <c r="C381" s="52" t="s">
        <v>97</v>
      </c>
      <c r="D381" s="46" t="s">
        <v>21</v>
      </c>
      <c r="E381" s="28" t="s">
        <v>98</v>
      </c>
      <c r="F381" s="20">
        <v>0</v>
      </c>
      <c r="G381" s="20">
        <v>0</v>
      </c>
      <c r="H381" s="21"/>
    </row>
    <row r="382" spans="1:8" ht="82.8" x14ac:dyDescent="0.25">
      <c r="A382" s="69"/>
      <c r="B382" s="70"/>
      <c r="C382" s="52" t="s">
        <v>390</v>
      </c>
      <c r="D382" s="46" t="s">
        <v>21</v>
      </c>
      <c r="E382" s="28" t="s">
        <v>391</v>
      </c>
      <c r="F382" s="20">
        <v>0</v>
      </c>
      <c r="G382" s="20">
        <v>47.02</v>
      </c>
      <c r="H382" s="21"/>
    </row>
    <row r="383" spans="1:8" ht="55.2" x14ac:dyDescent="0.25">
      <c r="A383" s="69"/>
      <c r="B383" s="70"/>
      <c r="C383" s="52" t="s">
        <v>32</v>
      </c>
      <c r="D383" s="46" t="s">
        <v>21</v>
      </c>
      <c r="E383" s="28" t="s">
        <v>33</v>
      </c>
      <c r="F383" s="20">
        <f>23.4+1410</f>
        <v>1433.4</v>
      </c>
      <c r="G383" s="20">
        <v>6469.7910000000002</v>
      </c>
      <c r="H383" s="21">
        <f t="shared" si="5"/>
        <v>451.35977396400165</v>
      </c>
    </row>
    <row r="384" spans="1:8" ht="41.4" x14ac:dyDescent="0.25">
      <c r="A384" s="69"/>
      <c r="B384" s="70"/>
      <c r="C384" s="52" t="s">
        <v>99</v>
      </c>
      <c r="D384" s="46" t="s">
        <v>100</v>
      </c>
      <c r="E384" s="28" t="s">
        <v>101</v>
      </c>
      <c r="F384" s="20">
        <v>0</v>
      </c>
      <c r="G384" s="20">
        <v>0</v>
      </c>
      <c r="H384" s="21"/>
    </row>
    <row r="385" spans="1:8" ht="27.6" x14ac:dyDescent="0.25">
      <c r="A385" s="69"/>
      <c r="B385" s="70"/>
      <c r="C385" s="52" t="s">
        <v>102</v>
      </c>
      <c r="D385" s="46" t="s">
        <v>100</v>
      </c>
      <c r="E385" s="28" t="s">
        <v>103</v>
      </c>
      <c r="F385" s="20">
        <v>0</v>
      </c>
      <c r="G385" s="20">
        <v>0</v>
      </c>
      <c r="H385" s="21"/>
    </row>
    <row r="386" spans="1:8" ht="41.4" x14ac:dyDescent="0.25">
      <c r="A386" s="69"/>
      <c r="B386" s="70"/>
      <c r="C386" s="52" t="s">
        <v>198</v>
      </c>
      <c r="D386" s="46" t="s">
        <v>182</v>
      </c>
      <c r="E386" s="28" t="s">
        <v>199</v>
      </c>
      <c r="F386" s="20">
        <f>4150-4150</f>
        <v>0</v>
      </c>
      <c r="G386" s="20">
        <v>0</v>
      </c>
      <c r="H386" s="21"/>
    </row>
    <row r="387" spans="1:8" ht="41.4" x14ac:dyDescent="0.25">
      <c r="A387" s="69"/>
      <c r="B387" s="70"/>
      <c r="C387" s="52" t="s">
        <v>256</v>
      </c>
      <c r="D387" s="46" t="s">
        <v>182</v>
      </c>
      <c r="E387" s="28" t="s">
        <v>257</v>
      </c>
      <c r="F387" s="20">
        <v>1108</v>
      </c>
      <c r="G387" s="20">
        <v>1398.2</v>
      </c>
      <c r="H387" s="21">
        <f t="shared" si="5"/>
        <v>126.19133574007219</v>
      </c>
    </row>
    <row r="388" spans="1:8" ht="27.6" x14ac:dyDescent="0.25">
      <c r="A388" s="69"/>
      <c r="B388" s="70"/>
      <c r="C388" s="52" t="s">
        <v>104</v>
      </c>
      <c r="D388" s="46" t="s">
        <v>100</v>
      </c>
      <c r="E388" s="28" t="s">
        <v>105</v>
      </c>
      <c r="F388" s="20">
        <v>0</v>
      </c>
      <c r="G388" s="20">
        <v>0</v>
      </c>
      <c r="H388" s="21"/>
    </row>
    <row r="389" spans="1:8" ht="41.4" x14ac:dyDescent="0.25">
      <c r="A389" s="69"/>
      <c r="B389" s="70"/>
      <c r="C389" s="52" t="s">
        <v>190</v>
      </c>
      <c r="D389" s="46" t="s">
        <v>100</v>
      </c>
      <c r="E389" s="28" t="s">
        <v>191</v>
      </c>
      <c r="F389" s="20">
        <v>0</v>
      </c>
      <c r="G389" s="20">
        <v>0</v>
      </c>
      <c r="H389" s="21"/>
    </row>
    <row r="390" spans="1:8" ht="41.4" x14ac:dyDescent="0.25">
      <c r="A390" s="69"/>
      <c r="B390" s="70"/>
      <c r="C390" s="52" t="s">
        <v>192</v>
      </c>
      <c r="D390" s="46" t="s">
        <v>100</v>
      </c>
      <c r="E390" s="28" t="s">
        <v>193</v>
      </c>
      <c r="F390" s="20">
        <v>0</v>
      </c>
      <c r="G390" s="20">
        <v>0</v>
      </c>
      <c r="H390" s="21"/>
    </row>
    <row r="391" spans="1:8" ht="55.2" x14ac:dyDescent="0.25">
      <c r="A391" s="69"/>
      <c r="B391" s="70"/>
      <c r="C391" s="52" t="s">
        <v>194</v>
      </c>
      <c r="D391" s="46" t="s">
        <v>182</v>
      </c>
      <c r="E391" s="28" t="s">
        <v>195</v>
      </c>
      <c r="F391" s="20">
        <v>0</v>
      </c>
      <c r="G391" s="20">
        <v>-3.3180000000000001</v>
      </c>
      <c r="H391" s="21"/>
    </row>
    <row r="392" spans="1:8" x14ac:dyDescent="0.25">
      <c r="A392" s="23" t="s">
        <v>268</v>
      </c>
      <c r="B392" s="24" t="s">
        <v>29</v>
      </c>
      <c r="C392" s="53"/>
      <c r="D392" s="43"/>
      <c r="E392" s="25"/>
      <c r="F392" s="26">
        <f>SUM(F373:F391)</f>
        <v>2541.4</v>
      </c>
      <c r="G392" s="26">
        <f>SUM(G373:G391)</f>
        <v>8004.2259999999997</v>
      </c>
      <c r="H392" s="21">
        <f t="shared" si="5"/>
        <v>314.95341150546938</v>
      </c>
    </row>
    <row r="393" spans="1:8" ht="110.4" x14ac:dyDescent="0.25">
      <c r="A393" s="69" t="s">
        <v>270</v>
      </c>
      <c r="B393" s="70" t="s">
        <v>271</v>
      </c>
      <c r="C393" s="52" t="s">
        <v>252</v>
      </c>
      <c r="D393" s="46" t="s">
        <v>8</v>
      </c>
      <c r="E393" s="29" t="s">
        <v>253</v>
      </c>
      <c r="F393" s="20">
        <v>0</v>
      </c>
      <c r="G393" s="20">
        <v>0</v>
      </c>
      <c r="H393" s="21"/>
    </row>
    <row r="394" spans="1:8" ht="110.4" x14ac:dyDescent="0.25">
      <c r="A394" s="69"/>
      <c r="B394" s="70"/>
      <c r="C394" s="52" t="s">
        <v>254</v>
      </c>
      <c r="D394" s="46" t="s">
        <v>8</v>
      </c>
      <c r="E394" s="28" t="s">
        <v>255</v>
      </c>
      <c r="F394" s="20">
        <v>0</v>
      </c>
      <c r="G394" s="20">
        <v>0</v>
      </c>
      <c r="H394" s="21"/>
    </row>
    <row r="395" spans="1:8" ht="41.4" x14ac:dyDescent="0.25">
      <c r="A395" s="69"/>
      <c r="B395" s="70"/>
      <c r="C395" s="52" t="s">
        <v>75</v>
      </c>
      <c r="D395" s="46" t="s">
        <v>76</v>
      </c>
      <c r="E395" s="28" t="s">
        <v>77</v>
      </c>
      <c r="F395" s="20">
        <v>0</v>
      </c>
      <c r="G395" s="20">
        <v>0</v>
      </c>
      <c r="H395" s="21"/>
    </row>
    <row r="396" spans="1:8" ht="55.2" x14ac:dyDescent="0.25">
      <c r="A396" s="69"/>
      <c r="B396" s="70"/>
      <c r="C396" s="52" t="s">
        <v>78</v>
      </c>
      <c r="D396" s="46" t="s">
        <v>76</v>
      </c>
      <c r="E396" s="28" t="s">
        <v>79</v>
      </c>
      <c r="F396" s="20">
        <v>0</v>
      </c>
      <c r="G396" s="20">
        <v>0</v>
      </c>
      <c r="H396" s="21"/>
    </row>
    <row r="397" spans="1:8" ht="27.6" x14ac:dyDescent="0.25">
      <c r="A397" s="69"/>
      <c r="B397" s="70"/>
      <c r="C397" s="52" t="s">
        <v>80</v>
      </c>
      <c r="D397" s="46" t="s">
        <v>76</v>
      </c>
      <c r="E397" s="28" t="s">
        <v>81</v>
      </c>
      <c r="F397" s="20">
        <v>0</v>
      </c>
      <c r="G397" s="20">
        <v>97.058000000000007</v>
      </c>
      <c r="H397" s="21"/>
    </row>
    <row r="398" spans="1:8" ht="110.4" x14ac:dyDescent="0.25">
      <c r="A398" s="69"/>
      <c r="B398" s="70"/>
      <c r="C398" s="52" t="s">
        <v>82</v>
      </c>
      <c r="D398" s="46" t="s">
        <v>83</v>
      </c>
      <c r="E398" s="29" t="s">
        <v>84</v>
      </c>
      <c r="F398" s="20">
        <v>0</v>
      </c>
      <c r="G398" s="20">
        <v>0</v>
      </c>
      <c r="H398" s="21"/>
    </row>
    <row r="399" spans="1:8" ht="124.2" x14ac:dyDescent="0.25">
      <c r="A399" s="69"/>
      <c r="B399" s="70"/>
      <c r="C399" s="52" t="s">
        <v>82</v>
      </c>
      <c r="D399" s="46" t="s">
        <v>85</v>
      </c>
      <c r="E399" s="29" t="s">
        <v>86</v>
      </c>
      <c r="F399" s="20">
        <v>0</v>
      </c>
      <c r="G399" s="20">
        <v>0</v>
      </c>
      <c r="H399" s="21"/>
    </row>
    <row r="400" spans="1:8" ht="96.6" x14ac:dyDescent="0.25">
      <c r="A400" s="69"/>
      <c r="B400" s="70"/>
      <c r="C400" s="52" t="s">
        <v>95</v>
      </c>
      <c r="D400" s="46" t="s">
        <v>21</v>
      </c>
      <c r="E400" s="28" t="s">
        <v>96</v>
      </c>
      <c r="F400" s="20">
        <v>0</v>
      </c>
      <c r="G400" s="20">
        <v>0</v>
      </c>
      <c r="H400" s="21"/>
    </row>
    <row r="401" spans="1:8" ht="69" x14ac:dyDescent="0.25">
      <c r="A401" s="69"/>
      <c r="B401" s="70"/>
      <c r="C401" s="52" t="s">
        <v>97</v>
      </c>
      <c r="D401" s="46" t="s">
        <v>21</v>
      </c>
      <c r="E401" s="28" t="s">
        <v>98</v>
      </c>
      <c r="F401" s="20">
        <v>0</v>
      </c>
      <c r="G401" s="20">
        <v>0</v>
      </c>
      <c r="H401" s="21"/>
    </row>
    <row r="402" spans="1:8" ht="82.8" x14ac:dyDescent="0.25">
      <c r="A402" s="69"/>
      <c r="B402" s="70"/>
      <c r="C402" s="52" t="s">
        <v>390</v>
      </c>
      <c r="D402" s="46" t="s">
        <v>21</v>
      </c>
      <c r="E402" s="28" t="s">
        <v>391</v>
      </c>
      <c r="F402" s="20">
        <v>0</v>
      </c>
      <c r="G402" s="20">
        <v>6</v>
      </c>
      <c r="H402" s="21"/>
    </row>
    <row r="403" spans="1:8" ht="55.2" x14ac:dyDescent="0.25">
      <c r="A403" s="69"/>
      <c r="B403" s="70"/>
      <c r="C403" s="52" t="s">
        <v>32</v>
      </c>
      <c r="D403" s="46" t="s">
        <v>21</v>
      </c>
      <c r="E403" s="28" t="s">
        <v>33</v>
      </c>
      <c r="F403" s="20">
        <v>0</v>
      </c>
      <c r="G403" s="20">
        <v>0</v>
      </c>
      <c r="H403" s="21"/>
    </row>
    <row r="404" spans="1:8" ht="41.4" x14ac:dyDescent="0.25">
      <c r="A404" s="69"/>
      <c r="B404" s="70"/>
      <c r="C404" s="52" t="s">
        <v>99</v>
      </c>
      <c r="D404" s="46" t="s">
        <v>100</v>
      </c>
      <c r="E404" s="28" t="s">
        <v>101</v>
      </c>
      <c r="F404" s="20">
        <v>0</v>
      </c>
      <c r="G404" s="20">
        <v>-1.181</v>
      </c>
      <c r="H404" s="21"/>
    </row>
    <row r="405" spans="1:8" ht="27.6" x14ac:dyDescent="0.25">
      <c r="A405" s="69"/>
      <c r="B405" s="70"/>
      <c r="C405" s="52" t="s">
        <v>102</v>
      </c>
      <c r="D405" s="46" t="s">
        <v>100</v>
      </c>
      <c r="E405" s="28" t="s">
        <v>103</v>
      </c>
      <c r="F405" s="20">
        <v>0</v>
      </c>
      <c r="G405" s="20">
        <v>0</v>
      </c>
      <c r="H405" s="21"/>
    </row>
    <row r="406" spans="1:8" ht="41.4" x14ac:dyDescent="0.25">
      <c r="A406" s="69"/>
      <c r="B406" s="70"/>
      <c r="C406" s="52" t="s">
        <v>198</v>
      </c>
      <c r="D406" s="46" t="s">
        <v>182</v>
      </c>
      <c r="E406" s="28" t="s">
        <v>199</v>
      </c>
      <c r="F406" s="20">
        <f>960-960</f>
        <v>0</v>
      </c>
      <c r="G406" s="20">
        <v>0</v>
      </c>
      <c r="H406" s="21"/>
    </row>
    <row r="407" spans="1:8" ht="27.6" x14ac:dyDescent="0.25">
      <c r="A407" s="69"/>
      <c r="B407" s="70"/>
      <c r="C407" s="52" t="s">
        <v>104</v>
      </c>
      <c r="D407" s="46" t="s">
        <v>100</v>
      </c>
      <c r="E407" s="28" t="s">
        <v>105</v>
      </c>
      <c r="F407" s="20">
        <v>0</v>
      </c>
      <c r="G407" s="20">
        <v>0</v>
      </c>
      <c r="H407" s="21"/>
    </row>
    <row r="408" spans="1:8" ht="41.4" x14ac:dyDescent="0.25">
      <c r="A408" s="69"/>
      <c r="B408" s="70"/>
      <c r="C408" s="52" t="s">
        <v>192</v>
      </c>
      <c r="D408" s="46" t="s">
        <v>100</v>
      </c>
      <c r="E408" s="28" t="s">
        <v>193</v>
      </c>
      <c r="F408" s="20">
        <v>0</v>
      </c>
      <c r="G408" s="20">
        <v>0</v>
      </c>
      <c r="H408" s="21"/>
    </row>
    <row r="409" spans="1:8" ht="55.2" x14ac:dyDescent="0.25">
      <c r="A409" s="69"/>
      <c r="B409" s="70"/>
      <c r="C409" s="52" t="s">
        <v>194</v>
      </c>
      <c r="D409" s="46" t="s">
        <v>182</v>
      </c>
      <c r="E409" s="28" t="s">
        <v>195</v>
      </c>
      <c r="F409" s="20">
        <v>0</v>
      </c>
      <c r="G409" s="20">
        <v>0</v>
      </c>
      <c r="H409" s="21"/>
    </row>
    <row r="410" spans="1:8" x14ac:dyDescent="0.25">
      <c r="A410" s="23" t="s">
        <v>270</v>
      </c>
      <c r="B410" s="24" t="s">
        <v>29</v>
      </c>
      <c r="C410" s="53"/>
      <c r="D410" s="43"/>
      <c r="E410" s="25"/>
      <c r="F410" s="26">
        <f>SUM(F393:F409)</f>
        <v>0</v>
      </c>
      <c r="G410" s="26">
        <f>SUM(G393:G409)</f>
        <v>101.87700000000001</v>
      </c>
      <c r="H410" s="21"/>
    </row>
    <row r="411" spans="1:8" ht="110.4" x14ac:dyDescent="0.25">
      <c r="A411" s="69" t="s">
        <v>272</v>
      </c>
      <c r="B411" s="70" t="s">
        <v>273</v>
      </c>
      <c r="C411" s="52" t="s">
        <v>73</v>
      </c>
      <c r="D411" s="46" t="s">
        <v>8</v>
      </c>
      <c r="E411" s="28" t="s">
        <v>74</v>
      </c>
      <c r="F411" s="20">
        <v>565</v>
      </c>
      <c r="G411" s="20">
        <v>572.34199999999998</v>
      </c>
      <c r="H411" s="21">
        <f t="shared" si="5"/>
        <v>101.29946902654868</v>
      </c>
    </row>
    <row r="412" spans="1:8" ht="41.4" x14ac:dyDescent="0.25">
      <c r="A412" s="69"/>
      <c r="B412" s="70"/>
      <c r="C412" s="52" t="s">
        <v>75</v>
      </c>
      <c r="D412" s="46" t="s">
        <v>76</v>
      </c>
      <c r="E412" s="28" t="s">
        <v>77</v>
      </c>
      <c r="F412" s="20">
        <f>7519.8</f>
        <v>7519.8</v>
      </c>
      <c r="G412" s="20">
        <v>16178.54</v>
      </c>
      <c r="H412" s="21">
        <f t="shared" si="5"/>
        <v>215.14588153940264</v>
      </c>
    </row>
    <row r="413" spans="1:8" ht="55.2" x14ac:dyDescent="0.25">
      <c r="A413" s="69"/>
      <c r="B413" s="70"/>
      <c r="C413" s="52" t="s">
        <v>78</v>
      </c>
      <c r="D413" s="46" t="s">
        <v>76</v>
      </c>
      <c r="E413" s="28" t="s">
        <v>79</v>
      </c>
      <c r="F413" s="20">
        <v>0</v>
      </c>
      <c r="G413" s="20">
        <v>0</v>
      </c>
      <c r="H413" s="21"/>
    </row>
    <row r="414" spans="1:8" ht="27.6" x14ac:dyDescent="0.25">
      <c r="A414" s="69"/>
      <c r="B414" s="70"/>
      <c r="C414" s="52" t="s">
        <v>80</v>
      </c>
      <c r="D414" s="46" t="s">
        <v>76</v>
      </c>
      <c r="E414" s="28" t="s">
        <v>81</v>
      </c>
      <c r="F414" s="20">
        <v>2511.4</v>
      </c>
      <c r="G414" s="20">
        <v>7114.3109999999997</v>
      </c>
      <c r="H414" s="21">
        <f t="shared" si="5"/>
        <v>283.28068009874971</v>
      </c>
    </row>
    <row r="415" spans="1:8" ht="110.4" x14ac:dyDescent="0.25">
      <c r="A415" s="69"/>
      <c r="B415" s="70"/>
      <c r="C415" s="52" t="s">
        <v>82</v>
      </c>
      <c r="D415" s="46" t="s">
        <v>83</v>
      </c>
      <c r="E415" s="29" t="s">
        <v>84</v>
      </c>
      <c r="F415" s="20">
        <v>0</v>
      </c>
      <c r="G415" s="20">
        <v>0</v>
      </c>
      <c r="H415" s="21"/>
    </row>
    <row r="416" spans="1:8" ht="124.2" x14ac:dyDescent="0.25">
      <c r="A416" s="69"/>
      <c r="B416" s="70"/>
      <c r="C416" s="52" t="s">
        <v>82</v>
      </c>
      <c r="D416" s="46" t="s">
        <v>85</v>
      </c>
      <c r="E416" s="29" t="s">
        <v>86</v>
      </c>
      <c r="F416" s="20">
        <v>0</v>
      </c>
      <c r="G416" s="20">
        <v>61.99</v>
      </c>
      <c r="H416" s="21"/>
    </row>
    <row r="417" spans="1:8" ht="96.6" x14ac:dyDescent="0.25">
      <c r="A417" s="69"/>
      <c r="B417" s="70"/>
      <c r="C417" s="52" t="s">
        <v>95</v>
      </c>
      <c r="D417" s="46" t="s">
        <v>21</v>
      </c>
      <c r="E417" s="28" t="s">
        <v>96</v>
      </c>
      <c r="F417" s="20">
        <v>0</v>
      </c>
      <c r="G417" s="20">
        <v>7.0540000000000003</v>
      </c>
      <c r="H417" s="21"/>
    </row>
    <row r="418" spans="1:8" ht="69" x14ac:dyDescent="0.25">
      <c r="A418" s="69"/>
      <c r="B418" s="70"/>
      <c r="C418" s="52" t="s">
        <v>97</v>
      </c>
      <c r="D418" s="46" t="s">
        <v>21</v>
      </c>
      <c r="E418" s="28" t="s">
        <v>98</v>
      </c>
      <c r="F418" s="20">
        <v>0</v>
      </c>
      <c r="G418" s="20">
        <v>80</v>
      </c>
      <c r="H418" s="21"/>
    </row>
    <row r="419" spans="1:8" ht="55.2" x14ac:dyDescent="0.25">
      <c r="A419" s="69"/>
      <c r="B419" s="70"/>
      <c r="C419" s="52" t="s">
        <v>32</v>
      </c>
      <c r="D419" s="46" t="s">
        <v>21</v>
      </c>
      <c r="E419" s="28" t="s">
        <v>33</v>
      </c>
      <c r="F419" s="20">
        <f>1695.5+400</f>
        <v>2095.5</v>
      </c>
      <c r="G419" s="20">
        <v>2939.0419999999999</v>
      </c>
      <c r="H419" s="21">
        <f t="shared" si="5"/>
        <v>140.25492722500596</v>
      </c>
    </row>
    <row r="420" spans="1:8" ht="41.4" x14ac:dyDescent="0.25">
      <c r="A420" s="69"/>
      <c r="B420" s="70"/>
      <c r="C420" s="52" t="s">
        <v>99</v>
      </c>
      <c r="D420" s="46" t="s">
        <v>100</v>
      </c>
      <c r="E420" s="28" t="s">
        <v>101</v>
      </c>
      <c r="F420" s="20">
        <v>0</v>
      </c>
      <c r="G420" s="20">
        <v>-33.6</v>
      </c>
      <c r="H420" s="21"/>
    </row>
    <row r="421" spans="1:8" ht="27.6" x14ac:dyDescent="0.25">
      <c r="A421" s="69"/>
      <c r="B421" s="70"/>
      <c r="C421" s="52" t="s">
        <v>102</v>
      </c>
      <c r="D421" s="46" t="s">
        <v>100</v>
      </c>
      <c r="E421" s="28" t="s">
        <v>103</v>
      </c>
      <c r="F421" s="20">
        <v>0</v>
      </c>
      <c r="G421" s="20">
        <v>0</v>
      </c>
      <c r="H421" s="21"/>
    </row>
    <row r="422" spans="1:8" ht="69" x14ac:dyDescent="0.25">
      <c r="A422" s="69"/>
      <c r="B422" s="70"/>
      <c r="C422" s="52" t="s">
        <v>204</v>
      </c>
      <c r="D422" s="46" t="s">
        <v>182</v>
      </c>
      <c r="E422" s="28" t="s">
        <v>205</v>
      </c>
      <c r="F422" s="20">
        <v>10563.243</v>
      </c>
      <c r="G422" s="20">
        <v>10563.243</v>
      </c>
      <c r="H422" s="21">
        <f t="shared" si="5"/>
        <v>100</v>
      </c>
    </row>
    <row r="423" spans="1:8" ht="110.4" x14ac:dyDescent="0.25">
      <c r="A423" s="69"/>
      <c r="B423" s="70"/>
      <c r="C423" s="52" t="s">
        <v>274</v>
      </c>
      <c r="D423" s="46" t="s">
        <v>182</v>
      </c>
      <c r="E423" s="28" t="s">
        <v>275</v>
      </c>
      <c r="F423" s="20">
        <v>85624.743000000002</v>
      </c>
      <c r="G423" s="20">
        <v>85624.743000000002</v>
      </c>
      <c r="H423" s="21">
        <f t="shared" si="5"/>
        <v>100</v>
      </c>
    </row>
    <row r="424" spans="1:8" ht="27.6" x14ac:dyDescent="0.25">
      <c r="A424" s="66"/>
      <c r="B424" s="71"/>
      <c r="C424" s="56" t="s">
        <v>184</v>
      </c>
      <c r="D424" s="47" t="s">
        <v>182</v>
      </c>
      <c r="E424" s="30" t="s">
        <v>185</v>
      </c>
      <c r="F424" s="20">
        <v>0</v>
      </c>
      <c r="G424" s="20">
        <v>0</v>
      </c>
      <c r="H424" s="21"/>
    </row>
    <row r="425" spans="1:8" ht="41.4" x14ac:dyDescent="0.25">
      <c r="A425" s="69"/>
      <c r="B425" s="70"/>
      <c r="C425" s="52" t="s">
        <v>188</v>
      </c>
      <c r="D425" s="46" t="s">
        <v>182</v>
      </c>
      <c r="E425" s="28" t="s">
        <v>189</v>
      </c>
      <c r="F425" s="20">
        <v>3258</v>
      </c>
      <c r="G425" s="20">
        <v>269.39699999999999</v>
      </c>
      <c r="H425" s="21">
        <f t="shared" si="5"/>
        <v>8.2687845303867391</v>
      </c>
    </row>
    <row r="426" spans="1:8" ht="27.6" x14ac:dyDescent="0.25">
      <c r="A426" s="68"/>
      <c r="B426" s="73"/>
      <c r="C426" s="52" t="s">
        <v>104</v>
      </c>
      <c r="D426" s="46" t="s">
        <v>100</v>
      </c>
      <c r="E426" s="31" t="s">
        <v>105</v>
      </c>
      <c r="F426" s="20">
        <v>0</v>
      </c>
      <c r="G426" s="20">
        <v>0</v>
      </c>
      <c r="H426" s="21"/>
    </row>
    <row r="427" spans="1:8" ht="55.2" x14ac:dyDescent="0.25">
      <c r="A427" s="69"/>
      <c r="B427" s="70"/>
      <c r="C427" s="52" t="s">
        <v>194</v>
      </c>
      <c r="D427" s="46" t="s">
        <v>182</v>
      </c>
      <c r="E427" s="28" t="s">
        <v>195</v>
      </c>
      <c r="F427" s="20">
        <v>0</v>
      </c>
      <c r="G427" s="20">
        <v>-1224.962</v>
      </c>
      <c r="H427" s="21"/>
    </row>
    <row r="428" spans="1:8" x14ac:dyDescent="0.25">
      <c r="A428" s="23" t="s">
        <v>272</v>
      </c>
      <c r="B428" s="24" t="s">
        <v>29</v>
      </c>
      <c r="C428" s="53"/>
      <c r="D428" s="43"/>
      <c r="E428" s="25"/>
      <c r="F428" s="26">
        <f>SUM(F411:F427)</f>
        <v>112137.686</v>
      </c>
      <c r="G428" s="26">
        <f>SUM(G411:G427)</f>
        <v>122152.1</v>
      </c>
      <c r="H428" s="21">
        <f t="shared" si="5"/>
        <v>108.93046250303399</v>
      </c>
    </row>
    <row r="429" spans="1:8" ht="138" x14ac:dyDescent="0.25">
      <c r="A429" s="66" t="s">
        <v>276</v>
      </c>
      <c r="B429" s="71" t="s">
        <v>277</v>
      </c>
      <c r="C429" s="52" t="s">
        <v>409</v>
      </c>
      <c r="D429" s="46" t="s">
        <v>39</v>
      </c>
      <c r="E429" s="28" t="s">
        <v>410</v>
      </c>
      <c r="F429" s="20">
        <v>0</v>
      </c>
      <c r="G429" s="20">
        <v>1320.1</v>
      </c>
      <c r="H429" s="21"/>
    </row>
    <row r="430" spans="1:8" ht="110.4" x14ac:dyDescent="0.25">
      <c r="A430" s="67"/>
      <c r="B430" s="72"/>
      <c r="C430" s="52" t="s">
        <v>252</v>
      </c>
      <c r="D430" s="46" t="s">
        <v>8</v>
      </c>
      <c r="E430" s="29" t="s">
        <v>253</v>
      </c>
      <c r="F430" s="20">
        <v>0</v>
      </c>
      <c r="G430" s="20">
        <v>1015.12</v>
      </c>
      <c r="H430" s="21"/>
    </row>
    <row r="431" spans="1:8" ht="41.4" x14ac:dyDescent="0.25">
      <c r="A431" s="67"/>
      <c r="B431" s="72"/>
      <c r="C431" s="52" t="s">
        <v>75</v>
      </c>
      <c r="D431" s="46" t="s">
        <v>76</v>
      </c>
      <c r="E431" s="28" t="s">
        <v>77</v>
      </c>
      <c r="F431" s="20">
        <v>0</v>
      </c>
      <c r="G431" s="20">
        <v>0</v>
      </c>
      <c r="H431" s="21"/>
    </row>
    <row r="432" spans="1:8" ht="55.2" x14ac:dyDescent="0.25">
      <c r="A432" s="67"/>
      <c r="B432" s="72"/>
      <c r="C432" s="52" t="s">
        <v>78</v>
      </c>
      <c r="D432" s="46" t="s">
        <v>76</v>
      </c>
      <c r="E432" s="28" t="s">
        <v>79</v>
      </c>
      <c r="F432" s="20">
        <v>0</v>
      </c>
      <c r="G432" s="20">
        <v>0</v>
      </c>
      <c r="H432" s="21"/>
    </row>
    <row r="433" spans="1:8" ht="27.6" x14ac:dyDescent="0.25">
      <c r="A433" s="67"/>
      <c r="B433" s="72"/>
      <c r="C433" s="52" t="s">
        <v>80</v>
      </c>
      <c r="D433" s="46" t="s">
        <v>76</v>
      </c>
      <c r="E433" s="28" t="s">
        <v>81</v>
      </c>
      <c r="F433" s="20">
        <v>0</v>
      </c>
      <c r="G433" s="20">
        <v>55.951999999999998</v>
      </c>
      <c r="H433" s="21"/>
    </row>
    <row r="434" spans="1:8" ht="110.4" x14ac:dyDescent="0.25">
      <c r="A434" s="67"/>
      <c r="B434" s="72"/>
      <c r="C434" s="52" t="s">
        <v>82</v>
      </c>
      <c r="D434" s="46" t="s">
        <v>83</v>
      </c>
      <c r="E434" s="29" t="s">
        <v>84</v>
      </c>
      <c r="F434" s="20">
        <v>0</v>
      </c>
      <c r="G434" s="20">
        <v>0</v>
      </c>
      <c r="H434" s="21"/>
    </row>
    <row r="435" spans="1:8" ht="124.2" x14ac:dyDescent="0.25">
      <c r="A435" s="67"/>
      <c r="B435" s="72"/>
      <c r="C435" s="52" t="s">
        <v>82</v>
      </c>
      <c r="D435" s="46" t="s">
        <v>85</v>
      </c>
      <c r="E435" s="29" t="s">
        <v>86</v>
      </c>
      <c r="F435" s="20">
        <v>0</v>
      </c>
      <c r="G435" s="20">
        <v>370</v>
      </c>
      <c r="H435" s="21"/>
    </row>
    <row r="436" spans="1:8" ht="96.6" x14ac:dyDescent="0.25">
      <c r="A436" s="67"/>
      <c r="B436" s="72"/>
      <c r="C436" s="52" t="s">
        <v>95</v>
      </c>
      <c r="D436" s="46" t="s">
        <v>21</v>
      </c>
      <c r="E436" s="28" t="s">
        <v>96</v>
      </c>
      <c r="F436" s="20">
        <v>0</v>
      </c>
      <c r="G436" s="20">
        <v>0</v>
      </c>
      <c r="H436" s="21"/>
    </row>
    <row r="437" spans="1:8" ht="69" x14ac:dyDescent="0.25">
      <c r="A437" s="67"/>
      <c r="B437" s="72"/>
      <c r="C437" s="52" t="s">
        <v>97</v>
      </c>
      <c r="D437" s="46" t="s">
        <v>21</v>
      </c>
      <c r="E437" s="28" t="s">
        <v>98</v>
      </c>
      <c r="F437" s="20">
        <v>0</v>
      </c>
      <c r="G437" s="20">
        <v>0</v>
      </c>
      <c r="H437" s="21"/>
    </row>
    <row r="438" spans="1:8" ht="96.6" x14ac:dyDescent="0.25">
      <c r="A438" s="67"/>
      <c r="B438" s="72"/>
      <c r="C438" s="52" t="s">
        <v>411</v>
      </c>
      <c r="D438" s="46" t="s">
        <v>21</v>
      </c>
      <c r="E438" s="28" t="s">
        <v>413</v>
      </c>
      <c r="F438" s="20">
        <v>0</v>
      </c>
      <c r="G438" s="20">
        <v>1207.1089999999999</v>
      </c>
      <c r="H438" s="21"/>
    </row>
    <row r="439" spans="1:8" ht="124.2" x14ac:dyDescent="0.25">
      <c r="A439" s="67"/>
      <c r="B439" s="72"/>
      <c r="C439" s="52" t="s">
        <v>412</v>
      </c>
      <c r="D439" s="46" t="s">
        <v>21</v>
      </c>
      <c r="E439" s="28" t="s">
        <v>414</v>
      </c>
      <c r="F439" s="20">
        <v>0</v>
      </c>
      <c r="G439" s="20">
        <v>2301.8649999999998</v>
      </c>
      <c r="H439" s="21"/>
    </row>
    <row r="440" spans="1:8" ht="55.2" x14ac:dyDescent="0.25">
      <c r="A440" s="67"/>
      <c r="B440" s="72"/>
      <c r="C440" s="52" t="s">
        <v>32</v>
      </c>
      <c r="D440" s="46" t="s">
        <v>21</v>
      </c>
      <c r="E440" s="28" t="s">
        <v>33</v>
      </c>
      <c r="F440" s="20">
        <f>416.7</f>
        <v>416.7</v>
      </c>
      <c r="G440" s="20">
        <v>1359.7059999999999</v>
      </c>
      <c r="H440" s="21">
        <f t="shared" si="5"/>
        <v>326.30333573314135</v>
      </c>
    </row>
    <row r="441" spans="1:8" ht="41.4" x14ac:dyDescent="0.25">
      <c r="A441" s="67"/>
      <c r="B441" s="72"/>
      <c r="C441" s="52" t="s">
        <v>99</v>
      </c>
      <c r="D441" s="46" t="s">
        <v>100</v>
      </c>
      <c r="E441" s="28" t="s">
        <v>101</v>
      </c>
      <c r="F441" s="20">
        <v>0</v>
      </c>
      <c r="G441" s="20">
        <v>0</v>
      </c>
      <c r="H441" s="21"/>
    </row>
    <row r="442" spans="1:8" ht="27.6" x14ac:dyDescent="0.25">
      <c r="A442" s="67"/>
      <c r="B442" s="72"/>
      <c r="C442" s="56" t="s">
        <v>102</v>
      </c>
      <c r="D442" s="47" t="s">
        <v>100</v>
      </c>
      <c r="E442" s="30" t="s">
        <v>103</v>
      </c>
      <c r="F442" s="20">
        <v>0</v>
      </c>
      <c r="G442" s="20">
        <v>0</v>
      </c>
      <c r="H442" s="21"/>
    </row>
    <row r="443" spans="1:8" ht="69" x14ac:dyDescent="0.25">
      <c r="A443" s="67"/>
      <c r="B443" s="72"/>
      <c r="C443" s="52" t="s">
        <v>278</v>
      </c>
      <c r="D443" s="46" t="s">
        <v>182</v>
      </c>
      <c r="E443" s="28" t="s">
        <v>279</v>
      </c>
      <c r="F443" s="20">
        <f>233180.1-233180.1</f>
        <v>0</v>
      </c>
      <c r="G443" s="20">
        <v>0</v>
      </c>
      <c r="H443" s="21"/>
    </row>
    <row r="444" spans="1:8" ht="69" x14ac:dyDescent="0.25">
      <c r="A444" s="67"/>
      <c r="B444" s="72"/>
      <c r="C444" s="52" t="s">
        <v>204</v>
      </c>
      <c r="D444" s="46" t="s">
        <v>182</v>
      </c>
      <c r="E444" s="28" t="s">
        <v>205</v>
      </c>
      <c r="F444" s="20">
        <f>15495.617-15495.617</f>
        <v>0</v>
      </c>
      <c r="G444" s="20">
        <v>0</v>
      </c>
      <c r="H444" s="21"/>
    </row>
    <row r="445" spans="1:8" ht="27.6" x14ac:dyDescent="0.25">
      <c r="A445" s="67"/>
      <c r="B445" s="72"/>
      <c r="C445" s="52" t="s">
        <v>184</v>
      </c>
      <c r="D445" s="46" t="s">
        <v>182</v>
      </c>
      <c r="E445" s="31" t="s">
        <v>185</v>
      </c>
      <c r="F445" s="20">
        <f>134889.881+17657.17618+18950.88</f>
        <v>171497.93718000001</v>
      </c>
      <c r="G445" s="20">
        <v>170739.902</v>
      </c>
      <c r="H445" s="21">
        <f t="shared" ref="H445:H503" si="6">G445/F445*100</f>
        <v>99.557991663069174</v>
      </c>
    </row>
    <row r="446" spans="1:8" ht="41.4" x14ac:dyDescent="0.25">
      <c r="A446" s="67"/>
      <c r="B446" s="72"/>
      <c r="C446" s="52" t="s">
        <v>188</v>
      </c>
      <c r="D446" s="46" t="s">
        <v>182</v>
      </c>
      <c r="E446" s="28" t="s">
        <v>189</v>
      </c>
      <c r="F446" s="20">
        <f>233180.1+3696.1</f>
        <v>236876.2</v>
      </c>
      <c r="G446" s="20">
        <v>230894.94</v>
      </c>
      <c r="H446" s="21">
        <f t="shared" si="6"/>
        <v>97.474942607150908</v>
      </c>
    </row>
    <row r="447" spans="1:8" ht="55.2" x14ac:dyDescent="0.25">
      <c r="A447" s="68"/>
      <c r="B447" s="73"/>
      <c r="C447" s="52" t="s">
        <v>194</v>
      </c>
      <c r="D447" s="46" t="s">
        <v>182</v>
      </c>
      <c r="E447" s="28" t="s">
        <v>195</v>
      </c>
      <c r="F447" s="20">
        <v>0</v>
      </c>
      <c r="G447" s="20">
        <v>-729.93299999999999</v>
      </c>
      <c r="H447" s="21"/>
    </row>
    <row r="448" spans="1:8" x14ac:dyDescent="0.25">
      <c r="A448" s="23" t="s">
        <v>276</v>
      </c>
      <c r="B448" s="24" t="s">
        <v>29</v>
      </c>
      <c r="C448" s="53"/>
      <c r="D448" s="43"/>
      <c r="E448" s="25"/>
      <c r="F448" s="26">
        <f>SUM(F429:F447)</f>
        <v>408790.83718000003</v>
      </c>
      <c r="G448" s="26">
        <f>SUM(G429:G447)</f>
        <v>408534.761</v>
      </c>
      <c r="H448" s="21">
        <f t="shared" si="6"/>
        <v>99.93735765171094</v>
      </c>
    </row>
    <row r="449" spans="1:8" ht="55.2" x14ac:dyDescent="0.25">
      <c r="A449" s="69" t="s">
        <v>280</v>
      </c>
      <c r="B449" s="70" t="s">
        <v>281</v>
      </c>
      <c r="C449" s="52" t="s">
        <v>78</v>
      </c>
      <c r="D449" s="46" t="s">
        <v>76</v>
      </c>
      <c r="E449" s="28" t="s">
        <v>79</v>
      </c>
      <c r="F449" s="20">
        <v>0</v>
      </c>
      <c r="G449" s="20">
        <v>0</v>
      </c>
      <c r="H449" s="21"/>
    </row>
    <row r="450" spans="1:8" ht="27.6" x14ac:dyDescent="0.25">
      <c r="A450" s="69"/>
      <c r="B450" s="70"/>
      <c r="C450" s="52" t="s">
        <v>80</v>
      </c>
      <c r="D450" s="46" t="s">
        <v>76</v>
      </c>
      <c r="E450" s="28" t="s">
        <v>81</v>
      </c>
      <c r="F450" s="20">
        <v>0</v>
      </c>
      <c r="G450" s="20">
        <v>109.73399999999999</v>
      </c>
      <c r="H450" s="21"/>
    </row>
    <row r="451" spans="1:8" ht="110.4" x14ac:dyDescent="0.25">
      <c r="A451" s="69"/>
      <c r="B451" s="70"/>
      <c r="C451" s="52" t="s">
        <v>82</v>
      </c>
      <c r="D451" s="46" t="s">
        <v>83</v>
      </c>
      <c r="E451" s="29" t="s">
        <v>84</v>
      </c>
      <c r="F451" s="20">
        <v>0</v>
      </c>
      <c r="G451" s="20">
        <v>0</v>
      </c>
      <c r="H451" s="21"/>
    </row>
    <row r="452" spans="1:8" ht="124.2" x14ac:dyDescent="0.25">
      <c r="A452" s="69"/>
      <c r="B452" s="70"/>
      <c r="C452" s="52" t="s">
        <v>82</v>
      </c>
      <c r="D452" s="46" t="s">
        <v>85</v>
      </c>
      <c r="E452" s="29" t="s">
        <v>86</v>
      </c>
      <c r="F452" s="20">
        <v>0</v>
      </c>
      <c r="G452" s="20">
        <v>0</v>
      </c>
      <c r="H452" s="21"/>
    </row>
    <row r="453" spans="1:8" ht="96.6" x14ac:dyDescent="0.25">
      <c r="A453" s="69"/>
      <c r="B453" s="70"/>
      <c r="C453" s="52" t="s">
        <v>95</v>
      </c>
      <c r="D453" s="46" t="s">
        <v>21</v>
      </c>
      <c r="E453" s="28" t="s">
        <v>96</v>
      </c>
      <c r="F453" s="20">
        <v>0</v>
      </c>
      <c r="G453" s="20">
        <v>0</v>
      </c>
      <c r="H453" s="21"/>
    </row>
    <row r="454" spans="1:8" ht="69" x14ac:dyDescent="0.25">
      <c r="A454" s="69"/>
      <c r="B454" s="70"/>
      <c r="C454" s="52" t="s">
        <v>97</v>
      </c>
      <c r="D454" s="46" t="s">
        <v>21</v>
      </c>
      <c r="E454" s="28" t="s">
        <v>98</v>
      </c>
      <c r="F454" s="20">
        <v>0</v>
      </c>
      <c r="G454" s="20">
        <v>0</v>
      </c>
      <c r="H454" s="21"/>
    </row>
    <row r="455" spans="1:8" ht="55.2" x14ac:dyDescent="0.25">
      <c r="A455" s="69"/>
      <c r="B455" s="70"/>
      <c r="C455" s="52" t="s">
        <v>32</v>
      </c>
      <c r="D455" s="46" t="s">
        <v>21</v>
      </c>
      <c r="E455" s="28" t="s">
        <v>33</v>
      </c>
      <c r="F455" s="20">
        <v>0</v>
      </c>
      <c r="G455" s="20">
        <v>2059.1930000000002</v>
      </c>
      <c r="H455" s="21"/>
    </row>
    <row r="456" spans="1:8" ht="41.4" x14ac:dyDescent="0.25">
      <c r="A456" s="69"/>
      <c r="B456" s="70"/>
      <c r="C456" s="52" t="s">
        <v>99</v>
      </c>
      <c r="D456" s="46" t="s">
        <v>100</v>
      </c>
      <c r="E456" s="28" t="s">
        <v>101</v>
      </c>
      <c r="F456" s="20">
        <v>0</v>
      </c>
      <c r="G456" s="20">
        <v>0</v>
      </c>
      <c r="H456" s="21"/>
    </row>
    <row r="457" spans="1:8" ht="27.6" x14ac:dyDescent="0.25">
      <c r="A457" s="69"/>
      <c r="B457" s="70"/>
      <c r="C457" s="52" t="s">
        <v>102</v>
      </c>
      <c r="D457" s="46" t="s">
        <v>100</v>
      </c>
      <c r="E457" s="28" t="s">
        <v>103</v>
      </c>
      <c r="F457" s="20">
        <v>0</v>
      </c>
      <c r="G457" s="20">
        <v>0</v>
      </c>
      <c r="H457" s="21"/>
    </row>
    <row r="458" spans="1:8" ht="124.2" x14ac:dyDescent="0.25">
      <c r="A458" s="69"/>
      <c r="B458" s="70"/>
      <c r="C458" s="52" t="s">
        <v>282</v>
      </c>
      <c r="D458" s="46" t="s">
        <v>182</v>
      </c>
      <c r="E458" s="28" t="s">
        <v>283</v>
      </c>
      <c r="F458" s="20">
        <f>31.1+0.1</f>
        <v>31.200000000000003</v>
      </c>
      <c r="G458" s="20">
        <v>31.2</v>
      </c>
      <c r="H458" s="21">
        <f t="shared" si="6"/>
        <v>99.999999999999986</v>
      </c>
    </row>
    <row r="459" spans="1:8" ht="41.4" x14ac:dyDescent="0.25">
      <c r="A459" s="69"/>
      <c r="B459" s="70"/>
      <c r="C459" s="52" t="s">
        <v>188</v>
      </c>
      <c r="D459" s="46" t="s">
        <v>182</v>
      </c>
      <c r="E459" s="28" t="s">
        <v>189</v>
      </c>
      <c r="F459" s="20">
        <v>0</v>
      </c>
      <c r="G459" s="20">
        <v>75836.56</v>
      </c>
      <c r="H459" s="21"/>
    </row>
    <row r="460" spans="1:8" ht="41.4" x14ac:dyDescent="0.25">
      <c r="A460" s="69"/>
      <c r="B460" s="70"/>
      <c r="C460" s="52" t="s">
        <v>190</v>
      </c>
      <c r="D460" s="46" t="s">
        <v>100</v>
      </c>
      <c r="E460" s="28" t="s">
        <v>191</v>
      </c>
      <c r="F460" s="20">
        <v>0</v>
      </c>
      <c r="G460" s="20"/>
      <c r="H460" s="21"/>
    </row>
    <row r="461" spans="1:8" ht="41.4" x14ac:dyDescent="0.25">
      <c r="A461" s="69"/>
      <c r="B461" s="70"/>
      <c r="C461" s="52" t="s">
        <v>415</v>
      </c>
      <c r="D461" s="46" t="s">
        <v>100</v>
      </c>
      <c r="E461" s="28" t="s">
        <v>416</v>
      </c>
      <c r="F461" s="20">
        <v>0</v>
      </c>
      <c r="G461" s="20">
        <v>14.596</v>
      </c>
      <c r="H461" s="21"/>
    </row>
    <row r="462" spans="1:8" ht="55.2" x14ac:dyDescent="0.25">
      <c r="A462" s="69"/>
      <c r="B462" s="70"/>
      <c r="C462" s="52" t="s">
        <v>194</v>
      </c>
      <c r="D462" s="46" t="s">
        <v>182</v>
      </c>
      <c r="E462" s="28" t="s">
        <v>195</v>
      </c>
      <c r="F462" s="20">
        <v>0</v>
      </c>
      <c r="G462" s="20">
        <v>-71.486999999999995</v>
      </c>
      <c r="H462" s="21"/>
    </row>
    <row r="463" spans="1:8" x14ac:dyDescent="0.25">
      <c r="A463" s="23" t="s">
        <v>280</v>
      </c>
      <c r="B463" s="24" t="s">
        <v>29</v>
      </c>
      <c r="C463" s="53"/>
      <c r="D463" s="43"/>
      <c r="E463" s="25"/>
      <c r="F463" s="26">
        <f>SUM(F449:F462)</f>
        <v>31.200000000000003</v>
      </c>
      <c r="G463" s="26">
        <f>SUM(G449:G462)</f>
        <v>77979.796000000002</v>
      </c>
      <c r="H463" s="21">
        <f t="shared" si="6"/>
        <v>249935.24358974359</v>
      </c>
    </row>
    <row r="464" spans="1:8" ht="55.2" x14ac:dyDescent="0.25">
      <c r="A464" s="69" t="s">
        <v>284</v>
      </c>
      <c r="B464" s="70" t="s">
        <v>285</v>
      </c>
      <c r="C464" s="52" t="s">
        <v>78</v>
      </c>
      <c r="D464" s="46" t="s">
        <v>76</v>
      </c>
      <c r="E464" s="28" t="s">
        <v>79</v>
      </c>
      <c r="F464" s="20">
        <v>0</v>
      </c>
      <c r="G464" s="20">
        <v>0</v>
      </c>
      <c r="H464" s="21"/>
    </row>
    <row r="465" spans="1:8" ht="27.6" x14ac:dyDescent="0.25">
      <c r="A465" s="69"/>
      <c r="B465" s="70"/>
      <c r="C465" s="52" t="s">
        <v>80</v>
      </c>
      <c r="D465" s="46" t="s">
        <v>76</v>
      </c>
      <c r="E465" s="28" t="s">
        <v>81</v>
      </c>
      <c r="F465" s="20">
        <v>0</v>
      </c>
      <c r="G465" s="20">
        <v>223.696</v>
      </c>
      <c r="H465" s="21"/>
    </row>
    <row r="466" spans="1:8" ht="96.6" x14ac:dyDescent="0.25">
      <c r="A466" s="69"/>
      <c r="B466" s="70"/>
      <c r="C466" s="52" t="s">
        <v>95</v>
      </c>
      <c r="D466" s="46" t="s">
        <v>21</v>
      </c>
      <c r="E466" s="28" t="s">
        <v>96</v>
      </c>
      <c r="F466" s="20">
        <v>0</v>
      </c>
      <c r="G466" s="20">
        <v>0</v>
      </c>
      <c r="H466" s="21"/>
    </row>
    <row r="467" spans="1:8" ht="69" x14ac:dyDescent="0.25">
      <c r="A467" s="69"/>
      <c r="B467" s="70"/>
      <c r="C467" s="52" t="s">
        <v>97</v>
      </c>
      <c r="D467" s="46" t="s">
        <v>21</v>
      </c>
      <c r="E467" s="28" t="s">
        <v>98</v>
      </c>
      <c r="F467" s="20">
        <v>0</v>
      </c>
      <c r="G467" s="20">
        <v>0</v>
      </c>
      <c r="H467" s="21"/>
    </row>
    <row r="468" spans="1:8" ht="55.2" x14ac:dyDescent="0.25">
      <c r="A468" s="69"/>
      <c r="B468" s="70"/>
      <c r="C468" s="52" t="s">
        <v>32</v>
      </c>
      <c r="D468" s="46" t="s">
        <v>21</v>
      </c>
      <c r="E468" s="28" t="s">
        <v>33</v>
      </c>
      <c r="F468" s="20">
        <v>0</v>
      </c>
      <c r="G468" s="20">
        <v>0</v>
      </c>
      <c r="H468" s="21"/>
    </row>
    <row r="469" spans="1:8" ht="41.4" x14ac:dyDescent="0.25">
      <c r="A469" s="69"/>
      <c r="B469" s="70"/>
      <c r="C469" s="52" t="s">
        <v>99</v>
      </c>
      <c r="D469" s="46" t="s">
        <v>100</v>
      </c>
      <c r="E469" s="28" t="s">
        <v>101</v>
      </c>
      <c r="F469" s="20">
        <v>0</v>
      </c>
      <c r="G469" s="20">
        <v>0</v>
      </c>
      <c r="H469" s="21"/>
    </row>
    <row r="470" spans="1:8" ht="27.6" x14ac:dyDescent="0.25">
      <c r="A470" s="69"/>
      <c r="B470" s="70"/>
      <c r="C470" s="52" t="s">
        <v>102</v>
      </c>
      <c r="D470" s="46" t="s">
        <v>100</v>
      </c>
      <c r="E470" s="28" t="s">
        <v>103</v>
      </c>
      <c r="F470" s="20">
        <v>0</v>
      </c>
      <c r="G470" s="20">
        <v>0</v>
      </c>
      <c r="H470" s="21"/>
    </row>
    <row r="471" spans="1:8" ht="41.4" x14ac:dyDescent="0.25">
      <c r="A471" s="69"/>
      <c r="B471" s="70"/>
      <c r="C471" s="52" t="s">
        <v>188</v>
      </c>
      <c r="D471" s="46" t="s">
        <v>182</v>
      </c>
      <c r="E471" s="28" t="s">
        <v>189</v>
      </c>
      <c r="F471" s="20">
        <v>0</v>
      </c>
      <c r="G471" s="20">
        <v>8262.6</v>
      </c>
      <c r="H471" s="21"/>
    </row>
    <row r="472" spans="1:8" ht="41.4" x14ac:dyDescent="0.25">
      <c r="A472" s="69"/>
      <c r="B472" s="70"/>
      <c r="C472" s="52" t="s">
        <v>190</v>
      </c>
      <c r="D472" s="46" t="s">
        <v>100</v>
      </c>
      <c r="E472" s="28" t="s">
        <v>191</v>
      </c>
      <c r="F472" s="20">
        <v>0</v>
      </c>
      <c r="G472" s="20">
        <v>0</v>
      </c>
      <c r="H472" s="21"/>
    </row>
    <row r="473" spans="1:8" ht="55.2" x14ac:dyDescent="0.25">
      <c r="A473" s="15"/>
      <c r="B473" s="32"/>
      <c r="C473" s="52" t="s">
        <v>194</v>
      </c>
      <c r="D473" s="46" t="s">
        <v>182</v>
      </c>
      <c r="E473" s="28" t="s">
        <v>195</v>
      </c>
      <c r="F473" s="20">
        <v>0</v>
      </c>
      <c r="G473" s="20">
        <v>-1171.0029999999999</v>
      </c>
      <c r="H473" s="21"/>
    </row>
    <row r="474" spans="1:8" x14ac:dyDescent="0.25">
      <c r="A474" s="23" t="s">
        <v>284</v>
      </c>
      <c r="B474" s="24" t="s">
        <v>29</v>
      </c>
      <c r="C474" s="53"/>
      <c r="D474" s="43"/>
      <c r="E474" s="25"/>
      <c r="F474" s="20">
        <f>SUM(F464:F473)</f>
        <v>0</v>
      </c>
      <c r="G474" s="20">
        <f>SUM(G464:G473)</f>
        <v>7315.2930000000006</v>
      </c>
      <c r="H474" s="21"/>
    </row>
    <row r="475" spans="1:8" ht="55.2" x14ac:dyDescent="0.25">
      <c r="A475" s="69" t="s">
        <v>286</v>
      </c>
      <c r="B475" s="70" t="s">
        <v>287</v>
      </c>
      <c r="C475" s="52" t="s">
        <v>78</v>
      </c>
      <c r="D475" s="46" t="s">
        <v>76</v>
      </c>
      <c r="E475" s="28" t="s">
        <v>79</v>
      </c>
      <c r="F475" s="20">
        <v>0</v>
      </c>
      <c r="G475" s="20">
        <v>0</v>
      </c>
      <c r="H475" s="21"/>
    </row>
    <row r="476" spans="1:8" ht="27.6" x14ac:dyDescent="0.25">
      <c r="A476" s="69"/>
      <c r="B476" s="70"/>
      <c r="C476" s="52" t="s">
        <v>80</v>
      </c>
      <c r="D476" s="46" t="s">
        <v>76</v>
      </c>
      <c r="E476" s="28" t="s">
        <v>81</v>
      </c>
      <c r="F476" s="20">
        <v>0</v>
      </c>
      <c r="G476" s="20">
        <v>475.70800000000003</v>
      </c>
      <c r="H476" s="21"/>
    </row>
    <row r="477" spans="1:8" ht="110.4" x14ac:dyDescent="0.25">
      <c r="A477" s="69"/>
      <c r="B477" s="70"/>
      <c r="C477" s="52" t="s">
        <v>82</v>
      </c>
      <c r="D477" s="46" t="s">
        <v>83</v>
      </c>
      <c r="E477" s="29" t="s">
        <v>84</v>
      </c>
      <c r="F477" s="20">
        <v>0</v>
      </c>
      <c r="G477" s="20">
        <v>0</v>
      </c>
      <c r="H477" s="21"/>
    </row>
    <row r="478" spans="1:8" ht="124.2" x14ac:dyDescent="0.25">
      <c r="A478" s="69"/>
      <c r="B478" s="70"/>
      <c r="C478" s="52" t="s">
        <v>82</v>
      </c>
      <c r="D478" s="46" t="s">
        <v>85</v>
      </c>
      <c r="E478" s="29" t="s">
        <v>86</v>
      </c>
      <c r="F478" s="20">
        <v>0</v>
      </c>
      <c r="G478" s="20">
        <v>0</v>
      </c>
      <c r="H478" s="21"/>
    </row>
    <row r="479" spans="1:8" ht="96.6" x14ac:dyDescent="0.25">
      <c r="A479" s="69"/>
      <c r="B479" s="70"/>
      <c r="C479" s="52" t="s">
        <v>95</v>
      </c>
      <c r="D479" s="46" t="s">
        <v>21</v>
      </c>
      <c r="E479" s="28" t="s">
        <v>96</v>
      </c>
      <c r="F479" s="20">
        <v>0</v>
      </c>
      <c r="G479" s="20">
        <v>0</v>
      </c>
      <c r="H479" s="21"/>
    </row>
    <row r="480" spans="1:8" ht="69" x14ac:dyDescent="0.25">
      <c r="A480" s="69"/>
      <c r="B480" s="70"/>
      <c r="C480" s="52" t="s">
        <v>97</v>
      </c>
      <c r="D480" s="46" t="s">
        <v>21</v>
      </c>
      <c r="E480" s="28" t="s">
        <v>98</v>
      </c>
      <c r="F480" s="20">
        <v>0</v>
      </c>
      <c r="G480" s="20">
        <v>0</v>
      </c>
      <c r="H480" s="21"/>
    </row>
    <row r="481" spans="1:8" ht="55.2" x14ac:dyDescent="0.25">
      <c r="A481" s="69"/>
      <c r="B481" s="70"/>
      <c r="C481" s="52" t="s">
        <v>32</v>
      </c>
      <c r="D481" s="46" t="s">
        <v>21</v>
      </c>
      <c r="E481" s="28" t="s">
        <v>33</v>
      </c>
      <c r="F481" s="20">
        <v>0</v>
      </c>
      <c r="G481" s="20">
        <v>0</v>
      </c>
      <c r="H481" s="21"/>
    </row>
    <row r="482" spans="1:8" ht="41.4" x14ac:dyDescent="0.25">
      <c r="A482" s="69"/>
      <c r="B482" s="70"/>
      <c r="C482" s="52" t="s">
        <v>99</v>
      </c>
      <c r="D482" s="46" t="s">
        <v>100</v>
      </c>
      <c r="E482" s="28" t="s">
        <v>101</v>
      </c>
      <c r="F482" s="20">
        <v>0</v>
      </c>
      <c r="G482" s="20">
        <v>-0.81</v>
      </c>
      <c r="H482" s="21"/>
    </row>
    <row r="483" spans="1:8" ht="27.6" x14ac:dyDescent="0.25">
      <c r="A483" s="69"/>
      <c r="B483" s="70"/>
      <c r="C483" s="52" t="s">
        <v>102</v>
      </c>
      <c r="D483" s="46" t="s">
        <v>100</v>
      </c>
      <c r="E483" s="28" t="s">
        <v>103</v>
      </c>
      <c r="F483" s="20">
        <v>0</v>
      </c>
      <c r="G483" s="20">
        <v>0</v>
      </c>
      <c r="H483" s="21"/>
    </row>
    <row r="484" spans="1:8" ht="27.6" x14ac:dyDescent="0.25">
      <c r="A484" s="69"/>
      <c r="B484" s="70"/>
      <c r="C484" s="52" t="s">
        <v>288</v>
      </c>
      <c r="D484" s="46" t="s">
        <v>182</v>
      </c>
      <c r="E484" s="28" t="s">
        <v>289</v>
      </c>
      <c r="F484" s="20">
        <v>123318.5</v>
      </c>
      <c r="G484" s="20">
        <v>140061.1</v>
      </c>
      <c r="H484" s="21">
        <f t="shared" si="6"/>
        <v>113.57671395613798</v>
      </c>
    </row>
    <row r="485" spans="1:8" ht="55.2" x14ac:dyDescent="0.25">
      <c r="A485" s="69"/>
      <c r="B485" s="70"/>
      <c r="C485" s="52" t="s">
        <v>194</v>
      </c>
      <c r="D485" s="46" t="s">
        <v>182</v>
      </c>
      <c r="E485" s="28" t="s">
        <v>195</v>
      </c>
      <c r="F485" s="20">
        <v>0</v>
      </c>
      <c r="G485" s="20">
        <v>-219.036</v>
      </c>
      <c r="H485" s="21"/>
    </row>
    <row r="486" spans="1:8" x14ac:dyDescent="0.25">
      <c r="A486" s="23" t="s">
        <v>286</v>
      </c>
      <c r="B486" s="24" t="s">
        <v>29</v>
      </c>
      <c r="C486" s="53"/>
      <c r="D486" s="43"/>
      <c r="E486" s="25"/>
      <c r="F486" s="26">
        <f>SUM(F475:F485)</f>
        <v>123318.5</v>
      </c>
      <c r="G486" s="26">
        <f>SUM(G475:G485)</f>
        <v>140316.962</v>
      </c>
      <c r="H486" s="21">
        <f t="shared" si="6"/>
        <v>113.78419458556502</v>
      </c>
    </row>
    <row r="487" spans="1:8" ht="41.4" x14ac:dyDescent="0.25">
      <c r="A487" s="69" t="s">
        <v>290</v>
      </c>
      <c r="B487" s="70" t="s">
        <v>291</v>
      </c>
      <c r="C487" s="52" t="s">
        <v>75</v>
      </c>
      <c r="D487" s="46" t="s">
        <v>76</v>
      </c>
      <c r="E487" s="28" t="s">
        <v>77</v>
      </c>
      <c r="F487" s="20">
        <v>600</v>
      </c>
      <c r="G487" s="20">
        <v>766.5</v>
      </c>
      <c r="H487" s="21">
        <f t="shared" si="6"/>
        <v>127.75000000000001</v>
      </c>
    </row>
    <row r="488" spans="1:8" ht="55.2" x14ac:dyDescent="0.25">
      <c r="A488" s="69"/>
      <c r="B488" s="70"/>
      <c r="C488" s="52" t="s">
        <v>78</v>
      </c>
      <c r="D488" s="46" t="s">
        <v>76</v>
      </c>
      <c r="E488" s="28" t="s">
        <v>79</v>
      </c>
      <c r="F488" s="20">
        <v>0</v>
      </c>
      <c r="G488" s="20">
        <v>0</v>
      </c>
      <c r="H488" s="21"/>
    </row>
    <row r="489" spans="1:8" ht="27.6" x14ac:dyDescent="0.25">
      <c r="A489" s="69"/>
      <c r="B489" s="70"/>
      <c r="C489" s="52" t="s">
        <v>80</v>
      </c>
      <c r="D489" s="46" t="s">
        <v>76</v>
      </c>
      <c r="E489" s="28" t="s">
        <v>81</v>
      </c>
      <c r="F489" s="20">
        <v>0</v>
      </c>
      <c r="G489" s="20">
        <v>57.854999999999997</v>
      </c>
      <c r="H489" s="21"/>
    </row>
    <row r="490" spans="1:8" ht="110.4" x14ac:dyDescent="0.25">
      <c r="A490" s="69"/>
      <c r="B490" s="70"/>
      <c r="C490" s="52" t="s">
        <v>82</v>
      </c>
      <c r="D490" s="46" t="s">
        <v>83</v>
      </c>
      <c r="E490" s="29" t="s">
        <v>84</v>
      </c>
      <c r="F490" s="20">
        <v>0</v>
      </c>
      <c r="G490" s="20">
        <v>0</v>
      </c>
      <c r="H490" s="21"/>
    </row>
    <row r="491" spans="1:8" ht="124.2" x14ac:dyDescent="0.25">
      <c r="A491" s="69"/>
      <c r="B491" s="70"/>
      <c r="C491" s="52" t="s">
        <v>82</v>
      </c>
      <c r="D491" s="46" t="s">
        <v>85</v>
      </c>
      <c r="E491" s="29" t="s">
        <v>86</v>
      </c>
      <c r="F491" s="20">
        <v>0</v>
      </c>
      <c r="G491" s="20">
        <v>0</v>
      </c>
      <c r="H491" s="21"/>
    </row>
    <row r="492" spans="1:8" ht="96.6" x14ac:dyDescent="0.25">
      <c r="A492" s="69"/>
      <c r="B492" s="70"/>
      <c r="C492" s="52" t="s">
        <v>95</v>
      </c>
      <c r="D492" s="46" t="s">
        <v>21</v>
      </c>
      <c r="E492" s="28" t="s">
        <v>96</v>
      </c>
      <c r="F492" s="20">
        <v>0</v>
      </c>
      <c r="G492" s="20">
        <v>0</v>
      </c>
      <c r="H492" s="21"/>
    </row>
    <row r="493" spans="1:8" ht="69" x14ac:dyDescent="0.25">
      <c r="A493" s="69"/>
      <c r="B493" s="70"/>
      <c r="C493" s="52" t="s">
        <v>97</v>
      </c>
      <c r="D493" s="46" t="s">
        <v>21</v>
      </c>
      <c r="E493" s="28" t="s">
        <v>98</v>
      </c>
      <c r="F493" s="20">
        <v>0</v>
      </c>
      <c r="G493" s="20">
        <v>0</v>
      </c>
      <c r="H493" s="21"/>
    </row>
    <row r="494" spans="1:8" ht="55.2" x14ac:dyDescent="0.25">
      <c r="A494" s="69"/>
      <c r="B494" s="70"/>
      <c r="C494" s="52" t="s">
        <v>32</v>
      </c>
      <c r="D494" s="46" t="s">
        <v>21</v>
      </c>
      <c r="E494" s="28" t="s">
        <v>33</v>
      </c>
      <c r="F494" s="20">
        <v>0</v>
      </c>
      <c r="G494" s="20">
        <v>1.36</v>
      </c>
      <c r="H494" s="21"/>
    </row>
    <row r="495" spans="1:8" ht="41.4" x14ac:dyDescent="0.25">
      <c r="A495" s="69"/>
      <c r="B495" s="70"/>
      <c r="C495" s="52" t="s">
        <v>99</v>
      </c>
      <c r="D495" s="46" t="s">
        <v>100</v>
      </c>
      <c r="E495" s="28" t="s">
        <v>101</v>
      </c>
      <c r="F495" s="20">
        <v>0</v>
      </c>
      <c r="G495" s="20">
        <v>0</v>
      </c>
      <c r="H495" s="21"/>
    </row>
    <row r="496" spans="1:8" ht="27.6" x14ac:dyDescent="0.25">
      <c r="A496" s="69"/>
      <c r="B496" s="70"/>
      <c r="C496" s="52" t="s">
        <v>102</v>
      </c>
      <c r="D496" s="46" t="s">
        <v>100</v>
      </c>
      <c r="E496" s="28" t="s">
        <v>103</v>
      </c>
      <c r="F496" s="20">
        <v>0</v>
      </c>
      <c r="G496" s="20">
        <v>0</v>
      </c>
      <c r="H496" s="21"/>
    </row>
    <row r="497" spans="1:8" ht="82.8" x14ac:dyDescent="0.25">
      <c r="A497" s="69"/>
      <c r="B497" s="70"/>
      <c r="C497" s="52" t="s">
        <v>292</v>
      </c>
      <c r="D497" s="46" t="s">
        <v>182</v>
      </c>
      <c r="E497" s="28" t="s">
        <v>293</v>
      </c>
      <c r="F497" s="20">
        <v>0</v>
      </c>
      <c r="G497" s="20">
        <v>188.8</v>
      </c>
      <c r="H497" s="21"/>
    </row>
    <row r="498" spans="1:8" ht="55.2" x14ac:dyDescent="0.25">
      <c r="A498" s="69"/>
      <c r="B498" s="70"/>
      <c r="C498" s="52" t="s">
        <v>294</v>
      </c>
      <c r="D498" s="46" t="s">
        <v>182</v>
      </c>
      <c r="E498" s="28" t="s">
        <v>295</v>
      </c>
      <c r="F498" s="20">
        <v>73.099999999999994</v>
      </c>
      <c r="G498" s="20">
        <v>65.028999999999996</v>
      </c>
      <c r="H498" s="21">
        <f t="shared" si="6"/>
        <v>88.958960328317374</v>
      </c>
    </row>
    <row r="499" spans="1:8" ht="27.6" x14ac:dyDescent="0.25">
      <c r="A499" s="69"/>
      <c r="B499" s="70"/>
      <c r="C499" s="52" t="s">
        <v>104</v>
      </c>
      <c r="D499" s="46" t="s">
        <v>100</v>
      </c>
      <c r="E499" s="28" t="s">
        <v>105</v>
      </c>
      <c r="F499" s="20">
        <v>0</v>
      </c>
      <c r="G499" s="20">
        <v>0</v>
      </c>
      <c r="H499" s="21"/>
    </row>
    <row r="500" spans="1:8" ht="55.2" x14ac:dyDescent="0.25">
      <c r="A500" s="69"/>
      <c r="B500" s="70"/>
      <c r="C500" s="52" t="s">
        <v>194</v>
      </c>
      <c r="D500" s="46" t="s">
        <v>182</v>
      </c>
      <c r="E500" s="28" t="s">
        <v>195</v>
      </c>
      <c r="F500" s="20">
        <v>0</v>
      </c>
      <c r="G500" s="20">
        <v>0</v>
      </c>
      <c r="H500" s="21"/>
    </row>
    <row r="501" spans="1:8" x14ac:dyDescent="0.25">
      <c r="A501" s="23" t="s">
        <v>290</v>
      </c>
      <c r="B501" s="24" t="s">
        <v>29</v>
      </c>
      <c r="C501" s="53"/>
      <c r="D501" s="43"/>
      <c r="E501" s="25"/>
      <c r="F501" s="26">
        <f>SUM(F487:F500)</f>
        <v>673.1</v>
      </c>
      <c r="G501" s="26">
        <f>SUM(G487:G500)</f>
        <v>1079.5440000000001</v>
      </c>
      <c r="H501" s="21">
        <f t="shared" si="6"/>
        <v>160.38389540930027</v>
      </c>
    </row>
    <row r="502" spans="1:8" ht="41.4" x14ac:dyDescent="0.25">
      <c r="A502" s="69" t="s">
        <v>296</v>
      </c>
      <c r="B502" s="70" t="s">
        <v>297</v>
      </c>
      <c r="C502" s="52" t="s">
        <v>298</v>
      </c>
      <c r="D502" s="46" t="s">
        <v>39</v>
      </c>
      <c r="E502" s="28" t="s">
        <v>299</v>
      </c>
      <c r="F502" s="20">
        <v>3600</v>
      </c>
      <c r="G502" s="20">
        <v>5442</v>
      </c>
      <c r="H502" s="21">
        <f t="shared" si="6"/>
        <v>151.16666666666669</v>
      </c>
    </row>
    <row r="503" spans="1:8" ht="110.4" x14ac:dyDescent="0.25">
      <c r="A503" s="69"/>
      <c r="B503" s="70"/>
      <c r="C503" s="52" t="s">
        <v>73</v>
      </c>
      <c r="D503" s="46" t="s">
        <v>8</v>
      </c>
      <c r="E503" s="28" t="s">
        <v>74</v>
      </c>
      <c r="F503" s="20">
        <v>174749.1</v>
      </c>
      <c r="G503" s="20">
        <v>172089.77100000001</v>
      </c>
      <c r="H503" s="21">
        <f t="shared" si="6"/>
        <v>98.478201604471778</v>
      </c>
    </row>
    <row r="504" spans="1:8" ht="55.2" x14ac:dyDescent="0.25">
      <c r="A504" s="69"/>
      <c r="B504" s="70"/>
      <c r="C504" s="52" t="s">
        <v>78</v>
      </c>
      <c r="D504" s="46" t="s">
        <v>76</v>
      </c>
      <c r="E504" s="28" t="s">
        <v>79</v>
      </c>
      <c r="F504" s="20">
        <v>0</v>
      </c>
      <c r="G504" s="20">
        <v>0</v>
      </c>
      <c r="H504" s="21"/>
    </row>
    <row r="505" spans="1:8" ht="27.6" x14ac:dyDescent="0.25">
      <c r="A505" s="69"/>
      <c r="B505" s="70"/>
      <c r="C505" s="52" t="s">
        <v>80</v>
      </c>
      <c r="D505" s="46" t="s">
        <v>76</v>
      </c>
      <c r="E505" s="28" t="s">
        <v>81</v>
      </c>
      <c r="F505" s="20">
        <v>0</v>
      </c>
      <c r="G505" s="20">
        <v>0</v>
      </c>
      <c r="H505" s="21"/>
    </row>
    <row r="506" spans="1:8" ht="110.4" x14ac:dyDescent="0.25">
      <c r="A506" s="69"/>
      <c r="B506" s="70"/>
      <c r="C506" s="52" t="s">
        <v>82</v>
      </c>
      <c r="D506" s="46" t="s">
        <v>83</v>
      </c>
      <c r="E506" s="29" t="s">
        <v>84</v>
      </c>
      <c r="F506" s="20">
        <v>0</v>
      </c>
      <c r="G506" s="20">
        <v>0</v>
      </c>
      <c r="H506" s="21"/>
    </row>
    <row r="507" spans="1:8" ht="124.2" x14ac:dyDescent="0.25">
      <c r="A507" s="69"/>
      <c r="B507" s="70"/>
      <c r="C507" s="52" t="s">
        <v>82</v>
      </c>
      <c r="D507" s="46" t="s">
        <v>85</v>
      </c>
      <c r="E507" s="29" t="s">
        <v>86</v>
      </c>
      <c r="F507" s="20">
        <v>0</v>
      </c>
      <c r="G507" s="20">
        <v>0</v>
      </c>
      <c r="H507" s="21"/>
    </row>
    <row r="508" spans="1:8" ht="96.6" x14ac:dyDescent="0.25">
      <c r="A508" s="69"/>
      <c r="B508" s="70"/>
      <c r="C508" s="52" t="s">
        <v>95</v>
      </c>
      <c r="D508" s="46" t="s">
        <v>21</v>
      </c>
      <c r="E508" s="28" t="s">
        <v>96</v>
      </c>
      <c r="F508" s="20">
        <v>0</v>
      </c>
      <c r="G508" s="20">
        <v>0</v>
      </c>
      <c r="H508" s="21"/>
    </row>
    <row r="509" spans="1:8" ht="69" x14ac:dyDescent="0.25">
      <c r="A509" s="69"/>
      <c r="B509" s="70"/>
      <c r="C509" s="52" t="s">
        <v>97</v>
      </c>
      <c r="D509" s="46" t="s">
        <v>21</v>
      </c>
      <c r="E509" s="28" t="s">
        <v>98</v>
      </c>
      <c r="F509" s="20">
        <v>0</v>
      </c>
      <c r="G509" s="20">
        <v>0</v>
      </c>
      <c r="H509" s="21"/>
    </row>
    <row r="510" spans="1:8" ht="82.8" x14ac:dyDescent="0.25">
      <c r="A510" s="69"/>
      <c r="B510" s="70"/>
      <c r="C510" s="52" t="s">
        <v>390</v>
      </c>
      <c r="D510" s="46" t="s">
        <v>21</v>
      </c>
      <c r="E510" s="28" t="s">
        <v>391</v>
      </c>
      <c r="F510" s="20">
        <v>0</v>
      </c>
      <c r="G510" s="20">
        <v>25.6</v>
      </c>
      <c r="H510" s="21"/>
    </row>
    <row r="511" spans="1:8" ht="55.2" x14ac:dyDescent="0.25">
      <c r="A511" s="69"/>
      <c r="B511" s="70"/>
      <c r="C511" s="52" t="s">
        <v>32</v>
      </c>
      <c r="D511" s="46" t="s">
        <v>21</v>
      </c>
      <c r="E511" s="28" t="s">
        <v>33</v>
      </c>
      <c r="F511" s="20">
        <v>0</v>
      </c>
      <c r="G511" s="20">
        <v>53.801000000000002</v>
      </c>
      <c r="H511" s="21"/>
    </row>
    <row r="512" spans="1:8" ht="41.4" x14ac:dyDescent="0.25">
      <c r="A512" s="69"/>
      <c r="B512" s="70"/>
      <c r="C512" s="52" t="s">
        <v>99</v>
      </c>
      <c r="D512" s="46" t="s">
        <v>100</v>
      </c>
      <c r="E512" s="28" t="s">
        <v>101</v>
      </c>
      <c r="F512" s="20">
        <v>0</v>
      </c>
      <c r="G512" s="20">
        <v>4.2460000000000004</v>
      </c>
      <c r="H512" s="21"/>
    </row>
    <row r="513" spans="1:8" ht="27.6" x14ac:dyDescent="0.25">
      <c r="A513" s="69"/>
      <c r="B513" s="70"/>
      <c r="C513" s="52" t="s">
        <v>102</v>
      </c>
      <c r="D513" s="46" t="s">
        <v>100</v>
      </c>
      <c r="E513" s="28" t="s">
        <v>103</v>
      </c>
      <c r="F513" s="20">
        <v>29877.1</v>
      </c>
      <c r="G513" s="20">
        <v>21451.438999999998</v>
      </c>
      <c r="H513" s="21">
        <f t="shared" ref="H513:H577" si="7">G513/F513*100</f>
        <v>71.798932962034471</v>
      </c>
    </row>
    <row r="514" spans="1:8" ht="55.2" x14ac:dyDescent="0.25">
      <c r="A514" s="69"/>
      <c r="B514" s="70"/>
      <c r="C514" s="52" t="s">
        <v>194</v>
      </c>
      <c r="D514" s="46" t="s">
        <v>182</v>
      </c>
      <c r="E514" s="28" t="s">
        <v>195</v>
      </c>
      <c r="F514" s="20">
        <v>0</v>
      </c>
      <c r="G514" s="20">
        <v>0</v>
      </c>
      <c r="H514" s="21"/>
    </row>
    <row r="515" spans="1:8" x14ac:dyDescent="0.25">
      <c r="A515" s="23" t="s">
        <v>296</v>
      </c>
      <c r="B515" s="24" t="s">
        <v>29</v>
      </c>
      <c r="C515" s="53"/>
      <c r="D515" s="43"/>
      <c r="E515" s="25"/>
      <c r="F515" s="26">
        <f>SUM(F502:F514)</f>
        <v>208226.2</v>
      </c>
      <c r="G515" s="26">
        <f>SUM(G502:G514)</f>
        <v>199066.85700000002</v>
      </c>
      <c r="H515" s="21">
        <f t="shared" si="7"/>
        <v>95.601253348521936</v>
      </c>
    </row>
    <row r="516" spans="1:8" ht="110.4" x14ac:dyDescent="0.25">
      <c r="A516" s="66" t="s">
        <v>300</v>
      </c>
      <c r="B516" s="71" t="s">
        <v>301</v>
      </c>
      <c r="C516" s="52" t="s">
        <v>252</v>
      </c>
      <c r="D516" s="46" t="s">
        <v>8</v>
      </c>
      <c r="E516" s="29" t="s">
        <v>253</v>
      </c>
      <c r="F516" s="20">
        <v>0</v>
      </c>
      <c r="G516" s="20">
        <v>429.79500000000002</v>
      </c>
      <c r="H516" s="21"/>
    </row>
    <row r="517" spans="1:8" ht="55.2" x14ac:dyDescent="0.25">
      <c r="A517" s="67"/>
      <c r="B517" s="72"/>
      <c r="C517" s="52" t="s">
        <v>78</v>
      </c>
      <c r="D517" s="46" t="s">
        <v>76</v>
      </c>
      <c r="E517" s="28" t="s">
        <v>79</v>
      </c>
      <c r="F517" s="20">
        <v>0</v>
      </c>
      <c r="G517" s="20">
        <v>3890.8310000000001</v>
      </c>
      <c r="H517" s="21"/>
    </row>
    <row r="518" spans="1:8" ht="27.6" x14ac:dyDescent="0.25">
      <c r="A518" s="67"/>
      <c r="B518" s="72"/>
      <c r="C518" s="52" t="s">
        <v>80</v>
      </c>
      <c r="D518" s="46" t="s">
        <v>76</v>
      </c>
      <c r="E518" s="28" t="s">
        <v>81</v>
      </c>
      <c r="F518" s="20">
        <v>74636</v>
      </c>
      <c r="G518" s="20">
        <v>74641.763999999996</v>
      </c>
      <c r="H518" s="21">
        <f t="shared" si="7"/>
        <v>100.00772281472747</v>
      </c>
    </row>
    <row r="519" spans="1:8" ht="110.4" x14ac:dyDescent="0.25">
      <c r="A519" s="67"/>
      <c r="B519" s="72"/>
      <c r="C519" s="52" t="s">
        <v>82</v>
      </c>
      <c r="D519" s="46" t="s">
        <v>83</v>
      </c>
      <c r="E519" s="29" t="s">
        <v>84</v>
      </c>
      <c r="F519" s="20">
        <v>0</v>
      </c>
      <c r="G519" s="20">
        <v>0</v>
      </c>
      <c r="H519" s="21"/>
    </row>
    <row r="520" spans="1:8" ht="124.2" x14ac:dyDescent="0.25">
      <c r="A520" s="67"/>
      <c r="B520" s="72"/>
      <c r="C520" s="52" t="s">
        <v>82</v>
      </c>
      <c r="D520" s="46" t="s">
        <v>85</v>
      </c>
      <c r="E520" s="29" t="s">
        <v>86</v>
      </c>
      <c r="F520" s="20">
        <v>0</v>
      </c>
      <c r="G520" s="20">
        <v>14.324999999999999</v>
      </c>
      <c r="H520" s="21"/>
    </row>
    <row r="521" spans="1:8" ht="96.6" x14ac:dyDescent="0.25">
      <c r="A521" s="67"/>
      <c r="B521" s="72"/>
      <c r="C521" s="52" t="s">
        <v>95</v>
      </c>
      <c r="D521" s="46" t="s">
        <v>21</v>
      </c>
      <c r="E521" s="28" t="s">
        <v>96</v>
      </c>
      <c r="F521" s="20">
        <v>0</v>
      </c>
      <c r="G521" s="20">
        <v>0</v>
      </c>
      <c r="H521" s="21"/>
    </row>
    <row r="522" spans="1:8" ht="69" x14ac:dyDescent="0.25">
      <c r="A522" s="67"/>
      <c r="B522" s="72"/>
      <c r="C522" s="52" t="s">
        <v>97</v>
      </c>
      <c r="D522" s="46" t="s">
        <v>21</v>
      </c>
      <c r="E522" s="28" t="s">
        <v>98</v>
      </c>
      <c r="F522" s="20">
        <v>0</v>
      </c>
      <c r="G522" s="20">
        <v>0</v>
      </c>
      <c r="H522" s="21"/>
    </row>
    <row r="523" spans="1:8" ht="55.2" x14ac:dyDescent="0.25">
      <c r="A523" s="67"/>
      <c r="B523" s="72"/>
      <c r="C523" s="52" t="s">
        <v>32</v>
      </c>
      <c r="D523" s="46" t="s">
        <v>21</v>
      </c>
      <c r="E523" s="28" t="s">
        <v>33</v>
      </c>
      <c r="F523" s="20">
        <v>0</v>
      </c>
      <c r="G523" s="20">
        <v>537.40499999999997</v>
      </c>
      <c r="H523" s="21"/>
    </row>
    <row r="524" spans="1:8" ht="41.4" x14ac:dyDescent="0.25">
      <c r="A524" s="67"/>
      <c r="B524" s="72"/>
      <c r="C524" s="52" t="s">
        <v>99</v>
      </c>
      <c r="D524" s="46" t="s">
        <v>100</v>
      </c>
      <c r="E524" s="28" t="s">
        <v>101</v>
      </c>
      <c r="F524" s="20">
        <v>0</v>
      </c>
      <c r="G524" s="20">
        <v>0</v>
      </c>
      <c r="H524" s="21"/>
    </row>
    <row r="525" spans="1:8" ht="27.6" x14ac:dyDescent="0.25">
      <c r="A525" s="67"/>
      <c r="B525" s="72"/>
      <c r="C525" s="52" t="s">
        <v>102</v>
      </c>
      <c r="D525" s="46" t="s">
        <v>100</v>
      </c>
      <c r="E525" s="28" t="s">
        <v>103</v>
      </c>
      <c r="F525" s="20">
        <v>0</v>
      </c>
      <c r="G525" s="20">
        <v>0</v>
      </c>
      <c r="H525" s="21"/>
    </row>
    <row r="526" spans="1:8" ht="41.4" x14ac:dyDescent="0.25">
      <c r="A526" s="67"/>
      <c r="B526" s="72"/>
      <c r="C526" s="57" t="s">
        <v>198</v>
      </c>
      <c r="D526" s="27" t="s">
        <v>182</v>
      </c>
      <c r="E526" s="28" t="s">
        <v>199</v>
      </c>
      <c r="F526" s="20">
        <f>1080.1-1080.1</f>
        <v>0</v>
      </c>
      <c r="G526" s="20">
        <v>0</v>
      </c>
      <c r="H526" s="21"/>
    </row>
    <row r="527" spans="1:8" ht="41.4" x14ac:dyDescent="0.25">
      <c r="A527" s="67"/>
      <c r="B527" s="72"/>
      <c r="C527" s="52" t="s">
        <v>256</v>
      </c>
      <c r="D527" s="46" t="s">
        <v>182</v>
      </c>
      <c r="E527" s="31" t="s">
        <v>257</v>
      </c>
      <c r="F527" s="20">
        <f>488+39.7</f>
        <v>527.70000000000005</v>
      </c>
      <c r="G527" s="20">
        <v>557.79999999999995</v>
      </c>
      <c r="H527" s="21">
        <f t="shared" si="7"/>
        <v>105.70399848398711</v>
      </c>
    </row>
    <row r="528" spans="1:8" ht="27.6" x14ac:dyDescent="0.25">
      <c r="A528" s="67"/>
      <c r="B528" s="72"/>
      <c r="C528" s="52" t="s">
        <v>302</v>
      </c>
      <c r="D528" s="46" t="s">
        <v>182</v>
      </c>
      <c r="E528" s="31" t="s">
        <v>303</v>
      </c>
      <c r="F528" s="20">
        <f>1000.7</f>
        <v>1000.7</v>
      </c>
      <c r="G528" s="20">
        <v>552.70000000000005</v>
      </c>
      <c r="H528" s="21">
        <f t="shared" si="7"/>
        <v>55.231338063355651</v>
      </c>
    </row>
    <row r="529" spans="1:8" ht="41.4" x14ac:dyDescent="0.25">
      <c r="A529" s="67"/>
      <c r="B529" s="72"/>
      <c r="C529" s="52" t="s">
        <v>188</v>
      </c>
      <c r="D529" s="46" t="s">
        <v>182</v>
      </c>
      <c r="E529" s="28" t="s">
        <v>189</v>
      </c>
      <c r="F529" s="20">
        <v>0</v>
      </c>
      <c r="G529" s="20">
        <v>1513.0029999999999</v>
      </c>
      <c r="H529" s="21"/>
    </row>
    <row r="530" spans="1:8" ht="41.4" x14ac:dyDescent="0.25">
      <c r="A530" s="67"/>
      <c r="B530" s="72"/>
      <c r="C530" s="52" t="s">
        <v>190</v>
      </c>
      <c r="D530" s="46" t="s">
        <v>100</v>
      </c>
      <c r="E530" s="28" t="s">
        <v>191</v>
      </c>
      <c r="F530" s="20">
        <v>0</v>
      </c>
      <c r="G530" s="20">
        <v>0</v>
      </c>
      <c r="H530" s="21"/>
    </row>
    <row r="531" spans="1:8" ht="55.2" x14ac:dyDescent="0.25">
      <c r="A531" s="68"/>
      <c r="B531" s="73"/>
      <c r="C531" s="52" t="s">
        <v>194</v>
      </c>
      <c r="D531" s="46" t="s">
        <v>182</v>
      </c>
      <c r="E531" s="28" t="s">
        <v>195</v>
      </c>
      <c r="F531" s="20">
        <v>0</v>
      </c>
      <c r="G531" s="20">
        <v>-17.07</v>
      </c>
      <c r="H531" s="21"/>
    </row>
    <row r="532" spans="1:8" x14ac:dyDescent="0.25">
      <c r="A532" s="23" t="s">
        <v>300</v>
      </c>
      <c r="B532" s="24" t="s">
        <v>29</v>
      </c>
      <c r="C532" s="53"/>
      <c r="D532" s="43"/>
      <c r="E532" s="25"/>
      <c r="F532" s="26">
        <f>SUM(F516:F531)</f>
        <v>76164.399999999994</v>
      </c>
      <c r="G532" s="26">
        <f>SUM(G516:G531)</f>
        <v>82120.552999999985</v>
      </c>
      <c r="H532" s="21">
        <f t="shared" si="7"/>
        <v>107.82012725105166</v>
      </c>
    </row>
    <row r="533" spans="1:8" ht="41.4" x14ac:dyDescent="0.25">
      <c r="A533" s="69" t="s">
        <v>304</v>
      </c>
      <c r="B533" s="70" t="s">
        <v>305</v>
      </c>
      <c r="C533" s="52" t="s">
        <v>75</v>
      </c>
      <c r="D533" s="46" t="s">
        <v>76</v>
      </c>
      <c r="E533" s="28" t="s">
        <v>77</v>
      </c>
      <c r="F533" s="20">
        <v>0</v>
      </c>
      <c r="G533" s="20">
        <v>0</v>
      </c>
      <c r="H533" s="21"/>
    </row>
    <row r="534" spans="1:8" ht="55.2" x14ac:dyDescent="0.25">
      <c r="A534" s="69"/>
      <c r="B534" s="70"/>
      <c r="C534" s="52" t="s">
        <v>78</v>
      </c>
      <c r="D534" s="46" t="s">
        <v>76</v>
      </c>
      <c r="E534" s="28" t="s">
        <v>79</v>
      </c>
      <c r="F534" s="20">
        <v>0</v>
      </c>
      <c r="G534" s="20">
        <v>0</v>
      </c>
      <c r="H534" s="21"/>
    </row>
    <row r="535" spans="1:8" ht="27.6" x14ac:dyDescent="0.25">
      <c r="A535" s="69"/>
      <c r="B535" s="70"/>
      <c r="C535" s="52" t="s">
        <v>80</v>
      </c>
      <c r="D535" s="46" t="s">
        <v>76</v>
      </c>
      <c r="E535" s="28" t="s">
        <v>81</v>
      </c>
      <c r="F535" s="20">
        <v>0</v>
      </c>
      <c r="G535" s="20">
        <v>15.138</v>
      </c>
      <c r="H535" s="21"/>
    </row>
    <row r="536" spans="1:8" ht="110.4" x14ac:dyDescent="0.25">
      <c r="A536" s="69"/>
      <c r="B536" s="70"/>
      <c r="C536" s="52" t="s">
        <v>82</v>
      </c>
      <c r="D536" s="46" t="s">
        <v>83</v>
      </c>
      <c r="E536" s="29" t="s">
        <v>84</v>
      </c>
      <c r="F536" s="20">
        <v>0</v>
      </c>
      <c r="G536" s="20">
        <v>0</v>
      </c>
      <c r="H536" s="21"/>
    </row>
    <row r="537" spans="1:8" ht="124.2" x14ac:dyDescent="0.25">
      <c r="A537" s="69"/>
      <c r="B537" s="70"/>
      <c r="C537" s="52" t="s">
        <v>82</v>
      </c>
      <c r="D537" s="46" t="s">
        <v>85</v>
      </c>
      <c r="E537" s="29" t="s">
        <v>86</v>
      </c>
      <c r="F537" s="20">
        <v>0</v>
      </c>
      <c r="G537" s="20">
        <v>0</v>
      </c>
      <c r="H537" s="21"/>
    </row>
    <row r="538" spans="1:8" ht="96.6" x14ac:dyDescent="0.25">
      <c r="A538" s="69"/>
      <c r="B538" s="70"/>
      <c r="C538" s="52" t="s">
        <v>95</v>
      </c>
      <c r="D538" s="46" t="s">
        <v>21</v>
      </c>
      <c r="E538" s="28" t="s">
        <v>96</v>
      </c>
      <c r="F538" s="20">
        <v>0</v>
      </c>
      <c r="G538" s="20">
        <v>0</v>
      </c>
      <c r="H538" s="21"/>
    </row>
    <row r="539" spans="1:8" ht="69" x14ac:dyDescent="0.25">
      <c r="A539" s="69"/>
      <c r="B539" s="70"/>
      <c r="C539" s="52" t="s">
        <v>97</v>
      </c>
      <c r="D539" s="46" t="s">
        <v>21</v>
      </c>
      <c r="E539" s="28" t="s">
        <v>98</v>
      </c>
      <c r="F539" s="20">
        <v>0</v>
      </c>
      <c r="G539" s="20">
        <v>0</v>
      </c>
      <c r="H539" s="21"/>
    </row>
    <row r="540" spans="1:8" ht="55.2" x14ac:dyDescent="0.25">
      <c r="A540" s="69"/>
      <c r="B540" s="70"/>
      <c r="C540" s="52" t="s">
        <v>32</v>
      </c>
      <c r="D540" s="46" t="s">
        <v>21</v>
      </c>
      <c r="E540" s="28" t="s">
        <v>33</v>
      </c>
      <c r="F540" s="20">
        <v>0</v>
      </c>
      <c r="G540" s="20">
        <v>0</v>
      </c>
      <c r="H540" s="21"/>
    </row>
    <row r="541" spans="1:8" ht="41.4" x14ac:dyDescent="0.25">
      <c r="A541" s="69"/>
      <c r="B541" s="70"/>
      <c r="C541" s="52" t="s">
        <v>99</v>
      </c>
      <c r="D541" s="46" t="s">
        <v>100</v>
      </c>
      <c r="E541" s="28" t="s">
        <v>101</v>
      </c>
      <c r="F541" s="20">
        <v>0</v>
      </c>
      <c r="G541" s="20">
        <v>16.434999999999999</v>
      </c>
      <c r="H541" s="21"/>
    </row>
    <row r="542" spans="1:8" ht="27.6" x14ac:dyDescent="0.25">
      <c r="A542" s="69"/>
      <c r="B542" s="70"/>
      <c r="C542" s="52" t="s">
        <v>102</v>
      </c>
      <c r="D542" s="46" t="s">
        <v>100</v>
      </c>
      <c r="E542" s="28" t="s">
        <v>103</v>
      </c>
      <c r="F542" s="20">
        <v>0</v>
      </c>
      <c r="G542" s="20">
        <v>0</v>
      </c>
      <c r="H542" s="21"/>
    </row>
    <row r="543" spans="1:8" ht="69" x14ac:dyDescent="0.25">
      <c r="A543" s="69"/>
      <c r="B543" s="70"/>
      <c r="C543" s="52" t="s">
        <v>204</v>
      </c>
      <c r="D543" s="46" t="s">
        <v>182</v>
      </c>
      <c r="E543" s="28" t="s">
        <v>205</v>
      </c>
      <c r="F543" s="20">
        <f>4059.75017+75000+1152.998-1152.998-4059.75</f>
        <v>75000.000169999999</v>
      </c>
      <c r="G543" s="20">
        <v>0</v>
      </c>
      <c r="H543" s="21">
        <f t="shared" si="7"/>
        <v>0</v>
      </c>
    </row>
    <row r="544" spans="1:8" ht="69" x14ac:dyDescent="0.25">
      <c r="A544" s="69"/>
      <c r="B544" s="70"/>
      <c r="C544" s="52" t="s">
        <v>417</v>
      </c>
      <c r="D544" s="46" t="s">
        <v>182</v>
      </c>
      <c r="E544" s="28" t="s">
        <v>418</v>
      </c>
      <c r="F544" s="20">
        <v>0</v>
      </c>
      <c r="G544" s="20">
        <v>32911.692999999999</v>
      </c>
      <c r="H544" s="21"/>
    </row>
    <row r="545" spans="1:8" ht="27.6" x14ac:dyDescent="0.25">
      <c r="A545" s="69"/>
      <c r="B545" s="70"/>
      <c r="C545" s="52" t="s">
        <v>184</v>
      </c>
      <c r="D545" s="46" t="s">
        <v>182</v>
      </c>
      <c r="E545" s="28" t="s">
        <v>185</v>
      </c>
      <c r="F545" s="20">
        <f>299.8+4059.75+1152.998</f>
        <v>5512.5480000000007</v>
      </c>
      <c r="G545" s="20">
        <v>4359.55</v>
      </c>
      <c r="H545" s="21">
        <f t="shared" si="7"/>
        <v>79.084118632617788</v>
      </c>
    </row>
    <row r="546" spans="1:8" ht="41.4" x14ac:dyDescent="0.25">
      <c r="A546" s="69"/>
      <c r="B546" s="70"/>
      <c r="C546" s="52" t="s">
        <v>188</v>
      </c>
      <c r="D546" s="46" t="s">
        <v>182</v>
      </c>
      <c r="E546" s="28" t="s">
        <v>189</v>
      </c>
      <c r="F546" s="20">
        <v>3080</v>
      </c>
      <c r="G546" s="20">
        <v>3080</v>
      </c>
      <c r="H546" s="21">
        <f t="shared" si="7"/>
        <v>100</v>
      </c>
    </row>
    <row r="547" spans="1:8" ht="41.4" x14ac:dyDescent="0.25">
      <c r="A547" s="69"/>
      <c r="B547" s="70"/>
      <c r="C547" s="52" t="s">
        <v>190</v>
      </c>
      <c r="D547" s="46" t="s">
        <v>100</v>
      </c>
      <c r="E547" s="28" t="s">
        <v>191</v>
      </c>
      <c r="F547" s="20">
        <v>0</v>
      </c>
      <c r="G547" s="20">
        <v>0</v>
      </c>
      <c r="H547" s="21"/>
    </row>
    <row r="548" spans="1:8" ht="41.4" x14ac:dyDescent="0.25">
      <c r="A548" s="69"/>
      <c r="B548" s="70"/>
      <c r="C548" s="52" t="s">
        <v>192</v>
      </c>
      <c r="D548" s="46" t="s">
        <v>100</v>
      </c>
      <c r="E548" s="28" t="s">
        <v>193</v>
      </c>
      <c r="F548" s="20">
        <v>0</v>
      </c>
      <c r="G548" s="20">
        <v>10967.587</v>
      </c>
      <c r="H548" s="21"/>
    </row>
    <row r="549" spans="1:8" ht="55.2" x14ac:dyDescent="0.25">
      <c r="A549" s="69"/>
      <c r="B549" s="70"/>
      <c r="C549" s="52" t="s">
        <v>194</v>
      </c>
      <c r="D549" s="46" t="s">
        <v>182</v>
      </c>
      <c r="E549" s="28" t="s">
        <v>195</v>
      </c>
      <c r="F549" s="20">
        <v>0</v>
      </c>
      <c r="G549" s="20">
        <v>-40.808</v>
      </c>
      <c r="H549" s="21"/>
    </row>
    <row r="550" spans="1:8" x14ac:dyDescent="0.25">
      <c r="A550" s="23" t="s">
        <v>304</v>
      </c>
      <c r="B550" s="24" t="s">
        <v>29</v>
      </c>
      <c r="C550" s="53"/>
      <c r="D550" s="43"/>
      <c r="E550" s="25"/>
      <c r="F550" s="26">
        <f>SUM(F533:F549)</f>
        <v>83592.548169999995</v>
      </c>
      <c r="G550" s="26">
        <f>SUM(G533:G549)</f>
        <v>51309.595000000001</v>
      </c>
      <c r="H550" s="21">
        <f t="shared" si="7"/>
        <v>61.380584900526067</v>
      </c>
    </row>
    <row r="551" spans="1:8" ht="55.2" x14ac:dyDescent="0.25">
      <c r="A551" s="69" t="s">
        <v>306</v>
      </c>
      <c r="B551" s="70" t="s">
        <v>307</v>
      </c>
      <c r="C551" s="52" t="s">
        <v>78</v>
      </c>
      <c r="D551" s="46" t="s">
        <v>76</v>
      </c>
      <c r="E551" s="28" t="s">
        <v>79</v>
      </c>
      <c r="F551" s="20">
        <v>0</v>
      </c>
      <c r="G551" s="20">
        <v>0</v>
      </c>
      <c r="H551" s="21"/>
    </row>
    <row r="552" spans="1:8" ht="27.6" x14ac:dyDescent="0.25">
      <c r="A552" s="69"/>
      <c r="B552" s="70"/>
      <c r="C552" s="52" t="s">
        <v>80</v>
      </c>
      <c r="D552" s="46" t="s">
        <v>76</v>
      </c>
      <c r="E552" s="28" t="s">
        <v>81</v>
      </c>
      <c r="F552" s="20">
        <v>0</v>
      </c>
      <c r="G552" s="20">
        <v>165.577</v>
      </c>
      <c r="H552" s="21"/>
    </row>
    <row r="553" spans="1:8" ht="124.2" x14ac:dyDescent="0.25">
      <c r="A553" s="69"/>
      <c r="B553" s="70"/>
      <c r="C553" s="52" t="s">
        <v>82</v>
      </c>
      <c r="D553" s="46" t="s">
        <v>85</v>
      </c>
      <c r="E553" s="29" t="s">
        <v>86</v>
      </c>
      <c r="F553" s="20">
        <v>0</v>
      </c>
      <c r="G553" s="20">
        <v>0</v>
      </c>
      <c r="H553" s="21"/>
    </row>
    <row r="554" spans="1:8" ht="96.6" x14ac:dyDescent="0.25">
      <c r="A554" s="69"/>
      <c r="B554" s="70"/>
      <c r="C554" s="52" t="s">
        <v>95</v>
      </c>
      <c r="D554" s="46" t="s">
        <v>21</v>
      </c>
      <c r="E554" s="28" t="s">
        <v>96</v>
      </c>
      <c r="F554" s="20">
        <v>0</v>
      </c>
      <c r="G554" s="20">
        <v>0</v>
      </c>
      <c r="H554" s="21"/>
    </row>
    <row r="555" spans="1:8" ht="69" x14ac:dyDescent="0.25">
      <c r="A555" s="69"/>
      <c r="B555" s="70"/>
      <c r="C555" s="52" t="s">
        <v>97</v>
      </c>
      <c r="D555" s="46" t="s">
        <v>21</v>
      </c>
      <c r="E555" s="28" t="s">
        <v>98</v>
      </c>
      <c r="F555" s="20">
        <v>0</v>
      </c>
      <c r="G555" s="20">
        <v>0</v>
      </c>
      <c r="H555" s="21"/>
    </row>
    <row r="556" spans="1:8" ht="69" x14ac:dyDescent="0.25">
      <c r="A556" s="69"/>
      <c r="B556" s="70"/>
      <c r="C556" s="52" t="s">
        <v>308</v>
      </c>
      <c r="D556" s="46" t="s">
        <v>21</v>
      </c>
      <c r="E556" s="28" t="s">
        <v>309</v>
      </c>
      <c r="F556" s="20">
        <v>0</v>
      </c>
      <c r="G556" s="20">
        <v>2858.1239999999998</v>
      </c>
      <c r="H556" s="21"/>
    </row>
    <row r="557" spans="1:8" ht="55.2" x14ac:dyDescent="0.25">
      <c r="A557" s="69"/>
      <c r="B557" s="70"/>
      <c r="C557" s="52" t="s">
        <v>32</v>
      </c>
      <c r="D557" s="46" t="s">
        <v>21</v>
      </c>
      <c r="E557" s="28" t="s">
        <v>33</v>
      </c>
      <c r="F557" s="20">
        <v>0</v>
      </c>
      <c r="G557" s="20">
        <v>0</v>
      </c>
      <c r="H557" s="21"/>
    </row>
    <row r="558" spans="1:8" ht="41.4" x14ac:dyDescent="0.25">
      <c r="A558" s="69"/>
      <c r="B558" s="70"/>
      <c r="C558" s="52" t="s">
        <v>99</v>
      </c>
      <c r="D558" s="46" t="s">
        <v>100</v>
      </c>
      <c r="E558" s="28" t="s">
        <v>101</v>
      </c>
      <c r="F558" s="20">
        <v>0</v>
      </c>
      <c r="G558" s="20">
        <v>-163.58000000000001</v>
      </c>
      <c r="H558" s="21"/>
    </row>
    <row r="559" spans="1:8" x14ac:dyDescent="0.25">
      <c r="A559" s="23" t="s">
        <v>306</v>
      </c>
      <c r="B559" s="24" t="s">
        <v>29</v>
      </c>
      <c r="C559" s="53"/>
      <c r="D559" s="43"/>
      <c r="E559" s="25"/>
      <c r="F559" s="20">
        <f>SUM(F551:F558)</f>
        <v>0</v>
      </c>
      <c r="G559" s="20">
        <f>SUM(G551:G558)</f>
        <v>2860.1210000000001</v>
      </c>
      <c r="H559" s="21"/>
    </row>
    <row r="560" spans="1:8" ht="55.2" x14ac:dyDescent="0.25">
      <c r="A560" s="69" t="s">
        <v>310</v>
      </c>
      <c r="B560" s="70" t="s">
        <v>311</v>
      </c>
      <c r="C560" s="52" t="s">
        <v>78</v>
      </c>
      <c r="D560" s="46" t="s">
        <v>76</v>
      </c>
      <c r="E560" s="28" t="s">
        <v>79</v>
      </c>
      <c r="F560" s="20">
        <v>0</v>
      </c>
      <c r="G560" s="20">
        <v>0</v>
      </c>
      <c r="H560" s="21"/>
    </row>
    <row r="561" spans="1:8" ht="27.6" x14ac:dyDescent="0.25">
      <c r="A561" s="69"/>
      <c r="B561" s="70"/>
      <c r="C561" s="52" t="s">
        <v>80</v>
      </c>
      <c r="D561" s="46" t="s">
        <v>76</v>
      </c>
      <c r="E561" s="28" t="s">
        <v>81</v>
      </c>
      <c r="F561" s="20">
        <v>0</v>
      </c>
      <c r="G561" s="20">
        <v>0</v>
      </c>
      <c r="H561" s="21"/>
    </row>
    <row r="562" spans="1:8" ht="96.6" x14ac:dyDescent="0.25">
      <c r="A562" s="69"/>
      <c r="B562" s="70"/>
      <c r="C562" s="52" t="s">
        <v>95</v>
      </c>
      <c r="D562" s="46" t="s">
        <v>21</v>
      </c>
      <c r="E562" s="28" t="s">
        <v>96</v>
      </c>
      <c r="F562" s="20">
        <v>0</v>
      </c>
      <c r="G562" s="20">
        <v>0</v>
      </c>
      <c r="H562" s="21"/>
    </row>
    <row r="563" spans="1:8" ht="69" x14ac:dyDescent="0.25">
      <c r="A563" s="69"/>
      <c r="B563" s="70"/>
      <c r="C563" s="52" t="s">
        <v>97</v>
      </c>
      <c r="D563" s="46" t="s">
        <v>21</v>
      </c>
      <c r="E563" s="28" t="s">
        <v>98</v>
      </c>
      <c r="F563" s="20">
        <v>0</v>
      </c>
      <c r="G563" s="20">
        <v>0</v>
      </c>
      <c r="H563" s="21"/>
    </row>
    <row r="564" spans="1:8" ht="55.2" x14ac:dyDescent="0.25">
      <c r="A564" s="69"/>
      <c r="B564" s="70"/>
      <c r="C564" s="52" t="s">
        <v>32</v>
      </c>
      <c r="D564" s="46" t="s">
        <v>21</v>
      </c>
      <c r="E564" s="28" t="s">
        <v>33</v>
      </c>
      <c r="F564" s="20">
        <v>0</v>
      </c>
      <c r="G564" s="20">
        <v>0</v>
      </c>
      <c r="H564" s="21"/>
    </row>
    <row r="565" spans="1:8" ht="41.4" x14ac:dyDescent="0.25">
      <c r="A565" s="69"/>
      <c r="B565" s="70"/>
      <c r="C565" s="52" t="s">
        <v>99</v>
      </c>
      <c r="D565" s="46" t="s">
        <v>100</v>
      </c>
      <c r="E565" s="28" t="s">
        <v>101</v>
      </c>
      <c r="F565" s="20">
        <v>0</v>
      </c>
      <c r="G565" s="20">
        <v>0</v>
      </c>
      <c r="H565" s="21"/>
    </row>
    <row r="566" spans="1:8" ht="27.6" x14ac:dyDescent="0.25">
      <c r="A566" s="69"/>
      <c r="B566" s="70"/>
      <c r="C566" s="52" t="s">
        <v>102</v>
      </c>
      <c r="D566" s="46" t="s">
        <v>100</v>
      </c>
      <c r="E566" s="28" t="s">
        <v>103</v>
      </c>
      <c r="F566" s="20">
        <v>0</v>
      </c>
      <c r="G566" s="20">
        <v>53.496000000000002</v>
      </c>
      <c r="H566" s="21"/>
    </row>
    <row r="567" spans="1:8" x14ac:dyDescent="0.25">
      <c r="A567" s="23" t="s">
        <v>310</v>
      </c>
      <c r="B567" s="24" t="s">
        <v>29</v>
      </c>
      <c r="C567" s="53"/>
      <c r="D567" s="43"/>
      <c r="E567" s="25"/>
      <c r="F567" s="20">
        <f>SUM(F560:F566)</f>
        <v>0</v>
      </c>
      <c r="G567" s="20">
        <f>SUM(G560:G566)</f>
        <v>53.496000000000002</v>
      </c>
      <c r="H567" s="21"/>
    </row>
    <row r="568" spans="1:8" ht="55.2" x14ac:dyDescent="0.25">
      <c r="A568" s="66" t="s">
        <v>312</v>
      </c>
      <c r="B568" s="66" t="s">
        <v>313</v>
      </c>
      <c r="C568" s="52" t="s">
        <v>78</v>
      </c>
      <c r="D568" s="46" t="s">
        <v>76</v>
      </c>
      <c r="E568" s="28" t="s">
        <v>79</v>
      </c>
      <c r="F568" s="20">
        <v>0</v>
      </c>
      <c r="G568" s="20">
        <v>0</v>
      </c>
      <c r="H568" s="21"/>
    </row>
    <row r="569" spans="1:8" ht="27.6" x14ac:dyDescent="0.25">
      <c r="A569" s="67"/>
      <c r="B569" s="67"/>
      <c r="C569" s="52" t="s">
        <v>80</v>
      </c>
      <c r="D569" s="46" t="s">
        <v>76</v>
      </c>
      <c r="E569" s="28" t="s">
        <v>81</v>
      </c>
      <c r="F569" s="20">
        <v>0</v>
      </c>
      <c r="G569" s="20">
        <v>43.53</v>
      </c>
      <c r="H569" s="21"/>
    </row>
    <row r="570" spans="1:8" ht="96.6" x14ac:dyDescent="0.25">
      <c r="A570" s="67"/>
      <c r="B570" s="67"/>
      <c r="C570" s="52" t="s">
        <v>95</v>
      </c>
      <c r="D570" s="46" t="s">
        <v>21</v>
      </c>
      <c r="E570" s="28" t="s">
        <v>96</v>
      </c>
      <c r="F570" s="20">
        <v>0</v>
      </c>
      <c r="G570" s="20">
        <v>0</v>
      </c>
      <c r="H570" s="21"/>
    </row>
    <row r="571" spans="1:8" ht="69" x14ac:dyDescent="0.25">
      <c r="A571" s="67"/>
      <c r="B571" s="67"/>
      <c r="C571" s="52" t="s">
        <v>97</v>
      </c>
      <c r="D571" s="46" t="s">
        <v>21</v>
      </c>
      <c r="E571" s="28" t="s">
        <v>98</v>
      </c>
      <c r="F571" s="20">
        <v>0</v>
      </c>
      <c r="G571" s="20">
        <v>0</v>
      </c>
      <c r="H571" s="21"/>
    </row>
    <row r="572" spans="1:8" ht="55.2" x14ac:dyDescent="0.25">
      <c r="A572" s="67"/>
      <c r="B572" s="67"/>
      <c r="C572" s="52" t="s">
        <v>32</v>
      </c>
      <c r="D572" s="46" t="s">
        <v>21</v>
      </c>
      <c r="E572" s="28" t="s">
        <v>33</v>
      </c>
      <c r="F572" s="20">
        <v>0</v>
      </c>
      <c r="G572" s="20">
        <v>0</v>
      </c>
      <c r="H572" s="21"/>
    </row>
    <row r="573" spans="1:8" ht="41.4" x14ac:dyDescent="0.25">
      <c r="A573" s="67"/>
      <c r="B573" s="67"/>
      <c r="C573" s="52" t="s">
        <v>99</v>
      </c>
      <c r="D573" s="46" t="s">
        <v>100</v>
      </c>
      <c r="E573" s="28" t="s">
        <v>101</v>
      </c>
      <c r="F573" s="20">
        <v>0</v>
      </c>
      <c r="G573" s="20">
        <v>0</v>
      </c>
      <c r="H573" s="21"/>
    </row>
    <row r="574" spans="1:8" ht="27.6" x14ac:dyDescent="0.25">
      <c r="A574" s="68"/>
      <c r="B574" s="68"/>
      <c r="C574" s="52" t="s">
        <v>102</v>
      </c>
      <c r="D574" s="46" t="s">
        <v>100</v>
      </c>
      <c r="E574" s="28" t="s">
        <v>103</v>
      </c>
      <c r="F574" s="20">
        <v>0</v>
      </c>
      <c r="G574" s="20">
        <v>0</v>
      </c>
      <c r="H574" s="21"/>
    </row>
    <row r="575" spans="1:8" ht="41.4" x14ac:dyDescent="0.25">
      <c r="A575" s="33"/>
      <c r="B575" s="34"/>
      <c r="C575" s="52" t="s">
        <v>188</v>
      </c>
      <c r="D575" s="46" t="s">
        <v>182</v>
      </c>
      <c r="E575" s="28" t="s">
        <v>189</v>
      </c>
      <c r="F575" s="20">
        <v>0</v>
      </c>
      <c r="G575" s="20">
        <v>343</v>
      </c>
      <c r="H575" s="21"/>
    </row>
    <row r="576" spans="1:8" x14ac:dyDescent="0.25">
      <c r="A576" s="23" t="s">
        <v>312</v>
      </c>
      <c r="B576" s="24" t="s">
        <v>29</v>
      </c>
      <c r="C576" s="53"/>
      <c r="D576" s="43"/>
      <c r="E576" s="25"/>
      <c r="F576" s="20">
        <f>SUM(F568:F575)</f>
        <v>0</v>
      </c>
      <c r="G576" s="20">
        <f>SUM(G568:G575)</f>
        <v>386.53</v>
      </c>
      <c r="H576" s="21"/>
    </row>
    <row r="577" spans="1:8" ht="110.4" x14ac:dyDescent="0.25">
      <c r="A577" s="69" t="s">
        <v>314</v>
      </c>
      <c r="B577" s="70" t="s">
        <v>315</v>
      </c>
      <c r="C577" s="52" t="s">
        <v>73</v>
      </c>
      <c r="D577" s="46" t="s">
        <v>8</v>
      </c>
      <c r="E577" s="28" t="s">
        <v>74</v>
      </c>
      <c r="F577" s="20">
        <v>45434.5</v>
      </c>
      <c r="G577" s="20">
        <v>43810.618000000002</v>
      </c>
      <c r="H577" s="21">
        <f t="shared" si="7"/>
        <v>96.42588341458584</v>
      </c>
    </row>
    <row r="578" spans="1:8" ht="41.4" x14ac:dyDescent="0.25">
      <c r="A578" s="69"/>
      <c r="B578" s="70"/>
      <c r="C578" s="52" t="s">
        <v>75</v>
      </c>
      <c r="D578" s="46" t="s">
        <v>76</v>
      </c>
      <c r="E578" s="28" t="s">
        <v>77</v>
      </c>
      <c r="F578" s="20">
        <v>0</v>
      </c>
      <c r="G578" s="20">
        <v>0</v>
      </c>
      <c r="H578" s="21"/>
    </row>
    <row r="579" spans="1:8" ht="55.2" x14ac:dyDescent="0.25">
      <c r="A579" s="69"/>
      <c r="B579" s="70"/>
      <c r="C579" s="52" t="s">
        <v>78</v>
      </c>
      <c r="D579" s="46" t="s">
        <v>76</v>
      </c>
      <c r="E579" s="28" t="s">
        <v>79</v>
      </c>
      <c r="F579" s="20">
        <v>0</v>
      </c>
      <c r="G579" s="20">
        <v>0</v>
      </c>
      <c r="H579" s="21"/>
    </row>
    <row r="580" spans="1:8" ht="27.6" x14ac:dyDescent="0.25">
      <c r="A580" s="69"/>
      <c r="B580" s="70"/>
      <c r="C580" s="52" t="s">
        <v>80</v>
      </c>
      <c r="D580" s="46" t="s">
        <v>76</v>
      </c>
      <c r="E580" s="28" t="s">
        <v>81</v>
      </c>
      <c r="F580" s="20">
        <v>67135.925000000003</v>
      </c>
      <c r="G580" s="20">
        <v>76868.046000000002</v>
      </c>
      <c r="H580" s="21">
        <f t="shared" ref="H580:H631" si="8">G580/F580*100</f>
        <v>114.49614494773104</v>
      </c>
    </row>
    <row r="581" spans="1:8" ht="41.4" x14ac:dyDescent="0.25">
      <c r="A581" s="69"/>
      <c r="B581" s="70"/>
      <c r="C581" s="52" t="s">
        <v>419</v>
      </c>
      <c r="D581" s="46" t="s">
        <v>83</v>
      </c>
      <c r="E581" s="28" t="s">
        <v>420</v>
      </c>
      <c r="F581" s="20">
        <v>0</v>
      </c>
      <c r="G581" s="20">
        <v>1282.5029999999999</v>
      </c>
      <c r="H581" s="21"/>
    </row>
    <row r="582" spans="1:8" ht="110.4" x14ac:dyDescent="0.25">
      <c r="A582" s="69"/>
      <c r="B582" s="70"/>
      <c r="C582" s="52" t="s">
        <v>82</v>
      </c>
      <c r="D582" s="46" t="s">
        <v>83</v>
      </c>
      <c r="E582" s="29" t="s">
        <v>84</v>
      </c>
      <c r="F582" s="20">
        <v>0</v>
      </c>
      <c r="G582" s="20">
        <v>0</v>
      </c>
      <c r="H582" s="21"/>
    </row>
    <row r="583" spans="1:8" ht="124.2" x14ac:dyDescent="0.25">
      <c r="A583" s="69"/>
      <c r="B583" s="70"/>
      <c r="C583" s="52" t="s">
        <v>82</v>
      </c>
      <c r="D583" s="46" t="s">
        <v>85</v>
      </c>
      <c r="E583" s="29" t="s">
        <v>86</v>
      </c>
      <c r="F583" s="20">
        <v>0</v>
      </c>
      <c r="G583" s="20">
        <v>0</v>
      </c>
      <c r="H583" s="21"/>
    </row>
    <row r="584" spans="1:8" ht="96.6" x14ac:dyDescent="0.25">
      <c r="A584" s="69"/>
      <c r="B584" s="70"/>
      <c r="C584" s="52" t="s">
        <v>95</v>
      </c>
      <c r="D584" s="46" t="s">
        <v>21</v>
      </c>
      <c r="E584" s="28" t="s">
        <v>96</v>
      </c>
      <c r="F584" s="20">
        <v>0</v>
      </c>
      <c r="G584" s="20">
        <v>0</v>
      </c>
      <c r="H584" s="21"/>
    </row>
    <row r="585" spans="1:8" ht="69" x14ac:dyDescent="0.25">
      <c r="A585" s="69"/>
      <c r="B585" s="70"/>
      <c r="C585" s="52" t="s">
        <v>97</v>
      </c>
      <c r="D585" s="46" t="s">
        <v>21</v>
      </c>
      <c r="E585" s="28" t="s">
        <v>98</v>
      </c>
      <c r="F585" s="20">
        <v>0</v>
      </c>
      <c r="G585" s="20">
        <v>0</v>
      </c>
      <c r="H585" s="21"/>
    </row>
    <row r="586" spans="1:8" ht="55.2" x14ac:dyDescent="0.25">
      <c r="A586" s="69"/>
      <c r="B586" s="70"/>
      <c r="C586" s="52" t="s">
        <v>32</v>
      </c>
      <c r="D586" s="46" t="s">
        <v>21</v>
      </c>
      <c r="E586" s="28" t="s">
        <v>33</v>
      </c>
      <c r="F586" s="20">
        <v>190.9</v>
      </c>
      <c r="G586" s="20">
        <v>1022.753</v>
      </c>
      <c r="H586" s="21">
        <f t="shared" si="8"/>
        <v>535.75327396542696</v>
      </c>
    </row>
    <row r="587" spans="1:8" ht="41.4" x14ac:dyDescent="0.25">
      <c r="A587" s="69"/>
      <c r="B587" s="70"/>
      <c r="C587" s="52" t="s">
        <v>99</v>
      </c>
      <c r="D587" s="46" t="s">
        <v>100</v>
      </c>
      <c r="E587" s="28" t="s">
        <v>101</v>
      </c>
      <c r="F587" s="20">
        <v>0</v>
      </c>
      <c r="G587" s="20">
        <v>0</v>
      </c>
      <c r="H587" s="21"/>
    </row>
    <row r="588" spans="1:8" ht="27.6" x14ac:dyDescent="0.25">
      <c r="A588" s="69"/>
      <c r="B588" s="70"/>
      <c r="C588" s="52" t="s">
        <v>102</v>
      </c>
      <c r="D588" s="46" t="s">
        <v>100</v>
      </c>
      <c r="E588" s="28" t="s">
        <v>103</v>
      </c>
      <c r="F588" s="20">
        <v>0</v>
      </c>
      <c r="G588" s="20">
        <v>0</v>
      </c>
      <c r="H588" s="21"/>
    </row>
    <row r="589" spans="1:8" ht="27.6" x14ac:dyDescent="0.25">
      <c r="A589" s="69"/>
      <c r="B589" s="70"/>
      <c r="C589" s="52" t="s">
        <v>316</v>
      </c>
      <c r="D589" s="46" t="s">
        <v>182</v>
      </c>
      <c r="E589" s="28" t="s">
        <v>317</v>
      </c>
      <c r="F589" s="20">
        <v>0</v>
      </c>
      <c r="G589" s="20">
        <v>0</v>
      </c>
      <c r="H589" s="21"/>
    </row>
    <row r="590" spans="1:8" ht="41.4" x14ac:dyDescent="0.25">
      <c r="A590" s="69"/>
      <c r="B590" s="70"/>
      <c r="C590" s="52" t="s">
        <v>407</v>
      </c>
      <c r="D590" s="46" t="s">
        <v>182</v>
      </c>
      <c r="E590" s="28" t="s">
        <v>408</v>
      </c>
      <c r="F590" s="20">
        <v>0</v>
      </c>
      <c r="G590" s="20">
        <v>13566.668</v>
      </c>
      <c r="H590" s="21"/>
    </row>
    <row r="591" spans="1:8" ht="110.4" x14ac:dyDescent="0.25">
      <c r="A591" s="69"/>
      <c r="B591" s="70"/>
      <c r="C591" s="52" t="s">
        <v>318</v>
      </c>
      <c r="D591" s="46" t="s">
        <v>182</v>
      </c>
      <c r="E591" s="28" t="s">
        <v>319</v>
      </c>
      <c r="F591" s="20">
        <v>154096.01999999999</v>
      </c>
      <c r="G591" s="20">
        <v>94066.562000000005</v>
      </c>
      <c r="H591" s="21">
        <f t="shared" si="8"/>
        <v>61.044121710606156</v>
      </c>
    </row>
    <row r="592" spans="1:8" ht="69" x14ac:dyDescent="0.25">
      <c r="A592" s="69"/>
      <c r="B592" s="70"/>
      <c r="C592" s="52" t="s">
        <v>320</v>
      </c>
      <c r="D592" s="46" t="s">
        <v>182</v>
      </c>
      <c r="E592" s="28" t="s">
        <v>321</v>
      </c>
      <c r="F592" s="20">
        <v>12841.334999999999</v>
      </c>
      <c r="G592" s="20">
        <v>12841.334999999999</v>
      </c>
      <c r="H592" s="21">
        <f t="shared" si="8"/>
        <v>100</v>
      </c>
    </row>
    <row r="593" spans="1:8" ht="27.6" x14ac:dyDescent="0.25">
      <c r="A593" s="69"/>
      <c r="B593" s="70"/>
      <c r="C593" s="52" t="s">
        <v>184</v>
      </c>
      <c r="D593" s="46" t="s">
        <v>182</v>
      </c>
      <c r="E593" s="28" t="s">
        <v>185</v>
      </c>
      <c r="F593" s="20">
        <f>12841.335-12841.335</f>
        <v>0</v>
      </c>
      <c r="G593" s="20">
        <v>0</v>
      </c>
      <c r="H593" s="21"/>
    </row>
    <row r="594" spans="1:8" ht="82.8" x14ac:dyDescent="0.25">
      <c r="A594" s="69"/>
      <c r="B594" s="70"/>
      <c r="C594" s="52" t="s">
        <v>322</v>
      </c>
      <c r="D594" s="46" t="s">
        <v>182</v>
      </c>
      <c r="E594" s="28" t="s">
        <v>323</v>
      </c>
      <c r="F594" s="20">
        <v>16.5</v>
      </c>
      <c r="G594" s="20">
        <v>16.5</v>
      </c>
      <c r="H594" s="21">
        <f t="shared" si="8"/>
        <v>100</v>
      </c>
    </row>
    <row r="595" spans="1:8" ht="69" x14ac:dyDescent="0.25">
      <c r="A595" s="69"/>
      <c r="B595" s="70"/>
      <c r="C595" s="52" t="s">
        <v>324</v>
      </c>
      <c r="D595" s="46" t="s">
        <v>182</v>
      </c>
      <c r="E595" s="28" t="s">
        <v>325</v>
      </c>
      <c r="F595" s="20">
        <v>0</v>
      </c>
      <c r="G595" s="20">
        <v>4.2</v>
      </c>
      <c r="H595" s="21"/>
    </row>
    <row r="596" spans="1:8" ht="110.4" x14ac:dyDescent="0.25">
      <c r="A596" s="69"/>
      <c r="B596" s="70"/>
      <c r="C596" s="52" t="s">
        <v>326</v>
      </c>
      <c r="D596" s="46" t="s">
        <v>182</v>
      </c>
      <c r="E596" s="28" t="s">
        <v>327</v>
      </c>
      <c r="F596" s="20">
        <f>152502.4-150992.5</f>
        <v>1509.8999999999942</v>
      </c>
      <c r="G596" s="20">
        <v>1014.029</v>
      </c>
      <c r="H596" s="21">
        <f t="shared" si="8"/>
        <v>67.158686005695998</v>
      </c>
    </row>
    <row r="597" spans="1:8" ht="96.6" x14ac:dyDescent="0.25">
      <c r="A597" s="69"/>
      <c r="B597" s="70"/>
      <c r="C597" s="52" t="s">
        <v>328</v>
      </c>
      <c r="D597" s="46" t="s">
        <v>182</v>
      </c>
      <c r="E597" s="28" t="s">
        <v>329</v>
      </c>
      <c r="F597" s="20">
        <v>126.14</v>
      </c>
      <c r="G597" s="20">
        <v>89.7</v>
      </c>
      <c r="H597" s="21">
        <f t="shared" si="8"/>
        <v>71.111463453305859</v>
      </c>
    </row>
    <row r="598" spans="1:8" ht="96.6" x14ac:dyDescent="0.25">
      <c r="A598" s="69"/>
      <c r="B598" s="70"/>
      <c r="C598" s="52" t="s">
        <v>330</v>
      </c>
      <c r="D598" s="46" t="s">
        <v>182</v>
      </c>
      <c r="E598" s="28" t="s">
        <v>331</v>
      </c>
      <c r="F598" s="20">
        <f>55772+95220.5</f>
        <v>150992.5</v>
      </c>
      <c r="G598" s="20">
        <v>101909.78</v>
      </c>
      <c r="H598" s="21">
        <f t="shared" si="8"/>
        <v>67.493272844677705</v>
      </c>
    </row>
    <row r="599" spans="1:8" ht="138" x14ac:dyDescent="0.25">
      <c r="A599" s="69"/>
      <c r="B599" s="70"/>
      <c r="C599" s="52" t="s">
        <v>332</v>
      </c>
      <c r="D599" s="46" t="s">
        <v>182</v>
      </c>
      <c r="E599" s="29" t="s">
        <v>333</v>
      </c>
      <c r="F599" s="20">
        <v>43313.4</v>
      </c>
      <c r="G599" s="20">
        <v>54870.048000000003</v>
      </c>
      <c r="H599" s="21">
        <f t="shared" si="8"/>
        <v>126.68146116444335</v>
      </c>
    </row>
    <row r="600" spans="1:8" ht="110.4" x14ac:dyDescent="0.25">
      <c r="A600" s="69"/>
      <c r="B600" s="70"/>
      <c r="C600" s="52" t="s">
        <v>334</v>
      </c>
      <c r="D600" s="46" t="s">
        <v>182</v>
      </c>
      <c r="E600" s="29" t="s">
        <v>335</v>
      </c>
      <c r="F600" s="20">
        <v>27809.3</v>
      </c>
      <c r="G600" s="20">
        <v>37926.468000000001</v>
      </c>
      <c r="H600" s="21">
        <f t="shared" si="8"/>
        <v>136.38052018569329</v>
      </c>
    </row>
    <row r="601" spans="1:8" ht="55.2" x14ac:dyDescent="0.25">
      <c r="A601" s="69"/>
      <c r="B601" s="70"/>
      <c r="C601" s="52" t="s">
        <v>336</v>
      </c>
      <c r="D601" s="46" t="s">
        <v>182</v>
      </c>
      <c r="E601" s="28" t="s">
        <v>337</v>
      </c>
      <c r="F601" s="20">
        <v>0</v>
      </c>
      <c r="G601" s="20">
        <v>0</v>
      </c>
      <c r="H601" s="21"/>
    </row>
    <row r="602" spans="1:8" ht="82.8" x14ac:dyDescent="0.25">
      <c r="A602" s="69"/>
      <c r="B602" s="70"/>
      <c r="C602" s="52" t="s">
        <v>338</v>
      </c>
      <c r="D602" s="46" t="s">
        <v>182</v>
      </c>
      <c r="E602" s="28" t="s">
        <v>339</v>
      </c>
      <c r="F602" s="20">
        <v>55772</v>
      </c>
      <c r="G602" s="20">
        <v>0</v>
      </c>
      <c r="H602" s="21">
        <f t="shared" si="8"/>
        <v>0</v>
      </c>
    </row>
    <row r="603" spans="1:8" ht="27.6" x14ac:dyDescent="0.25">
      <c r="A603" s="69"/>
      <c r="B603" s="70"/>
      <c r="C603" s="52" t="s">
        <v>340</v>
      </c>
      <c r="D603" s="46" t="s">
        <v>182</v>
      </c>
      <c r="E603" s="28" t="s">
        <v>341</v>
      </c>
      <c r="F603" s="20">
        <f>12613.626</f>
        <v>12613.626</v>
      </c>
      <c r="G603" s="20">
        <v>68802.171000000002</v>
      </c>
      <c r="H603" s="21">
        <f t="shared" si="8"/>
        <v>545.45910113396417</v>
      </c>
    </row>
    <row r="604" spans="1:8" ht="41.4" x14ac:dyDescent="0.25">
      <c r="A604" s="69"/>
      <c r="B604" s="70"/>
      <c r="C604" s="52" t="s">
        <v>188</v>
      </c>
      <c r="D604" s="46" t="s">
        <v>182</v>
      </c>
      <c r="E604" s="28" t="s">
        <v>189</v>
      </c>
      <c r="F604" s="20">
        <v>0</v>
      </c>
      <c r="G604" s="20">
        <v>74869.872000000003</v>
      </c>
      <c r="H604" s="21"/>
    </row>
    <row r="605" spans="1:8" ht="27.6" x14ac:dyDescent="0.25">
      <c r="A605" s="69"/>
      <c r="B605" s="70"/>
      <c r="C605" s="52" t="s">
        <v>104</v>
      </c>
      <c r="D605" s="46" t="s">
        <v>100</v>
      </c>
      <c r="E605" s="28" t="s">
        <v>105</v>
      </c>
      <c r="F605" s="20">
        <v>0</v>
      </c>
      <c r="G605" s="20">
        <v>0</v>
      </c>
      <c r="H605" s="21"/>
    </row>
    <row r="606" spans="1:8" ht="55.2" x14ac:dyDescent="0.25">
      <c r="A606" s="69"/>
      <c r="B606" s="70"/>
      <c r="C606" s="52" t="s">
        <v>194</v>
      </c>
      <c r="D606" s="46" t="s">
        <v>182</v>
      </c>
      <c r="E606" s="28" t="s">
        <v>195</v>
      </c>
      <c r="F606" s="20">
        <v>0</v>
      </c>
      <c r="G606" s="20">
        <v>-190803.80100000001</v>
      </c>
      <c r="H606" s="21"/>
    </row>
    <row r="607" spans="1:8" x14ac:dyDescent="0.25">
      <c r="A607" s="23" t="s">
        <v>314</v>
      </c>
      <c r="B607" s="24" t="s">
        <v>29</v>
      </c>
      <c r="C607" s="53"/>
      <c r="D607" s="43"/>
      <c r="E607" s="25"/>
      <c r="F607" s="26">
        <f>SUM(F577:F606)</f>
        <v>571852.04599999997</v>
      </c>
      <c r="G607" s="26">
        <f>SUM(G577:G606)</f>
        <v>392157.45200000005</v>
      </c>
      <c r="H607" s="21">
        <f t="shared" si="8"/>
        <v>68.576733220256784</v>
      </c>
    </row>
    <row r="608" spans="1:8" ht="110.4" x14ac:dyDescent="0.25">
      <c r="A608" s="69" t="s">
        <v>342</v>
      </c>
      <c r="B608" s="70" t="s">
        <v>343</v>
      </c>
      <c r="C608" s="52" t="s">
        <v>63</v>
      </c>
      <c r="D608" s="46" t="s">
        <v>8</v>
      </c>
      <c r="E608" s="29" t="s">
        <v>64</v>
      </c>
      <c r="F608" s="20">
        <v>0</v>
      </c>
      <c r="G608" s="20">
        <v>26139.200000000001</v>
      </c>
      <c r="H608" s="21"/>
    </row>
    <row r="609" spans="1:8" ht="124.2" x14ac:dyDescent="0.25">
      <c r="A609" s="69"/>
      <c r="B609" s="70"/>
      <c r="C609" s="52" t="s">
        <v>344</v>
      </c>
      <c r="D609" s="46" t="s">
        <v>8</v>
      </c>
      <c r="E609" s="29" t="s">
        <v>345</v>
      </c>
      <c r="F609" s="20">
        <f>615252.1-4070.2+15376</f>
        <v>626557.9</v>
      </c>
      <c r="G609" s="20">
        <v>517651.55</v>
      </c>
      <c r="H609" s="21">
        <f t="shared" si="8"/>
        <v>82.618310295026191</v>
      </c>
    </row>
    <row r="610" spans="1:8" ht="151.80000000000001" x14ac:dyDescent="0.25">
      <c r="A610" s="69"/>
      <c r="B610" s="70"/>
      <c r="C610" s="52" t="s">
        <v>346</v>
      </c>
      <c r="D610" s="46" t="s">
        <v>8</v>
      </c>
      <c r="E610" s="29" t="s">
        <v>347</v>
      </c>
      <c r="F610" s="20">
        <v>0</v>
      </c>
      <c r="G610" s="20">
        <v>0</v>
      </c>
      <c r="H610" s="21"/>
    </row>
    <row r="611" spans="1:8" ht="124.2" x14ac:dyDescent="0.25">
      <c r="A611" s="69"/>
      <c r="B611" s="70"/>
      <c r="C611" s="52" t="s">
        <v>348</v>
      </c>
      <c r="D611" s="46" t="s">
        <v>8</v>
      </c>
      <c r="E611" s="29" t="s">
        <v>349</v>
      </c>
      <c r="F611" s="20">
        <v>0</v>
      </c>
      <c r="G611" s="20">
        <v>15389.246999999999</v>
      </c>
      <c r="H611" s="21"/>
    </row>
    <row r="612" spans="1:8" ht="165.6" x14ac:dyDescent="0.25">
      <c r="A612" s="69"/>
      <c r="B612" s="70"/>
      <c r="C612" s="52" t="s">
        <v>350</v>
      </c>
      <c r="D612" s="46" t="s">
        <v>8</v>
      </c>
      <c r="E612" s="29" t="s">
        <v>351</v>
      </c>
      <c r="F612" s="20">
        <v>0</v>
      </c>
      <c r="G612" s="20"/>
      <c r="H612" s="21"/>
    </row>
    <row r="613" spans="1:8" ht="96.6" x14ac:dyDescent="0.25">
      <c r="A613" s="69"/>
      <c r="B613" s="70"/>
      <c r="C613" s="52" t="s">
        <v>352</v>
      </c>
      <c r="D613" s="46" t="s">
        <v>8</v>
      </c>
      <c r="E613" s="28" t="s">
        <v>353</v>
      </c>
      <c r="F613" s="20">
        <v>0</v>
      </c>
      <c r="G613" s="20"/>
      <c r="H613" s="21"/>
    </row>
    <row r="614" spans="1:8" ht="124.2" x14ac:dyDescent="0.25">
      <c r="A614" s="69"/>
      <c r="B614" s="70"/>
      <c r="C614" s="52" t="s">
        <v>354</v>
      </c>
      <c r="D614" s="46" t="s">
        <v>8</v>
      </c>
      <c r="E614" s="29" t="s">
        <v>355</v>
      </c>
      <c r="F614" s="20">
        <f>22246.4+12326</f>
        <v>34572.400000000001</v>
      </c>
      <c r="G614" s="20">
        <v>43142.63</v>
      </c>
      <c r="H614" s="21">
        <f t="shared" si="8"/>
        <v>124.78922493086971</v>
      </c>
    </row>
    <row r="615" spans="1:8" ht="138" x14ac:dyDescent="0.25">
      <c r="A615" s="69"/>
      <c r="B615" s="70"/>
      <c r="C615" s="52" t="s">
        <v>356</v>
      </c>
      <c r="D615" s="46" t="s">
        <v>8</v>
      </c>
      <c r="E615" s="29" t="s">
        <v>357</v>
      </c>
      <c r="F615" s="20">
        <v>0</v>
      </c>
      <c r="G615" s="20">
        <v>0</v>
      </c>
      <c r="H615" s="21"/>
    </row>
    <row r="616" spans="1:8" ht="124.2" x14ac:dyDescent="0.25">
      <c r="A616" s="69"/>
      <c r="B616" s="70"/>
      <c r="C616" s="52" t="s">
        <v>358</v>
      </c>
      <c r="D616" s="46" t="s">
        <v>8</v>
      </c>
      <c r="E616" s="29" t="s">
        <v>359</v>
      </c>
      <c r="F616" s="20">
        <v>0</v>
      </c>
      <c r="G616" s="20">
        <v>781.14499999999998</v>
      </c>
      <c r="H616" s="21"/>
    </row>
    <row r="617" spans="1:8" ht="138" x14ac:dyDescent="0.25">
      <c r="A617" s="69"/>
      <c r="B617" s="70"/>
      <c r="C617" s="52" t="s">
        <v>360</v>
      </c>
      <c r="D617" s="46" t="s">
        <v>8</v>
      </c>
      <c r="E617" s="29" t="s">
        <v>361</v>
      </c>
      <c r="F617" s="20">
        <v>0</v>
      </c>
      <c r="G617" s="20">
        <v>0</v>
      </c>
      <c r="H617" s="21"/>
    </row>
    <row r="618" spans="1:8" ht="55.2" x14ac:dyDescent="0.25">
      <c r="A618" s="69"/>
      <c r="B618" s="70"/>
      <c r="C618" s="52" t="s">
        <v>78</v>
      </c>
      <c r="D618" s="46" t="s">
        <v>76</v>
      </c>
      <c r="E618" s="28" t="s">
        <v>79</v>
      </c>
      <c r="F618" s="20">
        <v>0</v>
      </c>
      <c r="G618" s="20">
        <v>0</v>
      </c>
      <c r="H618" s="21"/>
    </row>
    <row r="619" spans="1:8" ht="27.6" x14ac:dyDescent="0.25">
      <c r="A619" s="69"/>
      <c r="B619" s="70"/>
      <c r="C619" s="52" t="s">
        <v>80</v>
      </c>
      <c r="D619" s="46" t="s">
        <v>76</v>
      </c>
      <c r="E619" s="28" t="s">
        <v>81</v>
      </c>
      <c r="F619" s="20">
        <v>0</v>
      </c>
      <c r="G619" s="20">
        <v>42.853999999999999</v>
      </c>
      <c r="H619" s="21"/>
    </row>
    <row r="620" spans="1:8" ht="69" x14ac:dyDescent="0.25">
      <c r="A620" s="69"/>
      <c r="B620" s="70"/>
      <c r="C620" s="52" t="s">
        <v>362</v>
      </c>
      <c r="D620" s="46" t="s">
        <v>363</v>
      </c>
      <c r="E620" s="28" t="s">
        <v>364</v>
      </c>
      <c r="F620" s="20">
        <f>184175.2+35021.7</f>
        <v>219196.90000000002</v>
      </c>
      <c r="G620" s="20">
        <v>260743.451</v>
      </c>
      <c r="H620" s="21">
        <f t="shared" si="8"/>
        <v>118.95398657554006</v>
      </c>
    </row>
    <row r="621" spans="1:8" ht="69" x14ac:dyDescent="0.25">
      <c r="A621" s="69"/>
      <c r="B621" s="70"/>
      <c r="C621" s="52" t="s">
        <v>365</v>
      </c>
      <c r="D621" s="46" t="s">
        <v>363</v>
      </c>
      <c r="E621" s="28" t="s">
        <v>366</v>
      </c>
      <c r="F621" s="20">
        <v>0</v>
      </c>
      <c r="G621" s="20">
        <v>0</v>
      </c>
      <c r="H621" s="21"/>
    </row>
    <row r="622" spans="1:8" ht="96.6" x14ac:dyDescent="0.25">
      <c r="A622" s="69"/>
      <c r="B622" s="70"/>
      <c r="C622" s="52" t="s">
        <v>95</v>
      </c>
      <c r="D622" s="46" t="s">
        <v>21</v>
      </c>
      <c r="E622" s="28" t="s">
        <v>96</v>
      </c>
      <c r="F622" s="20">
        <v>0</v>
      </c>
      <c r="G622" s="20">
        <v>0</v>
      </c>
      <c r="H622" s="21"/>
    </row>
    <row r="623" spans="1:8" ht="69" x14ac:dyDescent="0.25">
      <c r="A623" s="69"/>
      <c r="B623" s="70"/>
      <c r="C623" s="52" t="s">
        <v>97</v>
      </c>
      <c r="D623" s="46" t="s">
        <v>21</v>
      </c>
      <c r="E623" s="28" t="s">
        <v>98</v>
      </c>
      <c r="F623" s="20">
        <v>0</v>
      </c>
      <c r="G623" s="20">
        <v>0</v>
      </c>
      <c r="H623" s="21"/>
    </row>
    <row r="624" spans="1:8" ht="55.2" x14ac:dyDescent="0.25">
      <c r="A624" s="69"/>
      <c r="B624" s="70"/>
      <c r="C624" s="52" t="s">
        <v>32</v>
      </c>
      <c r="D624" s="46" t="s">
        <v>21</v>
      </c>
      <c r="E624" s="28" t="s">
        <v>33</v>
      </c>
      <c r="F624" s="20">
        <v>0</v>
      </c>
      <c r="G624" s="20">
        <v>32.116</v>
      </c>
      <c r="H624" s="21"/>
    </row>
    <row r="625" spans="1:8" ht="41.4" x14ac:dyDescent="0.25">
      <c r="A625" s="69"/>
      <c r="B625" s="70"/>
      <c r="C625" s="52" t="s">
        <v>99</v>
      </c>
      <c r="D625" s="46" t="s">
        <v>100</v>
      </c>
      <c r="E625" s="28" t="s">
        <v>101</v>
      </c>
      <c r="F625" s="20">
        <v>0</v>
      </c>
      <c r="G625" s="20">
        <v>-1086.671</v>
      </c>
      <c r="H625" s="21"/>
    </row>
    <row r="626" spans="1:8" ht="27.6" x14ac:dyDescent="0.25">
      <c r="A626" s="69"/>
      <c r="B626" s="70"/>
      <c r="C626" s="52" t="s">
        <v>102</v>
      </c>
      <c r="D626" s="46" t="s">
        <v>100</v>
      </c>
      <c r="E626" s="28" t="s">
        <v>103</v>
      </c>
      <c r="F626" s="20">
        <v>0</v>
      </c>
      <c r="G626" s="20">
        <v>0</v>
      </c>
      <c r="H626" s="21"/>
    </row>
    <row r="627" spans="1:8" ht="55.2" x14ac:dyDescent="0.25">
      <c r="A627" s="69"/>
      <c r="B627" s="70"/>
      <c r="C627" s="52" t="s">
        <v>194</v>
      </c>
      <c r="D627" s="46" t="s">
        <v>182</v>
      </c>
      <c r="E627" s="28" t="s">
        <v>195</v>
      </c>
      <c r="F627" s="20">
        <v>0</v>
      </c>
      <c r="G627" s="20">
        <v>0</v>
      </c>
      <c r="H627" s="21"/>
    </row>
    <row r="628" spans="1:8" x14ac:dyDescent="0.25">
      <c r="A628" s="23" t="s">
        <v>342</v>
      </c>
      <c r="B628" s="24" t="s">
        <v>29</v>
      </c>
      <c r="C628" s="53"/>
      <c r="D628" s="43"/>
      <c r="E628" s="25"/>
      <c r="F628" s="26">
        <f>SUM(F608:F627)</f>
        <v>880327.20000000007</v>
      </c>
      <c r="G628" s="26">
        <f>SUM(G608:G627)</f>
        <v>862835.52200000011</v>
      </c>
      <c r="H628" s="21">
        <f t="shared" si="8"/>
        <v>98.013048103023522</v>
      </c>
    </row>
    <row r="629" spans="1:8" x14ac:dyDescent="0.25">
      <c r="A629" s="63" t="s">
        <v>367</v>
      </c>
      <c r="B629" s="64"/>
      <c r="C629" s="64"/>
      <c r="D629" s="64"/>
      <c r="E629" s="64"/>
      <c r="F629" s="64"/>
      <c r="G629" s="64"/>
      <c r="H629" s="65"/>
    </row>
    <row r="630" spans="1:8" ht="82.8" x14ac:dyDescent="0.25">
      <c r="A630" s="17" t="s">
        <v>368</v>
      </c>
      <c r="B630" s="35"/>
      <c r="C630" s="55" t="s">
        <v>57</v>
      </c>
      <c r="D630" s="45" t="s">
        <v>21</v>
      </c>
      <c r="E630" s="28" t="s">
        <v>58</v>
      </c>
      <c r="F630" s="20">
        <v>0</v>
      </c>
      <c r="G630" s="20">
        <v>0</v>
      </c>
      <c r="H630" s="20"/>
    </row>
    <row r="631" spans="1:8" ht="21" customHeight="1" x14ac:dyDescent="0.25">
      <c r="A631" s="23" t="s">
        <v>369</v>
      </c>
      <c r="B631" s="59" t="s">
        <v>370</v>
      </c>
      <c r="C631" s="59"/>
      <c r="D631" s="59"/>
      <c r="E631" s="59"/>
      <c r="F631" s="36">
        <f>F20+F22+F25+F30+F33+F43+F45+F49+F54+F81+F83+F107+F116+F119+F122+F126+F128+F130+F134+F136+F140+F142+F144+F155+F168+F175+F187+F211+F228+F263+F281+F299+F317+F336+F354+F372+F392+F410+F428+F448+F463+F474+F486+F501+F515+F532+F550+F559+F567+F576+F607+F628+F27+F47+F51+F146+F138</f>
        <v>23396377.659389995</v>
      </c>
      <c r="G631" s="36">
        <f>G20+G22+G25+G27+G30+G33+G43+G45+G47+G49+G51+G54+G81+G83+G107+G116+G119+G122+G126+G128+G130+G134+G136+G138+G140+G142+G144+G146+G155+G168+G175+G187+G211+G228+G263+G281+G299+G317+G336+G354+G372+G392+G410+G428+G448+G463+G474+G486+G501+G515+G532+G550+G559+G567+G576+G607+G628+G630</f>
        <v>23470142.248</v>
      </c>
      <c r="H631" s="21">
        <f t="shared" si="8"/>
        <v>100.31528209060345</v>
      </c>
    </row>
  </sheetData>
  <mergeCells count="92">
    <mergeCell ref="A52:A53"/>
    <mergeCell ref="B52:B53"/>
    <mergeCell ref="C9:D9"/>
    <mergeCell ref="A34:A42"/>
    <mergeCell ref="B34:B42"/>
    <mergeCell ref="A31:A32"/>
    <mergeCell ref="B31:B32"/>
    <mergeCell ref="A10:A19"/>
    <mergeCell ref="B10:B19"/>
    <mergeCell ref="A28:A29"/>
    <mergeCell ref="B28:B29"/>
    <mergeCell ref="A23:A24"/>
    <mergeCell ref="B23:B24"/>
    <mergeCell ref="A55:A80"/>
    <mergeCell ref="B55:B80"/>
    <mergeCell ref="A84:A106"/>
    <mergeCell ref="B84:B106"/>
    <mergeCell ref="A108:A115"/>
    <mergeCell ref="B108:B115"/>
    <mergeCell ref="A117:A118"/>
    <mergeCell ref="B117:B118"/>
    <mergeCell ref="A120:A121"/>
    <mergeCell ref="B120:B121"/>
    <mergeCell ref="A123:A125"/>
    <mergeCell ref="B123:B125"/>
    <mergeCell ref="A147:A154"/>
    <mergeCell ref="B147:B154"/>
    <mergeCell ref="A156:A167"/>
    <mergeCell ref="B156:B167"/>
    <mergeCell ref="A131:A133"/>
    <mergeCell ref="B131:B133"/>
    <mergeCell ref="A169:A174"/>
    <mergeCell ref="B169:B174"/>
    <mergeCell ref="B176:B186"/>
    <mergeCell ref="A176:A186"/>
    <mergeCell ref="A188:A210"/>
    <mergeCell ref="B188:B210"/>
    <mergeCell ref="A212:A227"/>
    <mergeCell ref="B212:B227"/>
    <mergeCell ref="A264:A280"/>
    <mergeCell ref="B264:B280"/>
    <mergeCell ref="A229:A262"/>
    <mergeCell ref="B229:B262"/>
    <mergeCell ref="A282:A298"/>
    <mergeCell ref="B282:B298"/>
    <mergeCell ref="A300:A316"/>
    <mergeCell ref="B300:B316"/>
    <mergeCell ref="A318:A335"/>
    <mergeCell ref="B318:B335"/>
    <mergeCell ref="A337:A353"/>
    <mergeCell ref="B337:B353"/>
    <mergeCell ref="A355:A371"/>
    <mergeCell ref="B355:B371"/>
    <mergeCell ref="A373:A391"/>
    <mergeCell ref="B373:B391"/>
    <mergeCell ref="A393:A409"/>
    <mergeCell ref="B393:B409"/>
    <mergeCell ref="A411:A427"/>
    <mergeCell ref="B411:B427"/>
    <mergeCell ref="A429:A447"/>
    <mergeCell ref="B429:B447"/>
    <mergeCell ref="A449:A462"/>
    <mergeCell ref="B449:B462"/>
    <mergeCell ref="A464:A472"/>
    <mergeCell ref="B464:B472"/>
    <mergeCell ref="A475:A485"/>
    <mergeCell ref="B475:B485"/>
    <mergeCell ref="B551:B558"/>
    <mergeCell ref="A560:A566"/>
    <mergeCell ref="B560:B566"/>
    <mergeCell ref="A487:A500"/>
    <mergeCell ref="B487:B500"/>
    <mergeCell ref="A502:A514"/>
    <mergeCell ref="B502:B514"/>
    <mergeCell ref="A516:A531"/>
    <mergeCell ref="B516:B531"/>
    <mergeCell ref="B631:E631"/>
    <mergeCell ref="F1:H1"/>
    <mergeCell ref="F2:H2"/>
    <mergeCell ref="F3:H3"/>
    <mergeCell ref="A5:H5"/>
    <mergeCell ref="A6:H6"/>
    <mergeCell ref="A629:H629"/>
    <mergeCell ref="A568:A574"/>
    <mergeCell ref="B568:B574"/>
    <mergeCell ref="A577:A606"/>
    <mergeCell ref="B577:B606"/>
    <mergeCell ref="A608:A627"/>
    <mergeCell ref="B608:B627"/>
    <mergeCell ref="A533:A549"/>
    <mergeCell ref="B533:B549"/>
    <mergeCell ref="A551:A558"/>
  </mergeCells>
  <pageMargins left="0.17" right="0.17" top="0.46" bottom="0.44" header="0.31496062992125984" footer="0.19685039370078741"/>
  <pageSetup paperSize="9" scale="76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№ 1</vt:lpstr>
      <vt:lpstr>'прил. № 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Ермолина Анастасия Николаевна</cp:lastModifiedBy>
  <cp:lastPrinted>2014-03-14T03:34:44Z</cp:lastPrinted>
  <dcterms:created xsi:type="dcterms:W3CDTF">2014-03-03T05:06:10Z</dcterms:created>
  <dcterms:modified xsi:type="dcterms:W3CDTF">2014-03-21T06:22:27Z</dcterms:modified>
</cp:coreProperties>
</file>