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5 год\Август\"/>
    </mc:Choice>
  </mc:AlternateContent>
  <bookViews>
    <workbookView xWindow="0" yWindow="0" windowWidth="28800" windowHeight="12135"/>
  </bookViews>
  <sheets>
    <sheet name="2015 год" sheetId="2" r:id="rId1"/>
  </sheets>
  <definedNames>
    <definedName name="_xlnm._FilterDatabase" localSheetId="0" hidden="1">'2015 год'!$A$14:$V$138</definedName>
    <definedName name="_xlnm.Print_Titles" localSheetId="0">'2015 год'!$13:$14</definedName>
    <definedName name="_xlnm.Print_Area" localSheetId="0">'2015 год'!$A$1:$J$138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0" i="2" l="1"/>
  <c r="S53" i="2" l="1"/>
  <c r="S31" i="2" l="1"/>
  <c r="S51" i="2" l="1"/>
  <c r="S60" i="2" l="1"/>
  <c r="T58" i="2" l="1"/>
  <c r="S138" i="2" l="1"/>
  <c r="S136" i="2"/>
  <c r="S134" i="2"/>
  <c r="S133" i="2"/>
  <c r="S129" i="2"/>
  <c r="S121" i="2"/>
  <c r="S137" i="2" s="1"/>
  <c r="S119" i="2"/>
  <c r="S114" i="2"/>
  <c r="S108" i="2"/>
  <c r="S104" i="2" s="1"/>
  <c r="S107" i="2"/>
  <c r="S106" i="2"/>
  <c r="S93" i="2"/>
  <c r="S89" i="2"/>
  <c r="S85" i="2"/>
  <c r="S81" i="2"/>
  <c r="S77" i="2"/>
  <c r="S71" i="2"/>
  <c r="S126" i="2" s="1"/>
  <c r="S70" i="2"/>
  <c r="S59" i="2"/>
  <c r="S41" i="2"/>
  <c r="S40" i="2"/>
  <c r="S131" i="2"/>
  <c r="S15" i="2"/>
  <c r="S127" i="2" l="1"/>
  <c r="S135" i="2"/>
  <c r="S38" i="2"/>
  <c r="S130" i="2"/>
  <c r="S132" i="2"/>
  <c r="S68" i="2"/>
  <c r="Q59" i="2"/>
  <c r="R67" i="2"/>
  <c r="T67" i="2" s="1"/>
  <c r="Q138" i="2"/>
  <c r="Q136" i="2"/>
  <c r="Q134" i="2"/>
  <c r="Q133" i="2"/>
  <c r="Q129" i="2"/>
  <c r="Q121" i="2"/>
  <c r="Q119" i="2"/>
  <c r="Q114" i="2"/>
  <c r="Q108" i="2"/>
  <c r="Q132" i="2" s="1"/>
  <c r="Q107" i="2"/>
  <c r="Q106" i="2"/>
  <c r="Q93" i="2"/>
  <c r="Q89" i="2"/>
  <c r="Q85" i="2"/>
  <c r="Q81" i="2"/>
  <c r="Q77" i="2"/>
  <c r="Q71" i="2"/>
  <c r="Q126" i="2" s="1"/>
  <c r="Q70" i="2"/>
  <c r="Q51" i="2"/>
  <c r="Q41" i="2"/>
  <c r="Q31" i="2"/>
  <c r="Q131" i="2" s="1"/>
  <c r="Q15" i="2"/>
  <c r="Q130" i="2" l="1"/>
  <c r="S124" i="2"/>
  <c r="Q137" i="2"/>
  <c r="Q104" i="2"/>
  <c r="Q68" i="2"/>
  <c r="Q135" i="2"/>
  <c r="Q38" i="2"/>
  <c r="Q127" i="2"/>
  <c r="Q40" i="2"/>
  <c r="O134" i="2"/>
  <c r="O114" i="2"/>
  <c r="P116" i="2"/>
  <c r="R116" i="2" s="1"/>
  <c r="T116" i="2" s="1"/>
  <c r="Q124" i="2" l="1"/>
  <c r="O31" i="2"/>
  <c r="O131" i="2" s="1"/>
  <c r="O15" i="2" l="1"/>
  <c r="O121" i="2"/>
  <c r="O61" i="2"/>
  <c r="O60" i="2"/>
  <c r="O53" i="2" l="1"/>
  <c r="O40" i="2" l="1"/>
  <c r="P55" i="2"/>
  <c r="R55" i="2" s="1"/>
  <c r="T55" i="2" s="1"/>
  <c r="O54" i="2"/>
  <c r="O51" i="2" s="1"/>
  <c r="O38" i="2" l="1"/>
  <c r="O135" i="2"/>
  <c r="O138" i="2"/>
  <c r="P46" i="2"/>
  <c r="R46" i="2" s="1"/>
  <c r="T46" i="2" s="1"/>
  <c r="O136" i="2" l="1"/>
  <c r="O133" i="2"/>
  <c r="O129" i="2"/>
  <c r="O119" i="2"/>
  <c r="O108" i="2"/>
  <c r="O132" i="2" s="1"/>
  <c r="O107" i="2"/>
  <c r="O106" i="2"/>
  <c r="O93" i="2"/>
  <c r="O89" i="2"/>
  <c r="O85" i="2"/>
  <c r="O81" i="2"/>
  <c r="O77" i="2"/>
  <c r="O71" i="2"/>
  <c r="O70" i="2"/>
  <c r="O59" i="2"/>
  <c r="O41" i="2"/>
  <c r="O130" i="2" l="1"/>
  <c r="O127" i="2"/>
  <c r="O68" i="2"/>
  <c r="O137" i="2"/>
  <c r="O126" i="2"/>
  <c r="O104" i="2"/>
  <c r="M136" i="2"/>
  <c r="M134" i="2"/>
  <c r="M133" i="2"/>
  <c r="M121" i="2"/>
  <c r="M119" i="2"/>
  <c r="M114" i="2"/>
  <c r="M108" i="2"/>
  <c r="M107" i="2"/>
  <c r="M106" i="2"/>
  <c r="M93" i="2"/>
  <c r="M89" i="2"/>
  <c r="M85" i="2"/>
  <c r="M81" i="2"/>
  <c r="M77" i="2"/>
  <c r="M71" i="2"/>
  <c r="M126" i="2" s="1"/>
  <c r="M70" i="2"/>
  <c r="M59" i="2"/>
  <c r="M51" i="2"/>
  <c r="M135" i="2" s="1"/>
  <c r="M41" i="2"/>
  <c r="M40" i="2"/>
  <c r="M15" i="2"/>
  <c r="O124" i="2" l="1"/>
  <c r="M127" i="2"/>
  <c r="M68" i="2"/>
  <c r="M38" i="2"/>
  <c r="M132" i="2"/>
  <c r="M104" i="2"/>
  <c r="M129" i="2"/>
  <c r="M131" i="2"/>
  <c r="M137" i="2"/>
  <c r="M130" i="2"/>
  <c r="M138" i="2"/>
  <c r="K60" i="2"/>
  <c r="M124" i="2" l="1"/>
  <c r="K134" i="2"/>
  <c r="K53" i="2" l="1"/>
  <c r="L37" i="2"/>
  <c r="N37" i="2" s="1"/>
  <c r="P37" i="2" s="1"/>
  <c r="R37" i="2" s="1"/>
  <c r="T37" i="2" s="1"/>
  <c r="K31" i="2"/>
  <c r="K65" i="2"/>
  <c r="K45" i="2" l="1"/>
  <c r="K43" i="2"/>
  <c r="K110" i="2" l="1"/>
  <c r="K108" i="2" l="1"/>
  <c r="K104" i="2" s="1"/>
  <c r="K93" i="2"/>
  <c r="K106" i="2"/>
  <c r="K70" i="2"/>
  <c r="K30" i="2"/>
  <c r="K28" i="2"/>
  <c r="K48" i="2" l="1"/>
  <c r="L36" i="2"/>
  <c r="N36" i="2" s="1"/>
  <c r="P36" i="2" s="1"/>
  <c r="R36" i="2" s="1"/>
  <c r="T36" i="2" s="1"/>
  <c r="L35" i="2"/>
  <c r="N35" i="2" s="1"/>
  <c r="P35" i="2" s="1"/>
  <c r="R35" i="2" s="1"/>
  <c r="T35" i="2" s="1"/>
  <c r="K19" i="2"/>
  <c r="K15" i="2" l="1"/>
  <c r="K131" i="2"/>
  <c r="K129" i="2"/>
  <c r="J57" i="2"/>
  <c r="L57" i="2" s="1"/>
  <c r="N57" i="2" s="1"/>
  <c r="P57" i="2" s="1"/>
  <c r="R57" i="2" s="1"/>
  <c r="T57" i="2" s="1"/>
  <c r="K133" i="2" l="1"/>
  <c r="L103" i="2"/>
  <c r="N103" i="2" s="1"/>
  <c r="P103" i="2" s="1"/>
  <c r="R103" i="2" s="1"/>
  <c r="T103" i="2" s="1"/>
  <c r="L102" i="2"/>
  <c r="N102" i="2" s="1"/>
  <c r="P102" i="2" s="1"/>
  <c r="R102" i="2" s="1"/>
  <c r="T102" i="2" s="1"/>
  <c r="K114" i="2" l="1"/>
  <c r="F17" i="2" l="1"/>
  <c r="H17" i="2" s="1"/>
  <c r="J17" i="2" s="1"/>
  <c r="L17" i="2" s="1"/>
  <c r="N17" i="2" s="1"/>
  <c r="P17" i="2" s="1"/>
  <c r="R17" i="2" s="1"/>
  <c r="T17" i="2" s="1"/>
  <c r="K138" i="2"/>
  <c r="K136" i="2"/>
  <c r="K121" i="2"/>
  <c r="K137" i="2" s="1"/>
  <c r="K119" i="2"/>
  <c r="K107" i="2"/>
  <c r="K89" i="2"/>
  <c r="K85" i="2"/>
  <c r="K81" i="2"/>
  <c r="K77" i="2"/>
  <c r="K71" i="2"/>
  <c r="K126" i="2" s="1"/>
  <c r="K59" i="2"/>
  <c r="K51" i="2"/>
  <c r="K38" i="2" s="1"/>
  <c r="K41" i="2"/>
  <c r="K127" i="2" s="1"/>
  <c r="K68" i="2" l="1"/>
  <c r="K124" i="2" s="1"/>
  <c r="K130" i="2"/>
  <c r="K132" i="2"/>
  <c r="K135" i="2"/>
  <c r="K40" i="2"/>
  <c r="I15" i="2"/>
  <c r="I53" i="2"/>
  <c r="I108" i="2" l="1"/>
  <c r="I137" i="2" l="1"/>
  <c r="J137" i="2" s="1"/>
  <c r="I121" i="2"/>
  <c r="J121" i="2" s="1"/>
  <c r="L121" i="2" s="1"/>
  <c r="J123" i="2"/>
  <c r="L123" i="2" s="1"/>
  <c r="N123" i="2" s="1"/>
  <c r="P123" i="2" s="1"/>
  <c r="R123" i="2" s="1"/>
  <c r="T123" i="2" s="1"/>
  <c r="J122" i="2"/>
  <c r="L122" i="2" s="1"/>
  <c r="N122" i="2" s="1"/>
  <c r="P122" i="2" s="1"/>
  <c r="R122" i="2" s="1"/>
  <c r="T122" i="2" s="1"/>
  <c r="I40" i="2"/>
  <c r="L137" i="2" l="1"/>
  <c r="N121" i="2"/>
  <c r="I129" i="2"/>
  <c r="I133" i="2"/>
  <c r="I70" i="2"/>
  <c r="J100" i="2"/>
  <c r="L100" i="2" s="1"/>
  <c r="N100" i="2" s="1"/>
  <c r="P100" i="2" s="1"/>
  <c r="R100" i="2" s="1"/>
  <c r="T100" i="2" s="1"/>
  <c r="J101" i="2"/>
  <c r="L101" i="2" s="1"/>
  <c r="N101" i="2" s="1"/>
  <c r="P101" i="2" s="1"/>
  <c r="R101" i="2" s="1"/>
  <c r="T101" i="2" s="1"/>
  <c r="I59" i="2"/>
  <c r="J66" i="2"/>
  <c r="L66" i="2" s="1"/>
  <c r="N66" i="2" s="1"/>
  <c r="P66" i="2" s="1"/>
  <c r="R66" i="2" s="1"/>
  <c r="T66" i="2" s="1"/>
  <c r="N137" i="2" l="1"/>
  <c r="P121" i="2"/>
  <c r="I131" i="2"/>
  <c r="J33" i="2"/>
  <c r="L33" i="2" s="1"/>
  <c r="N33" i="2" s="1"/>
  <c r="P33" i="2" s="1"/>
  <c r="R33" i="2" s="1"/>
  <c r="T33" i="2" s="1"/>
  <c r="J34" i="2"/>
  <c r="L34" i="2" s="1"/>
  <c r="N34" i="2" s="1"/>
  <c r="P34" i="2" s="1"/>
  <c r="R34" i="2" s="1"/>
  <c r="T34" i="2" s="1"/>
  <c r="P137" i="2" l="1"/>
  <c r="R121" i="2"/>
  <c r="J26" i="2"/>
  <c r="L26" i="2" s="1"/>
  <c r="N26" i="2" s="1"/>
  <c r="P26" i="2" s="1"/>
  <c r="R26" i="2" s="1"/>
  <c r="T26" i="2" s="1"/>
  <c r="R137" i="2" l="1"/>
  <c r="T121" i="2"/>
  <c r="T137" i="2" s="1"/>
  <c r="I138" i="2"/>
  <c r="J23" i="2"/>
  <c r="L23" i="2" s="1"/>
  <c r="N23" i="2" s="1"/>
  <c r="P23" i="2" s="1"/>
  <c r="R23" i="2" s="1"/>
  <c r="T23" i="2" s="1"/>
  <c r="J21" i="2"/>
  <c r="L21" i="2" s="1"/>
  <c r="N21" i="2" s="1"/>
  <c r="J30" i="2"/>
  <c r="L30" i="2" s="1"/>
  <c r="N30" i="2" s="1"/>
  <c r="P30" i="2" s="1"/>
  <c r="R30" i="2" s="1"/>
  <c r="T30" i="2" s="1"/>
  <c r="J28" i="2"/>
  <c r="L28" i="2" s="1"/>
  <c r="N28" i="2" s="1"/>
  <c r="P28" i="2" s="1"/>
  <c r="R28" i="2" s="1"/>
  <c r="T28" i="2" s="1"/>
  <c r="J25" i="2"/>
  <c r="L25" i="2" s="1"/>
  <c r="N25" i="2" s="1"/>
  <c r="P25" i="2" s="1"/>
  <c r="R25" i="2" s="1"/>
  <c r="T25" i="2" s="1"/>
  <c r="P21" i="2" l="1"/>
  <c r="N138" i="2"/>
  <c r="L138" i="2"/>
  <c r="J138" i="2"/>
  <c r="I51" i="2"/>
  <c r="I38" i="2" s="1"/>
  <c r="P138" i="2" l="1"/>
  <c r="R21" i="2"/>
  <c r="I136" i="2"/>
  <c r="I134" i="2"/>
  <c r="I127" i="2"/>
  <c r="I126" i="2"/>
  <c r="I119" i="2"/>
  <c r="I114" i="2"/>
  <c r="I132" i="2"/>
  <c r="I107" i="2"/>
  <c r="I106" i="2"/>
  <c r="I93" i="2"/>
  <c r="I89" i="2"/>
  <c r="I85" i="2"/>
  <c r="I81" i="2"/>
  <c r="I77" i="2"/>
  <c r="I71" i="2"/>
  <c r="I41" i="2"/>
  <c r="R138" i="2" l="1"/>
  <c r="T21" i="2"/>
  <c r="T138" i="2" s="1"/>
  <c r="I68" i="2"/>
  <c r="I130" i="2"/>
  <c r="I135" i="2"/>
  <c r="I104" i="2"/>
  <c r="G134" i="2"/>
  <c r="G114" i="2"/>
  <c r="H118" i="2"/>
  <c r="J118" i="2" s="1"/>
  <c r="L118" i="2" s="1"/>
  <c r="N118" i="2" s="1"/>
  <c r="P118" i="2" s="1"/>
  <c r="R118" i="2" s="1"/>
  <c r="T118" i="2" s="1"/>
  <c r="D119" i="2"/>
  <c r="E119" i="2"/>
  <c r="G119" i="2"/>
  <c r="G136" i="2"/>
  <c r="G133" i="2"/>
  <c r="G131" i="2"/>
  <c r="G129" i="2"/>
  <c r="G127" i="2"/>
  <c r="G126" i="2"/>
  <c r="G108" i="2"/>
  <c r="G104" i="2" s="1"/>
  <c r="G107" i="2"/>
  <c r="G106" i="2"/>
  <c r="G93" i="2"/>
  <c r="G89" i="2"/>
  <c r="G85" i="2"/>
  <c r="G81" i="2"/>
  <c r="G77" i="2"/>
  <c r="G71" i="2"/>
  <c r="G70" i="2"/>
  <c r="G59" i="2"/>
  <c r="G51" i="2"/>
  <c r="G38" i="2" s="1"/>
  <c r="G41" i="2"/>
  <c r="G40" i="2"/>
  <c r="G15" i="2"/>
  <c r="G68" i="2" l="1"/>
  <c r="I124" i="2"/>
  <c r="F119" i="2"/>
  <c r="H119" i="2" s="1"/>
  <c r="J119" i="2" s="1"/>
  <c r="L119" i="2" s="1"/>
  <c r="N119" i="2" s="1"/>
  <c r="P119" i="2" s="1"/>
  <c r="R119" i="2" s="1"/>
  <c r="T119" i="2" s="1"/>
  <c r="G130" i="2"/>
  <c r="G135" i="2"/>
  <c r="G132" i="2"/>
  <c r="E127" i="2"/>
  <c r="D127" i="2"/>
  <c r="E126" i="2"/>
  <c r="D126" i="2"/>
  <c r="E129" i="2"/>
  <c r="E71" i="2"/>
  <c r="E70" i="2"/>
  <c r="D71" i="2"/>
  <c r="D70" i="2"/>
  <c r="E59" i="2"/>
  <c r="D59" i="2"/>
  <c r="F65" i="2"/>
  <c r="H65" i="2" s="1"/>
  <c r="J65" i="2" s="1"/>
  <c r="L65" i="2" s="1"/>
  <c r="N65" i="2" s="1"/>
  <c r="P65" i="2" s="1"/>
  <c r="R65" i="2" s="1"/>
  <c r="T65" i="2" s="1"/>
  <c r="F64" i="2"/>
  <c r="H64" i="2" s="1"/>
  <c r="J64" i="2" s="1"/>
  <c r="L64" i="2" s="1"/>
  <c r="N64" i="2" s="1"/>
  <c r="P64" i="2" s="1"/>
  <c r="R64" i="2" s="1"/>
  <c r="T64" i="2" s="1"/>
  <c r="F99" i="2"/>
  <c r="H99" i="2" s="1"/>
  <c r="J99" i="2" s="1"/>
  <c r="L99" i="2" s="1"/>
  <c r="N99" i="2" s="1"/>
  <c r="P99" i="2" s="1"/>
  <c r="R99" i="2" s="1"/>
  <c r="T99" i="2" s="1"/>
  <c r="F98" i="2"/>
  <c r="H98" i="2" s="1"/>
  <c r="J98" i="2" s="1"/>
  <c r="L98" i="2" s="1"/>
  <c r="N98" i="2" s="1"/>
  <c r="P98" i="2" s="1"/>
  <c r="R98" i="2" s="1"/>
  <c r="T98" i="2" s="1"/>
  <c r="E131" i="2"/>
  <c r="D131" i="2"/>
  <c r="E15" i="2"/>
  <c r="F32" i="2"/>
  <c r="H32" i="2" s="1"/>
  <c r="J32" i="2" s="1"/>
  <c r="L32" i="2" s="1"/>
  <c r="N32" i="2" s="1"/>
  <c r="P32" i="2" s="1"/>
  <c r="R32" i="2" s="1"/>
  <c r="T32" i="2" s="1"/>
  <c r="E134" i="2"/>
  <c r="D134" i="2"/>
  <c r="G124" i="2" l="1"/>
  <c r="E106" i="2"/>
  <c r="D106" i="2"/>
  <c r="F113" i="2"/>
  <c r="H113" i="2" s="1"/>
  <c r="J113" i="2" s="1"/>
  <c r="L113" i="2" s="1"/>
  <c r="N113" i="2" s="1"/>
  <c r="P113" i="2" s="1"/>
  <c r="R113" i="2" s="1"/>
  <c r="T113" i="2" s="1"/>
  <c r="F120" i="2" l="1"/>
  <c r="H120" i="2" s="1"/>
  <c r="F117" i="2"/>
  <c r="H117" i="2" s="1"/>
  <c r="J117" i="2" s="1"/>
  <c r="L117" i="2" s="1"/>
  <c r="N117" i="2" s="1"/>
  <c r="P117" i="2" s="1"/>
  <c r="R117" i="2" s="1"/>
  <c r="T117" i="2" s="1"/>
  <c r="F115" i="2"/>
  <c r="H115" i="2" s="1"/>
  <c r="J115" i="2" s="1"/>
  <c r="L115" i="2" s="1"/>
  <c r="N115" i="2" s="1"/>
  <c r="P115" i="2" s="1"/>
  <c r="R115" i="2" s="1"/>
  <c r="T115" i="2" s="1"/>
  <c r="F112" i="2"/>
  <c r="H112" i="2" s="1"/>
  <c r="J112" i="2" s="1"/>
  <c r="L112" i="2" s="1"/>
  <c r="N112" i="2" s="1"/>
  <c r="P112" i="2" s="1"/>
  <c r="R112" i="2" s="1"/>
  <c r="T112" i="2" s="1"/>
  <c r="F111" i="2"/>
  <c r="H111" i="2" s="1"/>
  <c r="J111" i="2" s="1"/>
  <c r="L111" i="2" s="1"/>
  <c r="N111" i="2" s="1"/>
  <c r="P111" i="2" s="1"/>
  <c r="R111" i="2" s="1"/>
  <c r="F110" i="2"/>
  <c r="H110" i="2" s="1"/>
  <c r="J110" i="2" s="1"/>
  <c r="L110" i="2" s="1"/>
  <c r="N110" i="2" s="1"/>
  <c r="F97" i="2"/>
  <c r="H97" i="2" s="1"/>
  <c r="J97" i="2" s="1"/>
  <c r="L97" i="2" s="1"/>
  <c r="N97" i="2" s="1"/>
  <c r="P97" i="2" s="1"/>
  <c r="R97" i="2" s="1"/>
  <c r="T97" i="2" s="1"/>
  <c r="F96" i="2"/>
  <c r="F95" i="2"/>
  <c r="H95" i="2" s="1"/>
  <c r="J95" i="2" s="1"/>
  <c r="L95" i="2" s="1"/>
  <c r="N95" i="2" s="1"/>
  <c r="F92" i="2"/>
  <c r="H92" i="2" s="1"/>
  <c r="J92" i="2" s="1"/>
  <c r="L92" i="2" s="1"/>
  <c r="N92" i="2" s="1"/>
  <c r="P92" i="2" s="1"/>
  <c r="R92" i="2" s="1"/>
  <c r="T92" i="2" s="1"/>
  <c r="F91" i="2"/>
  <c r="H91" i="2" s="1"/>
  <c r="J91" i="2" s="1"/>
  <c r="L91" i="2" s="1"/>
  <c r="N91" i="2" s="1"/>
  <c r="F88" i="2"/>
  <c r="H88" i="2" s="1"/>
  <c r="J88" i="2" s="1"/>
  <c r="L88" i="2" s="1"/>
  <c r="N88" i="2" s="1"/>
  <c r="P88" i="2" s="1"/>
  <c r="R88" i="2" s="1"/>
  <c r="T88" i="2" s="1"/>
  <c r="F87" i="2"/>
  <c r="H87" i="2" s="1"/>
  <c r="J87" i="2" s="1"/>
  <c r="L87" i="2" s="1"/>
  <c r="N87" i="2" s="1"/>
  <c r="F84" i="2"/>
  <c r="H84" i="2" s="1"/>
  <c r="J84" i="2" s="1"/>
  <c r="L84" i="2" s="1"/>
  <c r="N84" i="2" s="1"/>
  <c r="P84" i="2" s="1"/>
  <c r="R84" i="2" s="1"/>
  <c r="T84" i="2" s="1"/>
  <c r="F83" i="2"/>
  <c r="H83" i="2" s="1"/>
  <c r="J83" i="2" s="1"/>
  <c r="L83" i="2" s="1"/>
  <c r="N83" i="2" s="1"/>
  <c r="F80" i="2"/>
  <c r="H80" i="2" s="1"/>
  <c r="J80" i="2" s="1"/>
  <c r="L80" i="2" s="1"/>
  <c r="N80" i="2" s="1"/>
  <c r="P80" i="2" s="1"/>
  <c r="R80" i="2" s="1"/>
  <c r="T80" i="2" s="1"/>
  <c r="F79" i="2"/>
  <c r="H79" i="2" s="1"/>
  <c r="J79" i="2" s="1"/>
  <c r="L79" i="2" s="1"/>
  <c r="N79" i="2" s="1"/>
  <c r="F73" i="2"/>
  <c r="H73" i="2" s="1"/>
  <c r="J73" i="2" s="1"/>
  <c r="L73" i="2" s="1"/>
  <c r="N73" i="2" s="1"/>
  <c r="P73" i="2" s="1"/>
  <c r="R73" i="2" s="1"/>
  <c r="T73" i="2" s="1"/>
  <c r="F74" i="2"/>
  <c r="H74" i="2" s="1"/>
  <c r="J74" i="2" s="1"/>
  <c r="L74" i="2" s="1"/>
  <c r="N74" i="2" s="1"/>
  <c r="P74" i="2" s="1"/>
  <c r="R74" i="2" s="1"/>
  <c r="T74" i="2" s="1"/>
  <c r="F75" i="2"/>
  <c r="H75" i="2" s="1"/>
  <c r="J75" i="2" s="1"/>
  <c r="L75" i="2" s="1"/>
  <c r="N75" i="2" s="1"/>
  <c r="P75" i="2" s="1"/>
  <c r="R75" i="2" s="1"/>
  <c r="T75" i="2" s="1"/>
  <c r="F76" i="2"/>
  <c r="H76" i="2" s="1"/>
  <c r="J76" i="2" s="1"/>
  <c r="L76" i="2" s="1"/>
  <c r="N76" i="2" s="1"/>
  <c r="P76" i="2" s="1"/>
  <c r="R76" i="2" s="1"/>
  <c r="T76" i="2" s="1"/>
  <c r="F72" i="2"/>
  <c r="H72" i="2" s="1"/>
  <c r="J72" i="2" s="1"/>
  <c r="L72" i="2" s="1"/>
  <c r="N72" i="2" s="1"/>
  <c r="E77" i="2"/>
  <c r="F61" i="2"/>
  <c r="H61" i="2" s="1"/>
  <c r="J61" i="2" s="1"/>
  <c r="L61" i="2" s="1"/>
  <c r="N61" i="2" s="1"/>
  <c r="P61" i="2" s="1"/>
  <c r="R61" i="2" s="1"/>
  <c r="T61" i="2" s="1"/>
  <c r="F62" i="2"/>
  <c r="H62" i="2" s="1"/>
  <c r="J62" i="2" s="1"/>
  <c r="L62" i="2" s="1"/>
  <c r="N62" i="2" s="1"/>
  <c r="P62" i="2" s="1"/>
  <c r="R62" i="2" s="1"/>
  <c r="T62" i="2" s="1"/>
  <c r="F63" i="2"/>
  <c r="H63" i="2" s="1"/>
  <c r="J63" i="2" s="1"/>
  <c r="L63" i="2" s="1"/>
  <c r="N63" i="2" s="1"/>
  <c r="P63" i="2" s="1"/>
  <c r="R63" i="2" s="1"/>
  <c r="T63" i="2" s="1"/>
  <c r="F60" i="2"/>
  <c r="H60" i="2" s="1"/>
  <c r="J60" i="2" s="1"/>
  <c r="L60" i="2" s="1"/>
  <c r="N60" i="2" s="1"/>
  <c r="F54" i="2"/>
  <c r="F56" i="2"/>
  <c r="H56" i="2" s="1"/>
  <c r="J56" i="2" s="1"/>
  <c r="L56" i="2" s="1"/>
  <c r="N56" i="2" s="1"/>
  <c r="P56" i="2" s="1"/>
  <c r="R56" i="2" s="1"/>
  <c r="T56" i="2" s="1"/>
  <c r="F43" i="2"/>
  <c r="H43" i="2" s="1"/>
  <c r="J43" i="2" s="1"/>
  <c r="L43" i="2" s="1"/>
  <c r="N43" i="2" s="1"/>
  <c r="P43" i="2" s="1"/>
  <c r="R43" i="2" s="1"/>
  <c r="T43" i="2" s="1"/>
  <c r="F44" i="2"/>
  <c r="H44" i="2" s="1"/>
  <c r="J44" i="2" s="1"/>
  <c r="L44" i="2" s="1"/>
  <c r="N44" i="2" s="1"/>
  <c r="P44" i="2" s="1"/>
  <c r="R44" i="2" s="1"/>
  <c r="T44" i="2" s="1"/>
  <c r="F45" i="2"/>
  <c r="H45" i="2" s="1"/>
  <c r="J45" i="2" s="1"/>
  <c r="L45" i="2" s="1"/>
  <c r="N45" i="2" s="1"/>
  <c r="P45" i="2" s="1"/>
  <c r="R45" i="2" s="1"/>
  <c r="T45" i="2" s="1"/>
  <c r="F47" i="2"/>
  <c r="H47" i="2" s="1"/>
  <c r="J47" i="2" s="1"/>
  <c r="L47" i="2" s="1"/>
  <c r="N47" i="2" s="1"/>
  <c r="P47" i="2" s="1"/>
  <c r="R47" i="2" s="1"/>
  <c r="T47" i="2" s="1"/>
  <c r="F48" i="2"/>
  <c r="H48" i="2" s="1"/>
  <c r="J48" i="2" s="1"/>
  <c r="L48" i="2" s="1"/>
  <c r="N48" i="2" s="1"/>
  <c r="P48" i="2" s="1"/>
  <c r="R48" i="2" s="1"/>
  <c r="T48" i="2" s="1"/>
  <c r="F49" i="2"/>
  <c r="H49" i="2" s="1"/>
  <c r="J49" i="2" s="1"/>
  <c r="L49" i="2" s="1"/>
  <c r="N49" i="2" s="1"/>
  <c r="P49" i="2" s="1"/>
  <c r="R49" i="2" s="1"/>
  <c r="T49" i="2" s="1"/>
  <c r="F50" i="2"/>
  <c r="H50" i="2" s="1"/>
  <c r="J50" i="2" s="1"/>
  <c r="L50" i="2" s="1"/>
  <c r="N50" i="2" s="1"/>
  <c r="P50" i="2" s="1"/>
  <c r="R50" i="2" s="1"/>
  <c r="T50" i="2" s="1"/>
  <c r="F42" i="2"/>
  <c r="H42" i="2" s="1"/>
  <c r="J42" i="2" s="1"/>
  <c r="L42" i="2" s="1"/>
  <c r="N42" i="2" s="1"/>
  <c r="F18" i="2"/>
  <c r="H18" i="2" s="1"/>
  <c r="J18" i="2" s="1"/>
  <c r="L18" i="2" s="1"/>
  <c r="N18" i="2" s="1"/>
  <c r="P18" i="2" s="1"/>
  <c r="R18" i="2" s="1"/>
  <c r="F19" i="2"/>
  <c r="H19" i="2" s="1"/>
  <c r="J19" i="2" s="1"/>
  <c r="L19" i="2" s="1"/>
  <c r="N19" i="2" s="1"/>
  <c r="F20" i="2"/>
  <c r="H20" i="2" s="1"/>
  <c r="J20" i="2" s="1"/>
  <c r="L20" i="2" s="1"/>
  <c r="N20" i="2" s="1"/>
  <c r="P20" i="2" s="1"/>
  <c r="R20" i="2" s="1"/>
  <c r="T20" i="2" s="1"/>
  <c r="F22" i="2"/>
  <c r="H22" i="2" s="1"/>
  <c r="J22" i="2" s="1"/>
  <c r="L22" i="2" s="1"/>
  <c r="N22" i="2" s="1"/>
  <c r="P22" i="2" s="1"/>
  <c r="R22" i="2" s="1"/>
  <c r="T22" i="2" s="1"/>
  <c r="F24" i="2"/>
  <c r="H24" i="2" s="1"/>
  <c r="J24" i="2" s="1"/>
  <c r="L24" i="2" s="1"/>
  <c r="N24" i="2" s="1"/>
  <c r="F27" i="2"/>
  <c r="H27" i="2" s="1"/>
  <c r="J27" i="2" s="1"/>
  <c r="L27" i="2" s="1"/>
  <c r="N27" i="2" s="1"/>
  <c r="P27" i="2" s="1"/>
  <c r="R27" i="2" s="1"/>
  <c r="T27" i="2" s="1"/>
  <c r="F29" i="2"/>
  <c r="H29" i="2" s="1"/>
  <c r="J29" i="2" s="1"/>
  <c r="L29" i="2" s="1"/>
  <c r="N29" i="2" s="1"/>
  <c r="P29" i="2" s="1"/>
  <c r="R29" i="2" s="1"/>
  <c r="T29" i="2" s="1"/>
  <c r="F31" i="2"/>
  <c r="H31" i="2" s="1"/>
  <c r="J31" i="2" s="1"/>
  <c r="L31" i="2" s="1"/>
  <c r="N31" i="2" s="1"/>
  <c r="P31" i="2" s="1"/>
  <c r="R31" i="2" s="1"/>
  <c r="T31" i="2" s="1"/>
  <c r="F16" i="2"/>
  <c r="H16" i="2" s="1"/>
  <c r="J16" i="2" s="1"/>
  <c r="L16" i="2" s="1"/>
  <c r="N16" i="2" s="1"/>
  <c r="E136" i="2"/>
  <c r="E133" i="2"/>
  <c r="E114" i="2"/>
  <c r="E108" i="2"/>
  <c r="E107" i="2"/>
  <c r="F106" i="2"/>
  <c r="H106" i="2" s="1"/>
  <c r="J106" i="2" s="1"/>
  <c r="L106" i="2" s="1"/>
  <c r="N106" i="2" s="1"/>
  <c r="P106" i="2" s="1"/>
  <c r="R106" i="2" s="1"/>
  <c r="T106" i="2" s="1"/>
  <c r="E93" i="2"/>
  <c r="E89" i="2"/>
  <c r="E85" i="2"/>
  <c r="E81" i="2"/>
  <c r="E51" i="2"/>
  <c r="E38" i="2" s="1"/>
  <c r="E41" i="2"/>
  <c r="E40" i="2"/>
  <c r="T18" i="2" l="1"/>
  <c r="T111" i="2"/>
  <c r="P19" i="2"/>
  <c r="R19" i="2" s="1"/>
  <c r="T19" i="2" s="1"/>
  <c r="N131" i="2"/>
  <c r="P131" i="2" s="1"/>
  <c r="R131" i="2" s="1"/>
  <c r="T131" i="2" s="1"/>
  <c r="P60" i="2"/>
  <c r="R60" i="2" s="1"/>
  <c r="N81" i="2"/>
  <c r="P83" i="2"/>
  <c r="N134" i="2"/>
  <c r="P16" i="2"/>
  <c r="N89" i="2"/>
  <c r="P91" i="2"/>
  <c r="N133" i="2"/>
  <c r="P72" i="2"/>
  <c r="N108" i="2"/>
  <c r="N132" i="2" s="1"/>
  <c r="P110" i="2"/>
  <c r="P42" i="2"/>
  <c r="N129" i="2"/>
  <c r="N77" i="2"/>
  <c r="P79" i="2"/>
  <c r="N85" i="2"/>
  <c r="P87" i="2"/>
  <c r="P95" i="2"/>
  <c r="R95" i="2" s="1"/>
  <c r="L131" i="2"/>
  <c r="L134" i="2"/>
  <c r="L129" i="2"/>
  <c r="L133" i="2"/>
  <c r="L81" i="2"/>
  <c r="L89" i="2"/>
  <c r="L108" i="2"/>
  <c r="L132" i="2" s="1"/>
  <c r="L77" i="2"/>
  <c r="L85" i="2"/>
  <c r="J131" i="2"/>
  <c r="F136" i="2"/>
  <c r="J129" i="2"/>
  <c r="J133" i="2"/>
  <c r="J108" i="2"/>
  <c r="J81" i="2"/>
  <c r="J89" i="2"/>
  <c r="J134" i="2"/>
  <c r="J77" i="2"/>
  <c r="J85" i="2"/>
  <c r="H136" i="2"/>
  <c r="J120" i="2"/>
  <c r="H134" i="2"/>
  <c r="F108" i="2"/>
  <c r="H81" i="2"/>
  <c r="H89" i="2"/>
  <c r="F127" i="2"/>
  <c r="H54" i="2"/>
  <c r="F93" i="2"/>
  <c r="H96" i="2"/>
  <c r="H131" i="2"/>
  <c r="H133" i="2"/>
  <c r="H129" i="2"/>
  <c r="H77" i="2"/>
  <c r="H85" i="2"/>
  <c r="H108" i="2"/>
  <c r="F77" i="2"/>
  <c r="F126" i="2"/>
  <c r="F129" i="2"/>
  <c r="E130" i="2"/>
  <c r="E68" i="2"/>
  <c r="F131" i="2"/>
  <c r="F134" i="2"/>
  <c r="F81" i="2"/>
  <c r="F89" i="2"/>
  <c r="E132" i="2"/>
  <c r="E104" i="2"/>
  <c r="F133" i="2"/>
  <c r="F85" i="2"/>
  <c r="E135" i="2"/>
  <c r="F70" i="2"/>
  <c r="H70" i="2" s="1"/>
  <c r="J70" i="2" s="1"/>
  <c r="L70" i="2" s="1"/>
  <c r="N70" i="2" s="1"/>
  <c r="P70" i="2" s="1"/>
  <c r="R70" i="2" s="1"/>
  <c r="T70" i="2" s="1"/>
  <c r="D107" i="2"/>
  <c r="F107" i="2" s="1"/>
  <c r="H107" i="2" s="1"/>
  <c r="J107" i="2" s="1"/>
  <c r="L107" i="2" s="1"/>
  <c r="N107" i="2" s="1"/>
  <c r="P107" i="2" s="1"/>
  <c r="R107" i="2" s="1"/>
  <c r="T107" i="2" s="1"/>
  <c r="D41" i="2"/>
  <c r="F41" i="2" s="1"/>
  <c r="H41" i="2" s="1"/>
  <c r="J41" i="2" s="1"/>
  <c r="L41" i="2" s="1"/>
  <c r="N41" i="2" s="1"/>
  <c r="D53" i="2"/>
  <c r="D40" i="2" s="1"/>
  <c r="F40" i="2" s="1"/>
  <c r="H40" i="2" s="1"/>
  <c r="J40" i="2" s="1"/>
  <c r="L40" i="2" s="1"/>
  <c r="N40" i="2" s="1"/>
  <c r="P40" i="2" s="1"/>
  <c r="R40" i="2" s="1"/>
  <c r="T40" i="2" s="1"/>
  <c r="P85" i="2" l="1"/>
  <c r="R87" i="2"/>
  <c r="P133" i="2"/>
  <c r="R72" i="2"/>
  <c r="P134" i="2"/>
  <c r="R16" i="2"/>
  <c r="P129" i="2"/>
  <c r="R42" i="2"/>
  <c r="P77" i="2"/>
  <c r="R79" i="2"/>
  <c r="P108" i="2"/>
  <c r="P132" i="2" s="1"/>
  <c r="R110" i="2"/>
  <c r="P89" i="2"/>
  <c r="R91" i="2"/>
  <c r="P81" i="2"/>
  <c r="R83" i="2"/>
  <c r="T95" i="2"/>
  <c r="N127" i="2"/>
  <c r="P41" i="2"/>
  <c r="L127" i="2"/>
  <c r="J136" i="2"/>
  <c r="L120" i="2"/>
  <c r="H126" i="2"/>
  <c r="J96" i="2"/>
  <c r="L96" i="2" s="1"/>
  <c r="N96" i="2" s="1"/>
  <c r="H127" i="2"/>
  <c r="J54" i="2"/>
  <c r="L54" i="2" s="1"/>
  <c r="N54" i="2" s="1"/>
  <c r="P54" i="2" s="1"/>
  <c r="R54" i="2" s="1"/>
  <c r="T54" i="2" s="1"/>
  <c r="H93" i="2"/>
  <c r="H130" i="2" s="1"/>
  <c r="F130" i="2"/>
  <c r="D51" i="2"/>
  <c r="D135" i="2" s="1"/>
  <c r="F53" i="2"/>
  <c r="E124" i="2"/>
  <c r="R89" i="2" l="1"/>
  <c r="T91" i="2"/>
  <c r="T89" i="2" s="1"/>
  <c r="R133" i="2"/>
  <c r="T72" i="2"/>
  <c r="T133" i="2" s="1"/>
  <c r="T79" i="2"/>
  <c r="T77" i="2" s="1"/>
  <c r="R77" i="2"/>
  <c r="P127" i="2"/>
  <c r="R41" i="2"/>
  <c r="T83" i="2"/>
  <c r="T81" i="2" s="1"/>
  <c r="R81" i="2"/>
  <c r="T110" i="2"/>
  <c r="T108" i="2" s="1"/>
  <c r="T132" i="2" s="1"/>
  <c r="R108" i="2"/>
  <c r="R132" i="2" s="1"/>
  <c r="T42" i="2"/>
  <c r="T129" i="2" s="1"/>
  <c r="R129" i="2"/>
  <c r="T16" i="2"/>
  <c r="T134" i="2" s="1"/>
  <c r="R134" i="2"/>
  <c r="T87" i="2"/>
  <c r="T85" i="2" s="1"/>
  <c r="R85" i="2"/>
  <c r="L136" i="2"/>
  <c r="N120" i="2"/>
  <c r="P96" i="2"/>
  <c r="N93" i="2"/>
  <c r="N130" i="2" s="1"/>
  <c r="L93" i="2"/>
  <c r="L130" i="2" s="1"/>
  <c r="J127" i="2"/>
  <c r="J93" i="2"/>
  <c r="J130" i="2" s="1"/>
  <c r="J126" i="2"/>
  <c r="F51" i="2"/>
  <c r="F135" i="2" s="1"/>
  <c r="H53" i="2"/>
  <c r="D38" i="2"/>
  <c r="F38" i="2" s="1"/>
  <c r="H38" i="2" s="1"/>
  <c r="J38" i="2" s="1"/>
  <c r="L38" i="2" s="1"/>
  <c r="N38" i="2" s="1"/>
  <c r="P38" i="2" s="1"/>
  <c r="R38" i="2" s="1"/>
  <c r="T38" i="2" s="1"/>
  <c r="D133" i="2"/>
  <c r="P93" i="2" l="1"/>
  <c r="P130" i="2" s="1"/>
  <c r="R96" i="2"/>
  <c r="R127" i="2"/>
  <c r="T41" i="2"/>
  <c r="T127" i="2" s="1"/>
  <c r="N136" i="2"/>
  <c r="P120" i="2"/>
  <c r="H51" i="2"/>
  <c r="H135" i="2" s="1"/>
  <c r="J53" i="2"/>
  <c r="D129" i="2"/>
  <c r="T96" i="2" l="1"/>
  <c r="T93" i="2" s="1"/>
  <c r="T130" i="2" s="1"/>
  <c r="R93" i="2"/>
  <c r="R130" i="2" s="1"/>
  <c r="P136" i="2"/>
  <c r="R120" i="2"/>
  <c r="J51" i="2"/>
  <c r="L53" i="2"/>
  <c r="D114" i="2"/>
  <c r="F114" i="2" s="1"/>
  <c r="H114" i="2" s="1"/>
  <c r="J114" i="2" s="1"/>
  <c r="L114" i="2" s="1"/>
  <c r="N114" i="2" s="1"/>
  <c r="P114" i="2" s="1"/>
  <c r="R114" i="2" s="1"/>
  <c r="T114" i="2" s="1"/>
  <c r="R136" i="2" l="1"/>
  <c r="T120" i="2"/>
  <c r="T136" i="2" s="1"/>
  <c r="L51" i="2"/>
  <c r="L135" i="2" s="1"/>
  <c r="N53" i="2"/>
  <c r="J135" i="2"/>
  <c r="F59" i="2"/>
  <c r="H59" i="2" s="1"/>
  <c r="J59" i="2" s="1"/>
  <c r="L59" i="2" s="1"/>
  <c r="N59" i="2" s="1"/>
  <c r="P59" i="2" s="1"/>
  <c r="D15" i="2"/>
  <c r="F15" i="2" s="1"/>
  <c r="H15" i="2" s="1"/>
  <c r="J15" i="2" s="1"/>
  <c r="L15" i="2" s="1"/>
  <c r="N15" i="2" s="1"/>
  <c r="D136" i="2"/>
  <c r="F71" i="2"/>
  <c r="H71" i="2" s="1"/>
  <c r="J71" i="2" s="1"/>
  <c r="L71" i="2" s="1"/>
  <c r="D81" i="2"/>
  <c r="D85" i="2"/>
  <c r="D77" i="2"/>
  <c r="D93" i="2"/>
  <c r="D89" i="2"/>
  <c r="R59" i="2" l="1"/>
  <c r="T59" i="2" s="1"/>
  <c r="L126" i="2"/>
  <c r="N71" i="2"/>
  <c r="N51" i="2"/>
  <c r="N135" i="2" s="1"/>
  <c r="P53" i="2"/>
  <c r="R53" i="2" s="1"/>
  <c r="P15" i="2"/>
  <c r="R15" i="2" s="1"/>
  <c r="T15" i="2" s="1"/>
  <c r="D68" i="2"/>
  <c r="F68" i="2" s="1"/>
  <c r="D130" i="2"/>
  <c r="D108" i="2"/>
  <c r="D132" i="2" s="1"/>
  <c r="R51" i="2" l="1"/>
  <c r="R135" i="2" s="1"/>
  <c r="T53" i="2"/>
  <c r="P51" i="2"/>
  <c r="P135" i="2" s="1"/>
  <c r="N126" i="2"/>
  <c r="P71" i="2"/>
  <c r="H68" i="2"/>
  <c r="J68" i="2" s="1"/>
  <c r="L68" i="2" s="1"/>
  <c r="N68" i="2" s="1"/>
  <c r="D104" i="2"/>
  <c r="F104" i="2" s="1"/>
  <c r="F132" i="2"/>
  <c r="H132" i="2" s="1"/>
  <c r="J132" i="2" s="1"/>
  <c r="T51" i="2" l="1"/>
  <c r="T135" i="2" s="1"/>
  <c r="P126" i="2"/>
  <c r="R71" i="2"/>
  <c r="P68" i="2"/>
  <c r="R68" i="2" s="1"/>
  <c r="F124" i="2"/>
  <c r="H104" i="2"/>
  <c r="D124" i="2"/>
  <c r="T68" i="2" l="1"/>
  <c r="R126" i="2"/>
  <c r="T71" i="2"/>
  <c r="T126" i="2" s="1"/>
  <c r="H124" i="2"/>
  <c r="J104" i="2"/>
  <c r="J124" i="2" l="1"/>
  <c r="L104" i="2"/>
  <c r="L124" i="2" l="1"/>
  <c r="N104" i="2"/>
  <c r="P104" i="2" l="1"/>
  <c r="N124" i="2"/>
  <c r="P124" i="2" l="1"/>
  <c r="R104" i="2"/>
  <c r="T104" i="2" l="1"/>
  <c r="T124" i="2" s="1"/>
  <c r="R124" i="2"/>
</calcChain>
</file>

<file path=xl/sharedStrings.xml><?xml version="1.0" encoding="utf-8"?>
<sst xmlns="http://schemas.openxmlformats.org/spreadsheetml/2006/main" count="364" uniqueCount="213">
  <si>
    <t>№ п/п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</si>
  <si>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</si>
  <si>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</si>
  <si>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</si>
  <si>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</si>
  <si>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</si>
  <si>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</si>
  <si>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</si>
  <si>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8.</t>
  </si>
  <si>
    <t>9.</t>
  </si>
  <si>
    <t>10.</t>
  </si>
  <si>
    <t>11.</t>
  </si>
  <si>
    <t>13.</t>
  </si>
  <si>
    <t>Внешнее благоустройство</t>
  </si>
  <si>
    <t>15.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</si>
  <si>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</si>
  <si>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</si>
  <si>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</si>
  <si>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</si>
  <si>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</si>
  <si>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</si>
  <si>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</si>
  <si>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</si>
  <si>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Строительство спортивного зала в МАОУ "СОШ № 12"</t>
  </si>
  <si>
    <t>Строительство, реконструкция и проектирование сетей наружного освещения</t>
  </si>
  <si>
    <t>10 2 4104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</si>
  <si>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</si>
  <si>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</si>
  <si>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</si>
  <si>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</si>
  <si>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11 1 4105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</si>
  <si>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</si>
  <si>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</si>
  <si>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</si>
  <si>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</si>
  <si>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</si>
  <si>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</si>
  <si>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</si>
  <si>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</si>
  <si>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</si>
  <si>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</si>
  <si>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</si>
  <si>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05 1 4200</t>
  </si>
  <si>
    <t>10 2 4207</t>
  </si>
  <si>
    <t>11 2 4107</t>
  </si>
  <si>
    <t>Реконструкция кладбища Банная гора (новое)</t>
  </si>
  <si>
    <t>Исполнитель</t>
  </si>
  <si>
    <t>к решению</t>
  </si>
  <si>
    <t>Пермской городской Думы</t>
  </si>
  <si>
    <t>Расширение и реконструкция (2 очередь) канализации</t>
  </si>
  <si>
    <t>средства дорожного фонда</t>
  </si>
  <si>
    <t>тыс. руб.</t>
  </si>
  <si>
    <t>в разрезе исполнителей</t>
  </si>
  <si>
    <t>05 1 4211</t>
  </si>
  <si>
    <t>Строительство газопроводов в микрорайонах индивидуальной застройки города Перми</t>
  </si>
  <si>
    <t>Департамент имущественных отношений</t>
  </si>
  <si>
    <t>30.</t>
  </si>
  <si>
    <t>2015 год</t>
  </si>
  <si>
    <t>Строительство физкультурно–оздоровительного комплекса в Дзержинском районе (ул. Шпальная, 2)</t>
  </si>
  <si>
    <t>краевой бюджет</t>
  </si>
  <si>
    <t>05 1 6201</t>
  </si>
  <si>
    <t>Прочие объекты</t>
  </si>
  <si>
    <t>91 9 4136</t>
  </si>
  <si>
    <t>31.</t>
  </si>
  <si>
    <t>32.</t>
  </si>
  <si>
    <t>Приобретение в муниципальную собственность здания для размещения муниципального архива</t>
  </si>
  <si>
    <t>91 9 4153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</si>
  <si>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</si>
  <si>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</si>
  <si>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</si>
  <si>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</si>
  <si>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12 2 4123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</si>
  <si>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</si>
  <si>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Строительство водопроводных сетей в микрорайоне Висим Мотовилихинского района города Перми</t>
  </si>
  <si>
    <t>17 1 4121</t>
  </si>
  <si>
    <t>Строительство водопроводных сетей в микрорайоне Вышка–1 Мотовилихинского района города Перми</t>
  </si>
  <si>
    <t>17 1 4122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</si>
  <si>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</si>
  <si>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</si>
  <si>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</si>
  <si>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03 3 4214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</si>
  <si>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</si>
  <si>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</si>
  <si>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</si>
  <si>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24 1 4164</t>
  </si>
  <si>
    <t>24 2 4100</t>
  </si>
  <si>
    <t>24 2 4117</t>
  </si>
  <si>
    <t>24 2 4118</t>
  </si>
  <si>
    <t>24 2 4119</t>
  </si>
  <si>
    <t>24 2 4129</t>
  </si>
  <si>
    <t>24 2 4130</t>
  </si>
  <si>
    <t>02 2 4155</t>
  </si>
  <si>
    <t>Реконструкция светофорных объектов в части установки устройства голосового и звукового сопровождения</t>
  </si>
  <si>
    <t>02 2 4158</t>
  </si>
  <si>
    <t>Реконструкция светофорных объектов в части установки устройства звукового сопровождения</t>
  </si>
  <si>
    <t>Реконструкция ул. Макаренко от бульвара Гагарина до ул. Уинской</t>
  </si>
  <si>
    <t>10 2 4206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</si>
  <si>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</si>
  <si>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</si>
  <si>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</si>
  <si>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центральной площадки города Перми – эспланада, 64–й квартал, участок 1(от здания Пермского академического Театра–Театра ул. Борчанинова)</t>
  </si>
  <si>
    <t>Реконструкция кладбища Северное</t>
  </si>
  <si>
    <t>11 2 4154</t>
  </si>
  <si>
    <t>10 2 6212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</si>
  <si>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</si>
  <si>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</si>
  <si>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2015 год</t>
  </si>
  <si>
    <t>Реконструкция многоквартирного дома по ул. Гашкова, 28б</t>
  </si>
  <si>
    <t>15 3 4124</t>
  </si>
  <si>
    <t>2.</t>
  </si>
  <si>
    <t>3.</t>
  </si>
  <si>
    <t>4.</t>
  </si>
  <si>
    <t>5.</t>
  </si>
  <si>
    <t>6.</t>
  </si>
  <si>
    <t>7.</t>
  </si>
  <si>
    <t>12.</t>
  </si>
  <si>
    <t>14.</t>
  </si>
  <si>
    <t>16.</t>
  </si>
  <si>
    <t>17.</t>
  </si>
  <si>
    <t>18.</t>
  </si>
  <si>
    <t>19.</t>
  </si>
  <si>
    <t>20.</t>
  </si>
  <si>
    <t>21.</t>
  </si>
  <si>
    <t>33.</t>
  </si>
  <si>
    <t>34.</t>
  </si>
  <si>
    <t>35.</t>
  </si>
  <si>
    <t>36.</t>
  </si>
  <si>
    <t>37.</t>
  </si>
  <si>
    <t>38.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</si>
  <si>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</si>
  <si>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</si>
  <si>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физкультурно–оздоровительного комплекса в Свердловском районе (ул. Обвинская, 9)</t>
  </si>
  <si>
    <t>ПРИЛОЖЕНИЕ № 13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</si>
  <si>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</si>
  <si>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</si>
  <si>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15 1 2147,15 3 2151,15 1 9602</t>
  </si>
  <si>
    <t>Строительство межшкольного стадиона в МАОУ "Гимназия № 7" г.Перми</t>
  </si>
  <si>
    <t>Строительство нового корпуса МАОУ "СОШ № 59"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</si>
  <si>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</si>
  <si>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</si>
  <si>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</si>
  <si>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</si>
  <si>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МБОУ "Гимназия № 11 им. С.П.Дягилева"</t>
  </si>
  <si>
    <t>24 2 4138</t>
  </si>
  <si>
    <t>10 2 4173</t>
  </si>
  <si>
    <t>11 1 4174</t>
  </si>
  <si>
    <t>Строительство пешеходного перехода из микрорайона Владимирский в микрорайон Юбилейный</t>
  </si>
  <si>
    <t>11 1 4175</t>
  </si>
  <si>
    <t>Строительство сквера по ул.Шпалопропиточной, 4б, 6</t>
  </si>
  <si>
    <t>11 1 4176</t>
  </si>
  <si>
    <t>40.</t>
  </si>
  <si>
    <t>41.</t>
  </si>
  <si>
    <t>42.</t>
  </si>
  <si>
    <t>43.</t>
  </si>
  <si>
    <t>от 16.12.2014 № 270</t>
  </si>
  <si>
    <t>Приобретение в собственность муниципального образования помещения для размещения МФЦ по ул. 9 мая, 3</t>
  </si>
  <si>
    <t>91 9 4172</t>
  </si>
  <si>
    <t>44.</t>
  </si>
  <si>
    <t>Изменения</t>
  </si>
  <si>
    <t>Департамент общественной безопасности</t>
  </si>
  <si>
    <t>Строительство сквера по ул. Краснополянской, 12</t>
  </si>
  <si>
    <t>Строительство тротуара со ступеньками и поручнями в м-не Соболи по ул. 1-й Соболинской от дома № 9 до дома № 23</t>
  </si>
  <si>
    <t xml:space="preserve">Управление капитального строительства </t>
  </si>
  <si>
    <t>Реконструкция здания МАОУ "СОШ № 32 имени Г.А.Сборщикова" г. Перми (пристройка спортивного зала)</t>
  </si>
  <si>
    <t>Строительство межшкольного стадиона в МАОУ Пермская кадетская школа № 1 «Пермский кадетский корпус имени генералиссимуса А.В. Суворова»</t>
  </si>
  <si>
    <t>22.</t>
  </si>
  <si>
    <t>23.</t>
  </si>
  <si>
    <t>24.</t>
  </si>
  <si>
    <t>25.</t>
  </si>
  <si>
    <t>26.</t>
  </si>
  <si>
    <t>27.</t>
  </si>
  <si>
    <t>28.</t>
  </si>
  <si>
    <t>29.</t>
  </si>
  <si>
    <t>45.</t>
  </si>
  <si>
    <t>Строительство кладбища «Восточное» с крематорием</t>
  </si>
  <si>
    <t>11 2 4106</t>
  </si>
  <si>
    <t>Строительство светофорного объекта на территории м/р Висим</t>
  </si>
  <si>
    <t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</t>
  </si>
  <si>
    <t>91 6 2183</t>
  </si>
  <si>
    <t>10 2 4112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</si>
  <si>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</si>
  <si>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</si>
  <si>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Общественная безопасность</t>
  </si>
  <si>
    <t>Обследование оползневого склона по ул. Мезенская, 166</t>
  </si>
  <si>
    <t>14 1 4142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</si>
  <si>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</si>
  <si>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</si>
  <si>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</si>
  <si>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</si>
  <si>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межшкольного стадиона в МАОУ Пермская кадетская школа № 1 "Пермский кадетский корпус имени генералиссимуса А.В. Суворова"</t>
  </si>
  <si>
    <t>24 2 4125</t>
  </si>
  <si>
    <t>Реконструкция здания МАОУ «СОШ № 32 имени Г.А.Сборщикова» г. Перми (пристройка спортивного зала)</t>
  </si>
  <si>
    <t>24 2 4133</t>
  </si>
  <si>
    <t>Строительство спортивной площадки в МАОУ «Лицей № 10»</t>
  </si>
  <si>
    <t>24 2 4143</t>
  </si>
  <si>
    <t>46.</t>
  </si>
  <si>
    <t>47.</t>
  </si>
  <si>
    <t>48.</t>
  </si>
  <si>
    <t>федеральный бюджет</t>
  </si>
  <si>
    <t>15 1 9502</t>
  </si>
  <si>
    <t xml:space="preserve"> </t>
  </si>
  <si>
    <t>49.</t>
  </si>
  <si>
    <t>Приобретение в собственность муниципального образования по-мещения для размещения МФЦ по ул. Уральская, 47а</t>
  </si>
  <si>
    <t>24 2 4201, 24 2 4202</t>
  </si>
  <si>
    <t>Возмездное приобретение недвижимого имущества в муниципальную собственность города Перми</t>
  </si>
  <si>
    <t>91 9 4177</t>
  </si>
  <si>
    <t>50.</t>
  </si>
  <si>
    <t>Реконструкция Театрального сада</t>
  </si>
  <si>
    <t>Строительство многоквартирного жилого дома по адресу: ул. Баранчинская, 10 для обеспечения жильем граждан</t>
  </si>
  <si>
    <t>11 1 4159</t>
  </si>
  <si>
    <t>51.</t>
  </si>
  <si>
    <t>15 3 4180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</si>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</sst>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/>
    <xf numFmtId="0" fontId="4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/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0" fontId="2" fillId="4" borderId="0" xfId="0" applyFont="1" applyFill="1"/>
    <xf numFmtId="0" fontId="4" fillId="4" borderId="1" xfId="0" applyFont="1" applyFill="1" applyBorder="1" applyAlignment="1">
      <alignment vertical="top" wrapText="1"/>
    </xf>
    <xf numFmtId="164" fontId="4" fillId="5" borderId="1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4" fillId="3" borderId="4" xfId="0" applyNumberFormat="1" applyFont="1" applyFill="1" applyBorder="1"/>
    <xf numFmtId="0" fontId="4" fillId="3" borderId="1" xfId="0" applyFont="1" applyFill="1" applyBorder="1" applyAlignment="1">
      <alignment horizontal="center" vertical="top"/>
    </xf>
    <xf numFmtId="164" fontId="4" fillId="3" borderId="2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 wrapText="1"/>
    </xf>
    <xf numFmtId="0" fontId="2" fillId="3" borderId="0" xfId="0" applyFont="1" applyFill="1"/>
    <xf numFmtId="164" fontId="4" fillId="0" borderId="1" xfId="0" applyNumberFormat="1" applyFont="1" applyFill="1" applyBorder="1" applyAlignment="1">
      <alignment vertical="top" wrapText="1"/>
    </xf>
    <xf numFmtId="164" fontId="4" fillId="6" borderId="1" xfId="0" applyNumberFormat="1" applyFont="1" applyFill="1" applyBorder="1"/>
    <xf numFmtId="0" fontId="4" fillId="6" borderId="1" xfId="0" applyFont="1" applyFill="1" applyBorder="1" applyAlignment="1">
      <alignment horizontal="center" vertical="top"/>
    </xf>
    <xf numFmtId="0" fontId="2" fillId="6" borderId="0" xfId="0" applyFont="1" applyFill="1"/>
    <xf numFmtId="164" fontId="4" fillId="6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2" fillId="7" borderId="0" xfId="0" applyFont="1" applyFill="1"/>
    <xf numFmtId="0" fontId="4" fillId="3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/>
    </xf>
    <xf numFmtId="0" fontId="2" fillId="2" borderId="0" xfId="0" applyFont="1" applyFill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2" fillId="6" borderId="0" xfId="0" applyFont="1" applyFill="1" applyBorder="1"/>
    <xf numFmtId="164" fontId="4" fillId="6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vertical="top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C138"/>
  <sheetViews>
    <sheetView tabSelected="1" topLeftCell="A105" zoomScale="70" zoomScaleNormal="70" workbookViewId="0">
      <selection activeCell="AE122" sqref="AE122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19.85546875" style="1" customWidth="1"/>
    <col min="4" max="4" width="17.5703125" style="5" hidden="1" customWidth="1"/>
    <col min="5" max="5" width="17" style="5" hidden="1" customWidth="1"/>
    <col min="6" max="6" width="17.5703125" style="5" hidden="1" customWidth="1"/>
    <col min="7" max="7" width="16.85546875" style="5" hidden="1" customWidth="1"/>
    <col min="8" max="8" width="17.5703125" style="5" hidden="1" customWidth="1"/>
    <col min="9" max="9" width="16.85546875" style="45" hidden="1" customWidth="1"/>
    <col min="10" max="10" width="17.5703125" style="5" hidden="1" customWidth="1"/>
    <col min="11" max="11" width="16.85546875" style="45" hidden="1" customWidth="1"/>
    <col min="12" max="12" width="17.5703125" style="5" hidden="1" customWidth="1"/>
    <col min="13" max="13" width="16.85546875" style="45" hidden="1" customWidth="1"/>
    <col min="14" max="14" width="17.5703125" style="5" hidden="1" customWidth="1"/>
    <col min="15" max="15" width="16.85546875" style="45" hidden="1" customWidth="1"/>
    <col min="16" max="16" width="17.5703125" style="5" hidden="1" customWidth="1"/>
    <col min="17" max="17" width="16.85546875" style="45" hidden="1" customWidth="1"/>
    <col min="18" max="18" width="17.5703125" style="5" hidden="1" customWidth="1"/>
    <col min="19" max="19" width="16.85546875" style="24" hidden="1" customWidth="1"/>
    <col min="20" max="20" width="17.5703125" style="5" customWidth="1"/>
    <col min="21" max="21" width="37.42578125" style="1" hidden="1" customWidth="1"/>
    <col min="22" max="22" width="16.140625" style="1" hidden="1" customWidth="1"/>
    <col min="23" max="26" width="9.140625" style="1" customWidth="1"/>
    <col min="27" max="16384" width="9.140625" style="1"/>
  </cols>
  <sheetData>
    <row r="1" spans="1:22" x14ac:dyDescent="0.3">
      <c r="H1" s="4"/>
      <c r="J1" s="4"/>
      <c r="L1" s="4"/>
      <c r="N1" s="4"/>
      <c r="P1" s="4"/>
      <c r="R1" s="4"/>
      <c r="T1" s="4" t="s">
        <v>212</v>
      </c>
    </row>
    <row r="2" spans="1:22" x14ac:dyDescent="0.3">
      <c r="H2" s="4"/>
      <c r="J2" s="4"/>
      <c r="L2" s="4"/>
      <c r="N2" s="4"/>
      <c r="P2" s="4"/>
      <c r="R2" s="4"/>
      <c r="T2" s="4" t="s">
        <v>47</v>
      </c>
    </row>
    <row r="3" spans="1:22" x14ac:dyDescent="0.3">
      <c r="H3" s="4"/>
      <c r="J3" s="4"/>
      <c r="L3" s="4"/>
      <c r="N3" s="4"/>
      <c r="P3" s="4"/>
      <c r="R3" s="4"/>
      <c r="T3" s="4" t="s">
        <v>48</v>
      </c>
    </row>
    <row r="5" spans="1:22" x14ac:dyDescent="0.3">
      <c r="C5" s="5"/>
      <c r="D5" s="4"/>
      <c r="F5" s="4"/>
      <c r="H5" s="4"/>
      <c r="J5" s="4"/>
      <c r="L5" s="4"/>
      <c r="N5" s="4"/>
      <c r="P5" s="4"/>
      <c r="R5" s="4"/>
      <c r="T5" s="4" t="s">
        <v>132</v>
      </c>
    </row>
    <row r="6" spans="1:22" x14ac:dyDescent="0.3">
      <c r="C6" s="5"/>
      <c r="D6" s="4"/>
      <c r="F6" s="4"/>
      <c r="H6" s="4"/>
      <c r="J6" s="4"/>
      <c r="L6" s="4"/>
      <c r="N6" s="4"/>
      <c r="P6" s="4"/>
      <c r="R6" s="4"/>
      <c r="T6" s="4" t="s">
        <v>47</v>
      </c>
    </row>
    <row r="7" spans="1:22" x14ac:dyDescent="0.3">
      <c r="C7" s="5"/>
      <c r="D7" s="4"/>
      <c r="F7" s="4"/>
      <c r="H7" s="4"/>
      <c r="J7" s="4"/>
      <c r="L7" s="4"/>
      <c r="N7" s="4"/>
      <c r="P7" s="4"/>
      <c r="R7" s="4"/>
      <c r="T7" s="4" t="s">
        <v>48</v>
      </c>
    </row>
    <row r="8" spans="1:22" x14ac:dyDescent="0.3">
      <c r="D8" s="1"/>
      <c r="E8" s="1"/>
      <c r="F8" s="1"/>
      <c r="G8" s="4"/>
      <c r="H8" s="4"/>
      <c r="I8" s="46"/>
      <c r="J8" s="4"/>
      <c r="K8" s="46"/>
      <c r="L8" s="4"/>
      <c r="M8" s="46"/>
      <c r="N8" s="4"/>
      <c r="O8" s="46"/>
      <c r="P8" s="4"/>
      <c r="Q8" s="46"/>
      <c r="R8" s="4"/>
      <c r="S8" s="25"/>
      <c r="T8" s="4" t="s">
        <v>154</v>
      </c>
    </row>
    <row r="9" spans="1:22" ht="18.75" customHeight="1" x14ac:dyDescent="0.25">
      <c r="A9" s="92" t="s">
        <v>106</v>
      </c>
      <c r="B9" s="92"/>
      <c r="C9" s="92"/>
      <c r="D9" s="92"/>
      <c r="E9" s="18"/>
      <c r="F9" s="18"/>
      <c r="G9" s="31"/>
      <c r="H9" s="23"/>
      <c r="I9" s="47"/>
      <c r="J9" s="31"/>
      <c r="K9" s="47"/>
      <c r="L9" s="44"/>
      <c r="M9" s="47"/>
      <c r="N9" s="62"/>
      <c r="O9" s="47"/>
      <c r="P9" s="63"/>
      <c r="Q9" s="47"/>
      <c r="R9" s="72"/>
      <c r="S9" s="26"/>
      <c r="T9" s="73"/>
    </row>
    <row r="10" spans="1:22" ht="15.75" customHeight="1" x14ac:dyDescent="0.25">
      <c r="A10" s="92"/>
      <c r="B10" s="92"/>
      <c r="C10" s="92"/>
      <c r="D10" s="92"/>
      <c r="E10" s="18"/>
      <c r="F10" s="18"/>
      <c r="G10" s="31"/>
      <c r="H10" s="23"/>
      <c r="I10" s="47"/>
      <c r="J10" s="31"/>
      <c r="K10" s="47"/>
      <c r="L10" s="44"/>
      <c r="M10" s="47"/>
      <c r="N10" s="62"/>
      <c r="O10" s="47"/>
      <c r="P10" s="63"/>
      <c r="Q10" s="47"/>
      <c r="R10" s="72"/>
      <c r="S10" s="26"/>
      <c r="T10" s="73"/>
    </row>
    <row r="11" spans="1:22" ht="19.5" customHeight="1" x14ac:dyDescent="0.25">
      <c r="A11" s="92"/>
      <c r="B11" s="92"/>
      <c r="C11" s="92"/>
      <c r="D11" s="92"/>
      <c r="E11" s="18"/>
      <c r="F11" s="18"/>
      <c r="G11" s="31"/>
      <c r="H11" s="23"/>
      <c r="I11" s="47"/>
      <c r="J11" s="31"/>
      <c r="K11" s="47"/>
      <c r="L11" s="44"/>
      <c r="M11" s="47"/>
      <c r="N11" s="62"/>
      <c r="O11" s="47"/>
      <c r="P11" s="63"/>
      <c r="Q11" s="47"/>
      <c r="R11" s="72"/>
      <c r="S11" s="26"/>
      <c r="T11" s="73"/>
    </row>
    <row r="12" spans="1:22" x14ac:dyDescent="0.3">
      <c r="A12" s="2"/>
      <c r="B12" s="3"/>
      <c r="C12" s="3"/>
      <c r="D12" s="4"/>
      <c r="E12" s="4"/>
      <c r="F12" s="4"/>
      <c r="G12" s="4"/>
      <c r="H12" s="4"/>
      <c r="I12" s="46"/>
      <c r="J12" s="4"/>
      <c r="K12" s="46"/>
      <c r="L12" s="4"/>
      <c r="M12" s="46"/>
      <c r="N12" s="4"/>
      <c r="O12" s="46"/>
      <c r="P12" s="4"/>
      <c r="Q12" s="46"/>
      <c r="R12" s="4"/>
      <c r="S12" s="25"/>
      <c r="T12" s="4" t="s">
        <v>51</v>
      </c>
      <c r="U12" s="6"/>
    </row>
    <row r="13" spans="1:22" ht="18" customHeight="1" x14ac:dyDescent="0.25">
      <c r="A13" s="93" t="s">
        <v>0</v>
      </c>
      <c r="B13" s="93" t="s">
        <v>105</v>
      </c>
      <c r="C13" s="93" t="s">
        <v>46</v>
      </c>
      <c r="D13" s="81" t="s">
        <v>57</v>
      </c>
      <c r="E13" s="81" t="s">
        <v>133</v>
      </c>
      <c r="F13" s="81" t="s">
        <v>57</v>
      </c>
      <c r="G13" s="81" t="s">
        <v>158</v>
      </c>
      <c r="H13" s="81" t="s">
        <v>57</v>
      </c>
      <c r="I13" s="79" t="s">
        <v>158</v>
      </c>
      <c r="J13" s="81" t="s">
        <v>57</v>
      </c>
      <c r="K13" s="79" t="s">
        <v>158</v>
      </c>
      <c r="L13" s="81" t="s">
        <v>57</v>
      </c>
      <c r="M13" s="79" t="s">
        <v>158</v>
      </c>
      <c r="N13" s="81" t="s">
        <v>57</v>
      </c>
      <c r="O13" s="79" t="s">
        <v>158</v>
      </c>
      <c r="P13" s="81" t="s">
        <v>57</v>
      </c>
      <c r="Q13" s="79" t="s">
        <v>158</v>
      </c>
      <c r="R13" s="81" t="s">
        <v>57</v>
      </c>
      <c r="S13" s="95" t="s">
        <v>158</v>
      </c>
      <c r="T13" s="81" t="s">
        <v>57</v>
      </c>
      <c r="U13" s="98"/>
    </row>
    <row r="14" spans="1:22" ht="18" customHeight="1" x14ac:dyDescent="0.25">
      <c r="A14" s="94"/>
      <c r="B14" s="87"/>
      <c r="C14" s="87"/>
      <c r="D14" s="82"/>
      <c r="E14" s="82"/>
      <c r="F14" s="82"/>
      <c r="G14" s="82"/>
      <c r="H14" s="82"/>
      <c r="I14" s="80"/>
      <c r="J14" s="82"/>
      <c r="K14" s="80"/>
      <c r="L14" s="82"/>
      <c r="M14" s="80"/>
      <c r="N14" s="82"/>
      <c r="O14" s="80"/>
      <c r="P14" s="82"/>
      <c r="Q14" s="80"/>
      <c r="R14" s="82"/>
      <c r="S14" s="96"/>
      <c r="T14" s="82"/>
      <c r="U14" s="98"/>
    </row>
    <row r="15" spans="1:22" s="54" customFormat="1" x14ac:dyDescent="0.3">
      <c r="A15" s="51"/>
      <c r="B15" s="68" t="s">
        <v>1</v>
      </c>
      <c r="C15" s="68"/>
      <c r="D15" s="56">
        <f>D16+D18+D19+D20+D22+D24+D27+D29+D31</f>
        <v>676471.9</v>
      </c>
      <c r="E15" s="56">
        <f>E16+E18+E19+E20+E22+E24+E27+E29+E31+E32</f>
        <v>2000</v>
      </c>
      <c r="F15" s="56">
        <f>D15+E15</f>
        <v>678471.9</v>
      </c>
      <c r="G15" s="56">
        <f>G16+G18+G19+G20+G22+G24+G27+G29+G31+G32</f>
        <v>-99426.94</v>
      </c>
      <c r="H15" s="56">
        <f>F15+G15</f>
        <v>579044.96</v>
      </c>
      <c r="I15" s="56">
        <f>I16+I18+I19+I20+I22+I24+I27+I29+I31+I32+I25+I28+I30+I21+I23+I26+I33+I34</f>
        <v>0</v>
      </c>
      <c r="J15" s="56">
        <f>H15+I15</f>
        <v>579044.96</v>
      </c>
      <c r="K15" s="56">
        <f>K16+K18+K19+K20+K22+K24+K27+K29+K31+K32+K25+K28+K30+K21+K23+K26+K33+K34+K17+K35+K36+K37</f>
        <v>-61558.228999999956</v>
      </c>
      <c r="L15" s="56">
        <f>J15+K15</f>
        <v>517486.73100000003</v>
      </c>
      <c r="M15" s="56">
        <f>M16+M18+M19+M20+M22+M24+M27+M29+M31+M32+M25+M28+M30+M21+M23+M26+M33+M34+M17+M35+M36+M37</f>
        <v>0</v>
      </c>
      <c r="N15" s="56">
        <f>L15+M15</f>
        <v>517486.73100000003</v>
      </c>
      <c r="O15" s="56">
        <f>O16+O18+O19+O20+O22+O24+O27+O29+O31+O32+O25+O28+O30+O21+O23+O26+O33+O34+O17+O35+O36+O37</f>
        <v>-63000</v>
      </c>
      <c r="P15" s="56">
        <f>N15+O15</f>
        <v>454486.73100000003</v>
      </c>
      <c r="Q15" s="56">
        <f>Q16+Q18+Q19+Q20+Q22+Q24+Q27+Q29+Q31+Q32+Q25+Q28+Q30+Q21+Q23+Q26+Q33+Q34+Q17+Q35+Q36+Q37</f>
        <v>0</v>
      </c>
      <c r="R15" s="56">
        <f>P15+Q15</f>
        <v>454486.73100000003</v>
      </c>
      <c r="S15" s="56">
        <f>S16+S18+S19+S20+S22+S24+S27+S29+S31+S32+S25+S28+S30+S21+S23+S26+S33+S34+S17+S35+S36+S37</f>
        <v>417.19</v>
      </c>
      <c r="T15" s="35">
        <f>R15+S15</f>
        <v>454903.92100000003</v>
      </c>
      <c r="U15" s="75"/>
    </row>
    <row r="16" spans="1:22" s="41" customFormat="1" ht="56.25" hidden="1" x14ac:dyDescent="0.3">
      <c r="A16" s="37" t="s">
        <v>4</v>
      </c>
      <c r="B16" s="38" t="s">
        <v>81</v>
      </c>
      <c r="C16" s="39" t="s">
        <v>55</v>
      </c>
      <c r="D16" s="40">
        <v>250000</v>
      </c>
      <c r="E16" s="40"/>
      <c r="F16" s="40">
        <f>D16+E16</f>
        <v>250000</v>
      </c>
      <c r="G16" s="40"/>
      <c r="H16" s="40">
        <f>F16+G16</f>
        <v>250000</v>
      </c>
      <c r="I16" s="40"/>
      <c r="J16" s="40">
        <f>H16+I16</f>
        <v>250000</v>
      </c>
      <c r="K16" s="35">
        <v>-250000</v>
      </c>
      <c r="L16" s="40">
        <f>J16+K16</f>
        <v>0</v>
      </c>
      <c r="M16" s="35"/>
      <c r="N16" s="40">
        <f>L16+M16</f>
        <v>0</v>
      </c>
      <c r="O16" s="35"/>
      <c r="P16" s="40">
        <f>N16+O16</f>
        <v>0</v>
      </c>
      <c r="Q16" s="35"/>
      <c r="R16" s="40">
        <f>P16+Q16</f>
        <v>0</v>
      </c>
      <c r="S16" s="27"/>
      <c r="T16" s="40">
        <f>R16+S16</f>
        <v>0</v>
      </c>
      <c r="U16" s="41" t="s">
        <v>82</v>
      </c>
      <c r="V16" s="41">
        <v>0</v>
      </c>
    </row>
    <row r="17" spans="1:24" s="54" customFormat="1" ht="56.25" x14ac:dyDescent="0.3">
      <c r="A17" s="51" t="s">
        <v>4</v>
      </c>
      <c r="B17" s="52" t="s">
        <v>185</v>
      </c>
      <c r="C17" s="53" t="s">
        <v>55</v>
      </c>
      <c r="D17" s="35"/>
      <c r="E17" s="35"/>
      <c r="F17" s="35">
        <f>D17+E17</f>
        <v>0</v>
      </c>
      <c r="G17" s="35"/>
      <c r="H17" s="35">
        <f>F17+G17</f>
        <v>0</v>
      </c>
      <c r="I17" s="35"/>
      <c r="J17" s="35">
        <f>H17+I17</f>
        <v>0</v>
      </c>
      <c r="K17" s="35">
        <v>205000</v>
      </c>
      <c r="L17" s="35">
        <f>J17+K17</f>
        <v>205000</v>
      </c>
      <c r="M17" s="35"/>
      <c r="N17" s="35">
        <f>L17+M17</f>
        <v>205000</v>
      </c>
      <c r="O17" s="35">
        <v>-63000</v>
      </c>
      <c r="P17" s="35">
        <f>N17+O17</f>
        <v>142000</v>
      </c>
      <c r="Q17" s="35"/>
      <c r="R17" s="35">
        <f>P17+Q17</f>
        <v>142000</v>
      </c>
      <c r="S17" s="27"/>
      <c r="T17" s="35">
        <f>R17+S17</f>
        <v>142000</v>
      </c>
      <c r="U17" s="54" t="s">
        <v>186</v>
      </c>
    </row>
    <row r="18" spans="1:24" ht="56.25" x14ac:dyDescent="0.3">
      <c r="A18" s="7" t="s">
        <v>109</v>
      </c>
      <c r="B18" s="10" t="s">
        <v>83</v>
      </c>
      <c r="C18" s="17" t="s">
        <v>55</v>
      </c>
      <c r="D18" s="9">
        <v>130000</v>
      </c>
      <c r="E18" s="9"/>
      <c r="F18" s="9">
        <f t="shared" ref="F18:F32" si="0">D18+E18</f>
        <v>130000</v>
      </c>
      <c r="G18" s="9">
        <v>-129999.948</v>
      </c>
      <c r="H18" s="9">
        <f t="shared" ref="H18:H32" si="1">F18+G18</f>
        <v>5.1999999996041879E-2</v>
      </c>
      <c r="I18" s="35"/>
      <c r="J18" s="9">
        <f t="shared" ref="J18:J34" si="2">H18+I18</f>
        <v>5.1999999996041879E-2</v>
      </c>
      <c r="K18" s="35"/>
      <c r="L18" s="9">
        <f t="shared" ref="L18:L36" si="3">J18+K18</f>
        <v>5.1999999996041879E-2</v>
      </c>
      <c r="M18" s="35"/>
      <c r="N18" s="9">
        <f t="shared" ref="N18:N36" si="4">L18+M18</f>
        <v>5.1999999996041879E-2</v>
      </c>
      <c r="O18" s="35"/>
      <c r="P18" s="9">
        <f t="shared" ref="P18:P36" si="5">N18+O18</f>
        <v>5.1999999996041879E-2</v>
      </c>
      <c r="Q18" s="35"/>
      <c r="R18" s="9">
        <f t="shared" ref="R18:R23" si="6">P18+Q18</f>
        <v>5.1999999996041879E-2</v>
      </c>
      <c r="S18" s="27"/>
      <c r="T18" s="9">
        <f t="shared" ref="T18:T23" si="7">R18+S18</f>
        <v>5.1999999996041879E-2</v>
      </c>
      <c r="U18" s="1" t="s">
        <v>84</v>
      </c>
    </row>
    <row r="19" spans="1:24" ht="37.5" x14ac:dyDescent="0.3">
      <c r="A19" s="7" t="s">
        <v>110</v>
      </c>
      <c r="B19" s="10" t="s">
        <v>23</v>
      </c>
      <c r="C19" s="17" t="s">
        <v>5</v>
      </c>
      <c r="D19" s="9">
        <v>33153.199999999997</v>
      </c>
      <c r="E19" s="9"/>
      <c r="F19" s="9">
        <f t="shared" si="0"/>
        <v>33153.199999999997</v>
      </c>
      <c r="G19" s="9"/>
      <c r="H19" s="9">
        <f t="shared" si="1"/>
        <v>33153.199999999997</v>
      </c>
      <c r="I19" s="35"/>
      <c r="J19" s="9">
        <f t="shared" si="2"/>
        <v>33153.199999999997</v>
      </c>
      <c r="K19" s="35">
        <f>30000+10000</f>
        <v>40000</v>
      </c>
      <c r="L19" s="9">
        <f t="shared" si="3"/>
        <v>73153.2</v>
      </c>
      <c r="M19" s="35"/>
      <c r="N19" s="9">
        <f t="shared" si="4"/>
        <v>73153.2</v>
      </c>
      <c r="O19" s="35"/>
      <c r="P19" s="9">
        <f t="shared" si="5"/>
        <v>73153.2</v>
      </c>
      <c r="Q19" s="35"/>
      <c r="R19" s="9">
        <f t="shared" si="6"/>
        <v>73153.2</v>
      </c>
      <c r="S19" s="27"/>
      <c r="T19" s="9">
        <f t="shared" si="7"/>
        <v>73153.2</v>
      </c>
      <c r="U19" s="1" t="s">
        <v>85</v>
      </c>
    </row>
    <row r="20" spans="1:24" s="41" customFormat="1" ht="37.5" hidden="1" x14ac:dyDescent="0.3">
      <c r="A20" s="37"/>
      <c r="B20" s="38" t="s">
        <v>137</v>
      </c>
      <c r="C20" s="39" t="s">
        <v>5</v>
      </c>
      <c r="D20" s="40">
        <v>26500</v>
      </c>
      <c r="E20" s="40"/>
      <c r="F20" s="40">
        <f t="shared" si="0"/>
        <v>26500</v>
      </c>
      <c r="G20" s="40"/>
      <c r="H20" s="40">
        <f t="shared" si="1"/>
        <v>26500</v>
      </c>
      <c r="I20" s="35">
        <v>-26500</v>
      </c>
      <c r="J20" s="40">
        <f t="shared" si="2"/>
        <v>0</v>
      </c>
      <c r="K20" s="35"/>
      <c r="L20" s="40">
        <f t="shared" si="3"/>
        <v>0</v>
      </c>
      <c r="M20" s="35"/>
      <c r="N20" s="40">
        <f t="shared" si="4"/>
        <v>0</v>
      </c>
      <c r="O20" s="35"/>
      <c r="P20" s="40">
        <f t="shared" si="5"/>
        <v>0</v>
      </c>
      <c r="Q20" s="35"/>
      <c r="R20" s="40">
        <f t="shared" si="6"/>
        <v>0</v>
      </c>
      <c r="S20" s="27"/>
      <c r="T20" s="40">
        <f t="shared" si="7"/>
        <v>0</v>
      </c>
      <c r="U20" s="41" t="s">
        <v>86</v>
      </c>
      <c r="V20" s="41">
        <v>0</v>
      </c>
    </row>
    <row r="21" spans="1:24" ht="56.25" x14ac:dyDescent="0.3">
      <c r="A21" s="7" t="s">
        <v>111</v>
      </c>
      <c r="B21" s="10" t="s">
        <v>137</v>
      </c>
      <c r="C21" s="33" t="s">
        <v>162</v>
      </c>
      <c r="D21" s="9"/>
      <c r="E21" s="9"/>
      <c r="F21" s="9"/>
      <c r="G21" s="9"/>
      <c r="H21" s="9"/>
      <c r="I21" s="35">
        <v>26500</v>
      </c>
      <c r="J21" s="9">
        <f t="shared" si="2"/>
        <v>26500</v>
      </c>
      <c r="K21" s="35">
        <v>-24552.7</v>
      </c>
      <c r="L21" s="9">
        <f t="shared" si="3"/>
        <v>1947.2999999999993</v>
      </c>
      <c r="M21" s="35"/>
      <c r="N21" s="9">
        <f t="shared" si="4"/>
        <v>1947.2999999999993</v>
      </c>
      <c r="O21" s="35"/>
      <c r="P21" s="9">
        <f t="shared" si="5"/>
        <v>1947.2999999999993</v>
      </c>
      <c r="Q21" s="35"/>
      <c r="R21" s="9">
        <f t="shared" si="6"/>
        <v>1947.2999999999993</v>
      </c>
      <c r="S21" s="27"/>
      <c r="T21" s="9">
        <f t="shared" si="7"/>
        <v>1947.2999999999993</v>
      </c>
      <c r="U21" s="1" t="s">
        <v>86</v>
      </c>
    </row>
    <row r="22" spans="1:24" s="41" customFormat="1" ht="37.5" hidden="1" x14ac:dyDescent="0.3">
      <c r="A22" s="37"/>
      <c r="B22" s="38" t="s">
        <v>138</v>
      </c>
      <c r="C22" s="39" t="s">
        <v>5</v>
      </c>
      <c r="D22" s="40">
        <v>26500</v>
      </c>
      <c r="E22" s="40"/>
      <c r="F22" s="40">
        <f t="shared" si="0"/>
        <v>26500</v>
      </c>
      <c r="G22" s="40"/>
      <c r="H22" s="40">
        <f t="shared" si="1"/>
        <v>26500</v>
      </c>
      <c r="I22" s="35">
        <v>-26500</v>
      </c>
      <c r="J22" s="40">
        <f t="shared" si="2"/>
        <v>0</v>
      </c>
      <c r="K22" s="35"/>
      <c r="L22" s="9">
        <f t="shared" si="3"/>
        <v>0</v>
      </c>
      <c r="M22" s="35"/>
      <c r="N22" s="9">
        <f t="shared" si="4"/>
        <v>0</v>
      </c>
      <c r="O22" s="35"/>
      <c r="P22" s="9">
        <f t="shared" si="5"/>
        <v>0</v>
      </c>
      <c r="Q22" s="35"/>
      <c r="R22" s="9">
        <f t="shared" si="6"/>
        <v>0</v>
      </c>
      <c r="S22" s="27"/>
      <c r="T22" s="9">
        <f t="shared" si="7"/>
        <v>0</v>
      </c>
      <c r="U22" s="41" t="s">
        <v>87</v>
      </c>
      <c r="V22" s="41">
        <v>0</v>
      </c>
    </row>
    <row r="23" spans="1:24" ht="56.25" x14ac:dyDescent="0.3">
      <c r="A23" s="7" t="s">
        <v>112</v>
      </c>
      <c r="B23" s="10" t="s">
        <v>138</v>
      </c>
      <c r="C23" s="33" t="s">
        <v>162</v>
      </c>
      <c r="D23" s="9"/>
      <c r="E23" s="9"/>
      <c r="F23" s="9"/>
      <c r="G23" s="9"/>
      <c r="H23" s="9"/>
      <c r="I23" s="35">
        <v>26500</v>
      </c>
      <c r="J23" s="9">
        <f t="shared" si="2"/>
        <v>26500</v>
      </c>
      <c r="K23" s="35">
        <v>-23867.8</v>
      </c>
      <c r="L23" s="9">
        <f t="shared" si="3"/>
        <v>2632.2000000000007</v>
      </c>
      <c r="M23" s="35"/>
      <c r="N23" s="9">
        <f t="shared" si="4"/>
        <v>2632.2000000000007</v>
      </c>
      <c r="O23" s="35"/>
      <c r="P23" s="9">
        <f t="shared" si="5"/>
        <v>2632.2000000000007</v>
      </c>
      <c r="Q23" s="35"/>
      <c r="R23" s="9">
        <f t="shared" si="6"/>
        <v>2632.2000000000007</v>
      </c>
      <c r="S23" s="27"/>
      <c r="T23" s="9">
        <f t="shared" si="7"/>
        <v>2632.2000000000007</v>
      </c>
      <c r="U23" s="1" t="s">
        <v>87</v>
      </c>
    </row>
    <row r="24" spans="1:24" s="41" customFormat="1" ht="37.5" hidden="1" x14ac:dyDescent="0.3">
      <c r="A24" s="37"/>
      <c r="B24" s="38" t="s">
        <v>139</v>
      </c>
      <c r="C24" s="39" t="s">
        <v>5</v>
      </c>
      <c r="D24" s="40">
        <v>97057.1</v>
      </c>
      <c r="E24" s="40"/>
      <c r="F24" s="40">
        <f t="shared" si="0"/>
        <v>97057.1</v>
      </c>
      <c r="G24" s="40"/>
      <c r="H24" s="40">
        <f t="shared" si="1"/>
        <v>97057.1</v>
      </c>
      <c r="I24" s="35">
        <v>-97057.1</v>
      </c>
      <c r="J24" s="40">
        <f t="shared" si="2"/>
        <v>0</v>
      </c>
      <c r="K24" s="35"/>
      <c r="L24" s="40">
        <f t="shared" si="3"/>
        <v>0</v>
      </c>
      <c r="M24" s="35"/>
      <c r="N24" s="40">
        <f t="shared" si="4"/>
        <v>0</v>
      </c>
      <c r="O24" s="35"/>
      <c r="P24" s="40" t="s">
        <v>200</v>
      </c>
      <c r="Q24" s="35"/>
      <c r="R24" s="40" t="s">
        <v>200</v>
      </c>
      <c r="S24" s="27"/>
      <c r="T24" s="40" t="s">
        <v>200</v>
      </c>
      <c r="U24" s="41" t="s">
        <v>88</v>
      </c>
      <c r="V24" s="41">
        <v>0</v>
      </c>
    </row>
    <row r="25" spans="1:24" ht="56.25" hidden="1" x14ac:dyDescent="0.3">
      <c r="A25" s="7" t="s">
        <v>113</v>
      </c>
      <c r="B25" s="10" t="s">
        <v>139</v>
      </c>
      <c r="C25" s="33" t="s">
        <v>162</v>
      </c>
      <c r="D25" s="9"/>
      <c r="E25" s="9"/>
      <c r="F25" s="9"/>
      <c r="G25" s="9"/>
      <c r="H25" s="9"/>
      <c r="I25" s="35">
        <v>97057.1</v>
      </c>
      <c r="J25" s="9">
        <f t="shared" si="2"/>
        <v>97057.1</v>
      </c>
      <c r="K25" s="35">
        <v>-97057.1</v>
      </c>
      <c r="L25" s="9">
        <f t="shared" si="3"/>
        <v>0</v>
      </c>
      <c r="M25" s="35"/>
      <c r="N25" s="9">
        <f t="shared" si="4"/>
        <v>0</v>
      </c>
      <c r="O25" s="35"/>
      <c r="P25" s="9">
        <f t="shared" si="5"/>
        <v>0</v>
      </c>
      <c r="Q25" s="35"/>
      <c r="R25" s="9">
        <f t="shared" ref="R25:R36" si="8">P25+Q25</f>
        <v>0</v>
      </c>
      <c r="S25" s="27"/>
      <c r="T25" s="9">
        <f t="shared" ref="T25:T36" si="9">R25+S25</f>
        <v>0</v>
      </c>
      <c r="U25" s="1" t="s">
        <v>88</v>
      </c>
      <c r="V25" s="1">
        <v>0</v>
      </c>
    </row>
    <row r="26" spans="1:24" ht="37.5" x14ac:dyDescent="0.3">
      <c r="A26" s="7" t="s">
        <v>113</v>
      </c>
      <c r="B26" s="10" t="s">
        <v>139</v>
      </c>
      <c r="C26" s="61" t="s">
        <v>5</v>
      </c>
      <c r="D26" s="40"/>
      <c r="E26" s="40"/>
      <c r="F26" s="40"/>
      <c r="G26" s="40"/>
      <c r="H26" s="40"/>
      <c r="I26" s="35"/>
      <c r="J26" s="40">
        <f t="shared" si="2"/>
        <v>0</v>
      </c>
      <c r="K26" s="35">
        <v>3751.4540000000002</v>
      </c>
      <c r="L26" s="9">
        <f t="shared" si="3"/>
        <v>3751.4540000000002</v>
      </c>
      <c r="M26" s="35"/>
      <c r="N26" s="9">
        <f t="shared" si="4"/>
        <v>3751.4540000000002</v>
      </c>
      <c r="O26" s="35"/>
      <c r="P26" s="9">
        <f t="shared" si="5"/>
        <v>3751.4540000000002</v>
      </c>
      <c r="Q26" s="35"/>
      <c r="R26" s="9">
        <f t="shared" si="8"/>
        <v>3751.4540000000002</v>
      </c>
      <c r="S26" s="27"/>
      <c r="T26" s="9">
        <f t="shared" si="9"/>
        <v>3751.4540000000002</v>
      </c>
      <c r="U26" s="54" t="s">
        <v>88</v>
      </c>
      <c r="V26" s="54"/>
      <c r="W26" s="54"/>
      <c r="X26" s="54"/>
    </row>
    <row r="27" spans="1:24" s="41" customFormat="1" ht="37.5" hidden="1" x14ac:dyDescent="0.3">
      <c r="A27" s="37"/>
      <c r="B27" s="38" t="s">
        <v>140</v>
      </c>
      <c r="C27" s="39" t="s">
        <v>5</v>
      </c>
      <c r="D27" s="40">
        <v>15000</v>
      </c>
      <c r="E27" s="40"/>
      <c r="F27" s="40">
        <f t="shared" si="0"/>
        <v>15000</v>
      </c>
      <c r="G27" s="40"/>
      <c r="H27" s="40">
        <f t="shared" si="1"/>
        <v>15000</v>
      </c>
      <c r="I27" s="35">
        <v>-15000</v>
      </c>
      <c r="J27" s="40">
        <f t="shared" si="2"/>
        <v>0</v>
      </c>
      <c r="K27" s="35"/>
      <c r="L27" s="40">
        <f t="shared" si="3"/>
        <v>0</v>
      </c>
      <c r="M27" s="35"/>
      <c r="N27" s="40">
        <f t="shared" si="4"/>
        <v>0</v>
      </c>
      <c r="O27" s="35"/>
      <c r="P27" s="40">
        <f t="shared" si="5"/>
        <v>0</v>
      </c>
      <c r="Q27" s="35"/>
      <c r="R27" s="40">
        <f t="shared" si="8"/>
        <v>0</v>
      </c>
      <c r="S27" s="27"/>
      <c r="T27" s="40">
        <f t="shared" si="9"/>
        <v>0</v>
      </c>
      <c r="U27" s="41" t="s">
        <v>89</v>
      </c>
      <c r="V27" s="41">
        <v>0</v>
      </c>
    </row>
    <row r="28" spans="1:24" ht="56.25" x14ac:dyDescent="0.3">
      <c r="A28" s="7" t="s">
        <v>114</v>
      </c>
      <c r="B28" s="10" t="s">
        <v>140</v>
      </c>
      <c r="C28" s="33" t="s">
        <v>162</v>
      </c>
      <c r="D28" s="9"/>
      <c r="E28" s="9"/>
      <c r="F28" s="9"/>
      <c r="G28" s="9"/>
      <c r="H28" s="9"/>
      <c r="I28" s="35">
        <v>15000</v>
      </c>
      <c r="J28" s="9">
        <f t="shared" si="2"/>
        <v>15000</v>
      </c>
      <c r="K28" s="35">
        <f>2000+213.564</f>
        <v>2213.5639999999999</v>
      </c>
      <c r="L28" s="9">
        <f t="shared" si="3"/>
        <v>17213.563999999998</v>
      </c>
      <c r="M28" s="35"/>
      <c r="N28" s="9">
        <f t="shared" si="4"/>
        <v>17213.563999999998</v>
      </c>
      <c r="O28" s="35"/>
      <c r="P28" s="9">
        <f t="shared" si="5"/>
        <v>17213.563999999998</v>
      </c>
      <c r="Q28" s="35"/>
      <c r="R28" s="9">
        <f t="shared" si="8"/>
        <v>17213.563999999998</v>
      </c>
      <c r="S28" s="27"/>
      <c r="T28" s="9">
        <f t="shared" si="9"/>
        <v>17213.563999999998</v>
      </c>
      <c r="U28" s="1" t="s">
        <v>89</v>
      </c>
    </row>
    <row r="29" spans="1:24" s="41" customFormat="1" ht="37.5" hidden="1" x14ac:dyDescent="0.3">
      <c r="A29" s="37"/>
      <c r="B29" s="38" t="s">
        <v>141</v>
      </c>
      <c r="C29" s="39" t="s">
        <v>5</v>
      </c>
      <c r="D29" s="40">
        <v>15000</v>
      </c>
      <c r="E29" s="40"/>
      <c r="F29" s="40">
        <f t="shared" si="0"/>
        <v>15000</v>
      </c>
      <c r="G29" s="40"/>
      <c r="H29" s="40">
        <f t="shared" si="1"/>
        <v>15000</v>
      </c>
      <c r="I29" s="35">
        <v>-15000</v>
      </c>
      <c r="J29" s="40">
        <f t="shared" si="2"/>
        <v>0</v>
      </c>
      <c r="K29" s="35"/>
      <c r="L29" s="40">
        <f t="shared" si="3"/>
        <v>0</v>
      </c>
      <c r="M29" s="35"/>
      <c r="N29" s="40">
        <f t="shared" si="4"/>
        <v>0</v>
      </c>
      <c r="O29" s="35"/>
      <c r="P29" s="40">
        <f t="shared" si="5"/>
        <v>0</v>
      </c>
      <c r="Q29" s="35"/>
      <c r="R29" s="40">
        <f t="shared" si="8"/>
        <v>0</v>
      </c>
      <c r="S29" s="27"/>
      <c r="T29" s="40">
        <f t="shared" si="9"/>
        <v>0</v>
      </c>
      <c r="U29" s="41" t="s">
        <v>90</v>
      </c>
      <c r="V29" s="41">
        <v>0</v>
      </c>
    </row>
    <row r="30" spans="1:24" ht="56.25" x14ac:dyDescent="0.3">
      <c r="A30" s="7" t="s">
        <v>8</v>
      </c>
      <c r="B30" s="10" t="s">
        <v>141</v>
      </c>
      <c r="C30" s="33" t="s">
        <v>162</v>
      </c>
      <c r="D30" s="9"/>
      <c r="E30" s="9"/>
      <c r="F30" s="9"/>
      <c r="G30" s="9"/>
      <c r="H30" s="9"/>
      <c r="I30" s="35">
        <v>15000</v>
      </c>
      <c r="J30" s="9">
        <f t="shared" si="2"/>
        <v>15000</v>
      </c>
      <c r="K30" s="35">
        <f>1300+639.337</f>
        <v>1939.337</v>
      </c>
      <c r="L30" s="9">
        <f t="shared" si="3"/>
        <v>16939.337</v>
      </c>
      <c r="M30" s="35"/>
      <c r="N30" s="9">
        <f t="shared" si="4"/>
        <v>16939.337</v>
      </c>
      <c r="O30" s="35"/>
      <c r="P30" s="9">
        <f t="shared" si="5"/>
        <v>16939.337</v>
      </c>
      <c r="Q30" s="35"/>
      <c r="R30" s="9">
        <f t="shared" si="8"/>
        <v>16939.337</v>
      </c>
      <c r="S30" s="27"/>
      <c r="T30" s="9">
        <f t="shared" si="9"/>
        <v>16939.337</v>
      </c>
      <c r="U30" s="1" t="s">
        <v>90</v>
      </c>
    </row>
    <row r="31" spans="1:24" ht="37.5" x14ac:dyDescent="0.3">
      <c r="A31" s="7" t="s">
        <v>9</v>
      </c>
      <c r="B31" s="17" t="s">
        <v>142</v>
      </c>
      <c r="C31" s="17" t="s">
        <v>5</v>
      </c>
      <c r="D31" s="9">
        <v>83261.600000000006</v>
      </c>
      <c r="E31" s="9"/>
      <c r="F31" s="9">
        <f t="shared" si="0"/>
        <v>83261.600000000006</v>
      </c>
      <c r="G31" s="9">
        <v>30573.008000000002</v>
      </c>
      <c r="H31" s="9">
        <f t="shared" si="1"/>
        <v>113834.60800000001</v>
      </c>
      <c r="I31" s="35"/>
      <c r="J31" s="9">
        <f t="shared" si="2"/>
        <v>113834.60800000001</v>
      </c>
      <c r="K31" s="35">
        <f>-23936.2+89196.425</f>
        <v>65260.225000000006</v>
      </c>
      <c r="L31" s="9">
        <f t="shared" si="3"/>
        <v>179094.83300000001</v>
      </c>
      <c r="M31" s="35"/>
      <c r="N31" s="9">
        <f t="shared" si="4"/>
        <v>179094.83300000001</v>
      </c>
      <c r="O31" s="35">
        <f>-18864.421+16522.958+2341.463</f>
        <v>0</v>
      </c>
      <c r="P31" s="9">
        <f t="shared" si="5"/>
        <v>179094.83300000001</v>
      </c>
      <c r="Q31" s="35">
        <f>-18864.421+16522.958+2341.463</f>
        <v>0</v>
      </c>
      <c r="R31" s="9">
        <f t="shared" si="8"/>
        <v>179094.83300000001</v>
      </c>
      <c r="S31" s="27">
        <f>417.19</f>
        <v>417.19</v>
      </c>
      <c r="T31" s="9">
        <f t="shared" si="9"/>
        <v>179512.02300000002</v>
      </c>
      <c r="U31" s="1" t="s">
        <v>203</v>
      </c>
    </row>
    <row r="32" spans="1:24" ht="37.5" x14ac:dyDescent="0.3">
      <c r="A32" s="7" t="s">
        <v>10</v>
      </c>
      <c r="B32" s="17" t="s">
        <v>136</v>
      </c>
      <c r="C32" s="17" t="s">
        <v>5</v>
      </c>
      <c r="D32" s="9">
        <v>0</v>
      </c>
      <c r="E32" s="9">
        <v>2000</v>
      </c>
      <c r="F32" s="9">
        <f t="shared" si="0"/>
        <v>2000</v>
      </c>
      <c r="G32" s="9"/>
      <c r="H32" s="9">
        <f t="shared" si="1"/>
        <v>2000</v>
      </c>
      <c r="I32" s="35"/>
      <c r="J32" s="9">
        <f t="shared" si="2"/>
        <v>2000</v>
      </c>
      <c r="K32" s="35"/>
      <c r="L32" s="9">
        <f t="shared" si="3"/>
        <v>2000</v>
      </c>
      <c r="M32" s="35"/>
      <c r="N32" s="9">
        <f t="shared" si="4"/>
        <v>2000</v>
      </c>
      <c r="O32" s="35"/>
      <c r="P32" s="9">
        <f t="shared" si="5"/>
        <v>2000</v>
      </c>
      <c r="Q32" s="35"/>
      <c r="R32" s="9">
        <f t="shared" si="8"/>
        <v>2000</v>
      </c>
      <c r="S32" s="27"/>
      <c r="T32" s="9">
        <f t="shared" si="9"/>
        <v>2000</v>
      </c>
      <c r="U32" s="1" t="s">
        <v>143</v>
      </c>
    </row>
    <row r="33" spans="1:22" ht="37.5" hidden="1" x14ac:dyDescent="0.3">
      <c r="A33" s="7" t="s">
        <v>11</v>
      </c>
      <c r="B33" s="34" t="s">
        <v>163</v>
      </c>
      <c r="C33" s="34" t="s">
        <v>5</v>
      </c>
      <c r="D33" s="9"/>
      <c r="E33" s="9"/>
      <c r="F33" s="9"/>
      <c r="G33" s="9"/>
      <c r="H33" s="9"/>
      <c r="I33" s="35"/>
      <c r="J33" s="43">
        <f t="shared" si="2"/>
        <v>0</v>
      </c>
      <c r="K33" s="35"/>
      <c r="L33" s="9">
        <f t="shared" si="3"/>
        <v>0</v>
      </c>
      <c r="M33" s="35"/>
      <c r="N33" s="9">
        <f t="shared" si="4"/>
        <v>0</v>
      </c>
      <c r="O33" s="35"/>
      <c r="P33" s="9">
        <f t="shared" si="5"/>
        <v>0</v>
      </c>
      <c r="Q33" s="35"/>
      <c r="R33" s="9">
        <f t="shared" si="8"/>
        <v>0</v>
      </c>
      <c r="S33" s="27"/>
      <c r="T33" s="9">
        <f t="shared" si="9"/>
        <v>0</v>
      </c>
      <c r="V33" s="1">
        <v>0</v>
      </c>
    </row>
    <row r="34" spans="1:22" ht="56.25" hidden="1" x14ac:dyDescent="0.3">
      <c r="A34" s="7" t="s">
        <v>115</v>
      </c>
      <c r="B34" s="34" t="s">
        <v>164</v>
      </c>
      <c r="C34" s="34" t="s">
        <v>5</v>
      </c>
      <c r="D34" s="9"/>
      <c r="E34" s="9"/>
      <c r="F34" s="9"/>
      <c r="G34" s="9"/>
      <c r="H34" s="9"/>
      <c r="I34" s="35"/>
      <c r="J34" s="43">
        <f t="shared" si="2"/>
        <v>0</v>
      </c>
      <c r="K34" s="35"/>
      <c r="L34" s="9">
        <f t="shared" si="3"/>
        <v>0</v>
      </c>
      <c r="M34" s="35"/>
      <c r="N34" s="9">
        <f t="shared" si="4"/>
        <v>0</v>
      </c>
      <c r="O34" s="35"/>
      <c r="P34" s="9">
        <f t="shared" si="5"/>
        <v>0</v>
      </c>
      <c r="Q34" s="35"/>
      <c r="R34" s="9">
        <f t="shared" si="8"/>
        <v>0</v>
      </c>
      <c r="S34" s="27"/>
      <c r="T34" s="9">
        <f t="shared" si="9"/>
        <v>0</v>
      </c>
      <c r="V34" s="1">
        <v>0</v>
      </c>
    </row>
    <row r="35" spans="1:22" ht="56.25" x14ac:dyDescent="0.3">
      <c r="A35" s="7" t="s">
        <v>11</v>
      </c>
      <c r="B35" s="55" t="s">
        <v>189</v>
      </c>
      <c r="C35" s="55" t="s">
        <v>5</v>
      </c>
      <c r="D35" s="9"/>
      <c r="E35" s="9"/>
      <c r="F35" s="9"/>
      <c r="G35" s="9"/>
      <c r="H35" s="9"/>
      <c r="I35" s="35"/>
      <c r="J35" s="35"/>
      <c r="K35" s="35">
        <v>1600</v>
      </c>
      <c r="L35" s="35">
        <f t="shared" si="3"/>
        <v>1600</v>
      </c>
      <c r="M35" s="35"/>
      <c r="N35" s="35">
        <f t="shared" si="4"/>
        <v>1600</v>
      </c>
      <c r="O35" s="35"/>
      <c r="P35" s="35">
        <f t="shared" si="5"/>
        <v>1600</v>
      </c>
      <c r="Q35" s="35"/>
      <c r="R35" s="35">
        <f t="shared" si="8"/>
        <v>1600</v>
      </c>
      <c r="S35" s="27"/>
      <c r="T35" s="35">
        <f t="shared" si="9"/>
        <v>1600</v>
      </c>
      <c r="U35" s="1" t="s">
        <v>190</v>
      </c>
    </row>
    <row r="36" spans="1:22" ht="37.5" x14ac:dyDescent="0.3">
      <c r="A36" s="7" t="s">
        <v>115</v>
      </c>
      <c r="B36" s="55" t="s">
        <v>191</v>
      </c>
      <c r="C36" s="55" t="s">
        <v>5</v>
      </c>
      <c r="D36" s="9"/>
      <c r="E36" s="9"/>
      <c r="F36" s="9"/>
      <c r="G36" s="9"/>
      <c r="H36" s="9"/>
      <c r="I36" s="35"/>
      <c r="J36" s="35"/>
      <c r="K36" s="35">
        <v>5000.0010000000002</v>
      </c>
      <c r="L36" s="35">
        <f t="shared" si="3"/>
        <v>5000.0010000000002</v>
      </c>
      <c r="M36" s="35"/>
      <c r="N36" s="35">
        <f t="shared" si="4"/>
        <v>5000.0010000000002</v>
      </c>
      <c r="O36" s="35"/>
      <c r="P36" s="35">
        <f t="shared" si="5"/>
        <v>5000.0010000000002</v>
      </c>
      <c r="Q36" s="35"/>
      <c r="R36" s="35">
        <f t="shared" si="8"/>
        <v>5000.0010000000002</v>
      </c>
      <c r="S36" s="27"/>
      <c r="T36" s="35">
        <f t="shared" si="9"/>
        <v>5000.0010000000002</v>
      </c>
      <c r="U36" s="1" t="s">
        <v>192</v>
      </c>
    </row>
    <row r="37" spans="1:22" ht="37.5" x14ac:dyDescent="0.3">
      <c r="A37" s="7" t="s">
        <v>12</v>
      </c>
      <c r="B37" s="60" t="s">
        <v>193</v>
      </c>
      <c r="C37" s="60" t="s">
        <v>5</v>
      </c>
      <c r="D37" s="9"/>
      <c r="E37" s="9"/>
      <c r="F37" s="9"/>
      <c r="G37" s="9"/>
      <c r="H37" s="9"/>
      <c r="I37" s="35"/>
      <c r="J37" s="35"/>
      <c r="K37" s="35">
        <v>9154.7900000000009</v>
      </c>
      <c r="L37" s="35">
        <f>K37+J37</f>
        <v>9154.7900000000009</v>
      </c>
      <c r="M37" s="35"/>
      <c r="N37" s="35">
        <f>M37+L37</f>
        <v>9154.7900000000009</v>
      </c>
      <c r="O37" s="35"/>
      <c r="P37" s="35">
        <f>O37+N37</f>
        <v>9154.7900000000009</v>
      </c>
      <c r="Q37" s="35"/>
      <c r="R37" s="35">
        <f>Q37+P37</f>
        <v>9154.7900000000009</v>
      </c>
      <c r="S37" s="27"/>
      <c r="T37" s="35">
        <f>S37+R37</f>
        <v>9154.7900000000009</v>
      </c>
      <c r="U37" s="1" t="s">
        <v>194</v>
      </c>
    </row>
    <row r="38" spans="1:22" s="54" customFormat="1" x14ac:dyDescent="0.3">
      <c r="A38" s="51"/>
      <c r="B38" s="53" t="s">
        <v>6</v>
      </c>
      <c r="C38" s="53"/>
      <c r="D38" s="56">
        <f>D42+D43+D44+D45+D47+D48+D49+D50+D51+D56</f>
        <v>1372142.0999999999</v>
      </c>
      <c r="E38" s="56">
        <f>E42+E43+E44+E45+E47+E48+E49+E50+E51+E56</f>
        <v>-70361.785999999993</v>
      </c>
      <c r="F38" s="56">
        <f>D38+E38</f>
        <v>1301780.3139999998</v>
      </c>
      <c r="G38" s="56">
        <f>G42+G43+G44+G45+G47+G48+G49+G50+G51+G56</f>
        <v>0</v>
      </c>
      <c r="H38" s="56">
        <f>F38+G38</f>
        <v>1301780.3139999998</v>
      </c>
      <c r="I38" s="56">
        <f>I42+I43+I44+I45+I47+I48+I49+I50+I51+I56+I57</f>
        <v>-23581.27</v>
      </c>
      <c r="J38" s="56">
        <f>I38+H38</f>
        <v>1278199.0439999998</v>
      </c>
      <c r="K38" s="56">
        <f>K42+K43+K44+K45+K47+K48+K49+K50+K51+K56+K57</f>
        <v>-30621.777999999998</v>
      </c>
      <c r="L38" s="56">
        <f>K38+J38</f>
        <v>1247577.2659999998</v>
      </c>
      <c r="M38" s="56">
        <f>M42+M43+M44+M45+M47+M48+M49+M50+M51+M56+M57</f>
        <v>0</v>
      </c>
      <c r="N38" s="56">
        <f>M38+L38</f>
        <v>1247577.2659999998</v>
      </c>
      <c r="O38" s="56">
        <f>O42+O43+O44+O45+O47+O48+O49+O50+O51+O56+O57+O46</f>
        <v>101097.349</v>
      </c>
      <c r="P38" s="56">
        <f>O38+N38</f>
        <v>1348674.6149999998</v>
      </c>
      <c r="Q38" s="56">
        <f>Q42+Q43+Q44+Q45+Q47+Q48+Q49+Q50+Q51+Q56+Q57+Q46</f>
        <v>0</v>
      </c>
      <c r="R38" s="56">
        <f>Q38+P38</f>
        <v>1348674.6149999998</v>
      </c>
      <c r="S38" s="56">
        <f>S42+S43+S44+S45+S47+S48+S49+S50+S51+S56+S57+S46+S58</f>
        <v>-3477.6710000000012</v>
      </c>
      <c r="T38" s="35">
        <f>S38+R38</f>
        <v>1345196.9439999997</v>
      </c>
      <c r="U38" s="58"/>
    </row>
    <row r="39" spans="1:22" x14ac:dyDescent="0.3">
      <c r="A39" s="7"/>
      <c r="B39" s="8" t="s">
        <v>2</v>
      </c>
      <c r="C39" s="17"/>
      <c r="D39" s="9"/>
      <c r="E39" s="9"/>
      <c r="F39" s="9"/>
      <c r="G39" s="9"/>
      <c r="H39" s="9"/>
      <c r="I39" s="35"/>
      <c r="J39" s="9"/>
      <c r="K39" s="35"/>
      <c r="L39" s="9"/>
      <c r="M39" s="35"/>
      <c r="N39" s="9"/>
      <c r="O39" s="35"/>
      <c r="P39" s="9"/>
      <c r="Q39" s="35"/>
      <c r="R39" s="9"/>
      <c r="S39" s="27"/>
      <c r="T39" s="9"/>
    </row>
    <row r="40" spans="1:22" hidden="1" x14ac:dyDescent="0.3">
      <c r="A40" s="7"/>
      <c r="B40" s="17" t="s">
        <v>3</v>
      </c>
      <c r="C40" s="17"/>
      <c r="D40" s="9">
        <f>D42+D43+D44+D45+D47+D48+D49+D50+D53+D56</f>
        <v>1214745</v>
      </c>
      <c r="E40" s="9">
        <f>E42+E43+E44+E45+E47+E48+E49+E50+E53+E56</f>
        <v>-27507.385999999999</v>
      </c>
      <c r="F40" s="9">
        <f>D40+E40</f>
        <v>1187237.6140000001</v>
      </c>
      <c r="G40" s="9">
        <f>G42+G43+G44+G45+G47+G48+G49+G50+G53+G56</f>
        <v>0</v>
      </c>
      <c r="H40" s="9">
        <f>F40+G40</f>
        <v>1187237.6140000001</v>
      </c>
      <c r="I40" s="35">
        <f>I42+I43+I44+I45+I47+I48+I49+I50+I53+I56+I57</f>
        <v>-23581.27</v>
      </c>
      <c r="J40" s="9">
        <f>H40+I40</f>
        <v>1163656.344</v>
      </c>
      <c r="K40" s="35">
        <f>K42+K43+K44+K45+K47+K48+K49+K50+K53+K56+K57</f>
        <v>-30621.777999999998</v>
      </c>
      <c r="L40" s="9">
        <f>J40+K40</f>
        <v>1133034.5660000001</v>
      </c>
      <c r="M40" s="35">
        <f>M42+M43+M44+M45+M47+M48+M49+M50+M53+M56+M57</f>
        <v>0</v>
      </c>
      <c r="N40" s="9">
        <f>L40+M40</f>
        <v>1133034.5660000001</v>
      </c>
      <c r="O40" s="35">
        <f>O42+O43+O44+O45+O47+O48+O49+O50+O53+O56+O57</f>
        <v>-8541.2530000000006</v>
      </c>
      <c r="P40" s="9">
        <f>N40+O40</f>
        <v>1124493.3130000001</v>
      </c>
      <c r="Q40" s="35">
        <f>Q42+Q43+Q44+Q45+Q47+Q48+Q49+Q50+Q53+Q56+Q57</f>
        <v>0</v>
      </c>
      <c r="R40" s="9">
        <f>P40+Q40</f>
        <v>1124493.3130000001</v>
      </c>
      <c r="S40" s="27">
        <f>S42+S43+S44+S45+S47+S48+S49+S50+S53+S56+S57</f>
        <v>-10098.390000000001</v>
      </c>
      <c r="T40" s="9">
        <f>R40+S40</f>
        <v>1114394.9230000002</v>
      </c>
      <c r="V40" s="1">
        <v>0</v>
      </c>
    </row>
    <row r="41" spans="1:22" x14ac:dyDescent="0.3">
      <c r="A41" s="7"/>
      <c r="B41" s="17" t="s">
        <v>59</v>
      </c>
      <c r="C41" s="17"/>
      <c r="D41" s="9">
        <f>D54</f>
        <v>157397.1</v>
      </c>
      <c r="E41" s="9">
        <f t="shared" ref="E41:G41" si="10">E54</f>
        <v>-42854.400000000001</v>
      </c>
      <c r="F41" s="9">
        <f>D41+E41</f>
        <v>114542.70000000001</v>
      </c>
      <c r="G41" s="9">
        <f t="shared" si="10"/>
        <v>0</v>
      </c>
      <c r="H41" s="9">
        <f>F41+G41</f>
        <v>114542.70000000001</v>
      </c>
      <c r="I41" s="35">
        <f t="shared" ref="I41:K41" si="11">I54</f>
        <v>0</v>
      </c>
      <c r="J41" s="9">
        <f>H41+I41</f>
        <v>114542.70000000001</v>
      </c>
      <c r="K41" s="35">
        <f t="shared" si="11"/>
        <v>0</v>
      </c>
      <c r="L41" s="9">
        <f>J41+K41</f>
        <v>114542.70000000001</v>
      </c>
      <c r="M41" s="35">
        <f t="shared" ref="M41:O41" si="12">M54</f>
        <v>0</v>
      </c>
      <c r="N41" s="9">
        <f>L41+M41</f>
        <v>114542.70000000001</v>
      </c>
      <c r="O41" s="35">
        <f t="shared" si="12"/>
        <v>4642.1350000000002</v>
      </c>
      <c r="P41" s="9">
        <f>N41+O41</f>
        <v>119184.83500000001</v>
      </c>
      <c r="Q41" s="35">
        <f t="shared" ref="Q41:S41" si="13">Q54</f>
        <v>0</v>
      </c>
      <c r="R41" s="9">
        <f>P41+Q41</f>
        <v>119184.83500000001</v>
      </c>
      <c r="S41" s="27">
        <f t="shared" si="13"/>
        <v>5319.4380000000001</v>
      </c>
      <c r="T41" s="9">
        <f>R41+S41</f>
        <v>124504.273</v>
      </c>
    </row>
    <row r="42" spans="1:22" s="41" customFormat="1" ht="75.75" hidden="1" customHeight="1" x14ac:dyDescent="0.3">
      <c r="A42" s="37"/>
      <c r="B42" s="42" t="s">
        <v>31</v>
      </c>
      <c r="C42" s="39" t="s">
        <v>7</v>
      </c>
      <c r="D42" s="40">
        <v>3903.5</v>
      </c>
      <c r="E42" s="40">
        <v>70</v>
      </c>
      <c r="F42" s="40">
        <f>D42+E42</f>
        <v>3973.5</v>
      </c>
      <c r="G42" s="40"/>
      <c r="H42" s="40">
        <f>F42+G42</f>
        <v>3973.5</v>
      </c>
      <c r="I42" s="35">
        <v>-3973.5</v>
      </c>
      <c r="J42" s="40">
        <f>H42+I42</f>
        <v>0</v>
      </c>
      <c r="K42" s="35"/>
      <c r="L42" s="40">
        <f>J42+K42</f>
        <v>0</v>
      </c>
      <c r="M42" s="35"/>
      <c r="N42" s="40">
        <f>L42+M42</f>
        <v>0</v>
      </c>
      <c r="O42" s="35"/>
      <c r="P42" s="40">
        <f>N42+O42</f>
        <v>0</v>
      </c>
      <c r="Q42" s="35"/>
      <c r="R42" s="40">
        <f>P42+Q42</f>
        <v>0</v>
      </c>
      <c r="S42" s="27"/>
      <c r="T42" s="40">
        <f>R42+S42</f>
        <v>0</v>
      </c>
      <c r="U42" s="41" t="s">
        <v>32</v>
      </c>
      <c r="V42" s="41">
        <v>0</v>
      </c>
    </row>
    <row r="43" spans="1:22" ht="74.25" customHeight="1" x14ac:dyDescent="0.3">
      <c r="A43" s="7" t="s">
        <v>116</v>
      </c>
      <c r="B43" s="11" t="s">
        <v>49</v>
      </c>
      <c r="C43" s="17" t="s">
        <v>7</v>
      </c>
      <c r="D43" s="9">
        <v>97944.5</v>
      </c>
      <c r="E43" s="9"/>
      <c r="F43" s="9">
        <f t="shared" ref="F43:F50" si="14">D43+E43</f>
        <v>97944.5</v>
      </c>
      <c r="G43" s="9"/>
      <c r="H43" s="9">
        <f t="shared" ref="H43:H50" si="15">F43+G43</f>
        <v>97944.5</v>
      </c>
      <c r="I43" s="35"/>
      <c r="J43" s="9">
        <f t="shared" ref="J43:J50" si="16">H43+I43</f>
        <v>97944.5</v>
      </c>
      <c r="K43" s="35">
        <f>-17000+2249.75</f>
        <v>-14750.25</v>
      </c>
      <c r="L43" s="9">
        <f t="shared" ref="L43:L50" si="17">J43+K43</f>
        <v>83194.25</v>
      </c>
      <c r="M43" s="35"/>
      <c r="N43" s="9">
        <f t="shared" ref="N43:N50" si="18">L43+M43</f>
        <v>83194.25</v>
      </c>
      <c r="O43" s="35"/>
      <c r="P43" s="9">
        <f t="shared" ref="P43:P50" si="19">N43+O43</f>
        <v>83194.25</v>
      </c>
      <c r="Q43" s="35"/>
      <c r="R43" s="9">
        <f t="shared" ref="R43:R50" si="20">P43+Q43</f>
        <v>83194.25</v>
      </c>
      <c r="S43" s="27"/>
      <c r="T43" s="9">
        <f t="shared" ref="T43:T50" si="21">R43+S43</f>
        <v>83194.25</v>
      </c>
      <c r="U43" s="1" t="s">
        <v>36</v>
      </c>
    </row>
    <row r="44" spans="1:22" ht="75" x14ac:dyDescent="0.3">
      <c r="A44" s="7" t="s">
        <v>14</v>
      </c>
      <c r="B44" s="17" t="s">
        <v>34</v>
      </c>
      <c r="C44" s="17" t="s">
        <v>7</v>
      </c>
      <c r="D44" s="9">
        <v>115096.8</v>
      </c>
      <c r="E44" s="9"/>
      <c r="F44" s="9">
        <f t="shared" si="14"/>
        <v>115096.8</v>
      </c>
      <c r="G44" s="9"/>
      <c r="H44" s="9">
        <f t="shared" si="15"/>
        <v>115096.8</v>
      </c>
      <c r="I44" s="35"/>
      <c r="J44" s="9">
        <f t="shared" si="16"/>
        <v>115096.8</v>
      </c>
      <c r="K44" s="35">
        <v>-50000</v>
      </c>
      <c r="L44" s="9">
        <f t="shared" si="17"/>
        <v>65096.800000000003</v>
      </c>
      <c r="M44" s="35"/>
      <c r="N44" s="9">
        <f t="shared" si="18"/>
        <v>65096.800000000003</v>
      </c>
      <c r="O44" s="35"/>
      <c r="P44" s="9">
        <f t="shared" si="19"/>
        <v>65096.800000000003</v>
      </c>
      <c r="Q44" s="35"/>
      <c r="R44" s="9">
        <f t="shared" si="20"/>
        <v>65096.800000000003</v>
      </c>
      <c r="S44" s="27"/>
      <c r="T44" s="9">
        <f t="shared" si="21"/>
        <v>65096.800000000003</v>
      </c>
      <c r="U44" s="1" t="s">
        <v>35</v>
      </c>
    </row>
    <row r="45" spans="1:22" ht="75" x14ac:dyDescent="0.3">
      <c r="A45" s="7" t="s">
        <v>117</v>
      </c>
      <c r="B45" s="17" t="s">
        <v>54</v>
      </c>
      <c r="C45" s="17" t="s">
        <v>7</v>
      </c>
      <c r="D45" s="9">
        <v>107731.9</v>
      </c>
      <c r="E45" s="9"/>
      <c r="F45" s="9">
        <f t="shared" si="14"/>
        <v>107731.9</v>
      </c>
      <c r="G45" s="9"/>
      <c r="H45" s="9">
        <f t="shared" si="15"/>
        <v>107731.9</v>
      </c>
      <c r="I45" s="35"/>
      <c r="J45" s="9">
        <f t="shared" si="16"/>
        <v>107731.9</v>
      </c>
      <c r="K45" s="35">
        <f>-26991.5+30575.924</f>
        <v>3584.4239999999991</v>
      </c>
      <c r="L45" s="9">
        <f t="shared" si="17"/>
        <v>111316.32399999999</v>
      </c>
      <c r="M45" s="35"/>
      <c r="N45" s="9">
        <f t="shared" si="18"/>
        <v>111316.32399999999</v>
      </c>
      <c r="O45" s="35">
        <v>-6988.1</v>
      </c>
      <c r="P45" s="9">
        <f t="shared" si="19"/>
        <v>104328.22399999999</v>
      </c>
      <c r="Q45" s="35"/>
      <c r="R45" s="9">
        <f t="shared" si="20"/>
        <v>104328.22399999999</v>
      </c>
      <c r="S45" s="27"/>
      <c r="T45" s="9">
        <f t="shared" si="21"/>
        <v>104328.22399999999</v>
      </c>
      <c r="U45" s="1" t="s">
        <v>37</v>
      </c>
    </row>
    <row r="46" spans="1:22" ht="56.25" x14ac:dyDescent="0.3">
      <c r="A46" s="7" t="s">
        <v>118</v>
      </c>
      <c r="B46" s="64" t="s">
        <v>54</v>
      </c>
      <c r="C46" s="64" t="s">
        <v>162</v>
      </c>
      <c r="D46" s="9"/>
      <c r="E46" s="9"/>
      <c r="F46" s="9"/>
      <c r="G46" s="9"/>
      <c r="H46" s="9"/>
      <c r="I46" s="35"/>
      <c r="J46" s="9"/>
      <c r="K46" s="35"/>
      <c r="L46" s="9"/>
      <c r="M46" s="35"/>
      <c r="N46" s="9"/>
      <c r="O46" s="35">
        <v>6988.1</v>
      </c>
      <c r="P46" s="9">
        <f t="shared" si="19"/>
        <v>6988.1</v>
      </c>
      <c r="Q46" s="35"/>
      <c r="R46" s="9">
        <f t="shared" si="20"/>
        <v>6988.1</v>
      </c>
      <c r="S46" s="27"/>
      <c r="T46" s="9">
        <f t="shared" si="21"/>
        <v>6988.1</v>
      </c>
      <c r="U46" s="1" t="s">
        <v>37</v>
      </c>
    </row>
    <row r="47" spans="1:22" ht="75" x14ac:dyDescent="0.3">
      <c r="A47" s="7" t="s">
        <v>119</v>
      </c>
      <c r="B47" s="17" t="s">
        <v>38</v>
      </c>
      <c r="C47" s="17" t="s">
        <v>7</v>
      </c>
      <c r="D47" s="9">
        <v>6363.6</v>
      </c>
      <c r="E47" s="9">
        <v>-2847.5859999999998</v>
      </c>
      <c r="F47" s="9">
        <f t="shared" si="14"/>
        <v>3516.0140000000006</v>
      </c>
      <c r="G47" s="9"/>
      <c r="H47" s="9">
        <f t="shared" si="15"/>
        <v>3516.0140000000006</v>
      </c>
      <c r="I47" s="35"/>
      <c r="J47" s="9">
        <f t="shared" si="16"/>
        <v>3516.0140000000006</v>
      </c>
      <c r="K47" s="35"/>
      <c r="L47" s="9">
        <f t="shared" si="17"/>
        <v>3516.0140000000006</v>
      </c>
      <c r="M47" s="35"/>
      <c r="N47" s="9">
        <f t="shared" si="18"/>
        <v>3516.0140000000006</v>
      </c>
      <c r="O47" s="35"/>
      <c r="P47" s="9">
        <f t="shared" si="19"/>
        <v>3516.0140000000006</v>
      </c>
      <c r="Q47" s="35"/>
      <c r="R47" s="9">
        <f t="shared" si="20"/>
        <v>3516.0140000000006</v>
      </c>
      <c r="S47" s="27"/>
      <c r="T47" s="9">
        <f t="shared" si="21"/>
        <v>3516.0140000000006</v>
      </c>
      <c r="U47" s="1" t="s">
        <v>39</v>
      </c>
    </row>
    <row r="48" spans="1:22" ht="75" x14ac:dyDescent="0.3">
      <c r="A48" s="7" t="s">
        <v>120</v>
      </c>
      <c r="B48" s="17" t="s">
        <v>40</v>
      </c>
      <c r="C48" s="17" t="s">
        <v>7</v>
      </c>
      <c r="D48" s="12">
        <v>5406.6</v>
      </c>
      <c r="E48" s="12"/>
      <c r="F48" s="9">
        <f t="shared" si="14"/>
        <v>5406.6</v>
      </c>
      <c r="G48" s="12"/>
      <c r="H48" s="9">
        <f t="shared" si="15"/>
        <v>5406.6</v>
      </c>
      <c r="I48" s="48"/>
      <c r="J48" s="9">
        <f t="shared" si="16"/>
        <v>5406.6</v>
      </c>
      <c r="K48" s="48">
        <f>7363.833+234.043</f>
        <v>7597.8759999999993</v>
      </c>
      <c r="L48" s="9">
        <f t="shared" si="17"/>
        <v>13004.475999999999</v>
      </c>
      <c r="M48" s="48"/>
      <c r="N48" s="9">
        <f t="shared" si="18"/>
        <v>13004.475999999999</v>
      </c>
      <c r="O48" s="48"/>
      <c r="P48" s="9">
        <f t="shared" si="19"/>
        <v>13004.475999999999</v>
      </c>
      <c r="Q48" s="48"/>
      <c r="R48" s="9">
        <f t="shared" si="20"/>
        <v>13004.475999999999</v>
      </c>
      <c r="S48" s="28"/>
      <c r="T48" s="9">
        <f t="shared" si="21"/>
        <v>13004.475999999999</v>
      </c>
      <c r="U48" s="1" t="s">
        <v>41</v>
      </c>
    </row>
    <row r="49" spans="1:22" ht="75" x14ac:dyDescent="0.3">
      <c r="A49" s="7" t="s">
        <v>121</v>
      </c>
      <c r="B49" s="17" t="s">
        <v>73</v>
      </c>
      <c r="C49" s="17" t="s">
        <v>7</v>
      </c>
      <c r="D49" s="12">
        <v>1638.9</v>
      </c>
      <c r="E49" s="12"/>
      <c r="F49" s="9">
        <f t="shared" si="14"/>
        <v>1638.9</v>
      </c>
      <c r="G49" s="12"/>
      <c r="H49" s="9">
        <f t="shared" si="15"/>
        <v>1638.9</v>
      </c>
      <c r="I49" s="48"/>
      <c r="J49" s="9">
        <f t="shared" si="16"/>
        <v>1638.9</v>
      </c>
      <c r="K49" s="48"/>
      <c r="L49" s="9">
        <f t="shared" si="17"/>
        <v>1638.9</v>
      </c>
      <c r="M49" s="48"/>
      <c r="N49" s="9">
        <f t="shared" si="18"/>
        <v>1638.9</v>
      </c>
      <c r="O49" s="48"/>
      <c r="P49" s="9">
        <f t="shared" si="19"/>
        <v>1638.9</v>
      </c>
      <c r="Q49" s="48"/>
      <c r="R49" s="9">
        <f t="shared" si="20"/>
        <v>1638.9</v>
      </c>
      <c r="S49" s="28"/>
      <c r="T49" s="9">
        <f t="shared" si="21"/>
        <v>1638.9</v>
      </c>
      <c r="U49" s="1" t="s">
        <v>74</v>
      </c>
    </row>
    <row r="50" spans="1:22" ht="75" x14ac:dyDescent="0.3">
      <c r="A50" s="7" t="s">
        <v>122</v>
      </c>
      <c r="B50" s="17" t="s">
        <v>75</v>
      </c>
      <c r="C50" s="17" t="s">
        <v>7</v>
      </c>
      <c r="D50" s="12">
        <v>2021.2</v>
      </c>
      <c r="E50" s="12"/>
      <c r="F50" s="9">
        <f t="shared" si="14"/>
        <v>2021.2</v>
      </c>
      <c r="G50" s="12"/>
      <c r="H50" s="9">
        <f t="shared" si="15"/>
        <v>2021.2</v>
      </c>
      <c r="I50" s="48"/>
      <c r="J50" s="9">
        <f t="shared" si="16"/>
        <v>2021.2</v>
      </c>
      <c r="K50" s="48"/>
      <c r="L50" s="9">
        <f t="shared" si="17"/>
        <v>2021.2</v>
      </c>
      <c r="M50" s="48"/>
      <c r="N50" s="9">
        <f t="shared" si="18"/>
        <v>2021.2</v>
      </c>
      <c r="O50" s="48"/>
      <c r="P50" s="9">
        <f t="shared" si="19"/>
        <v>2021.2</v>
      </c>
      <c r="Q50" s="48"/>
      <c r="R50" s="9">
        <f t="shared" si="20"/>
        <v>2021.2</v>
      </c>
      <c r="S50" s="28"/>
      <c r="T50" s="9">
        <f t="shared" si="21"/>
        <v>2021.2</v>
      </c>
      <c r="U50" s="1" t="s">
        <v>76</v>
      </c>
    </row>
    <row r="51" spans="1:22" ht="75" x14ac:dyDescent="0.3">
      <c r="A51" s="7" t="s">
        <v>165</v>
      </c>
      <c r="B51" s="17" t="s">
        <v>130</v>
      </c>
      <c r="C51" s="17" t="s">
        <v>33</v>
      </c>
      <c r="D51" s="12">
        <f t="shared" ref="D51:J51" si="22">D53+D54</f>
        <v>1022254.4999999999</v>
      </c>
      <c r="E51" s="12">
        <f t="shared" si="22"/>
        <v>-67584.2</v>
      </c>
      <c r="F51" s="12">
        <f t="shared" si="22"/>
        <v>954670.29999999981</v>
      </c>
      <c r="G51" s="12">
        <f t="shared" si="22"/>
        <v>0</v>
      </c>
      <c r="H51" s="12">
        <f t="shared" si="22"/>
        <v>954670.29999999981</v>
      </c>
      <c r="I51" s="48">
        <f t="shared" si="22"/>
        <v>-19607.77</v>
      </c>
      <c r="J51" s="12">
        <f t="shared" si="22"/>
        <v>935062.5299999998</v>
      </c>
      <c r="K51" s="48">
        <f t="shared" ref="K51:L51" si="23">K53+K54</f>
        <v>-8902.9959999999992</v>
      </c>
      <c r="L51" s="12">
        <f t="shared" si="23"/>
        <v>926159.53399999975</v>
      </c>
      <c r="M51" s="48">
        <f t="shared" ref="M51:N51" si="24">M53+M54</f>
        <v>0</v>
      </c>
      <c r="N51" s="12">
        <f t="shared" si="24"/>
        <v>926159.53399999975</v>
      </c>
      <c r="O51" s="48">
        <f t="shared" ref="O51:R51" si="25">O53+O54+O55</f>
        <v>101097.349</v>
      </c>
      <c r="P51" s="48">
        <f t="shared" si="25"/>
        <v>1027256.8829999997</v>
      </c>
      <c r="Q51" s="48">
        <f t="shared" si="25"/>
        <v>0</v>
      </c>
      <c r="R51" s="48">
        <f t="shared" si="25"/>
        <v>1027256.8829999997</v>
      </c>
      <c r="S51" s="28">
        <f>S53+S54+S55</f>
        <v>-4778.9520000000011</v>
      </c>
      <c r="T51" s="48">
        <f>T53+T54+T55</f>
        <v>1022477.9309999997</v>
      </c>
    </row>
    <row r="52" spans="1:22" x14ac:dyDescent="0.3">
      <c r="A52" s="7"/>
      <c r="B52" s="8" t="s">
        <v>2</v>
      </c>
      <c r="C52" s="17"/>
      <c r="D52" s="12"/>
      <c r="E52" s="12"/>
      <c r="F52" s="12"/>
      <c r="G52" s="12"/>
      <c r="H52" s="12"/>
      <c r="I52" s="48"/>
      <c r="J52" s="12"/>
      <c r="K52" s="48"/>
      <c r="L52" s="12"/>
      <c r="M52" s="48"/>
      <c r="N52" s="12"/>
      <c r="O52" s="48"/>
      <c r="P52" s="12"/>
      <c r="Q52" s="48"/>
      <c r="R52" s="12"/>
      <c r="S52" s="28"/>
      <c r="T52" s="12"/>
    </row>
    <row r="53" spans="1:22" hidden="1" x14ac:dyDescent="0.3">
      <c r="A53" s="7"/>
      <c r="B53" s="17" t="s">
        <v>3</v>
      </c>
      <c r="C53" s="17"/>
      <c r="D53" s="12">
        <f>230535.8+68937.5+565384.1</f>
        <v>864857.39999999991</v>
      </c>
      <c r="E53" s="12">
        <v>-24729.8</v>
      </c>
      <c r="F53" s="12">
        <f>D53+E53</f>
        <v>840127.59999999986</v>
      </c>
      <c r="G53" s="12"/>
      <c r="H53" s="12">
        <f>F53+G53</f>
        <v>840127.59999999986</v>
      </c>
      <c r="I53" s="48">
        <f>-19607.77</f>
        <v>-19607.77</v>
      </c>
      <c r="J53" s="12">
        <f t="shared" ref="J53:J60" si="26">H53+I53</f>
        <v>820519.82999999984</v>
      </c>
      <c r="K53" s="48">
        <f>-40792.668+7910.644+14147.238+9831.79</f>
        <v>-8902.9959999999992</v>
      </c>
      <c r="L53" s="12">
        <f t="shared" ref="L53:L66" si="27">J53+K53</f>
        <v>811616.8339999998</v>
      </c>
      <c r="M53" s="48"/>
      <c r="N53" s="12">
        <f t="shared" ref="N53:N66" si="28">L53+M53</f>
        <v>811616.8339999998</v>
      </c>
      <c r="O53" s="48">
        <f>-98.961-1454.192</f>
        <v>-1553.153</v>
      </c>
      <c r="P53" s="12">
        <f t="shared" ref="P53:P66" si="29">N53+O53</f>
        <v>810063.68099999975</v>
      </c>
      <c r="Q53" s="48"/>
      <c r="R53" s="12">
        <f t="shared" ref="R53:R66" si="30">P53+Q53</f>
        <v>810063.68099999975</v>
      </c>
      <c r="S53" s="28">
        <f>-7840.974-1201.281-110.908-53.013-892.214</f>
        <v>-10098.390000000001</v>
      </c>
      <c r="T53" s="12">
        <f t="shared" ref="T53:T58" si="31">R53+S53</f>
        <v>799965.29099999974</v>
      </c>
      <c r="U53" s="1" t="s">
        <v>135</v>
      </c>
      <c r="V53" s="1">
        <v>0</v>
      </c>
    </row>
    <row r="54" spans="1:22" x14ac:dyDescent="0.3">
      <c r="A54" s="7"/>
      <c r="B54" s="17" t="s">
        <v>59</v>
      </c>
      <c r="C54" s="17"/>
      <c r="D54" s="12">
        <v>157397.1</v>
      </c>
      <c r="E54" s="12">
        <v>-42854.400000000001</v>
      </c>
      <c r="F54" s="12">
        <f>D54+E54</f>
        <v>114542.70000000001</v>
      </c>
      <c r="G54" s="12"/>
      <c r="H54" s="12">
        <f>F54+G54</f>
        <v>114542.70000000001</v>
      </c>
      <c r="I54" s="48"/>
      <c r="J54" s="12">
        <f t="shared" si="26"/>
        <v>114542.70000000001</v>
      </c>
      <c r="K54" s="48"/>
      <c r="L54" s="12">
        <f t="shared" si="27"/>
        <v>114542.70000000001</v>
      </c>
      <c r="M54" s="48"/>
      <c r="N54" s="12">
        <f t="shared" si="28"/>
        <v>114542.70000000001</v>
      </c>
      <c r="O54" s="48">
        <f>7851.161-3209.026</f>
        <v>4642.1350000000002</v>
      </c>
      <c r="P54" s="12">
        <f t="shared" si="29"/>
        <v>119184.83500000001</v>
      </c>
      <c r="Q54" s="48"/>
      <c r="R54" s="12">
        <f t="shared" si="30"/>
        <v>119184.83500000001</v>
      </c>
      <c r="S54" s="28">
        <v>5319.4380000000001</v>
      </c>
      <c r="T54" s="12">
        <f t="shared" si="31"/>
        <v>124504.273</v>
      </c>
      <c r="U54" s="1" t="s">
        <v>104</v>
      </c>
    </row>
    <row r="55" spans="1:22" x14ac:dyDescent="0.3">
      <c r="A55" s="7"/>
      <c r="B55" s="65" t="s">
        <v>198</v>
      </c>
      <c r="C55" s="65"/>
      <c r="D55" s="12"/>
      <c r="E55" s="12"/>
      <c r="F55" s="12"/>
      <c r="G55" s="12"/>
      <c r="H55" s="12"/>
      <c r="I55" s="48"/>
      <c r="J55" s="12"/>
      <c r="K55" s="48"/>
      <c r="L55" s="12"/>
      <c r="M55" s="48"/>
      <c r="N55" s="12"/>
      <c r="O55" s="48">
        <v>98008.366999999998</v>
      </c>
      <c r="P55" s="12">
        <f t="shared" si="29"/>
        <v>98008.366999999998</v>
      </c>
      <c r="Q55" s="48"/>
      <c r="R55" s="12">
        <f t="shared" si="30"/>
        <v>98008.366999999998</v>
      </c>
      <c r="S55" s="28"/>
      <c r="T55" s="12">
        <f t="shared" si="31"/>
        <v>98008.366999999998</v>
      </c>
      <c r="U55" s="1" t="s">
        <v>199</v>
      </c>
    </row>
    <row r="56" spans="1:22" ht="56.25" x14ac:dyDescent="0.3">
      <c r="A56" s="7" t="s">
        <v>166</v>
      </c>
      <c r="B56" s="17" t="s">
        <v>107</v>
      </c>
      <c r="C56" s="17" t="s">
        <v>33</v>
      </c>
      <c r="D56" s="12">
        <v>9780.6</v>
      </c>
      <c r="E56" s="12"/>
      <c r="F56" s="12">
        <f>D56+E56</f>
        <v>9780.6</v>
      </c>
      <c r="G56" s="12"/>
      <c r="H56" s="12">
        <f>F56+G56</f>
        <v>9780.6</v>
      </c>
      <c r="I56" s="48"/>
      <c r="J56" s="12">
        <f t="shared" si="26"/>
        <v>9780.6</v>
      </c>
      <c r="K56" s="48">
        <v>-4890.3</v>
      </c>
      <c r="L56" s="12">
        <f t="shared" si="27"/>
        <v>4890.3</v>
      </c>
      <c r="M56" s="48"/>
      <c r="N56" s="12">
        <f t="shared" si="28"/>
        <v>4890.3</v>
      </c>
      <c r="O56" s="48"/>
      <c r="P56" s="12">
        <f t="shared" si="29"/>
        <v>4890.3</v>
      </c>
      <c r="Q56" s="48"/>
      <c r="R56" s="12">
        <f t="shared" si="30"/>
        <v>4890.3</v>
      </c>
      <c r="S56" s="28"/>
      <c r="T56" s="12">
        <f t="shared" si="31"/>
        <v>4890.3</v>
      </c>
      <c r="U56" s="1" t="s">
        <v>108</v>
      </c>
    </row>
    <row r="57" spans="1:22" ht="75" x14ac:dyDescent="0.3">
      <c r="A57" s="7" t="s">
        <v>167</v>
      </c>
      <c r="B57" s="11" t="s">
        <v>180</v>
      </c>
      <c r="C57" s="36" t="s">
        <v>7</v>
      </c>
      <c r="D57" s="12"/>
      <c r="E57" s="12"/>
      <c r="F57" s="12"/>
      <c r="G57" s="12"/>
      <c r="H57" s="12"/>
      <c r="I57" s="48"/>
      <c r="J57" s="12">
        <f t="shared" si="26"/>
        <v>0</v>
      </c>
      <c r="K57" s="48">
        <v>36739.468000000001</v>
      </c>
      <c r="L57" s="12">
        <f t="shared" si="27"/>
        <v>36739.468000000001</v>
      </c>
      <c r="M57" s="48"/>
      <c r="N57" s="12">
        <f t="shared" si="28"/>
        <v>36739.468000000001</v>
      </c>
      <c r="O57" s="48"/>
      <c r="P57" s="12">
        <f t="shared" si="29"/>
        <v>36739.468000000001</v>
      </c>
      <c r="Q57" s="48"/>
      <c r="R57" s="12">
        <f t="shared" si="30"/>
        <v>36739.468000000001</v>
      </c>
      <c r="S57" s="28"/>
      <c r="T57" s="12">
        <f t="shared" si="31"/>
        <v>36739.468000000001</v>
      </c>
      <c r="U57" s="1" t="s">
        <v>181</v>
      </c>
    </row>
    <row r="58" spans="1:22" ht="56.25" x14ac:dyDescent="0.3">
      <c r="A58" s="7" t="s">
        <v>168</v>
      </c>
      <c r="B58" s="11" t="s">
        <v>208</v>
      </c>
      <c r="C58" s="74" t="s">
        <v>33</v>
      </c>
      <c r="D58" s="12"/>
      <c r="E58" s="12"/>
      <c r="F58" s="12"/>
      <c r="G58" s="12"/>
      <c r="H58" s="12"/>
      <c r="I58" s="48"/>
      <c r="J58" s="12"/>
      <c r="K58" s="48"/>
      <c r="L58" s="12"/>
      <c r="M58" s="48"/>
      <c r="N58" s="12"/>
      <c r="O58" s="48"/>
      <c r="P58" s="12"/>
      <c r="Q58" s="48"/>
      <c r="R58" s="12"/>
      <c r="S58" s="28">
        <v>1301.2809999999999</v>
      </c>
      <c r="T58" s="12">
        <f t="shared" si="31"/>
        <v>1301.2809999999999</v>
      </c>
      <c r="U58" s="1" t="s">
        <v>211</v>
      </c>
    </row>
    <row r="59" spans="1:22" s="54" customFormat="1" x14ac:dyDescent="0.3">
      <c r="A59" s="51"/>
      <c r="B59" s="53" t="s">
        <v>13</v>
      </c>
      <c r="C59" s="53"/>
      <c r="D59" s="56">
        <f>D60+D61+D62+D63+D64+D65</f>
        <v>166862.29999999999</v>
      </c>
      <c r="E59" s="56">
        <f>E60+E61+E62+E63+E64+E65</f>
        <v>853.52800000000002</v>
      </c>
      <c r="F59" s="56">
        <f>D59+E59</f>
        <v>167715.82799999998</v>
      </c>
      <c r="G59" s="56">
        <f>G60+G61+G62+G63+G64+G65</f>
        <v>0</v>
      </c>
      <c r="H59" s="56">
        <f>F59+G59</f>
        <v>167715.82799999998</v>
      </c>
      <c r="I59" s="56">
        <f>I60+I61+I62+I63+I64+I65+I66</f>
        <v>0</v>
      </c>
      <c r="J59" s="56">
        <f t="shared" si="26"/>
        <v>167715.82799999998</v>
      </c>
      <c r="K59" s="56">
        <f>K60+K61+K62+K63+K64+K65+K66</f>
        <v>6792.6309999999994</v>
      </c>
      <c r="L59" s="56">
        <f t="shared" si="27"/>
        <v>174508.45899999997</v>
      </c>
      <c r="M59" s="56">
        <f>M60+M61+M62+M63+M64+M65+M66</f>
        <v>0</v>
      </c>
      <c r="N59" s="56">
        <f t="shared" si="28"/>
        <v>174508.45899999997</v>
      </c>
      <c r="O59" s="56">
        <f>O60+O61+O62+O63+O64+O65+O66</f>
        <v>-1191.288</v>
      </c>
      <c r="P59" s="56">
        <f t="shared" si="29"/>
        <v>173317.17099999997</v>
      </c>
      <c r="Q59" s="56">
        <f>Q60+Q61+Q62+Q63+Q64+Q65+Q66+Q67</f>
        <v>200</v>
      </c>
      <c r="R59" s="56">
        <f>P59+Q59</f>
        <v>173517.17099999997</v>
      </c>
      <c r="S59" s="56">
        <f>S60+S61+S62+S63+S64+S65+S66+S67</f>
        <v>-3777.6839999999997</v>
      </c>
      <c r="T59" s="35">
        <f>R59+S59</f>
        <v>169739.48699999996</v>
      </c>
      <c r="U59" s="58"/>
    </row>
    <row r="60" spans="1:22" ht="75" x14ac:dyDescent="0.3">
      <c r="A60" s="7" t="s">
        <v>169</v>
      </c>
      <c r="B60" s="11" t="s">
        <v>24</v>
      </c>
      <c r="C60" s="11" t="s">
        <v>15</v>
      </c>
      <c r="D60" s="12">
        <v>56816.9</v>
      </c>
      <c r="E60" s="12"/>
      <c r="F60" s="12">
        <f>D60+E60</f>
        <v>56816.9</v>
      </c>
      <c r="G60" s="12"/>
      <c r="H60" s="12">
        <f>F60+G60</f>
        <v>56816.9</v>
      </c>
      <c r="I60" s="48"/>
      <c r="J60" s="12">
        <f t="shared" si="26"/>
        <v>56816.9</v>
      </c>
      <c r="K60" s="48">
        <f>-12888.473+2045.108+1505.6</f>
        <v>-9337.7649999999994</v>
      </c>
      <c r="L60" s="12">
        <f t="shared" si="27"/>
        <v>47479.135000000002</v>
      </c>
      <c r="M60" s="48"/>
      <c r="N60" s="12">
        <f t="shared" si="28"/>
        <v>47479.135000000002</v>
      </c>
      <c r="O60" s="48">
        <f>-86.806-1454.201</f>
        <v>-1541.0070000000001</v>
      </c>
      <c r="P60" s="12">
        <f t="shared" si="29"/>
        <v>45938.128000000004</v>
      </c>
      <c r="Q60" s="48"/>
      <c r="R60" s="12">
        <f t="shared" si="30"/>
        <v>45938.128000000004</v>
      </c>
      <c r="S60" s="28">
        <f>-709.972+97.954-3567.461</f>
        <v>-4179.4789999999994</v>
      </c>
      <c r="T60" s="12">
        <f>R60+S60</f>
        <v>41758.649000000005</v>
      </c>
      <c r="U60" s="1" t="s">
        <v>25</v>
      </c>
    </row>
    <row r="61" spans="1:22" ht="75" x14ac:dyDescent="0.3">
      <c r="A61" s="7" t="s">
        <v>170</v>
      </c>
      <c r="B61" s="11" t="s">
        <v>100</v>
      </c>
      <c r="C61" s="11" t="s">
        <v>15</v>
      </c>
      <c r="D61" s="13">
        <v>105045.4</v>
      </c>
      <c r="E61" s="13"/>
      <c r="F61" s="12">
        <f t="shared" ref="F61:F65" si="32">D61+E61</f>
        <v>105045.4</v>
      </c>
      <c r="G61" s="13"/>
      <c r="H61" s="12">
        <f t="shared" ref="H61:H65" si="33">F61+G61</f>
        <v>105045.4</v>
      </c>
      <c r="I61" s="49"/>
      <c r="J61" s="12">
        <f t="shared" ref="J61:J66" si="34">H61+I61</f>
        <v>105045.4</v>
      </c>
      <c r="K61" s="49"/>
      <c r="L61" s="12">
        <f t="shared" si="27"/>
        <v>105045.4</v>
      </c>
      <c r="M61" s="49"/>
      <c r="N61" s="12">
        <f t="shared" si="28"/>
        <v>105045.4</v>
      </c>
      <c r="O61" s="49">
        <f>41.805-34.982</f>
        <v>6.8230000000000004</v>
      </c>
      <c r="P61" s="12">
        <f t="shared" si="29"/>
        <v>105052.223</v>
      </c>
      <c r="Q61" s="49"/>
      <c r="R61" s="12">
        <f t="shared" si="30"/>
        <v>105052.223</v>
      </c>
      <c r="S61" s="29">
        <v>302.62400000000002</v>
      </c>
      <c r="T61" s="12">
        <f t="shared" ref="T61:T66" si="35">R61+S61</f>
        <v>105354.84699999999</v>
      </c>
      <c r="U61" s="1" t="s">
        <v>30</v>
      </c>
    </row>
    <row r="62" spans="1:22" ht="60" customHeight="1" x14ac:dyDescent="0.3">
      <c r="A62" s="7" t="s">
        <v>171</v>
      </c>
      <c r="B62" s="11" t="s">
        <v>45</v>
      </c>
      <c r="C62" s="11" t="s">
        <v>15</v>
      </c>
      <c r="D62" s="13">
        <v>3517</v>
      </c>
      <c r="E62" s="13"/>
      <c r="F62" s="12">
        <f t="shared" si="32"/>
        <v>3517</v>
      </c>
      <c r="G62" s="13"/>
      <c r="H62" s="12">
        <f t="shared" si="33"/>
        <v>3517</v>
      </c>
      <c r="I62" s="49"/>
      <c r="J62" s="12">
        <f t="shared" si="34"/>
        <v>3517</v>
      </c>
      <c r="K62" s="49">
        <v>4.8860000000000001</v>
      </c>
      <c r="L62" s="12">
        <f t="shared" si="27"/>
        <v>3521.886</v>
      </c>
      <c r="M62" s="49"/>
      <c r="N62" s="12">
        <f t="shared" si="28"/>
        <v>3521.886</v>
      </c>
      <c r="O62" s="49">
        <v>-35.384</v>
      </c>
      <c r="P62" s="12">
        <f t="shared" si="29"/>
        <v>3486.502</v>
      </c>
      <c r="Q62" s="49"/>
      <c r="R62" s="12">
        <f t="shared" si="30"/>
        <v>3486.502</v>
      </c>
      <c r="S62" s="29"/>
      <c r="T62" s="12">
        <f t="shared" si="35"/>
        <v>3486.502</v>
      </c>
      <c r="U62" s="1" t="s">
        <v>44</v>
      </c>
    </row>
    <row r="63" spans="1:22" ht="60" customHeight="1" x14ac:dyDescent="0.3">
      <c r="A63" s="7" t="s">
        <v>172</v>
      </c>
      <c r="B63" s="11" t="s">
        <v>101</v>
      </c>
      <c r="C63" s="11" t="s">
        <v>15</v>
      </c>
      <c r="D63" s="13">
        <v>1483</v>
      </c>
      <c r="E63" s="13"/>
      <c r="F63" s="12">
        <f t="shared" si="32"/>
        <v>1483</v>
      </c>
      <c r="G63" s="13"/>
      <c r="H63" s="12">
        <f t="shared" si="33"/>
        <v>1483</v>
      </c>
      <c r="I63" s="49"/>
      <c r="J63" s="12">
        <f t="shared" si="34"/>
        <v>1483</v>
      </c>
      <c r="K63" s="49">
        <v>-458.43200000000002</v>
      </c>
      <c r="L63" s="12">
        <f t="shared" si="27"/>
        <v>1024.568</v>
      </c>
      <c r="M63" s="49"/>
      <c r="N63" s="12">
        <f t="shared" si="28"/>
        <v>1024.568</v>
      </c>
      <c r="O63" s="49">
        <v>378.28</v>
      </c>
      <c r="P63" s="12">
        <f t="shared" si="29"/>
        <v>1402.848</v>
      </c>
      <c r="Q63" s="49"/>
      <c r="R63" s="12">
        <f t="shared" si="30"/>
        <v>1402.848</v>
      </c>
      <c r="S63" s="29"/>
      <c r="T63" s="12">
        <f t="shared" si="35"/>
        <v>1402.848</v>
      </c>
      <c r="U63" s="1" t="s">
        <v>102</v>
      </c>
    </row>
    <row r="64" spans="1:22" ht="60" customHeight="1" x14ac:dyDescent="0.3">
      <c r="A64" s="7" t="s">
        <v>56</v>
      </c>
      <c r="B64" s="11" t="s">
        <v>160</v>
      </c>
      <c r="C64" s="11" t="s">
        <v>15</v>
      </c>
      <c r="D64" s="13">
        <v>0</v>
      </c>
      <c r="E64" s="13">
        <v>42.7</v>
      </c>
      <c r="F64" s="12">
        <f t="shared" si="32"/>
        <v>42.7</v>
      </c>
      <c r="G64" s="13"/>
      <c r="H64" s="12">
        <f t="shared" si="33"/>
        <v>42.7</v>
      </c>
      <c r="I64" s="49"/>
      <c r="J64" s="12">
        <f t="shared" si="34"/>
        <v>42.7</v>
      </c>
      <c r="K64" s="49"/>
      <c r="L64" s="12">
        <f t="shared" si="27"/>
        <v>42.7</v>
      </c>
      <c r="M64" s="49"/>
      <c r="N64" s="12">
        <f t="shared" si="28"/>
        <v>42.7</v>
      </c>
      <c r="O64" s="49"/>
      <c r="P64" s="12">
        <f t="shared" si="29"/>
        <v>42.7</v>
      </c>
      <c r="Q64" s="49"/>
      <c r="R64" s="12">
        <f t="shared" si="30"/>
        <v>42.7</v>
      </c>
      <c r="S64" s="29">
        <v>99.171000000000006</v>
      </c>
      <c r="T64" s="12">
        <f t="shared" si="35"/>
        <v>141.87100000000001</v>
      </c>
      <c r="U64" s="1" t="s">
        <v>147</v>
      </c>
    </row>
    <row r="65" spans="1:55" ht="60" customHeight="1" x14ac:dyDescent="0.3">
      <c r="A65" s="7" t="s">
        <v>63</v>
      </c>
      <c r="B65" s="11" t="s">
        <v>148</v>
      </c>
      <c r="C65" s="11" t="s">
        <v>15</v>
      </c>
      <c r="D65" s="13">
        <v>0</v>
      </c>
      <c r="E65" s="13">
        <v>810.82799999999997</v>
      </c>
      <c r="F65" s="12">
        <f t="shared" si="32"/>
        <v>810.82799999999997</v>
      </c>
      <c r="G65" s="13"/>
      <c r="H65" s="12">
        <f t="shared" si="33"/>
        <v>810.82799999999997</v>
      </c>
      <c r="I65" s="49"/>
      <c r="J65" s="12">
        <f t="shared" si="34"/>
        <v>810.82799999999997</v>
      </c>
      <c r="K65" s="49">
        <f>-418.643+3916</f>
        <v>3497.357</v>
      </c>
      <c r="L65" s="12">
        <f t="shared" si="27"/>
        <v>4308.1849999999995</v>
      </c>
      <c r="M65" s="49"/>
      <c r="N65" s="12">
        <f t="shared" si="28"/>
        <v>4308.1849999999995</v>
      </c>
      <c r="O65" s="49"/>
      <c r="P65" s="12">
        <f t="shared" si="29"/>
        <v>4308.1849999999995</v>
      </c>
      <c r="Q65" s="49"/>
      <c r="R65" s="12">
        <f t="shared" si="30"/>
        <v>4308.1849999999995</v>
      </c>
      <c r="S65" s="29"/>
      <c r="T65" s="12">
        <f t="shared" si="35"/>
        <v>4308.1849999999995</v>
      </c>
      <c r="U65" s="1" t="s">
        <v>149</v>
      </c>
    </row>
    <row r="66" spans="1:55" ht="60" customHeight="1" x14ac:dyDescent="0.3">
      <c r="A66" s="7" t="s">
        <v>64</v>
      </c>
      <c r="B66" s="11" t="s">
        <v>174</v>
      </c>
      <c r="C66" s="11" t="s">
        <v>15</v>
      </c>
      <c r="D66" s="13"/>
      <c r="E66" s="13"/>
      <c r="F66" s="12"/>
      <c r="G66" s="13"/>
      <c r="H66" s="12"/>
      <c r="I66" s="49"/>
      <c r="J66" s="12">
        <f t="shared" si="34"/>
        <v>0</v>
      </c>
      <c r="K66" s="49">
        <v>13086.584999999999</v>
      </c>
      <c r="L66" s="12">
        <f t="shared" si="27"/>
        <v>13086.584999999999</v>
      </c>
      <c r="M66" s="49"/>
      <c r="N66" s="12">
        <f t="shared" si="28"/>
        <v>13086.584999999999</v>
      </c>
      <c r="O66" s="49"/>
      <c r="P66" s="12">
        <f t="shared" si="29"/>
        <v>13086.584999999999</v>
      </c>
      <c r="Q66" s="49"/>
      <c r="R66" s="12">
        <f t="shared" si="30"/>
        <v>13086.584999999999</v>
      </c>
      <c r="S66" s="29"/>
      <c r="T66" s="12">
        <f t="shared" si="35"/>
        <v>13086.584999999999</v>
      </c>
      <c r="U66" s="1" t="s">
        <v>175</v>
      </c>
    </row>
    <row r="67" spans="1:55" ht="60" customHeight="1" x14ac:dyDescent="0.3">
      <c r="A67" s="7" t="s">
        <v>123</v>
      </c>
      <c r="B67" s="11" t="s">
        <v>207</v>
      </c>
      <c r="C67" s="11" t="s">
        <v>15</v>
      </c>
      <c r="D67" s="13"/>
      <c r="E67" s="13"/>
      <c r="F67" s="12"/>
      <c r="G67" s="13"/>
      <c r="H67" s="12"/>
      <c r="I67" s="49"/>
      <c r="J67" s="12"/>
      <c r="K67" s="49"/>
      <c r="L67" s="12"/>
      <c r="M67" s="49"/>
      <c r="N67" s="12"/>
      <c r="O67" s="49"/>
      <c r="P67" s="12"/>
      <c r="Q67" s="49">
        <v>200</v>
      </c>
      <c r="R67" s="12">
        <f>P67+Q67</f>
        <v>200</v>
      </c>
      <c r="S67" s="29"/>
      <c r="T67" s="12">
        <f>R67+S67</f>
        <v>200</v>
      </c>
      <c r="U67" s="1" t="s">
        <v>209</v>
      </c>
    </row>
    <row r="68" spans="1:55" s="54" customFormat="1" x14ac:dyDescent="0.3">
      <c r="A68" s="51"/>
      <c r="B68" s="53" t="s">
        <v>16</v>
      </c>
      <c r="C68" s="53"/>
      <c r="D68" s="76">
        <f>D72+D73+D74+D75+D76+D77+D81+D85+D89+D93+D97+D98+D99</f>
        <v>479771.7</v>
      </c>
      <c r="E68" s="76">
        <f>E72+E73+E74+E75+E76+E77+E81+E85+E89+E93+E97+E98+E99</f>
        <v>2273.3000000000002</v>
      </c>
      <c r="F68" s="76">
        <f>D68+E68</f>
        <v>482045</v>
      </c>
      <c r="G68" s="76">
        <f>G72+G73+G74+G75+G76+G77+G81+G85+G89+G93+G97+G98+G99</f>
        <v>0</v>
      </c>
      <c r="H68" s="76">
        <f>F68+G68</f>
        <v>482045</v>
      </c>
      <c r="I68" s="76">
        <f>I72+I73+I74+I75+I76+I77+I81+I85+I89+I93+I97+I98+I99+I100+I101</f>
        <v>0</v>
      </c>
      <c r="J68" s="76">
        <f>H68+I68</f>
        <v>482045</v>
      </c>
      <c r="K68" s="76">
        <f>K72+K73+K74+K75+K76+K77+K81+K85+K89+K93+K97+K98+K99+K100+K101+K102+K103</f>
        <v>7146.5560000000005</v>
      </c>
      <c r="L68" s="76">
        <f>J68+K68</f>
        <v>489191.55599999998</v>
      </c>
      <c r="M68" s="76">
        <f>M72+M73+M74+M75+M76+M77+M81+M85+M89+M93+M97+M98+M99+M100+M101+M102+M103</f>
        <v>-486.68299999999999</v>
      </c>
      <c r="N68" s="76">
        <f>L68+M68</f>
        <v>488704.87299999996</v>
      </c>
      <c r="O68" s="76">
        <f>O72+O73+O74+O75+O76+O77+O81+O85+O89+O93+O97+O98+O99+O100+O101+O102+O103</f>
        <v>-35290.519000000008</v>
      </c>
      <c r="P68" s="76">
        <f>N68+O68</f>
        <v>453414.35399999993</v>
      </c>
      <c r="Q68" s="76">
        <f>Q72+Q73+Q74+Q75+Q76+Q77+Q81+Q85+Q89+Q93+Q97+Q98+Q99+Q100+Q101+Q102+Q103</f>
        <v>0</v>
      </c>
      <c r="R68" s="76">
        <f>P68+Q68</f>
        <v>453414.35399999993</v>
      </c>
      <c r="S68" s="76">
        <f>S72+S73+S74+S75+S76+S77+S81+S85+S89+S93+S97+S98+S99+S100+S101+S102+S103</f>
        <v>-5583.4059999999999</v>
      </c>
      <c r="T68" s="49">
        <f>R68+S68</f>
        <v>447830.94799999992</v>
      </c>
      <c r="U68" s="58"/>
    </row>
    <row r="69" spans="1:55" x14ac:dyDescent="0.3">
      <c r="A69" s="7"/>
      <c r="B69" s="8" t="s">
        <v>2</v>
      </c>
      <c r="C69" s="11"/>
      <c r="D69" s="12"/>
      <c r="E69" s="12"/>
      <c r="F69" s="12"/>
      <c r="G69" s="12"/>
      <c r="H69" s="12"/>
      <c r="I69" s="48"/>
      <c r="J69" s="12"/>
      <c r="K69" s="48"/>
      <c r="L69" s="12"/>
      <c r="M69" s="48"/>
      <c r="N69" s="12"/>
      <c r="O69" s="48"/>
      <c r="P69" s="12"/>
      <c r="Q69" s="48"/>
      <c r="R69" s="12"/>
      <c r="S69" s="28"/>
      <c r="T69" s="12"/>
    </row>
    <row r="70" spans="1:55" hidden="1" x14ac:dyDescent="0.3">
      <c r="A70" s="7"/>
      <c r="B70" s="8" t="s">
        <v>3</v>
      </c>
      <c r="C70" s="11"/>
      <c r="D70" s="12">
        <f>D72+D73+D74+D75+D76+D79+D83+D87+D91+D95+D97+D98+D99</f>
        <v>133748.5</v>
      </c>
      <c r="E70" s="12">
        <f>E72+E73+E74+E75+E76+E79+E83+E87+E91+E95+E97+E98+E99</f>
        <v>2273.3000000000002</v>
      </c>
      <c r="F70" s="12">
        <f>D70+E70</f>
        <v>136021.79999999999</v>
      </c>
      <c r="G70" s="12">
        <f>G72+G73+G74+G75+G76+G79+G83+G87+G91+G95+G97+G98+G99</f>
        <v>0</v>
      </c>
      <c r="H70" s="12">
        <f>F70+G70</f>
        <v>136021.79999999999</v>
      </c>
      <c r="I70" s="48">
        <f>I72+I73+I74+I75+I76+I79+I83+I87+I91+I95+I97+I98+I99+I100+I101</f>
        <v>0</v>
      </c>
      <c r="J70" s="12">
        <f>H70+I70</f>
        <v>136021.79999999999</v>
      </c>
      <c r="K70" s="48">
        <f>K72+K73+K74+K75+K76+K79+K83+K87+K91+K95+K97+K98+K99+K100+K101</f>
        <v>-2622.1</v>
      </c>
      <c r="L70" s="12">
        <f>J70+K70</f>
        <v>133399.69999999998</v>
      </c>
      <c r="M70" s="48">
        <f>M72+M73+M74+M75+M76+M79+M83+M87+M91+M95+M97+M98+M99+M100+M101</f>
        <v>-486.68299999999999</v>
      </c>
      <c r="N70" s="12">
        <f>L70+M70</f>
        <v>132913.01699999999</v>
      </c>
      <c r="O70" s="48">
        <f>O72+O73+O74+O75+O76+O79+O83+O87+O91+O95+O97+O98+O99+O100+O101</f>
        <v>-9062.7119999999995</v>
      </c>
      <c r="P70" s="12">
        <f>N70+O70</f>
        <v>123850.30499999999</v>
      </c>
      <c r="Q70" s="48">
        <f>Q72+Q73+Q74+Q75+Q76+Q79+Q83+Q87+Q91+Q95+Q97+Q98+Q99+Q100+Q101</f>
        <v>0</v>
      </c>
      <c r="R70" s="12">
        <f>P70+Q70</f>
        <v>123850.30499999999</v>
      </c>
      <c r="S70" s="28">
        <f>S72+S73+S74+S75+S76+S79+S83+S87+S91+S95+S97+S98+S99+S100+S101</f>
        <v>96.347999999999999</v>
      </c>
      <c r="T70" s="12">
        <f>R70+S70</f>
        <v>123946.65299999999</v>
      </c>
      <c r="V70" s="1">
        <v>0</v>
      </c>
    </row>
    <row r="71" spans="1:55" x14ac:dyDescent="0.3">
      <c r="A71" s="7"/>
      <c r="B71" s="17" t="s">
        <v>50</v>
      </c>
      <c r="C71" s="11"/>
      <c r="D71" s="12">
        <f>D80+D84+D88+D92+D96</f>
        <v>346023.19999999995</v>
      </c>
      <c r="E71" s="12">
        <f>E80+E84+E88+E92+E96</f>
        <v>0</v>
      </c>
      <c r="F71" s="12">
        <f>D71+E71</f>
        <v>346023.19999999995</v>
      </c>
      <c r="G71" s="12">
        <f>G80+G84+G88+G92+G96</f>
        <v>0</v>
      </c>
      <c r="H71" s="12">
        <f>F71+G71</f>
        <v>346023.19999999995</v>
      </c>
      <c r="I71" s="48">
        <f>I80+I84+I88+I92+I96</f>
        <v>0</v>
      </c>
      <c r="J71" s="12">
        <f>H71+I71</f>
        <v>346023.19999999995</v>
      </c>
      <c r="K71" s="48">
        <f>K80+K84+K88+K92+K96</f>
        <v>0</v>
      </c>
      <c r="L71" s="12">
        <f>J71+K71</f>
        <v>346023.19999999995</v>
      </c>
      <c r="M71" s="48">
        <f>M80+M84+M88+M92+M96</f>
        <v>0</v>
      </c>
      <c r="N71" s="12">
        <f>L71+M71</f>
        <v>346023.19999999995</v>
      </c>
      <c r="O71" s="48">
        <f>O80+O84+O88+O92+O96</f>
        <v>-26252.2</v>
      </c>
      <c r="P71" s="12">
        <f>N71+O71</f>
        <v>319770.99999999994</v>
      </c>
      <c r="Q71" s="48">
        <f>Q80+Q84+Q88+Q92+Q96</f>
        <v>0</v>
      </c>
      <c r="R71" s="12">
        <f>P71+Q71</f>
        <v>319770.99999999994</v>
      </c>
      <c r="S71" s="28">
        <f>S80+S84+S88+S92+S96</f>
        <v>0</v>
      </c>
      <c r="T71" s="12">
        <f>R71+S71</f>
        <v>319770.99999999994</v>
      </c>
    </row>
    <row r="72" spans="1:55" ht="56.25" x14ac:dyDescent="0.3">
      <c r="A72" s="7" t="s">
        <v>124</v>
      </c>
      <c r="B72" s="17" t="s">
        <v>67</v>
      </c>
      <c r="C72" s="11" t="s">
        <v>17</v>
      </c>
      <c r="D72" s="9">
        <v>3217.7</v>
      </c>
      <c r="E72" s="9"/>
      <c r="F72" s="9">
        <f>D72+E72</f>
        <v>3217.7</v>
      </c>
      <c r="G72" s="9"/>
      <c r="H72" s="9">
        <f>F72+G72</f>
        <v>3217.7</v>
      </c>
      <c r="I72" s="35"/>
      <c r="J72" s="9">
        <f>H72+I72</f>
        <v>3217.7</v>
      </c>
      <c r="K72" s="35"/>
      <c r="L72" s="9">
        <f>J72+K72</f>
        <v>3217.7</v>
      </c>
      <c r="M72" s="35"/>
      <c r="N72" s="9">
        <f>L72+M72</f>
        <v>3217.7</v>
      </c>
      <c r="O72" s="35"/>
      <c r="P72" s="9">
        <f>N72+O72</f>
        <v>3217.7</v>
      </c>
      <c r="Q72" s="35"/>
      <c r="R72" s="9">
        <f>P72+Q72</f>
        <v>3217.7</v>
      </c>
      <c r="S72" s="27"/>
      <c r="T72" s="9">
        <f>R72+S72</f>
        <v>3217.7</v>
      </c>
      <c r="U72" s="1" t="s">
        <v>68</v>
      </c>
    </row>
    <row r="73" spans="1:55" ht="56.25" x14ac:dyDescent="0.3">
      <c r="A73" s="7" t="s">
        <v>125</v>
      </c>
      <c r="B73" s="17" t="s">
        <v>69</v>
      </c>
      <c r="C73" s="11" t="s">
        <v>17</v>
      </c>
      <c r="D73" s="9">
        <v>3000</v>
      </c>
      <c r="E73" s="9"/>
      <c r="F73" s="9">
        <f t="shared" ref="F73:F76" si="36">D73+E73</f>
        <v>3000</v>
      </c>
      <c r="G73" s="9"/>
      <c r="H73" s="9">
        <f t="shared" ref="H73:H76" si="37">F73+G73</f>
        <v>3000</v>
      </c>
      <c r="I73" s="35"/>
      <c r="J73" s="9">
        <f t="shared" ref="J73:J76" si="38">H73+I73</f>
        <v>3000</v>
      </c>
      <c r="K73" s="35"/>
      <c r="L73" s="9">
        <f t="shared" ref="L73:L76" si="39">J73+K73</f>
        <v>3000</v>
      </c>
      <c r="M73" s="35"/>
      <c r="N73" s="9">
        <f t="shared" ref="N73:N76" si="40">L73+M73</f>
        <v>3000</v>
      </c>
      <c r="O73" s="35"/>
      <c r="P73" s="9">
        <f t="shared" ref="P73:P76" si="41">N73+O73</f>
        <v>3000</v>
      </c>
      <c r="Q73" s="35"/>
      <c r="R73" s="9">
        <f t="shared" ref="R73:R76" si="42">P73+Q73</f>
        <v>3000</v>
      </c>
      <c r="S73" s="27"/>
      <c r="T73" s="9">
        <f t="shared" ref="T73:T76" si="43">R73+S73</f>
        <v>3000</v>
      </c>
      <c r="U73" s="1" t="s">
        <v>70</v>
      </c>
    </row>
    <row r="74" spans="1:55" ht="56.25" hidden="1" x14ac:dyDescent="0.3">
      <c r="A74" s="7" t="s">
        <v>171</v>
      </c>
      <c r="B74" s="17" t="s">
        <v>72</v>
      </c>
      <c r="C74" s="11" t="s">
        <v>17</v>
      </c>
      <c r="D74" s="9">
        <v>2000</v>
      </c>
      <c r="E74" s="9"/>
      <c r="F74" s="9">
        <f t="shared" si="36"/>
        <v>2000</v>
      </c>
      <c r="G74" s="9"/>
      <c r="H74" s="9">
        <f t="shared" si="37"/>
        <v>2000</v>
      </c>
      <c r="I74" s="35"/>
      <c r="J74" s="9">
        <f t="shared" si="38"/>
        <v>2000</v>
      </c>
      <c r="K74" s="35">
        <v>-2000</v>
      </c>
      <c r="L74" s="9">
        <f t="shared" si="39"/>
        <v>0</v>
      </c>
      <c r="M74" s="35"/>
      <c r="N74" s="9">
        <f t="shared" si="40"/>
        <v>0</v>
      </c>
      <c r="O74" s="35"/>
      <c r="P74" s="9">
        <f t="shared" si="41"/>
        <v>0</v>
      </c>
      <c r="Q74" s="35"/>
      <c r="R74" s="9">
        <f t="shared" si="42"/>
        <v>0</v>
      </c>
      <c r="S74" s="27"/>
      <c r="T74" s="9">
        <f t="shared" si="43"/>
        <v>0</v>
      </c>
      <c r="U74" s="1" t="s">
        <v>71</v>
      </c>
      <c r="V74" s="1">
        <v>0</v>
      </c>
    </row>
    <row r="75" spans="1:55" ht="56.25" x14ac:dyDescent="0.3">
      <c r="A75" s="7" t="s">
        <v>126</v>
      </c>
      <c r="B75" s="17" t="s">
        <v>92</v>
      </c>
      <c r="C75" s="11" t="s">
        <v>17</v>
      </c>
      <c r="D75" s="9">
        <v>453.8</v>
      </c>
      <c r="E75" s="9"/>
      <c r="F75" s="9">
        <f t="shared" si="36"/>
        <v>453.8</v>
      </c>
      <c r="G75" s="9"/>
      <c r="H75" s="9">
        <f t="shared" si="37"/>
        <v>453.8</v>
      </c>
      <c r="I75" s="35"/>
      <c r="J75" s="9">
        <f t="shared" si="38"/>
        <v>453.8</v>
      </c>
      <c r="K75" s="35"/>
      <c r="L75" s="9">
        <f t="shared" si="39"/>
        <v>453.8</v>
      </c>
      <c r="M75" s="35"/>
      <c r="N75" s="9">
        <f t="shared" si="40"/>
        <v>453.8</v>
      </c>
      <c r="O75" s="35"/>
      <c r="P75" s="9">
        <f t="shared" si="41"/>
        <v>453.8</v>
      </c>
      <c r="Q75" s="35"/>
      <c r="R75" s="9">
        <f t="shared" si="42"/>
        <v>453.8</v>
      </c>
      <c r="S75" s="27"/>
      <c r="T75" s="9">
        <f t="shared" si="43"/>
        <v>453.8</v>
      </c>
      <c r="U75" s="1" t="s">
        <v>91</v>
      </c>
    </row>
    <row r="76" spans="1:55" ht="56.25" x14ac:dyDescent="0.3">
      <c r="A76" s="7" t="s">
        <v>127</v>
      </c>
      <c r="B76" s="17" t="s">
        <v>94</v>
      </c>
      <c r="C76" s="11" t="s">
        <v>17</v>
      </c>
      <c r="D76" s="14">
        <v>235.9</v>
      </c>
      <c r="E76" s="14"/>
      <c r="F76" s="9">
        <f t="shared" si="36"/>
        <v>235.9</v>
      </c>
      <c r="G76" s="14"/>
      <c r="H76" s="9">
        <f t="shared" si="37"/>
        <v>235.9</v>
      </c>
      <c r="I76" s="50"/>
      <c r="J76" s="9">
        <f t="shared" si="38"/>
        <v>235.9</v>
      </c>
      <c r="K76" s="50"/>
      <c r="L76" s="9">
        <f t="shared" si="39"/>
        <v>235.9</v>
      </c>
      <c r="M76" s="50"/>
      <c r="N76" s="9">
        <f t="shared" si="40"/>
        <v>235.9</v>
      </c>
      <c r="O76" s="50"/>
      <c r="P76" s="9">
        <f t="shared" si="41"/>
        <v>235.9</v>
      </c>
      <c r="Q76" s="50"/>
      <c r="R76" s="9">
        <f t="shared" si="42"/>
        <v>235.9</v>
      </c>
      <c r="S76" s="30"/>
      <c r="T76" s="9">
        <f t="shared" si="43"/>
        <v>235.9</v>
      </c>
      <c r="U76" s="1" t="s">
        <v>93</v>
      </c>
    </row>
    <row r="77" spans="1:55" ht="75" x14ac:dyDescent="0.3">
      <c r="A77" s="7" t="s">
        <v>128</v>
      </c>
      <c r="B77" s="17" t="s">
        <v>95</v>
      </c>
      <c r="C77" s="11" t="s">
        <v>15</v>
      </c>
      <c r="D77" s="14">
        <f>D79+D80</f>
        <v>125387.8</v>
      </c>
      <c r="E77" s="14">
        <f>E79+E80</f>
        <v>0</v>
      </c>
      <c r="F77" s="14">
        <f t="shared" ref="F77:H77" si="44">F79+F80</f>
        <v>125387.8</v>
      </c>
      <c r="G77" s="14">
        <f>G79+G80</f>
        <v>0</v>
      </c>
      <c r="H77" s="14">
        <f t="shared" si="44"/>
        <v>125387.8</v>
      </c>
      <c r="I77" s="50">
        <f>I79+I80</f>
        <v>4500</v>
      </c>
      <c r="J77" s="14">
        <f t="shared" ref="J77:L77" si="45">J79+J80</f>
        <v>129887.8</v>
      </c>
      <c r="K77" s="50">
        <f>K79+K80</f>
        <v>0</v>
      </c>
      <c r="L77" s="14">
        <f t="shared" si="45"/>
        <v>129887.8</v>
      </c>
      <c r="M77" s="50">
        <f>M79+M80</f>
        <v>0</v>
      </c>
      <c r="N77" s="14">
        <f t="shared" ref="N77:P77" si="46">N79+N80</f>
        <v>129887.8</v>
      </c>
      <c r="O77" s="50">
        <f>O79+O80</f>
        <v>2217.4919999999997</v>
      </c>
      <c r="P77" s="14">
        <f t="shared" si="46"/>
        <v>132105.29199999999</v>
      </c>
      <c r="Q77" s="50">
        <f>Q79+Q80</f>
        <v>0</v>
      </c>
      <c r="R77" s="14">
        <f t="shared" ref="R77:T77" si="47">R79+R80</f>
        <v>132105.29199999999</v>
      </c>
      <c r="S77" s="30">
        <f>S79+S80</f>
        <v>0</v>
      </c>
      <c r="T77" s="14">
        <f t="shared" si="47"/>
        <v>132105.29199999999</v>
      </c>
      <c r="U77" s="1" t="s">
        <v>96</v>
      </c>
    </row>
    <row r="78" spans="1:55" x14ac:dyDescent="0.3">
      <c r="A78" s="7"/>
      <c r="B78" s="8" t="s">
        <v>2</v>
      </c>
      <c r="C78" s="11"/>
      <c r="D78" s="14"/>
      <c r="E78" s="14"/>
      <c r="F78" s="14"/>
      <c r="G78" s="14"/>
      <c r="H78" s="14"/>
      <c r="I78" s="50"/>
      <c r="J78" s="14"/>
      <c r="K78" s="50"/>
      <c r="L78" s="14"/>
      <c r="M78" s="50"/>
      <c r="N78" s="14"/>
      <c r="O78" s="50"/>
      <c r="P78" s="14"/>
      <c r="Q78" s="50"/>
      <c r="R78" s="14"/>
      <c r="S78" s="30"/>
      <c r="T78" s="14"/>
    </row>
    <row r="79" spans="1:55" hidden="1" x14ac:dyDescent="0.3">
      <c r="A79" s="7"/>
      <c r="B79" s="17" t="s">
        <v>3</v>
      </c>
      <c r="C79" s="11"/>
      <c r="D79" s="14">
        <v>31347</v>
      </c>
      <c r="E79" s="14"/>
      <c r="F79" s="14">
        <f>D79+E79</f>
        <v>31347</v>
      </c>
      <c r="G79" s="14"/>
      <c r="H79" s="14">
        <f>F79+G79</f>
        <v>31347</v>
      </c>
      <c r="I79" s="50">
        <v>4500</v>
      </c>
      <c r="J79" s="14">
        <f>H79+I79</f>
        <v>35847</v>
      </c>
      <c r="K79" s="50"/>
      <c r="L79" s="14">
        <f>J79+K79</f>
        <v>35847</v>
      </c>
      <c r="M79" s="50"/>
      <c r="N79" s="14">
        <f>L79+M79</f>
        <v>35847</v>
      </c>
      <c r="O79" s="50">
        <v>-2820.6770000000001</v>
      </c>
      <c r="P79" s="14">
        <f>N79+O79</f>
        <v>33026.322999999997</v>
      </c>
      <c r="Q79" s="50"/>
      <c r="R79" s="14">
        <f>P79+Q79</f>
        <v>33026.322999999997</v>
      </c>
      <c r="S79" s="30"/>
      <c r="T79" s="14">
        <f>R79+S79</f>
        <v>33026.322999999997</v>
      </c>
      <c r="V79" s="1">
        <v>0</v>
      </c>
    </row>
    <row r="80" spans="1:55" x14ac:dyDescent="0.3">
      <c r="A80" s="7"/>
      <c r="B80" s="17" t="s">
        <v>50</v>
      </c>
      <c r="C80" s="11"/>
      <c r="D80" s="14">
        <v>94040.8</v>
      </c>
      <c r="E80" s="14"/>
      <c r="F80" s="14">
        <f>D80+E80</f>
        <v>94040.8</v>
      </c>
      <c r="G80" s="14"/>
      <c r="H80" s="14">
        <f>F80+G80</f>
        <v>94040.8</v>
      </c>
      <c r="I80" s="50"/>
      <c r="J80" s="14">
        <f>H80+I80</f>
        <v>94040.8</v>
      </c>
      <c r="K80" s="50"/>
      <c r="L80" s="14">
        <f>J80+K80</f>
        <v>94040.8</v>
      </c>
      <c r="M80" s="50"/>
      <c r="N80" s="14">
        <f>L80+M80</f>
        <v>94040.8</v>
      </c>
      <c r="O80" s="50">
        <v>5038.1689999999999</v>
      </c>
      <c r="P80" s="14">
        <f>N80+O80</f>
        <v>99078.968999999997</v>
      </c>
      <c r="Q80" s="50"/>
      <c r="R80" s="14">
        <f>P80+Q80</f>
        <v>99078.968999999997</v>
      </c>
      <c r="S80" s="30"/>
      <c r="T80" s="14">
        <f>R80+S80</f>
        <v>99078.968999999997</v>
      </c>
      <c r="U80" s="1" t="s">
        <v>103</v>
      </c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</row>
    <row r="81" spans="1:55" s="66" customFormat="1" ht="75" x14ac:dyDescent="0.3">
      <c r="A81" s="51" t="s">
        <v>129</v>
      </c>
      <c r="B81" s="53" t="s">
        <v>97</v>
      </c>
      <c r="C81" s="67" t="s">
        <v>15</v>
      </c>
      <c r="D81" s="50">
        <f>D83+D84</f>
        <v>22000</v>
      </c>
      <c r="E81" s="50">
        <f t="shared" ref="E81:F81" si="48">E83+E84</f>
        <v>0</v>
      </c>
      <c r="F81" s="50">
        <f t="shared" si="48"/>
        <v>22000</v>
      </c>
      <c r="G81" s="50">
        <f t="shared" ref="G81:H81" si="49">G83+G84</f>
        <v>0</v>
      </c>
      <c r="H81" s="50">
        <f t="shared" si="49"/>
        <v>22000</v>
      </c>
      <c r="I81" s="50">
        <f t="shared" ref="I81:J81" si="50">I83+I84</f>
        <v>0</v>
      </c>
      <c r="J81" s="50">
        <f t="shared" si="50"/>
        <v>22000</v>
      </c>
      <c r="K81" s="50">
        <f t="shared" ref="K81:L81" si="51">K83+K84</f>
        <v>0</v>
      </c>
      <c r="L81" s="50">
        <f t="shared" si="51"/>
        <v>22000</v>
      </c>
      <c r="M81" s="50">
        <f t="shared" ref="M81:N81" si="52">M83+M84</f>
        <v>0</v>
      </c>
      <c r="N81" s="50">
        <f t="shared" si="52"/>
        <v>22000</v>
      </c>
      <c r="O81" s="50">
        <f t="shared" ref="O81:P81" si="53">O83+O84</f>
        <v>-7226</v>
      </c>
      <c r="P81" s="50">
        <f t="shared" si="53"/>
        <v>14774</v>
      </c>
      <c r="Q81" s="50">
        <f t="shared" ref="Q81:R81" si="54">Q83+Q84</f>
        <v>0</v>
      </c>
      <c r="R81" s="50">
        <f t="shared" si="54"/>
        <v>14774</v>
      </c>
      <c r="S81" s="30">
        <f t="shared" ref="S81:T81" si="55">S83+S84</f>
        <v>0</v>
      </c>
      <c r="T81" s="50">
        <f t="shared" si="55"/>
        <v>14774</v>
      </c>
      <c r="U81" s="54" t="s">
        <v>43</v>
      </c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</row>
    <row r="82" spans="1:55" s="66" customFormat="1" x14ac:dyDescent="0.3">
      <c r="A82" s="51"/>
      <c r="B82" s="68" t="s">
        <v>2</v>
      </c>
      <c r="C82" s="67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30"/>
      <c r="T82" s="50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</row>
    <row r="83" spans="1:55" s="66" customFormat="1" hidden="1" x14ac:dyDescent="0.3">
      <c r="A83" s="51"/>
      <c r="B83" s="53" t="s">
        <v>3</v>
      </c>
      <c r="C83" s="67"/>
      <c r="D83" s="50">
        <v>5500</v>
      </c>
      <c r="E83" s="50"/>
      <c r="F83" s="50">
        <f>D83+E83</f>
        <v>5500</v>
      </c>
      <c r="G83" s="50"/>
      <c r="H83" s="50">
        <f>F83+G83</f>
        <v>5500</v>
      </c>
      <c r="I83" s="50"/>
      <c r="J83" s="50">
        <f>H83+I83</f>
        <v>5500</v>
      </c>
      <c r="K83" s="50"/>
      <c r="L83" s="50">
        <f>J83+K83</f>
        <v>5500</v>
      </c>
      <c r="M83" s="50"/>
      <c r="N83" s="50">
        <f>L83+M83</f>
        <v>5500</v>
      </c>
      <c r="O83" s="50">
        <v>-1806.5</v>
      </c>
      <c r="P83" s="50">
        <f>N83+O83</f>
        <v>3693.5</v>
      </c>
      <c r="Q83" s="50"/>
      <c r="R83" s="50">
        <f>P83+Q83</f>
        <v>3693.5</v>
      </c>
      <c r="S83" s="30"/>
      <c r="T83" s="50">
        <f>R83+S83</f>
        <v>3693.5</v>
      </c>
      <c r="U83" s="54"/>
      <c r="V83" s="54">
        <v>0</v>
      </c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</row>
    <row r="84" spans="1:55" s="66" customFormat="1" x14ac:dyDescent="0.3">
      <c r="A84" s="51"/>
      <c r="B84" s="53" t="s">
        <v>50</v>
      </c>
      <c r="C84" s="67"/>
      <c r="D84" s="50">
        <v>16500</v>
      </c>
      <c r="E84" s="50"/>
      <c r="F84" s="50">
        <f>D84+E84</f>
        <v>16500</v>
      </c>
      <c r="G84" s="50"/>
      <c r="H84" s="50">
        <f>F84+G84</f>
        <v>16500</v>
      </c>
      <c r="I84" s="50"/>
      <c r="J84" s="50">
        <f>H84+I84</f>
        <v>16500</v>
      </c>
      <c r="K84" s="50"/>
      <c r="L84" s="50">
        <f>J84+K84</f>
        <v>16500</v>
      </c>
      <c r="M84" s="50"/>
      <c r="N84" s="50">
        <f>L84+M84</f>
        <v>16500</v>
      </c>
      <c r="O84" s="50">
        <v>-5419.5</v>
      </c>
      <c r="P84" s="50">
        <f>N84+O84</f>
        <v>11080.5</v>
      </c>
      <c r="Q84" s="50"/>
      <c r="R84" s="50">
        <f>P84+Q84</f>
        <v>11080.5</v>
      </c>
      <c r="S84" s="30"/>
      <c r="T84" s="50">
        <f>R84+S84</f>
        <v>11080.5</v>
      </c>
      <c r="U84" s="54" t="s">
        <v>103</v>
      </c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</row>
    <row r="85" spans="1:55" s="69" customFormat="1" ht="75" x14ac:dyDescent="0.3">
      <c r="A85" s="51" t="s">
        <v>150</v>
      </c>
      <c r="B85" s="53" t="s">
        <v>98</v>
      </c>
      <c r="C85" s="67" t="s">
        <v>15</v>
      </c>
      <c r="D85" s="50">
        <f>D87+D88</f>
        <v>36000</v>
      </c>
      <c r="E85" s="50">
        <f t="shared" ref="E85:G85" si="56">E87+E88</f>
        <v>0</v>
      </c>
      <c r="F85" s="50">
        <f>F87+F88</f>
        <v>36000</v>
      </c>
      <c r="G85" s="50">
        <f t="shared" si="56"/>
        <v>0</v>
      </c>
      <c r="H85" s="50">
        <f>H87+H88</f>
        <v>36000</v>
      </c>
      <c r="I85" s="50">
        <f t="shared" ref="I85:K85" si="57">I87+I88</f>
        <v>-4500</v>
      </c>
      <c r="J85" s="50">
        <f>J87+J88</f>
        <v>31500</v>
      </c>
      <c r="K85" s="50">
        <f t="shared" si="57"/>
        <v>0</v>
      </c>
      <c r="L85" s="50">
        <f>L87+L88</f>
        <v>31500</v>
      </c>
      <c r="M85" s="50">
        <f t="shared" ref="M85:O85" si="58">M87+M88</f>
        <v>0</v>
      </c>
      <c r="N85" s="50">
        <f>N87+N88</f>
        <v>31500</v>
      </c>
      <c r="O85" s="50">
        <f t="shared" si="58"/>
        <v>-14000</v>
      </c>
      <c r="P85" s="50">
        <f>P87+P88</f>
        <v>17500</v>
      </c>
      <c r="Q85" s="50">
        <f t="shared" ref="Q85:S85" si="59">Q87+Q88</f>
        <v>0</v>
      </c>
      <c r="R85" s="50">
        <f>R87+R88</f>
        <v>17500</v>
      </c>
      <c r="S85" s="30">
        <f t="shared" si="59"/>
        <v>0</v>
      </c>
      <c r="T85" s="50">
        <f>T87+T88</f>
        <v>17500</v>
      </c>
      <c r="U85" s="54" t="s">
        <v>99</v>
      </c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</row>
    <row r="86" spans="1:55" s="69" customFormat="1" x14ac:dyDescent="0.3">
      <c r="A86" s="51"/>
      <c r="B86" s="68" t="s">
        <v>2</v>
      </c>
      <c r="C86" s="67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30"/>
      <c r="T86" s="50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</row>
    <row r="87" spans="1:55" s="54" customFormat="1" hidden="1" x14ac:dyDescent="0.3">
      <c r="A87" s="51"/>
      <c r="B87" s="53" t="s">
        <v>3</v>
      </c>
      <c r="C87" s="67"/>
      <c r="D87" s="50">
        <v>9000</v>
      </c>
      <c r="E87" s="50"/>
      <c r="F87" s="50">
        <f>D87+E87</f>
        <v>9000</v>
      </c>
      <c r="G87" s="50"/>
      <c r="H87" s="50">
        <f>F87+G87</f>
        <v>9000</v>
      </c>
      <c r="I87" s="50">
        <v>-4500</v>
      </c>
      <c r="J87" s="50">
        <f>H87+I87</f>
        <v>4500</v>
      </c>
      <c r="K87" s="50"/>
      <c r="L87" s="50">
        <f>J87+K87</f>
        <v>4500</v>
      </c>
      <c r="M87" s="50"/>
      <c r="N87" s="50">
        <f>L87+M87</f>
        <v>4500</v>
      </c>
      <c r="O87" s="50">
        <v>-125</v>
      </c>
      <c r="P87" s="50">
        <f>N87+O87</f>
        <v>4375</v>
      </c>
      <c r="Q87" s="50"/>
      <c r="R87" s="50">
        <f>P87+Q87</f>
        <v>4375</v>
      </c>
      <c r="S87" s="50"/>
      <c r="T87" s="50">
        <f>R87+S87</f>
        <v>4375</v>
      </c>
      <c r="V87" s="54">
        <v>0</v>
      </c>
    </row>
    <row r="88" spans="1:55" s="69" customFormat="1" x14ac:dyDescent="0.3">
      <c r="A88" s="51"/>
      <c r="B88" s="53" t="s">
        <v>50</v>
      </c>
      <c r="C88" s="67"/>
      <c r="D88" s="50">
        <v>27000</v>
      </c>
      <c r="E88" s="50"/>
      <c r="F88" s="50">
        <f>D88+E88</f>
        <v>27000</v>
      </c>
      <c r="G88" s="50"/>
      <c r="H88" s="50">
        <f>F88+G88</f>
        <v>27000</v>
      </c>
      <c r="I88" s="50"/>
      <c r="J88" s="50">
        <f>H88+I88</f>
        <v>27000</v>
      </c>
      <c r="K88" s="50"/>
      <c r="L88" s="50">
        <f>J88+K88</f>
        <v>27000</v>
      </c>
      <c r="M88" s="50"/>
      <c r="N88" s="50">
        <f>L88+M88</f>
        <v>27000</v>
      </c>
      <c r="O88" s="50">
        <v>-13875</v>
      </c>
      <c r="P88" s="50">
        <f>N88+O88</f>
        <v>13125</v>
      </c>
      <c r="Q88" s="50"/>
      <c r="R88" s="50">
        <f>P88+Q88</f>
        <v>13125</v>
      </c>
      <c r="S88" s="30"/>
      <c r="T88" s="50">
        <f>R88+S88</f>
        <v>13125</v>
      </c>
      <c r="U88" s="54" t="s">
        <v>103</v>
      </c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</row>
    <row r="89" spans="1:55" ht="55.15" customHeight="1" x14ac:dyDescent="0.3">
      <c r="A89" s="7" t="s">
        <v>151</v>
      </c>
      <c r="B89" s="11" t="s">
        <v>26</v>
      </c>
      <c r="C89" s="11" t="s">
        <v>15</v>
      </c>
      <c r="D89" s="12">
        <f>D91+D92</f>
        <v>137976.59999999998</v>
      </c>
      <c r="E89" s="12">
        <f t="shared" ref="E89:F89" si="60">E91+E92</f>
        <v>0</v>
      </c>
      <c r="F89" s="12">
        <f t="shared" si="60"/>
        <v>137976.59999999998</v>
      </c>
      <c r="G89" s="12">
        <f t="shared" ref="G89:H89" si="61">G91+G92</f>
        <v>0</v>
      </c>
      <c r="H89" s="12">
        <f t="shared" si="61"/>
        <v>137976.59999999998</v>
      </c>
      <c r="I89" s="48">
        <f t="shared" ref="I89:J89" si="62">I91+I92</f>
        <v>0</v>
      </c>
      <c r="J89" s="12">
        <f t="shared" si="62"/>
        <v>137976.59999999998</v>
      </c>
      <c r="K89" s="48">
        <f t="shared" ref="K89:L89" si="63">K91+K92</f>
        <v>0</v>
      </c>
      <c r="L89" s="12">
        <f t="shared" si="63"/>
        <v>137976.59999999998</v>
      </c>
      <c r="M89" s="48">
        <f t="shared" ref="M89:N89" si="64">M91+M92</f>
        <v>0</v>
      </c>
      <c r="N89" s="12">
        <f t="shared" si="64"/>
        <v>137976.59999999998</v>
      </c>
      <c r="O89" s="48">
        <f t="shared" ref="O89:P89" si="65">O91+O92</f>
        <v>0</v>
      </c>
      <c r="P89" s="48">
        <f t="shared" si="65"/>
        <v>137976.59999999998</v>
      </c>
      <c r="Q89" s="48">
        <f t="shared" ref="Q89:R89" si="66">Q91+Q92</f>
        <v>0</v>
      </c>
      <c r="R89" s="48">
        <f t="shared" si="66"/>
        <v>137976.59999999998</v>
      </c>
      <c r="S89" s="28">
        <f t="shared" ref="S89:T89" si="67">S91+S92</f>
        <v>0</v>
      </c>
      <c r="T89" s="48">
        <f t="shared" si="67"/>
        <v>137976.59999999998</v>
      </c>
      <c r="U89" s="54" t="s">
        <v>27</v>
      </c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</row>
    <row r="90" spans="1:55" ht="16.149999999999999" customHeight="1" x14ac:dyDescent="0.3">
      <c r="A90" s="7"/>
      <c r="B90" s="8" t="s">
        <v>2</v>
      </c>
      <c r="C90" s="11"/>
      <c r="D90" s="12"/>
      <c r="E90" s="12"/>
      <c r="F90" s="12"/>
      <c r="G90" s="12"/>
      <c r="H90" s="12"/>
      <c r="I90" s="48"/>
      <c r="J90" s="12"/>
      <c r="K90" s="48"/>
      <c r="L90" s="12"/>
      <c r="M90" s="48"/>
      <c r="N90" s="12"/>
      <c r="O90" s="48"/>
      <c r="P90" s="12"/>
      <c r="Q90" s="48"/>
      <c r="R90" s="12"/>
      <c r="S90" s="28"/>
      <c r="T90" s="12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</row>
    <row r="91" spans="1:55" ht="18.600000000000001" hidden="1" customHeight="1" x14ac:dyDescent="0.3">
      <c r="A91" s="7"/>
      <c r="B91" s="17" t="s">
        <v>3</v>
      </c>
      <c r="C91" s="11"/>
      <c r="D91" s="12">
        <v>34494.199999999997</v>
      </c>
      <c r="E91" s="12"/>
      <c r="F91" s="12">
        <f>D91+E91</f>
        <v>34494.199999999997</v>
      </c>
      <c r="G91" s="12"/>
      <c r="H91" s="12">
        <f>F91+G91</f>
        <v>34494.199999999997</v>
      </c>
      <c r="I91" s="48"/>
      <c r="J91" s="12">
        <f>H91+I91</f>
        <v>34494.199999999997</v>
      </c>
      <c r="K91" s="48"/>
      <c r="L91" s="12">
        <f>J91+K91</f>
        <v>34494.199999999997</v>
      </c>
      <c r="M91" s="48"/>
      <c r="N91" s="12">
        <f>L91+M91</f>
        <v>34494.199999999997</v>
      </c>
      <c r="O91" s="48"/>
      <c r="P91" s="12">
        <f>N91+O91</f>
        <v>34494.199999999997</v>
      </c>
      <c r="Q91" s="48"/>
      <c r="R91" s="12">
        <f>P91+Q91</f>
        <v>34494.199999999997</v>
      </c>
      <c r="S91" s="28"/>
      <c r="T91" s="12">
        <f>R91+S91</f>
        <v>34494.199999999997</v>
      </c>
      <c r="V91" s="1">
        <v>0</v>
      </c>
    </row>
    <row r="92" spans="1:55" ht="19.899999999999999" customHeight="1" x14ac:dyDescent="0.3">
      <c r="A92" s="7"/>
      <c r="B92" s="17" t="s">
        <v>50</v>
      </c>
      <c r="C92" s="11"/>
      <c r="D92" s="12">
        <v>103482.4</v>
      </c>
      <c r="E92" s="12"/>
      <c r="F92" s="12">
        <f>D92+E92</f>
        <v>103482.4</v>
      </c>
      <c r="G92" s="12"/>
      <c r="H92" s="12">
        <f>F92+G92</f>
        <v>103482.4</v>
      </c>
      <c r="I92" s="48"/>
      <c r="J92" s="12">
        <f>H92+I92</f>
        <v>103482.4</v>
      </c>
      <c r="K92" s="48"/>
      <c r="L92" s="12">
        <f>J92+K92</f>
        <v>103482.4</v>
      </c>
      <c r="M92" s="48"/>
      <c r="N92" s="12">
        <f>L92+M92</f>
        <v>103482.4</v>
      </c>
      <c r="O92" s="48"/>
      <c r="P92" s="12">
        <f>N92+O92</f>
        <v>103482.4</v>
      </c>
      <c r="Q92" s="48"/>
      <c r="R92" s="12">
        <f>P92+Q92</f>
        <v>103482.4</v>
      </c>
      <c r="S92" s="28"/>
      <c r="T92" s="12">
        <f>R92+S92</f>
        <v>103482.4</v>
      </c>
      <c r="U92" s="1" t="s">
        <v>103</v>
      </c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</row>
    <row r="93" spans="1:55" ht="59.25" customHeight="1" x14ac:dyDescent="0.3">
      <c r="A93" s="7" t="s">
        <v>152</v>
      </c>
      <c r="B93" s="11" t="s">
        <v>28</v>
      </c>
      <c r="C93" s="11" t="s">
        <v>15</v>
      </c>
      <c r="D93" s="12">
        <f>D95+D96</f>
        <v>140000</v>
      </c>
      <c r="E93" s="12">
        <f t="shared" ref="E93:F93" si="68">E95+E96</f>
        <v>0</v>
      </c>
      <c r="F93" s="12">
        <f t="shared" si="68"/>
        <v>140000</v>
      </c>
      <c r="G93" s="12">
        <f t="shared" ref="G93:H93" si="69">G95+G96</f>
        <v>0</v>
      </c>
      <c r="H93" s="12">
        <f t="shared" si="69"/>
        <v>140000</v>
      </c>
      <c r="I93" s="48">
        <f t="shared" ref="I93:J93" si="70">I95+I96</f>
        <v>0</v>
      </c>
      <c r="J93" s="12">
        <f t="shared" si="70"/>
        <v>140000</v>
      </c>
      <c r="K93" s="48">
        <f>K95+K96</f>
        <v>0</v>
      </c>
      <c r="L93" s="12">
        <f t="shared" ref="L93:N93" si="71">L95+L96</f>
        <v>140000</v>
      </c>
      <c r="M93" s="48">
        <f>M95+M96</f>
        <v>0</v>
      </c>
      <c r="N93" s="12">
        <f t="shared" si="71"/>
        <v>140000</v>
      </c>
      <c r="O93" s="48">
        <f>O95+O96</f>
        <v>-15994.491</v>
      </c>
      <c r="P93" s="12">
        <f t="shared" ref="P93:R93" si="72">P95+P96</f>
        <v>124005.50899999999</v>
      </c>
      <c r="Q93" s="48">
        <f>Q95+Q96</f>
        <v>0</v>
      </c>
      <c r="R93" s="12">
        <f t="shared" si="72"/>
        <v>124005.50899999999</v>
      </c>
      <c r="S93" s="28">
        <f>S95+S96</f>
        <v>0</v>
      </c>
      <c r="T93" s="12">
        <f t="shared" ref="T93" si="73">T95+T96</f>
        <v>124005.50899999999</v>
      </c>
      <c r="U93" s="1" t="s">
        <v>29</v>
      </c>
    </row>
    <row r="94" spans="1:55" ht="21" customHeight="1" x14ac:dyDescent="0.3">
      <c r="A94" s="7"/>
      <c r="B94" s="8" t="s">
        <v>2</v>
      </c>
      <c r="C94" s="11"/>
      <c r="D94" s="13"/>
      <c r="E94" s="13"/>
      <c r="F94" s="13"/>
      <c r="G94" s="13"/>
      <c r="H94" s="13"/>
      <c r="I94" s="49"/>
      <c r="J94" s="13"/>
      <c r="K94" s="49"/>
      <c r="L94" s="13"/>
      <c r="M94" s="49"/>
      <c r="N94" s="13"/>
      <c r="O94" s="49"/>
      <c r="P94" s="13"/>
      <c r="Q94" s="49"/>
      <c r="R94" s="13"/>
      <c r="S94" s="29"/>
      <c r="T94" s="13"/>
    </row>
    <row r="95" spans="1:55" hidden="1" x14ac:dyDescent="0.3">
      <c r="A95" s="7"/>
      <c r="B95" s="17" t="s">
        <v>3</v>
      </c>
      <c r="C95" s="11"/>
      <c r="D95" s="13">
        <v>35000</v>
      </c>
      <c r="E95" s="13"/>
      <c r="F95" s="13">
        <f t="shared" ref="F95:F104" si="74">D95+E95</f>
        <v>35000</v>
      </c>
      <c r="G95" s="13"/>
      <c r="H95" s="13">
        <f t="shared" ref="H95:H104" si="75">F95+G95</f>
        <v>35000</v>
      </c>
      <c r="I95" s="49"/>
      <c r="J95" s="13">
        <f t="shared" ref="J95:J104" si="76">H95+I95</f>
        <v>35000</v>
      </c>
      <c r="K95" s="49"/>
      <c r="L95" s="13">
        <f t="shared" ref="L95:L104" si="77">J95+K95</f>
        <v>35000</v>
      </c>
      <c r="M95" s="49"/>
      <c r="N95" s="13">
        <f t="shared" ref="N95:N104" si="78">L95+M95</f>
        <v>35000</v>
      </c>
      <c r="O95" s="49">
        <v>-3998.6219999999998</v>
      </c>
      <c r="P95" s="13">
        <f t="shared" ref="P95:P104" si="79">N95+O95</f>
        <v>31001.378000000001</v>
      </c>
      <c r="Q95" s="49"/>
      <c r="R95" s="13">
        <f t="shared" ref="R95:R104" si="80">P95+Q95</f>
        <v>31001.378000000001</v>
      </c>
      <c r="S95" s="29"/>
      <c r="T95" s="13">
        <f t="shared" ref="T95:T104" si="81">R95+S95</f>
        <v>31001.378000000001</v>
      </c>
      <c r="V95" s="1">
        <v>0</v>
      </c>
    </row>
    <row r="96" spans="1:55" x14ac:dyDescent="0.3">
      <c r="A96" s="7"/>
      <c r="B96" s="17" t="s">
        <v>50</v>
      </c>
      <c r="C96" s="11"/>
      <c r="D96" s="13">
        <v>105000</v>
      </c>
      <c r="E96" s="13"/>
      <c r="F96" s="13">
        <f t="shared" si="74"/>
        <v>105000</v>
      </c>
      <c r="G96" s="13"/>
      <c r="H96" s="13">
        <f t="shared" si="75"/>
        <v>105000</v>
      </c>
      <c r="I96" s="49"/>
      <c r="J96" s="13">
        <f t="shared" si="76"/>
        <v>105000</v>
      </c>
      <c r="K96" s="49"/>
      <c r="L96" s="13">
        <f t="shared" si="77"/>
        <v>105000</v>
      </c>
      <c r="M96" s="49"/>
      <c r="N96" s="13">
        <f t="shared" si="78"/>
        <v>105000</v>
      </c>
      <c r="O96" s="49">
        <v>-11995.869000000001</v>
      </c>
      <c r="P96" s="13">
        <f t="shared" si="79"/>
        <v>93004.130999999994</v>
      </c>
      <c r="Q96" s="49"/>
      <c r="R96" s="13">
        <f t="shared" si="80"/>
        <v>93004.130999999994</v>
      </c>
      <c r="S96" s="29"/>
      <c r="T96" s="13">
        <f t="shared" si="81"/>
        <v>93004.130999999994</v>
      </c>
      <c r="U96" s="1" t="s">
        <v>103</v>
      </c>
    </row>
    <row r="97" spans="1:22" ht="56.25" x14ac:dyDescent="0.3">
      <c r="A97" s="7" t="s">
        <v>153</v>
      </c>
      <c r="B97" s="11" t="s">
        <v>28</v>
      </c>
      <c r="C97" s="17" t="s">
        <v>33</v>
      </c>
      <c r="D97" s="13">
        <v>9499.9</v>
      </c>
      <c r="E97" s="13"/>
      <c r="F97" s="13">
        <f t="shared" si="74"/>
        <v>9499.9</v>
      </c>
      <c r="G97" s="13"/>
      <c r="H97" s="13">
        <f t="shared" si="75"/>
        <v>9499.9</v>
      </c>
      <c r="I97" s="49"/>
      <c r="J97" s="13">
        <f t="shared" si="76"/>
        <v>9499.9</v>
      </c>
      <c r="K97" s="49"/>
      <c r="L97" s="13">
        <f t="shared" si="77"/>
        <v>9499.9</v>
      </c>
      <c r="M97" s="49"/>
      <c r="N97" s="13">
        <f t="shared" si="78"/>
        <v>9499.9</v>
      </c>
      <c r="O97" s="49"/>
      <c r="P97" s="13">
        <f t="shared" si="79"/>
        <v>9499.9</v>
      </c>
      <c r="Q97" s="49"/>
      <c r="R97" s="13">
        <f t="shared" si="80"/>
        <v>9499.9</v>
      </c>
      <c r="S97" s="29"/>
      <c r="T97" s="13">
        <f t="shared" si="81"/>
        <v>9499.9</v>
      </c>
      <c r="U97" s="1" t="s">
        <v>29</v>
      </c>
    </row>
    <row r="98" spans="1:22" ht="75" x14ac:dyDescent="0.3">
      <c r="A98" s="7" t="s">
        <v>157</v>
      </c>
      <c r="B98" s="11" t="s">
        <v>161</v>
      </c>
      <c r="C98" s="11" t="s">
        <v>15</v>
      </c>
      <c r="D98" s="13">
        <v>0</v>
      </c>
      <c r="E98" s="13">
        <v>653</v>
      </c>
      <c r="F98" s="13">
        <f t="shared" si="74"/>
        <v>653</v>
      </c>
      <c r="G98" s="13"/>
      <c r="H98" s="13">
        <f t="shared" si="75"/>
        <v>653</v>
      </c>
      <c r="I98" s="49"/>
      <c r="J98" s="13">
        <f t="shared" si="76"/>
        <v>653</v>
      </c>
      <c r="K98" s="49"/>
      <c r="L98" s="13">
        <f t="shared" si="77"/>
        <v>653</v>
      </c>
      <c r="M98" s="49"/>
      <c r="N98" s="13">
        <f t="shared" si="78"/>
        <v>653</v>
      </c>
      <c r="O98" s="49">
        <v>-311.91300000000001</v>
      </c>
      <c r="P98" s="13">
        <f t="shared" si="79"/>
        <v>341.08699999999999</v>
      </c>
      <c r="Q98" s="49"/>
      <c r="R98" s="13">
        <f t="shared" si="80"/>
        <v>341.08699999999999</v>
      </c>
      <c r="S98" s="29"/>
      <c r="T98" s="13">
        <f t="shared" si="81"/>
        <v>341.08699999999999</v>
      </c>
      <c r="U98" s="1" t="s">
        <v>144</v>
      </c>
    </row>
    <row r="99" spans="1:22" ht="75" x14ac:dyDescent="0.3">
      <c r="A99" s="7" t="s">
        <v>173</v>
      </c>
      <c r="B99" s="11" t="s">
        <v>146</v>
      </c>
      <c r="C99" s="11" t="s">
        <v>15</v>
      </c>
      <c r="D99" s="13">
        <v>0</v>
      </c>
      <c r="E99" s="13">
        <v>1620.3</v>
      </c>
      <c r="F99" s="13">
        <f t="shared" si="74"/>
        <v>1620.3</v>
      </c>
      <c r="G99" s="13"/>
      <c r="H99" s="13">
        <f t="shared" si="75"/>
        <v>1620.3</v>
      </c>
      <c r="I99" s="49"/>
      <c r="J99" s="13">
        <f t="shared" si="76"/>
        <v>1620.3</v>
      </c>
      <c r="K99" s="49">
        <v>-622.1</v>
      </c>
      <c r="L99" s="13">
        <f t="shared" si="77"/>
        <v>998.19999999999993</v>
      </c>
      <c r="M99" s="49">
        <v>-486.68299999999999</v>
      </c>
      <c r="N99" s="13">
        <f t="shared" si="78"/>
        <v>511.51699999999994</v>
      </c>
      <c r="O99" s="49"/>
      <c r="P99" s="13">
        <f t="shared" si="79"/>
        <v>511.51699999999994</v>
      </c>
      <c r="Q99" s="49"/>
      <c r="R99" s="13">
        <f t="shared" si="80"/>
        <v>511.51699999999994</v>
      </c>
      <c r="S99" s="29">
        <v>96.347999999999999</v>
      </c>
      <c r="T99" s="13">
        <f t="shared" si="81"/>
        <v>607.8649999999999</v>
      </c>
      <c r="U99" s="1" t="s">
        <v>145</v>
      </c>
    </row>
    <row r="100" spans="1:22" ht="56.25" hidden="1" x14ac:dyDescent="0.3">
      <c r="A100" s="7" t="s">
        <v>157</v>
      </c>
      <c r="B100" s="11" t="s">
        <v>176</v>
      </c>
      <c r="C100" s="11" t="s">
        <v>17</v>
      </c>
      <c r="D100" s="13"/>
      <c r="E100" s="13"/>
      <c r="F100" s="13"/>
      <c r="G100" s="13"/>
      <c r="H100" s="13"/>
      <c r="I100" s="49"/>
      <c r="J100" s="13">
        <f t="shared" si="76"/>
        <v>0</v>
      </c>
      <c r="K100" s="49"/>
      <c r="L100" s="13">
        <f t="shared" si="77"/>
        <v>0</v>
      </c>
      <c r="M100" s="49"/>
      <c r="N100" s="13">
        <f t="shared" si="78"/>
        <v>0</v>
      </c>
      <c r="O100" s="49"/>
      <c r="P100" s="13">
        <f t="shared" si="79"/>
        <v>0</v>
      </c>
      <c r="Q100" s="49"/>
      <c r="R100" s="13">
        <f t="shared" si="80"/>
        <v>0</v>
      </c>
      <c r="S100" s="29"/>
      <c r="T100" s="13">
        <f t="shared" si="81"/>
        <v>0</v>
      </c>
      <c r="U100" s="1" t="s">
        <v>178</v>
      </c>
      <c r="V100" s="1">
        <v>0</v>
      </c>
    </row>
    <row r="101" spans="1:22" ht="75" hidden="1" x14ac:dyDescent="0.3">
      <c r="A101" s="7" t="s">
        <v>173</v>
      </c>
      <c r="B101" s="11" t="s">
        <v>177</v>
      </c>
      <c r="C101" s="11" t="s">
        <v>15</v>
      </c>
      <c r="D101" s="13"/>
      <c r="E101" s="13"/>
      <c r="F101" s="13"/>
      <c r="G101" s="13"/>
      <c r="H101" s="13"/>
      <c r="I101" s="49"/>
      <c r="J101" s="13">
        <f t="shared" si="76"/>
        <v>0</v>
      </c>
      <c r="K101" s="49"/>
      <c r="L101" s="13">
        <f t="shared" si="77"/>
        <v>0</v>
      </c>
      <c r="M101" s="49"/>
      <c r="N101" s="13">
        <f t="shared" si="78"/>
        <v>0</v>
      </c>
      <c r="O101" s="49"/>
      <c r="P101" s="13">
        <f t="shared" si="79"/>
        <v>0</v>
      </c>
      <c r="Q101" s="49"/>
      <c r="R101" s="13">
        <f t="shared" si="80"/>
        <v>0</v>
      </c>
      <c r="S101" s="29"/>
      <c r="T101" s="13">
        <f t="shared" si="81"/>
        <v>0</v>
      </c>
      <c r="U101" s="1" t="s">
        <v>179</v>
      </c>
      <c r="V101" s="1">
        <v>0</v>
      </c>
    </row>
    <row r="102" spans="1:22" ht="60" customHeight="1" x14ac:dyDescent="0.3">
      <c r="A102" s="7" t="s">
        <v>195</v>
      </c>
      <c r="B102" s="11" t="s">
        <v>176</v>
      </c>
      <c r="C102" s="11" t="s">
        <v>17</v>
      </c>
      <c r="D102" s="13"/>
      <c r="E102" s="13"/>
      <c r="F102" s="12"/>
      <c r="G102" s="13"/>
      <c r="H102" s="12"/>
      <c r="I102" s="49"/>
      <c r="J102" s="12"/>
      <c r="K102" s="49">
        <v>11.824</v>
      </c>
      <c r="L102" s="13">
        <f t="shared" si="77"/>
        <v>11.824</v>
      </c>
      <c r="M102" s="49"/>
      <c r="N102" s="13">
        <f t="shared" si="78"/>
        <v>11.824</v>
      </c>
      <c r="O102" s="49"/>
      <c r="P102" s="13">
        <f t="shared" si="79"/>
        <v>11.824</v>
      </c>
      <c r="Q102" s="49"/>
      <c r="R102" s="13">
        <f t="shared" si="80"/>
        <v>11.824</v>
      </c>
      <c r="S102" s="29"/>
      <c r="T102" s="13">
        <f t="shared" si="81"/>
        <v>11.824</v>
      </c>
      <c r="U102" s="1" t="s">
        <v>178</v>
      </c>
    </row>
    <row r="103" spans="1:22" ht="60" customHeight="1" x14ac:dyDescent="0.3">
      <c r="A103" s="7" t="s">
        <v>196</v>
      </c>
      <c r="B103" s="11" t="s">
        <v>187</v>
      </c>
      <c r="C103" s="11" t="s">
        <v>15</v>
      </c>
      <c r="D103" s="13"/>
      <c r="E103" s="13"/>
      <c r="F103" s="12"/>
      <c r="G103" s="13"/>
      <c r="H103" s="12"/>
      <c r="I103" s="49"/>
      <c r="J103" s="12"/>
      <c r="K103" s="49">
        <v>9756.8320000000003</v>
      </c>
      <c r="L103" s="13">
        <f t="shared" si="77"/>
        <v>9756.8320000000003</v>
      </c>
      <c r="M103" s="49"/>
      <c r="N103" s="13">
        <f t="shared" si="78"/>
        <v>9756.8320000000003</v>
      </c>
      <c r="O103" s="49">
        <v>24.393000000000001</v>
      </c>
      <c r="P103" s="13">
        <f t="shared" si="79"/>
        <v>9781.2250000000004</v>
      </c>
      <c r="Q103" s="49"/>
      <c r="R103" s="13">
        <f t="shared" si="80"/>
        <v>9781.2250000000004</v>
      </c>
      <c r="S103" s="29">
        <v>-5679.7539999999999</v>
      </c>
      <c r="T103" s="13">
        <f t="shared" si="81"/>
        <v>4101.4710000000005</v>
      </c>
      <c r="U103" s="1" t="s">
        <v>188</v>
      </c>
    </row>
    <row r="104" spans="1:22" s="54" customFormat="1" x14ac:dyDescent="0.3">
      <c r="A104" s="51"/>
      <c r="B104" s="77" t="s">
        <v>18</v>
      </c>
      <c r="C104" s="78"/>
      <c r="D104" s="56">
        <f>D108+D112</f>
        <v>190910.9</v>
      </c>
      <c r="E104" s="56">
        <f>E108+E112+E113</f>
        <v>0</v>
      </c>
      <c r="F104" s="56">
        <f t="shared" si="74"/>
        <v>190910.9</v>
      </c>
      <c r="G104" s="56">
        <f>G108+G112+G113</f>
        <v>0</v>
      </c>
      <c r="H104" s="56">
        <f t="shared" si="75"/>
        <v>190910.9</v>
      </c>
      <c r="I104" s="56">
        <f>I108+I112+I113</f>
        <v>0</v>
      </c>
      <c r="J104" s="56">
        <f t="shared" si="76"/>
        <v>190910.9</v>
      </c>
      <c r="K104" s="56">
        <f>K108+K112+K113</f>
        <v>-51186.917999999998</v>
      </c>
      <c r="L104" s="56">
        <f t="shared" si="77"/>
        <v>139723.98199999999</v>
      </c>
      <c r="M104" s="56">
        <f>M108+M112+M113</f>
        <v>0</v>
      </c>
      <c r="N104" s="56">
        <f t="shared" si="78"/>
        <v>139723.98199999999</v>
      </c>
      <c r="O104" s="56">
        <f>O108+O112+O113</f>
        <v>-44395.9</v>
      </c>
      <c r="P104" s="56">
        <f t="shared" si="79"/>
        <v>95328.081999999995</v>
      </c>
      <c r="Q104" s="56">
        <f>Q108+Q112+Q113</f>
        <v>0</v>
      </c>
      <c r="R104" s="56">
        <f t="shared" si="80"/>
        <v>95328.081999999995</v>
      </c>
      <c r="S104" s="56">
        <f>S108+S112+S113</f>
        <v>0</v>
      </c>
      <c r="T104" s="35">
        <f t="shared" si="81"/>
        <v>95328.081999999995</v>
      </c>
      <c r="U104" s="58"/>
    </row>
    <row r="105" spans="1:22" x14ac:dyDescent="0.3">
      <c r="A105" s="7"/>
      <c r="B105" s="8" t="s">
        <v>2</v>
      </c>
      <c r="C105" s="15"/>
      <c r="D105" s="9"/>
      <c r="E105" s="9"/>
      <c r="F105" s="9"/>
      <c r="G105" s="9"/>
      <c r="H105" s="9"/>
      <c r="I105" s="35"/>
      <c r="J105" s="9"/>
      <c r="K105" s="35"/>
      <c r="L105" s="9"/>
      <c r="M105" s="35"/>
      <c r="N105" s="9"/>
      <c r="O105" s="35"/>
      <c r="P105" s="9"/>
      <c r="Q105" s="35"/>
      <c r="R105" s="9"/>
      <c r="S105" s="27"/>
      <c r="T105" s="9"/>
    </row>
    <row r="106" spans="1:22" hidden="1" x14ac:dyDescent="0.3">
      <c r="A106" s="7"/>
      <c r="B106" s="17" t="s">
        <v>3</v>
      </c>
      <c r="C106" s="15"/>
      <c r="D106" s="9">
        <f>D110+D112+D113</f>
        <v>127234.8</v>
      </c>
      <c r="E106" s="9">
        <f>E110+E112+E113</f>
        <v>0</v>
      </c>
      <c r="F106" s="9">
        <f>D106+E106</f>
        <v>127234.8</v>
      </c>
      <c r="G106" s="9">
        <f>G110+G112+G113</f>
        <v>0</v>
      </c>
      <c r="H106" s="9">
        <f>F106+G106</f>
        <v>127234.8</v>
      </c>
      <c r="I106" s="35">
        <f>I110+I112+I113</f>
        <v>0</v>
      </c>
      <c r="J106" s="9">
        <f>H106+I106</f>
        <v>127234.8</v>
      </c>
      <c r="K106" s="35">
        <f>K110+K112+K113</f>
        <v>-51186.917999999998</v>
      </c>
      <c r="L106" s="9">
        <f>J106+K106</f>
        <v>76047.882000000012</v>
      </c>
      <c r="M106" s="35">
        <f>M110+M112+M113</f>
        <v>0</v>
      </c>
      <c r="N106" s="9">
        <f>L106+M106</f>
        <v>76047.882000000012</v>
      </c>
      <c r="O106" s="35">
        <f>O110+O112+O113</f>
        <v>0</v>
      </c>
      <c r="P106" s="9">
        <f>N106+O106</f>
        <v>76047.882000000012</v>
      </c>
      <c r="Q106" s="35">
        <f>Q110+Q112+Q113</f>
        <v>0</v>
      </c>
      <c r="R106" s="9">
        <f>P106+Q106</f>
        <v>76047.882000000012</v>
      </c>
      <c r="S106" s="27">
        <f>S110+S112+S113</f>
        <v>0</v>
      </c>
      <c r="T106" s="9">
        <f>R106+S106</f>
        <v>76047.882000000012</v>
      </c>
      <c r="V106" s="1">
        <v>0</v>
      </c>
    </row>
    <row r="107" spans="1:22" x14ac:dyDescent="0.3">
      <c r="A107" s="7"/>
      <c r="B107" s="17" t="s">
        <v>59</v>
      </c>
      <c r="C107" s="15"/>
      <c r="D107" s="9">
        <f>D111</f>
        <v>63676.1</v>
      </c>
      <c r="E107" s="9">
        <f t="shared" ref="E107:G107" si="82">E111</f>
        <v>0</v>
      </c>
      <c r="F107" s="9">
        <f>D107+E107</f>
        <v>63676.1</v>
      </c>
      <c r="G107" s="9">
        <f t="shared" si="82"/>
        <v>0</v>
      </c>
      <c r="H107" s="9">
        <f>F107+G107</f>
        <v>63676.1</v>
      </c>
      <c r="I107" s="35">
        <f t="shared" ref="I107:K107" si="83">I111</f>
        <v>0</v>
      </c>
      <c r="J107" s="9">
        <f>H107+I107</f>
        <v>63676.1</v>
      </c>
      <c r="K107" s="35">
        <f t="shared" si="83"/>
        <v>0</v>
      </c>
      <c r="L107" s="9">
        <f>J107+K107</f>
        <v>63676.1</v>
      </c>
      <c r="M107" s="35">
        <f t="shared" ref="M107:O107" si="84">M111</f>
        <v>0</v>
      </c>
      <c r="N107" s="9">
        <f>L107+M107</f>
        <v>63676.1</v>
      </c>
      <c r="O107" s="35">
        <f t="shared" si="84"/>
        <v>-44395.9</v>
      </c>
      <c r="P107" s="9">
        <f>N107+O107</f>
        <v>19280.199999999997</v>
      </c>
      <c r="Q107" s="35">
        <f t="shared" ref="Q107:S107" si="85">Q111</f>
        <v>0</v>
      </c>
      <c r="R107" s="9">
        <f>P107+Q107</f>
        <v>19280.199999999997</v>
      </c>
      <c r="S107" s="27">
        <f t="shared" si="85"/>
        <v>0</v>
      </c>
      <c r="T107" s="9">
        <f>R107+S107</f>
        <v>19280.199999999997</v>
      </c>
    </row>
    <row r="108" spans="1:22" ht="75" x14ac:dyDescent="0.3">
      <c r="A108" s="7" t="s">
        <v>197</v>
      </c>
      <c r="B108" s="16" t="s">
        <v>131</v>
      </c>
      <c r="C108" s="11" t="s">
        <v>19</v>
      </c>
      <c r="D108" s="9">
        <f>D110+D111</f>
        <v>90910.9</v>
      </c>
      <c r="E108" s="9">
        <f t="shared" ref="E108:F108" si="86">E110+E111</f>
        <v>0</v>
      </c>
      <c r="F108" s="9">
        <f t="shared" si="86"/>
        <v>90910.9</v>
      </c>
      <c r="G108" s="9">
        <f t="shared" ref="G108:H108" si="87">G110+G111</f>
        <v>0</v>
      </c>
      <c r="H108" s="9">
        <f t="shared" si="87"/>
        <v>90910.9</v>
      </c>
      <c r="I108" s="35">
        <f>I110+I111</f>
        <v>0</v>
      </c>
      <c r="J108" s="9">
        <f t="shared" ref="J108:L108" si="88">J110+J111</f>
        <v>90910.9</v>
      </c>
      <c r="K108" s="35">
        <f>K110+K111</f>
        <v>48813.082000000002</v>
      </c>
      <c r="L108" s="9">
        <f t="shared" si="88"/>
        <v>139723.98199999999</v>
      </c>
      <c r="M108" s="35">
        <f>M110+M111</f>
        <v>0</v>
      </c>
      <c r="N108" s="9">
        <f t="shared" ref="N108:P108" si="89">N110+N111</f>
        <v>139723.98199999999</v>
      </c>
      <c r="O108" s="35">
        <f>O110+O111</f>
        <v>-44395.9</v>
      </c>
      <c r="P108" s="9">
        <f t="shared" si="89"/>
        <v>95328.081999999995</v>
      </c>
      <c r="Q108" s="35">
        <f>Q110+Q111</f>
        <v>0</v>
      </c>
      <c r="R108" s="9">
        <f t="shared" ref="R108:T108" si="90">R110+R111</f>
        <v>95328.081999999995</v>
      </c>
      <c r="S108" s="27">
        <f>S110+S111</f>
        <v>0</v>
      </c>
      <c r="T108" s="9">
        <f t="shared" si="90"/>
        <v>95328.081999999995</v>
      </c>
      <c r="U108" s="1" t="s">
        <v>42</v>
      </c>
    </row>
    <row r="109" spans="1:22" x14ac:dyDescent="0.3">
      <c r="A109" s="7"/>
      <c r="B109" s="8" t="s">
        <v>2</v>
      </c>
      <c r="C109" s="11"/>
      <c r="D109" s="9"/>
      <c r="E109" s="9"/>
      <c r="F109" s="9"/>
      <c r="G109" s="9"/>
      <c r="H109" s="9"/>
      <c r="I109" s="35"/>
      <c r="J109" s="9"/>
      <c r="K109" s="35"/>
      <c r="L109" s="9"/>
      <c r="M109" s="35"/>
      <c r="N109" s="9"/>
      <c r="O109" s="35"/>
      <c r="P109" s="9"/>
      <c r="Q109" s="35"/>
      <c r="R109" s="9"/>
      <c r="S109" s="27"/>
      <c r="T109" s="9"/>
    </row>
    <row r="110" spans="1:22" hidden="1" x14ac:dyDescent="0.3">
      <c r="A110" s="7"/>
      <c r="B110" s="17" t="s">
        <v>3</v>
      </c>
      <c r="C110" s="11"/>
      <c r="D110" s="9">
        <v>27234.799999999999</v>
      </c>
      <c r="E110" s="9"/>
      <c r="F110" s="9">
        <f t="shared" ref="F110:F120" si="91">D110+E110</f>
        <v>27234.799999999999</v>
      </c>
      <c r="G110" s="9"/>
      <c r="H110" s="9">
        <f t="shared" ref="H110:H112" si="92">F110+G110</f>
        <v>27234.799999999999</v>
      </c>
      <c r="I110" s="35"/>
      <c r="J110" s="9">
        <f t="shared" ref="J110:J112" si="93">H110+I110</f>
        <v>27234.799999999999</v>
      </c>
      <c r="K110" s="35">
        <f>19299.429+17637.755+9014.371+2861.527</f>
        <v>48813.082000000002</v>
      </c>
      <c r="L110" s="9">
        <f>J110+K110</f>
        <v>76047.881999999998</v>
      </c>
      <c r="M110" s="35"/>
      <c r="N110" s="9">
        <f>L110+M110</f>
        <v>76047.881999999998</v>
      </c>
      <c r="O110" s="35"/>
      <c r="P110" s="9">
        <f>N110+O110</f>
        <v>76047.881999999998</v>
      </c>
      <c r="Q110" s="35"/>
      <c r="R110" s="9">
        <f>P110+Q110</f>
        <v>76047.881999999998</v>
      </c>
      <c r="S110" s="27"/>
      <c r="T110" s="9">
        <f>R110+S110</f>
        <v>76047.881999999998</v>
      </c>
      <c r="V110" s="1">
        <v>0</v>
      </c>
    </row>
    <row r="111" spans="1:22" x14ac:dyDescent="0.3">
      <c r="A111" s="7"/>
      <c r="B111" s="17" t="s">
        <v>59</v>
      </c>
      <c r="C111" s="11"/>
      <c r="D111" s="9">
        <v>63676.1</v>
      </c>
      <c r="E111" s="9"/>
      <c r="F111" s="9">
        <f t="shared" si="91"/>
        <v>63676.1</v>
      </c>
      <c r="G111" s="9"/>
      <c r="H111" s="9">
        <f t="shared" si="92"/>
        <v>63676.1</v>
      </c>
      <c r="I111" s="35"/>
      <c r="J111" s="9">
        <f t="shared" si="93"/>
        <v>63676.1</v>
      </c>
      <c r="K111" s="35"/>
      <c r="L111" s="9">
        <f t="shared" ref="L111:L112" si="94">J111+K111</f>
        <v>63676.1</v>
      </c>
      <c r="M111" s="35"/>
      <c r="N111" s="9">
        <f t="shared" ref="N111:N112" si="95">L111+M111</f>
        <v>63676.1</v>
      </c>
      <c r="O111" s="35">
        <v>-44395.9</v>
      </c>
      <c r="P111" s="9">
        <f t="shared" ref="P111:P112" si="96">N111+O111</f>
        <v>19280.199999999997</v>
      </c>
      <c r="Q111" s="35"/>
      <c r="R111" s="9">
        <f t="shared" ref="R111:R112" si="97">P111+Q111</f>
        <v>19280.199999999997</v>
      </c>
      <c r="S111" s="27"/>
      <c r="T111" s="9">
        <f t="shared" ref="T111:T112" si="98">R111+S111</f>
        <v>19280.199999999997</v>
      </c>
      <c r="U111" s="1" t="s">
        <v>60</v>
      </c>
    </row>
    <row r="112" spans="1:22" s="41" customFormat="1" ht="75" hidden="1" x14ac:dyDescent="0.3">
      <c r="A112" s="37"/>
      <c r="B112" s="39" t="s">
        <v>58</v>
      </c>
      <c r="C112" s="42" t="s">
        <v>19</v>
      </c>
      <c r="D112" s="40">
        <v>100000</v>
      </c>
      <c r="E112" s="40">
        <v>-100000</v>
      </c>
      <c r="F112" s="40">
        <f t="shared" si="91"/>
        <v>0</v>
      </c>
      <c r="G112" s="40"/>
      <c r="H112" s="40">
        <f t="shared" si="92"/>
        <v>0</v>
      </c>
      <c r="I112" s="35"/>
      <c r="J112" s="40">
        <f t="shared" si="93"/>
        <v>0</v>
      </c>
      <c r="K112" s="35"/>
      <c r="L112" s="40">
        <f t="shared" si="94"/>
        <v>0</v>
      </c>
      <c r="M112" s="35"/>
      <c r="N112" s="40">
        <f t="shared" si="95"/>
        <v>0</v>
      </c>
      <c r="O112" s="35"/>
      <c r="P112" s="40">
        <f t="shared" si="96"/>
        <v>0</v>
      </c>
      <c r="Q112" s="35"/>
      <c r="R112" s="40">
        <f t="shared" si="97"/>
        <v>0</v>
      </c>
      <c r="S112" s="27"/>
      <c r="T112" s="40">
        <f t="shared" si="98"/>
        <v>0</v>
      </c>
      <c r="U112" s="41" t="s">
        <v>53</v>
      </c>
      <c r="V112" s="41">
        <v>0</v>
      </c>
    </row>
    <row r="113" spans="1:22" s="41" customFormat="1" ht="56.25" hidden="1" x14ac:dyDescent="0.3">
      <c r="A113" s="37" t="s">
        <v>150</v>
      </c>
      <c r="B113" s="39" t="s">
        <v>134</v>
      </c>
      <c r="C113" s="39" t="s">
        <v>55</v>
      </c>
      <c r="D113" s="40">
        <v>0</v>
      </c>
      <c r="E113" s="40">
        <v>100000</v>
      </c>
      <c r="F113" s="40">
        <f>D113+E113</f>
        <v>100000</v>
      </c>
      <c r="G113" s="40"/>
      <c r="H113" s="40">
        <f>F113+G113</f>
        <v>100000</v>
      </c>
      <c r="I113" s="40"/>
      <c r="J113" s="40">
        <f>H113+I113</f>
        <v>100000</v>
      </c>
      <c r="K113" s="35">
        <v>-100000</v>
      </c>
      <c r="L113" s="40">
        <f>J113+K113</f>
        <v>0</v>
      </c>
      <c r="M113" s="35"/>
      <c r="N113" s="40">
        <f>L113+M113</f>
        <v>0</v>
      </c>
      <c r="O113" s="35"/>
      <c r="P113" s="40">
        <f>N113+O113</f>
        <v>0</v>
      </c>
      <c r="Q113" s="35"/>
      <c r="R113" s="40">
        <f>P113+Q113</f>
        <v>0</v>
      </c>
      <c r="S113" s="40"/>
      <c r="T113" s="40">
        <f>R113+S113</f>
        <v>0</v>
      </c>
      <c r="U113" s="41" t="s">
        <v>53</v>
      </c>
      <c r="V113" s="41">
        <v>0</v>
      </c>
    </row>
    <row r="114" spans="1:22" s="54" customFormat="1" x14ac:dyDescent="0.3">
      <c r="A114" s="51"/>
      <c r="B114" s="53" t="s">
        <v>61</v>
      </c>
      <c r="C114" s="67"/>
      <c r="D114" s="56">
        <f>D115+D117</f>
        <v>86502</v>
      </c>
      <c r="E114" s="56">
        <f t="shared" ref="E114" si="99">E115+E117</f>
        <v>0</v>
      </c>
      <c r="F114" s="56">
        <f t="shared" si="91"/>
        <v>86502</v>
      </c>
      <c r="G114" s="56">
        <f>G115+G117+G118</f>
        <v>0</v>
      </c>
      <c r="H114" s="56">
        <f t="shared" ref="H114:H120" si="100">F114+G114</f>
        <v>86502</v>
      </c>
      <c r="I114" s="56">
        <f>I115+I117+I118</f>
        <v>0</v>
      </c>
      <c r="J114" s="56">
        <f t="shared" ref="J114:J120" si="101">H114+I114</f>
        <v>86502</v>
      </c>
      <c r="K114" s="56">
        <f>K115+K117+K118</f>
        <v>-50500</v>
      </c>
      <c r="L114" s="56">
        <f t="shared" ref="L114:L120" si="102">J114+K114</f>
        <v>36002</v>
      </c>
      <c r="M114" s="56">
        <f>M115+M117+M118</f>
        <v>0</v>
      </c>
      <c r="N114" s="56">
        <f t="shared" ref="N114:N120" si="103">L114+M114</f>
        <v>36002</v>
      </c>
      <c r="O114" s="56">
        <f>O115+O117+O118+O116</f>
        <v>0</v>
      </c>
      <c r="P114" s="56">
        <f t="shared" ref="P114:P120" si="104">N114+O114</f>
        <v>36002</v>
      </c>
      <c r="Q114" s="56">
        <f>Q115+Q117+Q118+Q116</f>
        <v>0</v>
      </c>
      <c r="R114" s="56">
        <f t="shared" ref="R114:R120" si="105">P114+Q114</f>
        <v>36002</v>
      </c>
      <c r="S114" s="56">
        <f>S115+S117+S118+S116</f>
        <v>0</v>
      </c>
      <c r="T114" s="35">
        <f t="shared" ref="T114:T120" si="106">R114+S114</f>
        <v>36002</v>
      </c>
      <c r="U114" s="58"/>
    </row>
    <row r="115" spans="1:22" ht="56.25" hidden="1" x14ac:dyDescent="0.3">
      <c r="A115" s="7" t="s">
        <v>196</v>
      </c>
      <c r="B115" s="17" t="s">
        <v>204</v>
      </c>
      <c r="C115" s="17" t="s">
        <v>55</v>
      </c>
      <c r="D115" s="9">
        <v>62002</v>
      </c>
      <c r="E115" s="9"/>
      <c r="F115" s="9">
        <f t="shared" si="91"/>
        <v>62002</v>
      </c>
      <c r="G115" s="9">
        <v>-14193.74</v>
      </c>
      <c r="H115" s="9">
        <f t="shared" si="100"/>
        <v>47808.26</v>
      </c>
      <c r="I115" s="35"/>
      <c r="J115" s="9">
        <f t="shared" si="101"/>
        <v>47808.26</v>
      </c>
      <c r="K115" s="35">
        <v>-26000</v>
      </c>
      <c r="L115" s="9">
        <f t="shared" si="102"/>
        <v>21808.260000000002</v>
      </c>
      <c r="M115" s="35"/>
      <c r="N115" s="9">
        <f t="shared" si="103"/>
        <v>21808.260000000002</v>
      </c>
      <c r="O115" s="35">
        <v>-21808.26</v>
      </c>
      <c r="P115" s="9">
        <f t="shared" si="104"/>
        <v>0</v>
      </c>
      <c r="Q115" s="35"/>
      <c r="R115" s="9">
        <f t="shared" si="105"/>
        <v>0</v>
      </c>
      <c r="S115" s="27"/>
      <c r="T115" s="9">
        <f t="shared" si="106"/>
        <v>0</v>
      </c>
      <c r="U115" s="1" t="s">
        <v>62</v>
      </c>
      <c r="V115" s="1">
        <v>0</v>
      </c>
    </row>
    <row r="116" spans="1:22" ht="56.25" x14ac:dyDescent="0.3">
      <c r="A116" s="7" t="s">
        <v>201</v>
      </c>
      <c r="B116" s="70" t="s">
        <v>202</v>
      </c>
      <c r="C116" s="71" t="s">
        <v>55</v>
      </c>
      <c r="D116" s="9"/>
      <c r="E116" s="9"/>
      <c r="F116" s="9"/>
      <c r="G116" s="9"/>
      <c r="H116" s="9"/>
      <c r="I116" s="35"/>
      <c r="J116" s="9"/>
      <c r="K116" s="35"/>
      <c r="L116" s="9"/>
      <c r="M116" s="35"/>
      <c r="N116" s="9"/>
      <c r="O116" s="35">
        <v>21808.26</v>
      </c>
      <c r="P116" s="9">
        <f t="shared" si="104"/>
        <v>21808.26</v>
      </c>
      <c r="Q116" s="35"/>
      <c r="R116" s="9">
        <f t="shared" si="105"/>
        <v>21808.26</v>
      </c>
      <c r="S116" s="27"/>
      <c r="T116" s="9">
        <f t="shared" si="106"/>
        <v>21808.26</v>
      </c>
      <c r="U116" s="1" t="s">
        <v>205</v>
      </c>
    </row>
    <row r="117" spans="1:22" s="41" customFormat="1" ht="56.25" hidden="1" x14ac:dyDescent="0.3">
      <c r="A117" s="37" t="s">
        <v>152</v>
      </c>
      <c r="B117" s="39" t="s">
        <v>65</v>
      </c>
      <c r="C117" s="39" t="s">
        <v>55</v>
      </c>
      <c r="D117" s="40">
        <v>24500</v>
      </c>
      <c r="E117" s="40"/>
      <c r="F117" s="40">
        <f t="shared" si="91"/>
        <v>24500</v>
      </c>
      <c r="G117" s="40"/>
      <c r="H117" s="40">
        <f t="shared" si="100"/>
        <v>24500</v>
      </c>
      <c r="I117" s="40"/>
      <c r="J117" s="40">
        <f t="shared" si="101"/>
        <v>24500</v>
      </c>
      <c r="K117" s="35">
        <v>-24500</v>
      </c>
      <c r="L117" s="40">
        <f t="shared" si="102"/>
        <v>0</v>
      </c>
      <c r="M117" s="35"/>
      <c r="N117" s="40">
        <f t="shared" si="103"/>
        <v>0</v>
      </c>
      <c r="O117" s="35"/>
      <c r="P117" s="40">
        <f t="shared" si="104"/>
        <v>0</v>
      </c>
      <c r="Q117" s="35"/>
      <c r="R117" s="40">
        <f t="shared" si="105"/>
        <v>0</v>
      </c>
      <c r="S117" s="40"/>
      <c r="T117" s="40">
        <f t="shared" si="106"/>
        <v>0</v>
      </c>
      <c r="U117" s="41" t="s">
        <v>66</v>
      </c>
      <c r="V117" s="41">
        <v>0</v>
      </c>
    </row>
    <row r="118" spans="1:22" ht="56.25" x14ac:dyDescent="0.3">
      <c r="A118" s="7" t="s">
        <v>206</v>
      </c>
      <c r="B118" s="22" t="s">
        <v>155</v>
      </c>
      <c r="C118" s="22" t="s">
        <v>55</v>
      </c>
      <c r="D118" s="9"/>
      <c r="E118" s="9"/>
      <c r="F118" s="9"/>
      <c r="G118" s="9">
        <v>14193.74</v>
      </c>
      <c r="H118" s="9">
        <f t="shared" si="100"/>
        <v>14193.74</v>
      </c>
      <c r="I118" s="35"/>
      <c r="J118" s="9">
        <f t="shared" si="101"/>
        <v>14193.74</v>
      </c>
      <c r="K118" s="35"/>
      <c r="L118" s="9">
        <f t="shared" si="102"/>
        <v>14193.74</v>
      </c>
      <c r="M118" s="35"/>
      <c r="N118" s="9">
        <f t="shared" si="103"/>
        <v>14193.74</v>
      </c>
      <c r="O118" s="35"/>
      <c r="P118" s="9">
        <f t="shared" si="104"/>
        <v>14193.74</v>
      </c>
      <c r="Q118" s="35"/>
      <c r="R118" s="9">
        <f t="shared" si="105"/>
        <v>14193.74</v>
      </c>
      <c r="S118" s="27"/>
      <c r="T118" s="9">
        <f t="shared" si="106"/>
        <v>14193.74</v>
      </c>
      <c r="U118" s="1" t="s">
        <v>156</v>
      </c>
    </row>
    <row r="119" spans="1:22" s="58" customFormat="1" ht="19.5" hidden="1" customHeight="1" x14ac:dyDescent="0.3">
      <c r="A119" s="57"/>
      <c r="B119" s="59" t="s">
        <v>77</v>
      </c>
      <c r="C119" s="59"/>
      <c r="D119" s="56">
        <f>D120</f>
        <v>50000</v>
      </c>
      <c r="E119" s="56">
        <f t="shared" ref="E119:S119" si="107">E120</f>
        <v>-50000</v>
      </c>
      <c r="F119" s="56">
        <f t="shared" si="91"/>
        <v>0</v>
      </c>
      <c r="G119" s="56">
        <f t="shared" si="107"/>
        <v>0</v>
      </c>
      <c r="H119" s="56">
        <f t="shared" si="100"/>
        <v>0</v>
      </c>
      <c r="I119" s="56">
        <f t="shared" si="107"/>
        <v>0</v>
      </c>
      <c r="J119" s="56">
        <f t="shared" si="101"/>
        <v>0</v>
      </c>
      <c r="K119" s="56">
        <f t="shared" si="107"/>
        <v>0</v>
      </c>
      <c r="L119" s="56">
        <f t="shared" si="102"/>
        <v>0</v>
      </c>
      <c r="M119" s="35">
        <f t="shared" si="107"/>
        <v>0</v>
      </c>
      <c r="N119" s="56">
        <f t="shared" si="103"/>
        <v>0</v>
      </c>
      <c r="O119" s="35">
        <f t="shared" si="107"/>
        <v>0</v>
      </c>
      <c r="P119" s="56">
        <f t="shared" si="104"/>
        <v>0</v>
      </c>
      <c r="Q119" s="35">
        <f t="shared" si="107"/>
        <v>0</v>
      </c>
      <c r="R119" s="56">
        <f t="shared" si="105"/>
        <v>0</v>
      </c>
      <c r="S119" s="56">
        <f t="shared" si="107"/>
        <v>0</v>
      </c>
      <c r="T119" s="56">
        <f t="shared" si="106"/>
        <v>0</v>
      </c>
      <c r="V119" s="58">
        <v>0</v>
      </c>
    </row>
    <row r="120" spans="1:22" s="41" customFormat="1" ht="75" hidden="1" x14ac:dyDescent="0.3">
      <c r="A120" s="37"/>
      <c r="B120" s="39" t="s">
        <v>78</v>
      </c>
      <c r="C120" s="42" t="s">
        <v>79</v>
      </c>
      <c r="D120" s="40">
        <v>50000</v>
      </c>
      <c r="E120" s="40">
        <v>-50000</v>
      </c>
      <c r="F120" s="40">
        <f t="shared" si="91"/>
        <v>0</v>
      </c>
      <c r="G120" s="40"/>
      <c r="H120" s="40">
        <f t="shared" si="100"/>
        <v>0</v>
      </c>
      <c r="I120" s="35"/>
      <c r="J120" s="40">
        <f t="shared" si="101"/>
        <v>0</v>
      </c>
      <c r="K120" s="35"/>
      <c r="L120" s="40">
        <f t="shared" si="102"/>
        <v>0</v>
      </c>
      <c r="M120" s="35"/>
      <c r="N120" s="40">
        <f t="shared" si="103"/>
        <v>0</v>
      </c>
      <c r="O120" s="35"/>
      <c r="P120" s="40">
        <f t="shared" si="104"/>
        <v>0</v>
      </c>
      <c r="Q120" s="35"/>
      <c r="R120" s="40">
        <f t="shared" si="105"/>
        <v>0</v>
      </c>
      <c r="S120" s="27"/>
      <c r="T120" s="40">
        <f t="shared" si="106"/>
        <v>0</v>
      </c>
      <c r="U120" s="41" t="s">
        <v>80</v>
      </c>
      <c r="V120" s="41">
        <v>0</v>
      </c>
    </row>
    <row r="121" spans="1:22" s="54" customFormat="1" x14ac:dyDescent="0.3">
      <c r="A121" s="51"/>
      <c r="B121" s="53" t="s">
        <v>182</v>
      </c>
      <c r="C121" s="53"/>
      <c r="D121" s="56"/>
      <c r="E121" s="56"/>
      <c r="F121" s="56"/>
      <c r="G121" s="56"/>
      <c r="H121" s="56"/>
      <c r="I121" s="56">
        <f>I122+I123</f>
        <v>3973.5</v>
      </c>
      <c r="J121" s="56">
        <f>I121+H121</f>
        <v>3973.5</v>
      </c>
      <c r="K121" s="56">
        <f>K122+K123</f>
        <v>250</v>
      </c>
      <c r="L121" s="56">
        <f>K121+J121</f>
        <v>4223.5</v>
      </c>
      <c r="M121" s="56">
        <f>M122+M123</f>
        <v>0</v>
      </c>
      <c r="N121" s="56">
        <f>M121+L121</f>
        <v>4223.5</v>
      </c>
      <c r="O121" s="56">
        <f>O122+O123</f>
        <v>252.697</v>
      </c>
      <c r="P121" s="56">
        <f>O121+N121</f>
        <v>4476.1970000000001</v>
      </c>
      <c r="Q121" s="56">
        <f>Q122+Q123</f>
        <v>0</v>
      </c>
      <c r="R121" s="56">
        <f>Q121+P121</f>
        <v>4476.1970000000001</v>
      </c>
      <c r="S121" s="56">
        <f>S122+S123</f>
        <v>-252.697</v>
      </c>
      <c r="T121" s="35">
        <f>S121+R121</f>
        <v>4223.5</v>
      </c>
      <c r="U121" s="58"/>
    </row>
    <row r="122" spans="1:22" ht="56.25" x14ac:dyDescent="0.3">
      <c r="A122" s="7" t="s">
        <v>210</v>
      </c>
      <c r="B122" s="36" t="s">
        <v>31</v>
      </c>
      <c r="C122" s="36" t="s">
        <v>159</v>
      </c>
      <c r="D122" s="9"/>
      <c r="E122" s="9"/>
      <c r="F122" s="9"/>
      <c r="G122" s="9"/>
      <c r="H122" s="9"/>
      <c r="I122" s="48">
        <v>3973.5</v>
      </c>
      <c r="J122" s="9">
        <f>I122+H122</f>
        <v>3973.5</v>
      </c>
      <c r="K122" s="48">
        <v>250</v>
      </c>
      <c r="L122" s="9">
        <f>K122+J122</f>
        <v>4223.5</v>
      </c>
      <c r="M122" s="48"/>
      <c r="N122" s="9">
        <f>M122+L122</f>
        <v>4223.5</v>
      </c>
      <c r="O122" s="48"/>
      <c r="P122" s="9">
        <f>O122+N122</f>
        <v>4223.5</v>
      </c>
      <c r="Q122" s="48"/>
      <c r="R122" s="9">
        <f>Q122+P122</f>
        <v>4223.5</v>
      </c>
      <c r="S122" s="28"/>
      <c r="T122" s="9">
        <f>S122+R122</f>
        <v>4223.5</v>
      </c>
      <c r="U122" s="1" t="s">
        <v>32</v>
      </c>
    </row>
    <row r="123" spans="1:22" s="41" customFormat="1" ht="56.25" hidden="1" x14ac:dyDescent="0.3">
      <c r="A123" s="37" t="s">
        <v>210</v>
      </c>
      <c r="B123" s="39" t="s">
        <v>183</v>
      </c>
      <c r="C123" s="39" t="s">
        <v>159</v>
      </c>
      <c r="D123" s="40"/>
      <c r="E123" s="40"/>
      <c r="F123" s="40"/>
      <c r="G123" s="40"/>
      <c r="H123" s="40"/>
      <c r="I123" s="40"/>
      <c r="J123" s="40">
        <f>I123+H123</f>
        <v>0</v>
      </c>
      <c r="K123" s="40"/>
      <c r="L123" s="40">
        <f>K123+J123</f>
        <v>0</v>
      </c>
      <c r="M123" s="40"/>
      <c r="N123" s="40">
        <f>M123+L123</f>
        <v>0</v>
      </c>
      <c r="O123" s="40">
        <v>252.697</v>
      </c>
      <c r="P123" s="40">
        <f>O123+N123</f>
        <v>252.697</v>
      </c>
      <c r="Q123" s="40"/>
      <c r="R123" s="40">
        <f>Q123+P123</f>
        <v>252.697</v>
      </c>
      <c r="S123" s="40">
        <v>-252.697</v>
      </c>
      <c r="T123" s="40">
        <f>S123+R123</f>
        <v>0</v>
      </c>
      <c r="U123" s="41" t="s">
        <v>184</v>
      </c>
      <c r="V123" s="41">
        <v>0</v>
      </c>
    </row>
    <row r="124" spans="1:22" x14ac:dyDescent="0.3">
      <c r="A124" s="7"/>
      <c r="B124" s="36" t="s">
        <v>20</v>
      </c>
      <c r="C124" s="36"/>
      <c r="D124" s="9">
        <f>D15+D38+D59+D68+D104+D114+D119</f>
        <v>3022660.9</v>
      </c>
      <c r="E124" s="9">
        <f>E15+E38+E59+E68+E104+E114+E119</f>
        <v>-115234.95799999998</v>
      </c>
      <c r="F124" s="9">
        <f>F15+F38+F59+F68+F104+F114+F119</f>
        <v>2907425.9419999993</v>
      </c>
      <c r="G124" s="9">
        <f>G15+G38+G59+G68+G104+G114+G119</f>
        <v>-99426.94</v>
      </c>
      <c r="H124" s="9">
        <f>H15+H38+H59+H68+H104+H114+H119</f>
        <v>2807999.0019999999</v>
      </c>
      <c r="I124" s="35">
        <f t="shared" ref="I124:P124" si="108">I15+I38+I59+I68+I104+I114+I119+I121</f>
        <v>-19607.77</v>
      </c>
      <c r="J124" s="9">
        <f t="shared" si="108"/>
        <v>2788391.2319999994</v>
      </c>
      <c r="K124" s="35">
        <f t="shared" si="108"/>
        <v>-179677.73799999995</v>
      </c>
      <c r="L124" s="9">
        <f t="shared" si="108"/>
        <v>2608713.4939999999</v>
      </c>
      <c r="M124" s="35">
        <f t="shared" si="108"/>
        <v>-486.68299999999999</v>
      </c>
      <c r="N124" s="9">
        <f t="shared" si="108"/>
        <v>2608226.8109999998</v>
      </c>
      <c r="O124" s="35">
        <f t="shared" si="108"/>
        <v>-42527.661000000007</v>
      </c>
      <c r="P124" s="9">
        <f t="shared" si="108"/>
        <v>2565699.15</v>
      </c>
      <c r="Q124" s="35">
        <f t="shared" ref="Q124:R124" si="109">Q15+Q38+Q59+Q68+Q104+Q114+Q119+Q121</f>
        <v>200</v>
      </c>
      <c r="R124" s="9">
        <f t="shared" si="109"/>
        <v>2565899.15</v>
      </c>
      <c r="S124" s="27">
        <f t="shared" ref="S124:T124" si="110">S15+S38+S59+S68+S104+S114+S119+S121</f>
        <v>-12674.268</v>
      </c>
      <c r="T124" s="9">
        <f t="shared" si="110"/>
        <v>2553224.8819999998</v>
      </c>
    </row>
    <row r="125" spans="1:22" x14ac:dyDescent="0.3">
      <c r="A125" s="7"/>
      <c r="B125" s="90" t="s">
        <v>21</v>
      </c>
      <c r="C125" s="91"/>
      <c r="D125" s="9"/>
      <c r="E125" s="9"/>
      <c r="F125" s="9"/>
      <c r="G125" s="9"/>
      <c r="H125" s="9"/>
      <c r="I125" s="35"/>
      <c r="J125" s="9"/>
      <c r="K125" s="35"/>
      <c r="L125" s="9"/>
      <c r="M125" s="35"/>
      <c r="N125" s="9"/>
      <c r="O125" s="35"/>
      <c r="P125" s="9"/>
      <c r="Q125" s="35"/>
      <c r="R125" s="9"/>
      <c r="S125" s="27"/>
      <c r="T125" s="9"/>
    </row>
    <row r="126" spans="1:22" x14ac:dyDescent="0.3">
      <c r="A126" s="7"/>
      <c r="B126" s="83" t="s">
        <v>50</v>
      </c>
      <c r="C126" s="84"/>
      <c r="D126" s="9">
        <f t="shared" ref="D126:J126" si="111">D80+D84+D88+D92+D96</f>
        <v>346023.19999999995</v>
      </c>
      <c r="E126" s="9">
        <f t="shared" si="111"/>
        <v>0</v>
      </c>
      <c r="F126" s="9">
        <f t="shared" si="111"/>
        <v>346023.19999999995</v>
      </c>
      <c r="G126" s="9">
        <f t="shared" si="111"/>
        <v>0</v>
      </c>
      <c r="H126" s="9">
        <f t="shared" si="111"/>
        <v>346023.19999999995</v>
      </c>
      <c r="I126" s="35">
        <f t="shared" si="111"/>
        <v>0</v>
      </c>
      <c r="J126" s="9">
        <f t="shared" si="111"/>
        <v>346023.19999999995</v>
      </c>
      <c r="K126" s="35">
        <f t="shared" ref="K126:P126" si="112">K71</f>
        <v>0</v>
      </c>
      <c r="L126" s="9">
        <f t="shared" si="112"/>
        <v>346023.19999999995</v>
      </c>
      <c r="M126" s="35">
        <f t="shared" si="112"/>
        <v>0</v>
      </c>
      <c r="N126" s="9">
        <f t="shared" si="112"/>
        <v>346023.19999999995</v>
      </c>
      <c r="O126" s="35">
        <f t="shared" si="112"/>
        <v>-26252.2</v>
      </c>
      <c r="P126" s="9">
        <f t="shared" si="112"/>
        <v>319770.99999999994</v>
      </c>
      <c r="Q126" s="35">
        <f t="shared" ref="Q126:R126" si="113">Q71</f>
        <v>0</v>
      </c>
      <c r="R126" s="9">
        <f t="shared" si="113"/>
        <v>319770.99999999994</v>
      </c>
      <c r="S126" s="27">
        <f t="shared" ref="S126:T126" si="114">S71</f>
        <v>0</v>
      </c>
      <c r="T126" s="9">
        <f t="shared" si="114"/>
        <v>319770.99999999994</v>
      </c>
    </row>
    <row r="127" spans="1:22" x14ac:dyDescent="0.3">
      <c r="A127" s="7"/>
      <c r="B127" s="19" t="s">
        <v>59</v>
      </c>
      <c r="C127" s="20"/>
      <c r="D127" s="9">
        <f t="shared" ref="D127:J127" si="115">D54+D111</f>
        <v>221073.2</v>
      </c>
      <c r="E127" s="9">
        <f t="shared" si="115"/>
        <v>-42854.400000000001</v>
      </c>
      <c r="F127" s="9">
        <f t="shared" si="115"/>
        <v>178218.80000000002</v>
      </c>
      <c r="G127" s="9">
        <f t="shared" si="115"/>
        <v>0</v>
      </c>
      <c r="H127" s="9">
        <f t="shared" si="115"/>
        <v>178218.80000000002</v>
      </c>
      <c r="I127" s="35">
        <f t="shared" si="115"/>
        <v>0</v>
      </c>
      <c r="J127" s="9">
        <f t="shared" si="115"/>
        <v>178218.80000000002</v>
      </c>
      <c r="K127" s="35">
        <f t="shared" ref="K127:P127" si="116">K41+K107</f>
        <v>0</v>
      </c>
      <c r="L127" s="9">
        <f t="shared" si="116"/>
        <v>178218.80000000002</v>
      </c>
      <c r="M127" s="35">
        <f t="shared" si="116"/>
        <v>0</v>
      </c>
      <c r="N127" s="9">
        <f t="shared" si="116"/>
        <v>178218.80000000002</v>
      </c>
      <c r="O127" s="35">
        <f t="shared" si="116"/>
        <v>-39753.764999999999</v>
      </c>
      <c r="P127" s="9">
        <f t="shared" si="116"/>
        <v>138465.035</v>
      </c>
      <c r="Q127" s="35">
        <f t="shared" ref="Q127:R127" si="117">Q41+Q107</f>
        <v>0</v>
      </c>
      <c r="R127" s="9">
        <f t="shared" si="117"/>
        <v>138465.035</v>
      </c>
      <c r="S127" s="27">
        <f t="shared" ref="S127:T127" si="118">S41+S107</f>
        <v>5319.4380000000001</v>
      </c>
      <c r="T127" s="9">
        <f t="shared" si="118"/>
        <v>143784.473</v>
      </c>
    </row>
    <row r="128" spans="1:22" x14ac:dyDescent="0.3">
      <c r="A128" s="7"/>
      <c r="B128" s="85" t="s">
        <v>52</v>
      </c>
      <c r="C128" s="85"/>
      <c r="D128" s="9"/>
      <c r="E128" s="9"/>
      <c r="F128" s="9"/>
      <c r="G128" s="9"/>
      <c r="H128" s="9"/>
      <c r="I128" s="35"/>
      <c r="J128" s="9"/>
      <c r="K128" s="35"/>
      <c r="L128" s="9"/>
      <c r="M128" s="35"/>
      <c r="N128" s="9"/>
      <c r="O128" s="35"/>
      <c r="P128" s="9"/>
      <c r="Q128" s="35"/>
      <c r="R128" s="9"/>
      <c r="S128" s="27"/>
      <c r="T128" s="9"/>
    </row>
    <row r="129" spans="1:22" x14ac:dyDescent="0.3">
      <c r="A129" s="7"/>
      <c r="B129" s="85" t="s">
        <v>7</v>
      </c>
      <c r="C129" s="87"/>
      <c r="D129" s="9">
        <f>D42+D43+D44+D45+D47+D48+D49+D50</f>
        <v>340106.99999999994</v>
      </c>
      <c r="E129" s="9">
        <f>E42+E43+E44+E45+E47+E48+E49+E50</f>
        <v>-2777.5859999999998</v>
      </c>
      <c r="F129" s="9">
        <f>F42+F43+F44+F45+F47+F48+F49+F50</f>
        <v>337329.41399999999</v>
      </c>
      <c r="G129" s="9">
        <f>G42+G43+G44+G45+G47+G48+G49+G50</f>
        <v>0</v>
      </c>
      <c r="H129" s="9">
        <f>H42+H43+H44+H45+H47+H48+H49+H50</f>
        <v>337329.41399999999</v>
      </c>
      <c r="I129" s="35">
        <f t="shared" ref="I129:P129" si="119">I42+I43+I44+I45+I47+I48+I49+I50+I57</f>
        <v>-3973.5</v>
      </c>
      <c r="J129" s="9">
        <f t="shared" si="119"/>
        <v>333355.91399999999</v>
      </c>
      <c r="K129" s="35">
        <f t="shared" si="119"/>
        <v>-16828.482000000004</v>
      </c>
      <c r="L129" s="9">
        <f t="shared" si="119"/>
        <v>316527.43200000003</v>
      </c>
      <c r="M129" s="35">
        <f t="shared" si="119"/>
        <v>0</v>
      </c>
      <c r="N129" s="9">
        <f t="shared" si="119"/>
        <v>316527.43200000003</v>
      </c>
      <c r="O129" s="35">
        <f t="shared" si="119"/>
        <v>-6988.1</v>
      </c>
      <c r="P129" s="9">
        <f t="shared" si="119"/>
        <v>309539.33199999999</v>
      </c>
      <c r="Q129" s="35">
        <f t="shared" ref="Q129:R129" si="120">Q42+Q43+Q44+Q45+Q47+Q48+Q49+Q50+Q57</f>
        <v>0</v>
      </c>
      <c r="R129" s="9">
        <f t="shared" si="120"/>
        <v>309539.33199999999</v>
      </c>
      <c r="S129" s="27">
        <f t="shared" ref="S129:T129" si="121">S42+S43+S44+S45+S47+S48+S49+S50+S57</f>
        <v>0</v>
      </c>
      <c r="T129" s="9">
        <f t="shared" si="121"/>
        <v>309539.33199999999</v>
      </c>
    </row>
    <row r="130" spans="1:22" x14ac:dyDescent="0.3">
      <c r="A130" s="7"/>
      <c r="B130" s="85" t="s">
        <v>15</v>
      </c>
      <c r="C130" s="87"/>
      <c r="D130" s="9">
        <f>D60+D61+D62+D63+D64+D65+D77+D81+D85+D89+D93+D98+D99</f>
        <v>628226.69999999995</v>
      </c>
      <c r="E130" s="9">
        <f>E60+E61+E62+E63+E64+E65+E77+E81+E85+E89+E93+E98+E99</f>
        <v>3126.828</v>
      </c>
      <c r="F130" s="9">
        <f>F60+F61+F62+F63+F64+F65+F77+F81+F85+F89+F93+F98+F99</f>
        <v>631353.52800000005</v>
      </c>
      <c r="G130" s="9">
        <f>G60+G61+G62+G63+G64+G65+G77+G81+G85+G89+G93+G98+G99</f>
        <v>0</v>
      </c>
      <c r="H130" s="9">
        <f>H60+H61+H62+H63+H64+H65+H77+H81+H85+H89+H93+H98+H99</f>
        <v>631353.52800000005</v>
      </c>
      <c r="I130" s="35">
        <f>I60+I61+I62+I63+I64+I65+I77+I81+I85+I89+I93+I98+I99+I66+I101</f>
        <v>0</v>
      </c>
      <c r="J130" s="9">
        <f>J60+J61+J62+J63+J64+J65+J77+J81+J85+J89+J93+J98+J99+J66+J101</f>
        <v>631353.52800000005</v>
      </c>
      <c r="K130" s="35">
        <f t="shared" ref="K130:P130" si="122">K60+K61+K62+K63+K64+K65+K77+K81+K85+K89+K93+K98+K99+K66+K101+K103</f>
        <v>15927.362999999999</v>
      </c>
      <c r="L130" s="9">
        <f t="shared" si="122"/>
        <v>647280.89099999995</v>
      </c>
      <c r="M130" s="35">
        <f t="shared" si="122"/>
        <v>-486.68299999999999</v>
      </c>
      <c r="N130" s="9">
        <f t="shared" si="122"/>
        <v>646794.20799999998</v>
      </c>
      <c r="O130" s="35">
        <f t="shared" si="122"/>
        <v>-36481.807000000008</v>
      </c>
      <c r="P130" s="9">
        <f t="shared" si="122"/>
        <v>610312.40099999995</v>
      </c>
      <c r="Q130" s="35">
        <f>Q60+Q61+Q62+Q63+Q64+Q65+Q77+Q81+Q85+Q89+Q93+Q98+Q99+Q66+Q101+Q103+Q67</f>
        <v>200</v>
      </c>
      <c r="R130" s="9">
        <f>R60+R61+R62+R63+R64+R65+R77+R81+R85+R89+R93+R98+R99+R66+R101+R103+R67</f>
        <v>610512.40099999995</v>
      </c>
      <c r="S130" s="27">
        <f>S60+S61+S62+S63+S64+S65+S77+S81+S85+S89+S93+S98+S99+S66+S101+S103+S67</f>
        <v>-9361.09</v>
      </c>
      <c r="T130" s="9">
        <f>T60+T61+T62+T63+T64+T65+T77+T81+T85+T89+T93+T98+T99+T66+T101+T103+T67</f>
        <v>601151.31099999999</v>
      </c>
    </row>
    <row r="131" spans="1:22" x14ac:dyDescent="0.3">
      <c r="A131" s="7"/>
      <c r="B131" s="85" t="s">
        <v>22</v>
      </c>
      <c r="C131" s="87"/>
      <c r="D131" s="9">
        <f>D19+D20+D22+D24+D27+D29+D31+D32</f>
        <v>296471.90000000002</v>
      </c>
      <c r="E131" s="9">
        <f>E19+E20+E22+E24+E27+E29+E31+E32</f>
        <v>2000</v>
      </c>
      <c r="F131" s="9">
        <f>F19+F20+F22+F24+F27+F29+F31+F32</f>
        <v>298471.90000000002</v>
      </c>
      <c r="G131" s="9">
        <f>G19+G20+G22+G24+G27+G29+G31+G32</f>
        <v>30573.008000000002</v>
      </c>
      <c r="H131" s="9">
        <f>H19+H20+H22+H24+H27+H29+H31+H32</f>
        <v>329044.908</v>
      </c>
      <c r="I131" s="35">
        <f>I19+I20+I22+I24+I27+I29+I31+I32+I33+I34+I26</f>
        <v>-180057.1</v>
      </c>
      <c r="J131" s="9">
        <f>J19+J20+J22+J24+J27+J29+J31+J32+J33+J34+J26</f>
        <v>148987.80800000002</v>
      </c>
      <c r="K131" s="35">
        <f>K19+K20+K22+K24+K27+K29+K31+K32+K33+K34+K26+K35+K36+K37</f>
        <v>124766.47</v>
      </c>
      <c r="L131" s="9">
        <f>L19+L20+L22+L24+L27+L29+L31+L32+L33+L34+L26+L35+L36+L37</f>
        <v>273754.27799999999</v>
      </c>
      <c r="M131" s="35">
        <f>M19+M20+M22+M24+M27+M29+M31+M32+M33+M34+M26+M35+M36+M37</f>
        <v>0</v>
      </c>
      <c r="N131" s="9">
        <f>N19+N20+N22+N24+N27+N29+N31+N32+N33+N34+N26+N35+N36+N37</f>
        <v>273754.27799999999</v>
      </c>
      <c r="O131" s="35">
        <f>O19+O20+O22+O24+O27+O29+O31+O32+O33+O34+O26+O35+O36+O37</f>
        <v>0</v>
      </c>
      <c r="P131" s="9">
        <f>N131+O131</f>
        <v>273754.27799999999</v>
      </c>
      <c r="Q131" s="35">
        <f>Q19+Q20+Q22+Q24+Q27+Q29+Q31+Q32+Q33+Q34+Q26+Q35+Q36+Q37</f>
        <v>0</v>
      </c>
      <c r="R131" s="9">
        <f>P131+Q131</f>
        <v>273754.27799999999</v>
      </c>
      <c r="S131" s="27">
        <f>S19+S20+S22+S24+S27+S29+S31+S32+S33+S34+S26+S35+S36+S37</f>
        <v>417.19</v>
      </c>
      <c r="T131" s="9">
        <f>R131+S131</f>
        <v>274171.46799999999</v>
      </c>
    </row>
    <row r="132" spans="1:22" x14ac:dyDescent="0.3">
      <c r="A132" s="7"/>
      <c r="B132" s="86" t="s">
        <v>19</v>
      </c>
      <c r="C132" s="87"/>
      <c r="D132" s="9">
        <f>D108+D112</f>
        <v>190910.9</v>
      </c>
      <c r="E132" s="9">
        <f>E108+E112</f>
        <v>-100000</v>
      </c>
      <c r="F132" s="9">
        <f>D132+E132</f>
        <v>90910.9</v>
      </c>
      <c r="G132" s="9">
        <f>G108+G112</f>
        <v>0</v>
      </c>
      <c r="H132" s="9">
        <f>F132+G132</f>
        <v>90910.9</v>
      </c>
      <c r="I132" s="35">
        <f>I108+I112</f>
        <v>0</v>
      </c>
      <c r="J132" s="9">
        <f>H132+I132</f>
        <v>90910.9</v>
      </c>
      <c r="K132" s="35">
        <f t="shared" ref="K132:P132" si="123">K108+K112</f>
        <v>48813.082000000002</v>
      </c>
      <c r="L132" s="9">
        <f t="shared" si="123"/>
        <v>139723.98199999999</v>
      </c>
      <c r="M132" s="35">
        <f t="shared" si="123"/>
        <v>0</v>
      </c>
      <c r="N132" s="9">
        <f t="shared" si="123"/>
        <v>139723.98199999999</v>
      </c>
      <c r="O132" s="35">
        <f t="shared" si="123"/>
        <v>-44395.9</v>
      </c>
      <c r="P132" s="9">
        <f t="shared" si="123"/>
        <v>95328.081999999995</v>
      </c>
      <c r="Q132" s="35">
        <f t="shared" ref="Q132:R132" si="124">Q108+Q112</f>
        <v>0</v>
      </c>
      <c r="R132" s="9">
        <f t="shared" si="124"/>
        <v>95328.081999999995</v>
      </c>
      <c r="S132" s="27">
        <f t="shared" ref="S132:T132" si="125">S108+S112</f>
        <v>0</v>
      </c>
      <c r="T132" s="9">
        <f t="shared" si="125"/>
        <v>95328.081999999995</v>
      </c>
    </row>
    <row r="133" spans="1:22" x14ac:dyDescent="0.3">
      <c r="A133" s="7"/>
      <c r="B133" s="88" t="s">
        <v>17</v>
      </c>
      <c r="C133" s="89"/>
      <c r="D133" s="9">
        <f>D72+D73+D74+D75+D76</f>
        <v>8907.4</v>
      </c>
      <c r="E133" s="9">
        <f>E72+E73+E74+E75+E76</f>
        <v>0</v>
      </c>
      <c r="F133" s="9">
        <f>F72+F73+F74+F75+F76</f>
        <v>8907.4</v>
      </c>
      <c r="G133" s="9">
        <f>G72+G73+G74+G75+G76</f>
        <v>0</v>
      </c>
      <c r="H133" s="9">
        <f>H72+H73+H74+H75+H76</f>
        <v>8907.4</v>
      </c>
      <c r="I133" s="35">
        <f>I72+I73+I74+I75+I76+I100</f>
        <v>0</v>
      </c>
      <c r="J133" s="9">
        <f>J72+J73+J74+J75+J76+J100</f>
        <v>8907.4</v>
      </c>
      <c r="K133" s="35">
        <f t="shared" ref="K133:P133" si="126">K72+K73+K74+K75+K76+K100+K102</f>
        <v>-1988.1759999999999</v>
      </c>
      <c r="L133" s="9">
        <f t="shared" si="126"/>
        <v>6919.2239999999993</v>
      </c>
      <c r="M133" s="35">
        <f t="shared" si="126"/>
        <v>0</v>
      </c>
      <c r="N133" s="9">
        <f t="shared" si="126"/>
        <v>6919.2239999999993</v>
      </c>
      <c r="O133" s="35">
        <f t="shared" si="126"/>
        <v>0</v>
      </c>
      <c r="P133" s="9">
        <f t="shared" si="126"/>
        <v>6919.2239999999993</v>
      </c>
      <c r="Q133" s="35">
        <f t="shared" ref="Q133:R133" si="127">Q72+Q73+Q74+Q75+Q76+Q100+Q102</f>
        <v>0</v>
      </c>
      <c r="R133" s="9">
        <f t="shared" si="127"/>
        <v>6919.2239999999993</v>
      </c>
      <c r="S133" s="27">
        <f t="shared" ref="S133:T133" si="128">S72+S73+S74+S75+S76+S100+S102</f>
        <v>0</v>
      </c>
      <c r="T133" s="9">
        <f t="shared" si="128"/>
        <v>6919.2239999999993</v>
      </c>
    </row>
    <row r="134" spans="1:22" x14ac:dyDescent="0.3">
      <c r="A134" s="21"/>
      <c r="B134" s="88" t="s">
        <v>55</v>
      </c>
      <c r="C134" s="89"/>
      <c r="D134" s="9">
        <f>D16+D18+D113+D115+D117</f>
        <v>466502</v>
      </c>
      <c r="E134" s="9">
        <f>E16+E18+E113+E115+E117</f>
        <v>100000</v>
      </c>
      <c r="F134" s="9">
        <f>F16+F18+F113+F115+F117</f>
        <v>566502</v>
      </c>
      <c r="G134" s="9">
        <f>G16+G18+G113+G115+G117+G118</f>
        <v>-129999.94799999999</v>
      </c>
      <c r="H134" s="9">
        <f>H16+H18+H113+H115+H117+H118</f>
        <v>436502.05200000003</v>
      </c>
      <c r="I134" s="35">
        <f>I16+I18+I113+I115+I117+I118</f>
        <v>0</v>
      </c>
      <c r="J134" s="9">
        <f>J16+J18+J113+J115+J117+J118</f>
        <v>436502.05200000003</v>
      </c>
      <c r="K134" s="35">
        <f>K16+K17+K18+K113+K115+K117+K118</f>
        <v>-195500</v>
      </c>
      <c r="L134" s="9">
        <f>L16+L17+L18+L113+L115+L117+L118</f>
        <v>241002.052</v>
      </c>
      <c r="M134" s="35">
        <f>M16+M17+M18+M113+M115+M117+M118</f>
        <v>0</v>
      </c>
      <c r="N134" s="9">
        <f>N16+N17+N18+N113+N115+N117+N118</f>
        <v>241002.052</v>
      </c>
      <c r="O134" s="35">
        <f t="shared" ref="O134:T134" si="129">O16+O17+O18+O113+O115+O117+O118+O116</f>
        <v>-63000</v>
      </c>
      <c r="P134" s="9">
        <f t="shared" si="129"/>
        <v>178002.052</v>
      </c>
      <c r="Q134" s="35">
        <f t="shared" si="129"/>
        <v>0</v>
      </c>
      <c r="R134" s="9">
        <f t="shared" si="129"/>
        <v>178002.052</v>
      </c>
      <c r="S134" s="27">
        <f t="shared" si="129"/>
        <v>0</v>
      </c>
      <c r="T134" s="9">
        <f t="shared" si="129"/>
        <v>178002.052</v>
      </c>
    </row>
    <row r="135" spans="1:22" x14ac:dyDescent="0.3">
      <c r="A135" s="21"/>
      <c r="B135" s="88" t="s">
        <v>33</v>
      </c>
      <c r="C135" s="89"/>
      <c r="D135" s="9">
        <f t="shared" ref="D135:P135" si="130">D51+D56+D97</f>
        <v>1041534.9999999999</v>
      </c>
      <c r="E135" s="9">
        <f t="shared" si="130"/>
        <v>-67584.2</v>
      </c>
      <c r="F135" s="9">
        <f t="shared" si="130"/>
        <v>973950.79999999981</v>
      </c>
      <c r="G135" s="9">
        <f t="shared" si="130"/>
        <v>0</v>
      </c>
      <c r="H135" s="9">
        <f t="shared" si="130"/>
        <v>973950.79999999981</v>
      </c>
      <c r="I135" s="35">
        <f t="shared" si="130"/>
        <v>-19607.77</v>
      </c>
      <c r="J135" s="9">
        <f t="shared" si="130"/>
        <v>954343.0299999998</v>
      </c>
      <c r="K135" s="35">
        <f t="shared" si="130"/>
        <v>-13793.295999999998</v>
      </c>
      <c r="L135" s="9">
        <f t="shared" si="130"/>
        <v>940549.73399999982</v>
      </c>
      <c r="M135" s="35">
        <f t="shared" si="130"/>
        <v>0</v>
      </c>
      <c r="N135" s="9">
        <f t="shared" si="130"/>
        <v>940549.73399999982</v>
      </c>
      <c r="O135" s="35">
        <f>O51+O56+O97</f>
        <v>101097.349</v>
      </c>
      <c r="P135" s="9">
        <f t="shared" si="130"/>
        <v>1041647.0829999998</v>
      </c>
      <c r="Q135" s="35">
        <f>Q51+Q56+Q97</f>
        <v>0</v>
      </c>
      <c r="R135" s="9">
        <f t="shared" ref="R135" si="131">R51+R56+R97</f>
        <v>1041647.0829999998</v>
      </c>
      <c r="S135" s="27">
        <f>S51+S56+S97+S58</f>
        <v>-3477.6710000000012</v>
      </c>
      <c r="T135" s="9">
        <f>T51+T56+T97+T58</f>
        <v>1038169.4119999998</v>
      </c>
    </row>
    <row r="136" spans="1:22" hidden="1" x14ac:dyDescent="0.3">
      <c r="A136" s="21"/>
      <c r="B136" s="88" t="s">
        <v>79</v>
      </c>
      <c r="C136" s="89"/>
      <c r="D136" s="9">
        <f>D120</f>
        <v>50000</v>
      </c>
      <c r="E136" s="9">
        <f t="shared" ref="E136:F136" si="132">E120</f>
        <v>-50000</v>
      </c>
      <c r="F136" s="9">
        <f t="shared" si="132"/>
        <v>0</v>
      </c>
      <c r="G136" s="9">
        <f t="shared" ref="G136:H136" si="133">G120</f>
        <v>0</v>
      </c>
      <c r="H136" s="9">
        <f t="shared" si="133"/>
        <v>0</v>
      </c>
      <c r="I136" s="35">
        <f t="shared" ref="I136:J136" si="134">I120</f>
        <v>0</v>
      </c>
      <c r="J136" s="9">
        <f t="shared" si="134"/>
        <v>0</v>
      </c>
      <c r="K136" s="35">
        <f t="shared" ref="K136:L137" si="135">K120</f>
        <v>0</v>
      </c>
      <c r="L136" s="9">
        <f t="shared" si="135"/>
        <v>0</v>
      </c>
      <c r="M136" s="35">
        <f t="shared" ref="M136:N136" si="136">M120</f>
        <v>0</v>
      </c>
      <c r="N136" s="9">
        <f t="shared" si="136"/>
        <v>0</v>
      </c>
      <c r="O136" s="35">
        <f t="shared" ref="O136:P136" si="137">O120</f>
        <v>0</v>
      </c>
      <c r="P136" s="9">
        <f t="shared" si="137"/>
        <v>0</v>
      </c>
      <c r="Q136" s="35">
        <f t="shared" ref="Q136:R136" si="138">Q120</f>
        <v>0</v>
      </c>
      <c r="R136" s="9">
        <f t="shared" si="138"/>
        <v>0</v>
      </c>
      <c r="S136" s="27">
        <f t="shared" ref="S136:T136" si="139">S120</f>
        <v>0</v>
      </c>
      <c r="T136" s="9">
        <f t="shared" si="139"/>
        <v>0</v>
      </c>
      <c r="V136" s="1">
        <v>0</v>
      </c>
    </row>
    <row r="137" spans="1:22" x14ac:dyDescent="0.3">
      <c r="A137" s="21"/>
      <c r="B137" s="97" t="s">
        <v>159</v>
      </c>
      <c r="C137" s="97"/>
      <c r="D137" s="32"/>
      <c r="E137" s="32"/>
      <c r="F137" s="32"/>
      <c r="G137" s="32"/>
      <c r="H137" s="32"/>
      <c r="I137" s="35">
        <f>I122+I123</f>
        <v>3973.5</v>
      </c>
      <c r="J137" s="9">
        <f>I137+H137</f>
        <v>3973.5</v>
      </c>
      <c r="K137" s="35">
        <f t="shared" si="135"/>
        <v>250</v>
      </c>
      <c r="L137" s="9">
        <f t="shared" si="135"/>
        <v>4223.5</v>
      </c>
      <c r="M137" s="35">
        <f t="shared" ref="M137:N137" si="140">M121</f>
        <v>0</v>
      </c>
      <c r="N137" s="9">
        <f t="shared" si="140"/>
        <v>4223.5</v>
      </c>
      <c r="O137" s="35">
        <f t="shared" ref="O137:P137" si="141">O121</f>
        <v>252.697</v>
      </c>
      <c r="P137" s="9">
        <f t="shared" si="141"/>
        <v>4476.1970000000001</v>
      </c>
      <c r="Q137" s="35">
        <f t="shared" ref="Q137:R137" si="142">Q121</f>
        <v>0</v>
      </c>
      <c r="R137" s="9">
        <f t="shared" si="142"/>
        <v>4476.1970000000001</v>
      </c>
      <c r="S137" s="27">
        <f t="shared" ref="S137:T137" si="143">S121</f>
        <v>-252.697</v>
      </c>
      <c r="T137" s="9">
        <f t="shared" si="143"/>
        <v>4223.5</v>
      </c>
    </row>
    <row r="138" spans="1:22" x14ac:dyDescent="0.3">
      <c r="A138" s="21"/>
      <c r="B138" s="97" t="s">
        <v>162</v>
      </c>
      <c r="C138" s="97"/>
      <c r="D138" s="32"/>
      <c r="E138" s="32"/>
      <c r="F138" s="32"/>
      <c r="G138" s="32"/>
      <c r="H138" s="32"/>
      <c r="I138" s="35">
        <f t="shared" ref="I138:N138" si="144">I21+I23+I25+I28+I30</f>
        <v>180057.1</v>
      </c>
      <c r="J138" s="35">
        <f t="shared" si="144"/>
        <v>180057.1</v>
      </c>
      <c r="K138" s="35">
        <f t="shared" si="144"/>
        <v>-141324.69899999999</v>
      </c>
      <c r="L138" s="35">
        <f t="shared" si="144"/>
        <v>38732.400999999998</v>
      </c>
      <c r="M138" s="35">
        <f t="shared" si="144"/>
        <v>0</v>
      </c>
      <c r="N138" s="35">
        <f t="shared" si="144"/>
        <v>38732.400999999998</v>
      </c>
      <c r="O138" s="35">
        <f t="shared" ref="O138:T138" si="145">O21+O23+O25+O28+O30+O46</f>
        <v>6988.1</v>
      </c>
      <c r="P138" s="35">
        <f t="shared" si="145"/>
        <v>45720.500999999997</v>
      </c>
      <c r="Q138" s="35">
        <f t="shared" si="145"/>
        <v>0</v>
      </c>
      <c r="R138" s="35">
        <f t="shared" si="145"/>
        <v>45720.500999999997</v>
      </c>
      <c r="S138" s="27">
        <f t="shared" si="145"/>
        <v>0</v>
      </c>
      <c r="T138" s="35">
        <f t="shared" si="145"/>
        <v>45720.500999999997</v>
      </c>
    </row>
  </sheetData>
  <autoFilter ref="A14:V138">
    <filterColumn colId="21">
      <filters blank="1"/>
    </filterColumn>
  </autoFilter>
  <mergeCells count="35">
    <mergeCell ref="S13:S14"/>
    <mergeCell ref="T13:T14"/>
    <mergeCell ref="B138:C138"/>
    <mergeCell ref="U13:U14"/>
    <mergeCell ref="B130:C130"/>
    <mergeCell ref="B131:C131"/>
    <mergeCell ref="B129:C129"/>
    <mergeCell ref="E13:E14"/>
    <mergeCell ref="F13:F14"/>
    <mergeCell ref="G13:G14"/>
    <mergeCell ref="H13:H14"/>
    <mergeCell ref="I13:I14"/>
    <mergeCell ref="J13:J14"/>
    <mergeCell ref="B137:C137"/>
    <mergeCell ref="B136:C136"/>
    <mergeCell ref="B134:C134"/>
    <mergeCell ref="B135:C135"/>
    <mergeCell ref="B125:C125"/>
    <mergeCell ref="B133:C133"/>
    <mergeCell ref="A9:D11"/>
    <mergeCell ref="A13:A14"/>
    <mergeCell ref="B13:B14"/>
    <mergeCell ref="C13:C14"/>
    <mergeCell ref="D13:D14"/>
    <mergeCell ref="K13:K14"/>
    <mergeCell ref="L13:L14"/>
    <mergeCell ref="B126:C126"/>
    <mergeCell ref="B128:C128"/>
    <mergeCell ref="B132:C132"/>
    <mergeCell ref="Q13:Q14"/>
    <mergeCell ref="R13:R14"/>
    <mergeCell ref="O13:O14"/>
    <mergeCell ref="P13:P14"/>
    <mergeCell ref="M13:M14"/>
    <mergeCell ref="N13:N14"/>
  </mergeCells>
  <pageMargins left="0.7" right="0.7" top="0.75" bottom="0.75" header="0.3" footer="0.3"/>
  <pageSetup paperSize="9" scale="87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 год</vt:lpstr>
      <vt:lpstr>'2015 год'!Заголовки_для_печати</vt:lpstr>
      <vt:lpstr>'2015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2015-08-04T10:12:28Z</cp:lastPrinted>
  <dcterms:created xsi:type="dcterms:W3CDTF">2013-10-12T06:09:22Z</dcterms:created>
  <dcterms:modified xsi:type="dcterms:W3CDTF">2015-08-04T10:51:28Z</dcterms:modified>
</cp:coreProperties>
</file>