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Декабрь\"/>
    </mc:Choice>
  </mc:AlternateContent>
  <bookViews>
    <workbookView xWindow="0" yWindow="0" windowWidth="28800" windowHeight="12135"/>
  </bookViews>
  <sheets>
    <sheet name="2015 год" sheetId="2" r:id="rId1"/>
  </sheets>
  <definedNames>
    <definedName name="_xlnm._FilterDatabase" localSheetId="0" hidden="1">'2015 год'!$A$14:$AD$145</definedName>
    <definedName name="_xlnm.Print_Titles" localSheetId="0">'2015 год'!$13:$14</definedName>
    <definedName name="_xlnm.Print_Area" localSheetId="0">'2015 год'!$A$1:$J$145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2" l="1"/>
  <c r="AA143" i="2"/>
  <c r="AA141" i="2"/>
  <c r="AA140" i="2"/>
  <c r="AA138" i="2"/>
  <c r="AA136" i="2"/>
  <c r="AA128" i="2"/>
  <c r="AA126" i="2"/>
  <c r="AA121" i="2"/>
  <c r="AA115" i="2"/>
  <c r="AA139" i="2" s="1"/>
  <c r="AA114" i="2"/>
  <c r="AA113" i="2"/>
  <c r="AA100" i="2"/>
  <c r="AA96" i="2"/>
  <c r="AA92" i="2"/>
  <c r="AA88" i="2"/>
  <c r="AA84" i="2"/>
  <c r="AA78" i="2"/>
  <c r="AA133" i="2" s="1"/>
  <c r="AA77" i="2"/>
  <c r="AA66" i="2"/>
  <c r="AA62" i="2"/>
  <c r="AA54" i="2"/>
  <c r="AA44" i="2"/>
  <c r="AA15" i="2"/>
  <c r="AA111" i="2" l="1"/>
  <c r="AA134" i="2"/>
  <c r="AA75" i="2"/>
  <c r="AA41" i="2"/>
  <c r="AA144" i="2"/>
  <c r="AA142" i="2"/>
  <c r="AA137" i="2"/>
  <c r="AA43" i="2"/>
  <c r="Y138" i="2"/>
  <c r="Y15" i="2"/>
  <c r="Z40" i="2"/>
  <c r="AB40" i="2" s="1"/>
  <c r="AA131" i="2" l="1"/>
  <c r="Y56" i="2"/>
  <c r="Y43" i="2" s="1"/>
  <c r="Y54" i="2"/>
  <c r="Y145" i="2"/>
  <c r="Y143" i="2"/>
  <c r="Y141" i="2"/>
  <c r="Y140" i="2"/>
  <c r="Y128" i="2"/>
  <c r="Y144" i="2" s="1"/>
  <c r="Y126" i="2"/>
  <c r="Y121" i="2"/>
  <c r="Y115" i="2"/>
  <c r="Y139" i="2" s="1"/>
  <c r="Y114" i="2"/>
  <c r="Y113" i="2"/>
  <c r="Y100" i="2"/>
  <c r="Y96" i="2"/>
  <c r="Y92" i="2"/>
  <c r="Y88" i="2"/>
  <c r="Y84" i="2"/>
  <c r="Y78" i="2"/>
  <c r="Y133" i="2" s="1"/>
  <c r="Y77" i="2"/>
  <c r="Y66" i="2"/>
  <c r="Y62" i="2"/>
  <c r="Y111" i="2" l="1"/>
  <c r="Y142" i="2"/>
  <c r="Y75" i="2"/>
  <c r="Y44" i="2"/>
  <c r="Y134" i="2" s="1"/>
  <c r="Y137" i="2"/>
  <c r="Y41" i="2"/>
  <c r="Y136" i="2"/>
  <c r="W44" i="2"/>
  <c r="Y131" i="2" l="1"/>
  <c r="W46" i="2"/>
  <c r="W56" i="2" l="1"/>
  <c r="W62" i="2" l="1"/>
  <c r="X62" i="2" s="1"/>
  <c r="Z62" i="2" s="1"/>
  <c r="AB62" i="2" s="1"/>
  <c r="W54" i="2"/>
  <c r="X64" i="2"/>
  <c r="Z64" i="2" s="1"/>
  <c r="AB64" i="2" s="1"/>
  <c r="X65" i="2"/>
  <c r="Z65" i="2" s="1"/>
  <c r="AB65" i="2" s="1"/>
  <c r="W142" i="2" l="1"/>
  <c r="W41" i="2"/>
  <c r="W145" i="2"/>
  <c r="W143" i="2"/>
  <c r="W141" i="2"/>
  <c r="W140" i="2"/>
  <c r="W138" i="2"/>
  <c r="W136" i="2"/>
  <c r="W128" i="2"/>
  <c r="W126" i="2"/>
  <c r="W121" i="2"/>
  <c r="W115" i="2"/>
  <c r="W139" i="2" s="1"/>
  <c r="W114" i="2"/>
  <c r="W134" i="2" s="1"/>
  <c r="W113" i="2"/>
  <c r="W100" i="2"/>
  <c r="W96" i="2"/>
  <c r="W92" i="2"/>
  <c r="W88" i="2"/>
  <c r="W84" i="2"/>
  <c r="W78" i="2"/>
  <c r="W133" i="2" s="1"/>
  <c r="W77" i="2"/>
  <c r="W66" i="2"/>
  <c r="W15" i="2"/>
  <c r="W111" i="2" l="1"/>
  <c r="W137" i="2"/>
  <c r="W144" i="2"/>
  <c r="W43" i="2"/>
  <c r="W75" i="2"/>
  <c r="U138" i="2"/>
  <c r="W131" i="2" l="1"/>
  <c r="U129" i="2"/>
  <c r="U15" i="2" l="1"/>
  <c r="V39" i="2"/>
  <c r="X39" i="2" s="1"/>
  <c r="Z39" i="2" s="1"/>
  <c r="AB39" i="2" s="1"/>
  <c r="V38" i="2"/>
  <c r="X38" i="2" s="1"/>
  <c r="Z38" i="2" s="1"/>
  <c r="AB38" i="2" s="1"/>
  <c r="U56" i="2" l="1"/>
  <c r="U145" i="2" l="1"/>
  <c r="U143" i="2"/>
  <c r="U141" i="2"/>
  <c r="U140" i="2"/>
  <c r="U136" i="2"/>
  <c r="U128" i="2"/>
  <c r="U126" i="2"/>
  <c r="U121" i="2"/>
  <c r="U115" i="2"/>
  <c r="U139" i="2" s="1"/>
  <c r="U114" i="2"/>
  <c r="U113" i="2"/>
  <c r="U100" i="2"/>
  <c r="U96" i="2"/>
  <c r="U92" i="2"/>
  <c r="U88" i="2"/>
  <c r="U84" i="2"/>
  <c r="U78" i="2"/>
  <c r="U133" i="2" s="1"/>
  <c r="U77" i="2"/>
  <c r="U66" i="2"/>
  <c r="U54" i="2"/>
  <c r="U44" i="2"/>
  <c r="U43" i="2"/>
  <c r="U134" i="2" l="1"/>
  <c r="U111" i="2"/>
  <c r="U75" i="2"/>
  <c r="U144" i="2"/>
  <c r="U142" i="2"/>
  <c r="U41" i="2"/>
  <c r="U137" i="2"/>
  <c r="S56" i="2"/>
  <c r="U131" i="2" l="1"/>
  <c r="S31" i="2"/>
  <c r="S54" i="2" l="1"/>
  <c r="S67" i="2" l="1"/>
  <c r="T61" i="2" l="1"/>
  <c r="V61" i="2" s="1"/>
  <c r="X61" i="2" s="1"/>
  <c r="Z61" i="2" s="1"/>
  <c r="AB61" i="2" s="1"/>
  <c r="S145" i="2" l="1"/>
  <c r="S143" i="2"/>
  <c r="S141" i="2"/>
  <c r="S140" i="2"/>
  <c r="S136" i="2"/>
  <c r="S128" i="2"/>
  <c r="S144" i="2" s="1"/>
  <c r="S126" i="2"/>
  <c r="S121" i="2"/>
  <c r="S115" i="2"/>
  <c r="S111" i="2" s="1"/>
  <c r="S114" i="2"/>
  <c r="S113" i="2"/>
  <c r="S100" i="2"/>
  <c r="S96" i="2"/>
  <c r="S92" i="2"/>
  <c r="S88" i="2"/>
  <c r="S84" i="2"/>
  <c r="S78" i="2"/>
  <c r="S133" i="2" s="1"/>
  <c r="S77" i="2"/>
  <c r="S66" i="2"/>
  <c r="S44" i="2"/>
  <c r="S43" i="2"/>
  <c r="S138" i="2"/>
  <c r="S15" i="2"/>
  <c r="S134" i="2" l="1"/>
  <c r="S142" i="2"/>
  <c r="S41" i="2"/>
  <c r="S137" i="2"/>
  <c r="S139" i="2"/>
  <c r="S75" i="2"/>
  <c r="Q66" i="2"/>
  <c r="R74" i="2"/>
  <c r="T74" i="2" s="1"/>
  <c r="V74" i="2" s="1"/>
  <c r="X74" i="2" s="1"/>
  <c r="Z74" i="2" s="1"/>
  <c r="AB74" i="2" s="1"/>
  <c r="Q145" i="2"/>
  <c r="Q143" i="2"/>
  <c r="Q141" i="2"/>
  <c r="Q140" i="2"/>
  <c r="Q136" i="2"/>
  <c r="Q128" i="2"/>
  <c r="Q126" i="2"/>
  <c r="Q121" i="2"/>
  <c r="Q115" i="2"/>
  <c r="Q139" i="2" s="1"/>
  <c r="Q114" i="2"/>
  <c r="Q113" i="2"/>
  <c r="Q100" i="2"/>
  <c r="Q96" i="2"/>
  <c r="Q92" i="2"/>
  <c r="Q88" i="2"/>
  <c r="Q84" i="2"/>
  <c r="Q78" i="2"/>
  <c r="Q133" i="2" s="1"/>
  <c r="Q77" i="2"/>
  <c r="Q54" i="2"/>
  <c r="Q44" i="2"/>
  <c r="Q31" i="2"/>
  <c r="Q138" i="2" s="1"/>
  <c r="Q15" i="2"/>
  <c r="Q137" i="2" l="1"/>
  <c r="S131" i="2"/>
  <c r="Q144" i="2"/>
  <c r="Q111" i="2"/>
  <c r="Q75" i="2"/>
  <c r="Q142" i="2"/>
  <c r="Q41" i="2"/>
  <c r="Q134" i="2"/>
  <c r="Q43" i="2"/>
  <c r="O141" i="2"/>
  <c r="O121" i="2"/>
  <c r="P123" i="2"/>
  <c r="R123" i="2" s="1"/>
  <c r="T123" i="2" s="1"/>
  <c r="V123" i="2" s="1"/>
  <c r="X123" i="2" s="1"/>
  <c r="Z123" i="2" s="1"/>
  <c r="AB123" i="2" s="1"/>
  <c r="Q131" i="2" l="1"/>
  <c r="O31" i="2"/>
  <c r="O138" i="2" s="1"/>
  <c r="O15" i="2" l="1"/>
  <c r="O128" i="2"/>
  <c r="O68" i="2"/>
  <c r="O67" i="2"/>
  <c r="O56" i="2" l="1"/>
  <c r="O43" i="2" l="1"/>
  <c r="P58" i="2"/>
  <c r="R58" i="2" s="1"/>
  <c r="T58" i="2" s="1"/>
  <c r="V58" i="2" s="1"/>
  <c r="X58" i="2" s="1"/>
  <c r="Z58" i="2" s="1"/>
  <c r="AB58" i="2" s="1"/>
  <c r="O57" i="2"/>
  <c r="O54" i="2" s="1"/>
  <c r="O41" i="2" l="1"/>
  <c r="O142" i="2"/>
  <c r="O145" i="2"/>
  <c r="P49" i="2"/>
  <c r="R49" i="2" s="1"/>
  <c r="T49" i="2" s="1"/>
  <c r="V49" i="2" s="1"/>
  <c r="X49" i="2" s="1"/>
  <c r="Z49" i="2" s="1"/>
  <c r="AB49" i="2" s="1"/>
  <c r="O143" i="2" l="1"/>
  <c r="O140" i="2"/>
  <c r="O136" i="2"/>
  <c r="O126" i="2"/>
  <c r="O115" i="2"/>
  <c r="O139" i="2" s="1"/>
  <c r="O114" i="2"/>
  <c r="O113" i="2"/>
  <c r="O100" i="2"/>
  <c r="O96" i="2"/>
  <c r="O92" i="2"/>
  <c r="O88" i="2"/>
  <c r="O84" i="2"/>
  <c r="O78" i="2"/>
  <c r="O77" i="2"/>
  <c r="O66" i="2"/>
  <c r="O44" i="2"/>
  <c r="O137" i="2" l="1"/>
  <c r="O134" i="2"/>
  <c r="O75" i="2"/>
  <c r="O144" i="2"/>
  <c r="O133" i="2"/>
  <c r="O111" i="2"/>
  <c r="M143" i="2"/>
  <c r="M141" i="2"/>
  <c r="M140" i="2"/>
  <c r="M128" i="2"/>
  <c r="M126" i="2"/>
  <c r="M121" i="2"/>
  <c r="M115" i="2"/>
  <c r="M114" i="2"/>
  <c r="M113" i="2"/>
  <c r="M100" i="2"/>
  <c r="M96" i="2"/>
  <c r="M92" i="2"/>
  <c r="M88" i="2"/>
  <c r="M84" i="2"/>
  <c r="M78" i="2"/>
  <c r="M133" i="2" s="1"/>
  <c r="M77" i="2"/>
  <c r="M66" i="2"/>
  <c r="M54" i="2"/>
  <c r="M142" i="2" s="1"/>
  <c r="M44" i="2"/>
  <c r="M43" i="2"/>
  <c r="M15" i="2"/>
  <c r="O131" i="2" l="1"/>
  <c r="M134" i="2"/>
  <c r="M75" i="2"/>
  <c r="M41" i="2"/>
  <c r="M139" i="2"/>
  <c r="M111" i="2"/>
  <c r="M136" i="2"/>
  <c r="M138" i="2"/>
  <c r="M144" i="2"/>
  <c r="M137" i="2"/>
  <c r="M145" i="2"/>
  <c r="K67" i="2"/>
  <c r="M131" i="2" l="1"/>
  <c r="K141" i="2"/>
  <c r="K56" i="2" l="1"/>
  <c r="L37" i="2"/>
  <c r="N37" i="2" s="1"/>
  <c r="P37" i="2" s="1"/>
  <c r="R37" i="2" s="1"/>
  <c r="T37" i="2" s="1"/>
  <c r="V37" i="2" s="1"/>
  <c r="X37" i="2" s="1"/>
  <c r="Z37" i="2" s="1"/>
  <c r="AB37" i="2" s="1"/>
  <c r="K31" i="2"/>
  <c r="K72" i="2"/>
  <c r="K48" i="2" l="1"/>
  <c r="K46" i="2"/>
  <c r="K117" i="2" l="1"/>
  <c r="K115" i="2" l="1"/>
  <c r="K111" i="2" s="1"/>
  <c r="K100" i="2"/>
  <c r="K113" i="2"/>
  <c r="K77" i="2"/>
  <c r="K30" i="2"/>
  <c r="K28" i="2"/>
  <c r="K51" i="2" l="1"/>
  <c r="L36" i="2"/>
  <c r="N36" i="2" s="1"/>
  <c r="P36" i="2" s="1"/>
  <c r="R36" i="2" s="1"/>
  <c r="T36" i="2" s="1"/>
  <c r="V36" i="2" s="1"/>
  <c r="X36" i="2" s="1"/>
  <c r="Z36" i="2" s="1"/>
  <c r="AB36" i="2" s="1"/>
  <c r="L35" i="2"/>
  <c r="N35" i="2" s="1"/>
  <c r="P35" i="2" s="1"/>
  <c r="R35" i="2" s="1"/>
  <c r="T35" i="2" s="1"/>
  <c r="V35" i="2" s="1"/>
  <c r="X35" i="2" s="1"/>
  <c r="Z35" i="2" s="1"/>
  <c r="AB35" i="2" s="1"/>
  <c r="K19" i="2"/>
  <c r="K15" i="2" l="1"/>
  <c r="K138" i="2"/>
  <c r="K136" i="2"/>
  <c r="J60" i="2"/>
  <c r="L60" i="2" s="1"/>
  <c r="N60" i="2" s="1"/>
  <c r="P60" i="2" s="1"/>
  <c r="R60" i="2" s="1"/>
  <c r="T60" i="2" s="1"/>
  <c r="V60" i="2" s="1"/>
  <c r="X60" i="2" s="1"/>
  <c r="Z60" i="2" s="1"/>
  <c r="AB60" i="2" s="1"/>
  <c r="K140" i="2" l="1"/>
  <c r="L110" i="2"/>
  <c r="N110" i="2" s="1"/>
  <c r="P110" i="2" s="1"/>
  <c r="R110" i="2" s="1"/>
  <c r="T110" i="2" s="1"/>
  <c r="V110" i="2" s="1"/>
  <c r="X110" i="2" s="1"/>
  <c r="Z110" i="2" s="1"/>
  <c r="AB110" i="2" s="1"/>
  <c r="L109" i="2"/>
  <c r="N109" i="2" s="1"/>
  <c r="P109" i="2" s="1"/>
  <c r="R109" i="2" s="1"/>
  <c r="T109" i="2" s="1"/>
  <c r="V109" i="2" s="1"/>
  <c r="X109" i="2" s="1"/>
  <c r="Z109" i="2" s="1"/>
  <c r="AB109" i="2" s="1"/>
  <c r="K121" i="2" l="1"/>
  <c r="F17" i="2" l="1"/>
  <c r="H17" i="2" s="1"/>
  <c r="J17" i="2" s="1"/>
  <c r="L17" i="2" s="1"/>
  <c r="N17" i="2" s="1"/>
  <c r="P17" i="2" s="1"/>
  <c r="R17" i="2" s="1"/>
  <c r="T17" i="2" s="1"/>
  <c r="V17" i="2" s="1"/>
  <c r="X17" i="2" s="1"/>
  <c r="Z17" i="2" s="1"/>
  <c r="AB17" i="2" s="1"/>
  <c r="K145" i="2"/>
  <c r="K143" i="2"/>
  <c r="K128" i="2"/>
  <c r="K144" i="2" s="1"/>
  <c r="K126" i="2"/>
  <c r="K114" i="2"/>
  <c r="K96" i="2"/>
  <c r="K92" i="2"/>
  <c r="K88" i="2"/>
  <c r="K84" i="2"/>
  <c r="K78" i="2"/>
  <c r="K133" i="2" s="1"/>
  <c r="K66" i="2"/>
  <c r="K54" i="2"/>
  <c r="K41" i="2" s="1"/>
  <c r="K44" i="2"/>
  <c r="K134" i="2" s="1"/>
  <c r="K75" i="2" l="1"/>
  <c r="K131" i="2" s="1"/>
  <c r="K137" i="2"/>
  <c r="K139" i="2"/>
  <c r="K142" i="2"/>
  <c r="K43" i="2"/>
  <c r="I15" i="2"/>
  <c r="I56" i="2"/>
  <c r="I115" i="2" l="1"/>
  <c r="I144" i="2" l="1"/>
  <c r="J144" i="2" s="1"/>
  <c r="I128" i="2"/>
  <c r="J128" i="2" s="1"/>
  <c r="L128" i="2" s="1"/>
  <c r="J130" i="2"/>
  <c r="L130" i="2" s="1"/>
  <c r="N130" i="2" s="1"/>
  <c r="P130" i="2" s="1"/>
  <c r="R130" i="2" s="1"/>
  <c r="T130" i="2" s="1"/>
  <c r="V130" i="2" s="1"/>
  <c r="X130" i="2" s="1"/>
  <c r="Z130" i="2" s="1"/>
  <c r="AB130" i="2" s="1"/>
  <c r="J129" i="2"/>
  <c r="L129" i="2" s="1"/>
  <c r="N129" i="2" s="1"/>
  <c r="P129" i="2" s="1"/>
  <c r="R129" i="2" s="1"/>
  <c r="T129" i="2" s="1"/>
  <c r="V129" i="2" s="1"/>
  <c r="X129" i="2" s="1"/>
  <c r="Z129" i="2" s="1"/>
  <c r="AB129" i="2" s="1"/>
  <c r="I43" i="2"/>
  <c r="L144" i="2" l="1"/>
  <c r="N128" i="2"/>
  <c r="I136" i="2"/>
  <c r="I140" i="2"/>
  <c r="I77" i="2"/>
  <c r="J107" i="2"/>
  <c r="L107" i="2" s="1"/>
  <c r="N107" i="2" s="1"/>
  <c r="P107" i="2" s="1"/>
  <c r="R107" i="2" s="1"/>
  <c r="T107" i="2" s="1"/>
  <c r="V107" i="2" s="1"/>
  <c r="X107" i="2" s="1"/>
  <c r="Z107" i="2" s="1"/>
  <c r="AB107" i="2" s="1"/>
  <c r="J108" i="2"/>
  <c r="L108" i="2" s="1"/>
  <c r="N108" i="2" s="1"/>
  <c r="P108" i="2" s="1"/>
  <c r="R108" i="2" s="1"/>
  <c r="T108" i="2" s="1"/>
  <c r="V108" i="2" s="1"/>
  <c r="X108" i="2" s="1"/>
  <c r="Z108" i="2" s="1"/>
  <c r="AB108" i="2" s="1"/>
  <c r="I66" i="2"/>
  <c r="J73" i="2"/>
  <c r="L73" i="2" s="1"/>
  <c r="N73" i="2" s="1"/>
  <c r="P73" i="2" s="1"/>
  <c r="R73" i="2" s="1"/>
  <c r="T73" i="2" s="1"/>
  <c r="V73" i="2" s="1"/>
  <c r="X73" i="2" s="1"/>
  <c r="Z73" i="2" s="1"/>
  <c r="AB73" i="2" s="1"/>
  <c r="N144" i="2" l="1"/>
  <c r="P128" i="2"/>
  <c r="I138" i="2"/>
  <c r="J33" i="2"/>
  <c r="L33" i="2" s="1"/>
  <c r="N33" i="2" s="1"/>
  <c r="P33" i="2" s="1"/>
  <c r="R33" i="2" s="1"/>
  <c r="T33" i="2" s="1"/>
  <c r="V33" i="2" s="1"/>
  <c r="X33" i="2" s="1"/>
  <c r="Z33" i="2" s="1"/>
  <c r="AB33" i="2" s="1"/>
  <c r="J34" i="2"/>
  <c r="L34" i="2" s="1"/>
  <c r="N34" i="2" s="1"/>
  <c r="P34" i="2" s="1"/>
  <c r="R34" i="2" s="1"/>
  <c r="T34" i="2" s="1"/>
  <c r="V34" i="2" s="1"/>
  <c r="X34" i="2" s="1"/>
  <c r="Z34" i="2" s="1"/>
  <c r="AB34" i="2" s="1"/>
  <c r="P144" i="2" l="1"/>
  <c r="R128" i="2"/>
  <c r="J26" i="2"/>
  <c r="L26" i="2" s="1"/>
  <c r="N26" i="2" s="1"/>
  <c r="P26" i="2" s="1"/>
  <c r="R26" i="2" s="1"/>
  <c r="T26" i="2" s="1"/>
  <c r="V26" i="2" s="1"/>
  <c r="X26" i="2" s="1"/>
  <c r="Z26" i="2" s="1"/>
  <c r="AB26" i="2" s="1"/>
  <c r="R144" i="2" l="1"/>
  <c r="T128" i="2"/>
  <c r="I145" i="2"/>
  <c r="J23" i="2"/>
  <c r="L23" i="2" s="1"/>
  <c r="N23" i="2" s="1"/>
  <c r="P23" i="2" s="1"/>
  <c r="R23" i="2" s="1"/>
  <c r="T23" i="2" s="1"/>
  <c r="V23" i="2" s="1"/>
  <c r="X23" i="2" s="1"/>
  <c r="Z23" i="2" s="1"/>
  <c r="AB23" i="2" s="1"/>
  <c r="J21" i="2"/>
  <c r="L21" i="2" s="1"/>
  <c r="N21" i="2" s="1"/>
  <c r="J30" i="2"/>
  <c r="L30" i="2" s="1"/>
  <c r="N30" i="2" s="1"/>
  <c r="P30" i="2" s="1"/>
  <c r="R30" i="2" s="1"/>
  <c r="T30" i="2" s="1"/>
  <c r="V30" i="2" s="1"/>
  <c r="X30" i="2" s="1"/>
  <c r="Z30" i="2" s="1"/>
  <c r="AB30" i="2" s="1"/>
  <c r="J28" i="2"/>
  <c r="L28" i="2" s="1"/>
  <c r="N28" i="2" s="1"/>
  <c r="P28" i="2" s="1"/>
  <c r="R28" i="2" s="1"/>
  <c r="T28" i="2" s="1"/>
  <c r="V28" i="2" s="1"/>
  <c r="X28" i="2" s="1"/>
  <c r="Z28" i="2" s="1"/>
  <c r="AB28" i="2" s="1"/>
  <c r="J25" i="2"/>
  <c r="L25" i="2" s="1"/>
  <c r="N25" i="2" s="1"/>
  <c r="P25" i="2" s="1"/>
  <c r="R25" i="2" s="1"/>
  <c r="T25" i="2" s="1"/>
  <c r="V25" i="2" s="1"/>
  <c r="X25" i="2" s="1"/>
  <c r="Z25" i="2" s="1"/>
  <c r="AB25" i="2" s="1"/>
  <c r="T144" i="2" l="1"/>
  <c r="V128" i="2"/>
  <c r="P21" i="2"/>
  <c r="N145" i="2"/>
  <c r="L145" i="2"/>
  <c r="J145" i="2"/>
  <c r="I54" i="2"/>
  <c r="I41" i="2" s="1"/>
  <c r="V144" i="2" l="1"/>
  <c r="X128" i="2"/>
  <c r="P145" i="2"/>
  <c r="R21" i="2"/>
  <c r="I143" i="2"/>
  <c r="I141" i="2"/>
  <c r="I134" i="2"/>
  <c r="I133" i="2"/>
  <c r="I126" i="2"/>
  <c r="I121" i="2"/>
  <c r="I139" i="2"/>
  <c r="I114" i="2"/>
  <c r="I113" i="2"/>
  <c r="I100" i="2"/>
  <c r="I96" i="2"/>
  <c r="I92" i="2"/>
  <c r="I88" i="2"/>
  <c r="I84" i="2"/>
  <c r="I78" i="2"/>
  <c r="I44" i="2"/>
  <c r="X144" i="2" l="1"/>
  <c r="Z128" i="2"/>
  <c r="R145" i="2"/>
  <c r="T21" i="2"/>
  <c r="I75" i="2"/>
  <c r="I137" i="2"/>
  <c r="I142" i="2"/>
  <c r="I111" i="2"/>
  <c r="G141" i="2"/>
  <c r="G121" i="2"/>
  <c r="H125" i="2"/>
  <c r="J125" i="2" s="1"/>
  <c r="L125" i="2" s="1"/>
  <c r="N125" i="2" s="1"/>
  <c r="P125" i="2" s="1"/>
  <c r="R125" i="2" s="1"/>
  <c r="T125" i="2" s="1"/>
  <c r="V125" i="2" s="1"/>
  <c r="X125" i="2" s="1"/>
  <c r="Z125" i="2" s="1"/>
  <c r="AB125" i="2" s="1"/>
  <c r="D126" i="2"/>
  <c r="E126" i="2"/>
  <c r="G126" i="2"/>
  <c r="G143" i="2"/>
  <c r="G140" i="2"/>
  <c r="G138" i="2"/>
  <c r="G136" i="2"/>
  <c r="G134" i="2"/>
  <c r="G133" i="2"/>
  <c r="G115" i="2"/>
  <c r="G111" i="2" s="1"/>
  <c r="G114" i="2"/>
  <c r="G113" i="2"/>
  <c r="G100" i="2"/>
  <c r="G96" i="2"/>
  <c r="G92" i="2"/>
  <c r="G88" i="2"/>
  <c r="G84" i="2"/>
  <c r="G78" i="2"/>
  <c r="G77" i="2"/>
  <c r="G66" i="2"/>
  <c r="G54" i="2"/>
  <c r="G41" i="2" s="1"/>
  <c r="G44" i="2"/>
  <c r="G43" i="2"/>
  <c r="G15" i="2"/>
  <c r="Z144" i="2" l="1"/>
  <c r="AB128" i="2"/>
  <c r="AB144" i="2" s="1"/>
  <c r="T145" i="2"/>
  <c r="V21" i="2"/>
  <c r="G75" i="2"/>
  <c r="I131" i="2"/>
  <c r="F126" i="2"/>
  <c r="H126" i="2" s="1"/>
  <c r="J126" i="2" s="1"/>
  <c r="L126" i="2" s="1"/>
  <c r="N126" i="2" s="1"/>
  <c r="P126" i="2" s="1"/>
  <c r="R126" i="2" s="1"/>
  <c r="T126" i="2" s="1"/>
  <c r="V126" i="2" s="1"/>
  <c r="X126" i="2" s="1"/>
  <c r="Z126" i="2" s="1"/>
  <c r="AB126" i="2" s="1"/>
  <c r="G137" i="2"/>
  <c r="G142" i="2"/>
  <c r="G139" i="2"/>
  <c r="E134" i="2"/>
  <c r="D134" i="2"/>
  <c r="E133" i="2"/>
  <c r="D133" i="2"/>
  <c r="E136" i="2"/>
  <c r="E78" i="2"/>
  <c r="E77" i="2"/>
  <c r="D78" i="2"/>
  <c r="D77" i="2"/>
  <c r="E66" i="2"/>
  <c r="D66" i="2"/>
  <c r="F72" i="2"/>
  <c r="H72" i="2" s="1"/>
  <c r="J72" i="2" s="1"/>
  <c r="L72" i="2" s="1"/>
  <c r="N72" i="2" s="1"/>
  <c r="P72" i="2" s="1"/>
  <c r="R72" i="2" s="1"/>
  <c r="T72" i="2" s="1"/>
  <c r="V72" i="2" s="1"/>
  <c r="X72" i="2" s="1"/>
  <c r="Z72" i="2" s="1"/>
  <c r="AB72" i="2" s="1"/>
  <c r="F71" i="2"/>
  <c r="H71" i="2" s="1"/>
  <c r="J71" i="2" s="1"/>
  <c r="L71" i="2" s="1"/>
  <c r="N71" i="2" s="1"/>
  <c r="P71" i="2" s="1"/>
  <c r="R71" i="2" s="1"/>
  <c r="T71" i="2" s="1"/>
  <c r="V71" i="2" s="1"/>
  <c r="X71" i="2" s="1"/>
  <c r="Z71" i="2" s="1"/>
  <c r="AB71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Z106" i="2" s="1"/>
  <c r="AB106" i="2" s="1"/>
  <c r="F105" i="2"/>
  <c r="H105" i="2" s="1"/>
  <c r="J105" i="2" s="1"/>
  <c r="L105" i="2" s="1"/>
  <c r="N105" i="2" s="1"/>
  <c r="P105" i="2" s="1"/>
  <c r="R105" i="2" s="1"/>
  <c r="T105" i="2" s="1"/>
  <c r="V105" i="2" s="1"/>
  <c r="X105" i="2" s="1"/>
  <c r="Z105" i="2" s="1"/>
  <c r="AB105" i="2" s="1"/>
  <c r="E138" i="2"/>
  <c r="D138" i="2"/>
  <c r="E15" i="2"/>
  <c r="F32" i="2"/>
  <c r="H32" i="2" s="1"/>
  <c r="J32" i="2" s="1"/>
  <c r="L32" i="2" s="1"/>
  <c r="N32" i="2" s="1"/>
  <c r="P32" i="2" s="1"/>
  <c r="R32" i="2" s="1"/>
  <c r="T32" i="2" s="1"/>
  <c r="V32" i="2" s="1"/>
  <c r="X32" i="2" s="1"/>
  <c r="Z32" i="2" s="1"/>
  <c r="AB32" i="2" s="1"/>
  <c r="E141" i="2"/>
  <c r="D141" i="2"/>
  <c r="V145" i="2" l="1"/>
  <c r="X21" i="2"/>
  <c r="G131" i="2"/>
  <c r="E113" i="2"/>
  <c r="D113" i="2"/>
  <c r="F120" i="2"/>
  <c r="H120" i="2" s="1"/>
  <c r="J120" i="2" s="1"/>
  <c r="L120" i="2" s="1"/>
  <c r="N120" i="2" s="1"/>
  <c r="P120" i="2" s="1"/>
  <c r="R120" i="2" s="1"/>
  <c r="T120" i="2" s="1"/>
  <c r="V120" i="2" s="1"/>
  <c r="X120" i="2" s="1"/>
  <c r="Z120" i="2" s="1"/>
  <c r="AB120" i="2" s="1"/>
  <c r="X145" i="2" l="1"/>
  <c r="Z21" i="2"/>
  <c r="F127" i="2"/>
  <c r="H127" i="2" s="1"/>
  <c r="F124" i="2"/>
  <c r="H124" i="2" s="1"/>
  <c r="J124" i="2" s="1"/>
  <c r="L124" i="2" s="1"/>
  <c r="N124" i="2" s="1"/>
  <c r="P124" i="2" s="1"/>
  <c r="R124" i="2" s="1"/>
  <c r="T124" i="2" s="1"/>
  <c r="V124" i="2" s="1"/>
  <c r="X124" i="2" s="1"/>
  <c r="Z124" i="2" s="1"/>
  <c r="AB124" i="2" s="1"/>
  <c r="F122" i="2"/>
  <c r="H122" i="2" s="1"/>
  <c r="J122" i="2" s="1"/>
  <c r="L122" i="2" s="1"/>
  <c r="N122" i="2" s="1"/>
  <c r="P122" i="2" s="1"/>
  <c r="R122" i="2" s="1"/>
  <c r="T122" i="2" s="1"/>
  <c r="V122" i="2" s="1"/>
  <c r="X122" i="2" s="1"/>
  <c r="Z122" i="2" s="1"/>
  <c r="AB122" i="2" s="1"/>
  <c r="F119" i="2"/>
  <c r="H119" i="2" s="1"/>
  <c r="J119" i="2" s="1"/>
  <c r="L119" i="2" s="1"/>
  <c r="N119" i="2" s="1"/>
  <c r="P119" i="2" s="1"/>
  <c r="R119" i="2" s="1"/>
  <c r="T119" i="2" s="1"/>
  <c r="V119" i="2" s="1"/>
  <c r="X119" i="2" s="1"/>
  <c r="Z119" i="2" s="1"/>
  <c r="AB119" i="2" s="1"/>
  <c r="F118" i="2"/>
  <c r="H118" i="2" s="1"/>
  <c r="J118" i="2" s="1"/>
  <c r="L118" i="2" s="1"/>
  <c r="N118" i="2" s="1"/>
  <c r="P118" i="2" s="1"/>
  <c r="R118" i="2" s="1"/>
  <c r="F117" i="2"/>
  <c r="H117" i="2" s="1"/>
  <c r="J117" i="2" s="1"/>
  <c r="L117" i="2" s="1"/>
  <c r="N117" i="2" s="1"/>
  <c r="F104" i="2"/>
  <c r="H104" i="2" s="1"/>
  <c r="J104" i="2" s="1"/>
  <c r="L104" i="2" s="1"/>
  <c r="N104" i="2" s="1"/>
  <c r="P104" i="2" s="1"/>
  <c r="R104" i="2" s="1"/>
  <c r="T104" i="2" s="1"/>
  <c r="V104" i="2" s="1"/>
  <c r="X104" i="2" s="1"/>
  <c r="Z104" i="2" s="1"/>
  <c r="AB104" i="2" s="1"/>
  <c r="F103" i="2"/>
  <c r="F102" i="2"/>
  <c r="H102" i="2" s="1"/>
  <c r="J102" i="2" s="1"/>
  <c r="L102" i="2" s="1"/>
  <c r="N102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Z99" i="2" s="1"/>
  <c r="AB99" i="2" s="1"/>
  <c r="F98" i="2"/>
  <c r="H98" i="2" s="1"/>
  <c r="J98" i="2" s="1"/>
  <c r="L98" i="2" s="1"/>
  <c r="N98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Z95" i="2" s="1"/>
  <c r="AB95" i="2" s="1"/>
  <c r="F94" i="2"/>
  <c r="H94" i="2" s="1"/>
  <c r="J94" i="2" s="1"/>
  <c r="L94" i="2" s="1"/>
  <c r="N94" i="2" s="1"/>
  <c r="F91" i="2"/>
  <c r="H91" i="2" s="1"/>
  <c r="J91" i="2" s="1"/>
  <c r="L91" i="2" s="1"/>
  <c r="N91" i="2" s="1"/>
  <c r="P91" i="2" s="1"/>
  <c r="R91" i="2" s="1"/>
  <c r="T91" i="2" s="1"/>
  <c r="V91" i="2" s="1"/>
  <c r="X91" i="2" s="1"/>
  <c r="Z91" i="2" s="1"/>
  <c r="AB91" i="2" s="1"/>
  <c r="F90" i="2"/>
  <c r="H90" i="2" s="1"/>
  <c r="J90" i="2" s="1"/>
  <c r="L90" i="2" s="1"/>
  <c r="N90" i="2" s="1"/>
  <c r="F87" i="2"/>
  <c r="H87" i="2" s="1"/>
  <c r="J87" i="2" s="1"/>
  <c r="L87" i="2" s="1"/>
  <c r="N87" i="2" s="1"/>
  <c r="P87" i="2" s="1"/>
  <c r="R87" i="2" s="1"/>
  <c r="T87" i="2" s="1"/>
  <c r="V87" i="2" s="1"/>
  <c r="X87" i="2" s="1"/>
  <c r="Z87" i="2" s="1"/>
  <c r="AB87" i="2" s="1"/>
  <c r="F86" i="2"/>
  <c r="H86" i="2" s="1"/>
  <c r="J86" i="2" s="1"/>
  <c r="L86" i="2" s="1"/>
  <c r="N86" i="2" s="1"/>
  <c r="F80" i="2"/>
  <c r="H80" i="2" s="1"/>
  <c r="J80" i="2" s="1"/>
  <c r="L80" i="2" s="1"/>
  <c r="N80" i="2" s="1"/>
  <c r="P80" i="2" s="1"/>
  <c r="R80" i="2" s="1"/>
  <c r="T80" i="2" s="1"/>
  <c r="V80" i="2" s="1"/>
  <c r="X80" i="2" s="1"/>
  <c r="Z80" i="2" s="1"/>
  <c r="AB80" i="2" s="1"/>
  <c r="F81" i="2"/>
  <c r="H81" i="2" s="1"/>
  <c r="J81" i="2" s="1"/>
  <c r="L81" i="2" s="1"/>
  <c r="N81" i="2" s="1"/>
  <c r="P81" i="2" s="1"/>
  <c r="R81" i="2" s="1"/>
  <c r="T81" i="2" s="1"/>
  <c r="V81" i="2" s="1"/>
  <c r="X81" i="2" s="1"/>
  <c r="Z81" i="2" s="1"/>
  <c r="AB81" i="2" s="1"/>
  <c r="F82" i="2"/>
  <c r="H82" i="2" s="1"/>
  <c r="J82" i="2" s="1"/>
  <c r="L82" i="2" s="1"/>
  <c r="N82" i="2" s="1"/>
  <c r="P82" i="2" s="1"/>
  <c r="R82" i="2" s="1"/>
  <c r="T82" i="2" s="1"/>
  <c r="V82" i="2" s="1"/>
  <c r="X82" i="2" s="1"/>
  <c r="Z82" i="2" s="1"/>
  <c r="AB82" i="2" s="1"/>
  <c r="F83" i="2"/>
  <c r="H83" i="2" s="1"/>
  <c r="J83" i="2" s="1"/>
  <c r="L83" i="2" s="1"/>
  <c r="N83" i="2" s="1"/>
  <c r="P83" i="2" s="1"/>
  <c r="R83" i="2" s="1"/>
  <c r="T83" i="2" s="1"/>
  <c r="V83" i="2" s="1"/>
  <c r="X83" i="2" s="1"/>
  <c r="Z83" i="2" s="1"/>
  <c r="AB83" i="2" s="1"/>
  <c r="F79" i="2"/>
  <c r="H79" i="2" s="1"/>
  <c r="J79" i="2" s="1"/>
  <c r="L79" i="2" s="1"/>
  <c r="N79" i="2" s="1"/>
  <c r="E84" i="2"/>
  <c r="F68" i="2"/>
  <c r="H68" i="2" s="1"/>
  <c r="J68" i="2" s="1"/>
  <c r="L68" i="2" s="1"/>
  <c r="N68" i="2" s="1"/>
  <c r="P68" i="2" s="1"/>
  <c r="R68" i="2" s="1"/>
  <c r="T68" i="2" s="1"/>
  <c r="V68" i="2" s="1"/>
  <c r="X68" i="2" s="1"/>
  <c r="Z68" i="2" s="1"/>
  <c r="AB68" i="2" s="1"/>
  <c r="F69" i="2"/>
  <c r="H69" i="2" s="1"/>
  <c r="J69" i="2" s="1"/>
  <c r="L69" i="2" s="1"/>
  <c r="N69" i="2" s="1"/>
  <c r="P69" i="2" s="1"/>
  <c r="R69" i="2" s="1"/>
  <c r="T69" i="2" s="1"/>
  <c r="V69" i="2" s="1"/>
  <c r="X69" i="2" s="1"/>
  <c r="Z69" i="2" s="1"/>
  <c r="AB69" i="2" s="1"/>
  <c r="F70" i="2"/>
  <c r="H70" i="2" s="1"/>
  <c r="J70" i="2" s="1"/>
  <c r="L70" i="2" s="1"/>
  <c r="N70" i="2" s="1"/>
  <c r="P70" i="2" s="1"/>
  <c r="R70" i="2" s="1"/>
  <c r="T70" i="2" s="1"/>
  <c r="V70" i="2" s="1"/>
  <c r="X70" i="2" s="1"/>
  <c r="Z70" i="2" s="1"/>
  <c r="AB70" i="2" s="1"/>
  <c r="F67" i="2"/>
  <c r="H67" i="2" s="1"/>
  <c r="J67" i="2" s="1"/>
  <c r="L67" i="2" s="1"/>
  <c r="N67" i="2" s="1"/>
  <c r="F57" i="2"/>
  <c r="F59" i="2"/>
  <c r="H59" i="2" s="1"/>
  <c r="J59" i="2" s="1"/>
  <c r="L59" i="2" s="1"/>
  <c r="N59" i="2" s="1"/>
  <c r="P59" i="2" s="1"/>
  <c r="R59" i="2" s="1"/>
  <c r="T59" i="2" s="1"/>
  <c r="V59" i="2" s="1"/>
  <c r="X59" i="2" s="1"/>
  <c r="Z59" i="2" s="1"/>
  <c r="AB59" i="2" s="1"/>
  <c r="F46" i="2"/>
  <c r="H46" i="2" s="1"/>
  <c r="J46" i="2" s="1"/>
  <c r="L46" i="2" s="1"/>
  <c r="N46" i="2" s="1"/>
  <c r="P46" i="2" s="1"/>
  <c r="R46" i="2" s="1"/>
  <c r="T46" i="2" s="1"/>
  <c r="V46" i="2" s="1"/>
  <c r="X46" i="2" s="1"/>
  <c r="Z46" i="2" s="1"/>
  <c r="AB46" i="2" s="1"/>
  <c r="F47" i="2"/>
  <c r="H47" i="2" s="1"/>
  <c r="J47" i="2" s="1"/>
  <c r="L47" i="2" s="1"/>
  <c r="N47" i="2" s="1"/>
  <c r="P47" i="2" s="1"/>
  <c r="R47" i="2" s="1"/>
  <c r="T47" i="2" s="1"/>
  <c r="V47" i="2" s="1"/>
  <c r="X47" i="2" s="1"/>
  <c r="Z47" i="2" s="1"/>
  <c r="AB47" i="2" s="1"/>
  <c r="F48" i="2"/>
  <c r="H48" i="2" s="1"/>
  <c r="J48" i="2" s="1"/>
  <c r="L48" i="2" s="1"/>
  <c r="N48" i="2" s="1"/>
  <c r="P48" i="2" s="1"/>
  <c r="R48" i="2" s="1"/>
  <c r="T48" i="2" s="1"/>
  <c r="V48" i="2" s="1"/>
  <c r="X48" i="2" s="1"/>
  <c r="Z48" i="2" s="1"/>
  <c r="AB48" i="2" s="1"/>
  <c r="F50" i="2"/>
  <c r="H50" i="2" s="1"/>
  <c r="J50" i="2" s="1"/>
  <c r="L50" i="2" s="1"/>
  <c r="N50" i="2" s="1"/>
  <c r="P50" i="2" s="1"/>
  <c r="R50" i="2" s="1"/>
  <c r="T50" i="2" s="1"/>
  <c r="V50" i="2" s="1"/>
  <c r="X50" i="2" s="1"/>
  <c r="Z50" i="2" s="1"/>
  <c r="AB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Z51" i="2" s="1"/>
  <c r="AB51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Z52" i="2" s="1"/>
  <c r="AB52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Z53" i="2" s="1"/>
  <c r="AB53" i="2" s="1"/>
  <c r="F45" i="2"/>
  <c r="H45" i="2" s="1"/>
  <c r="J45" i="2" s="1"/>
  <c r="L45" i="2" s="1"/>
  <c r="N45" i="2" s="1"/>
  <c r="F18" i="2"/>
  <c r="H18" i="2" s="1"/>
  <c r="J18" i="2" s="1"/>
  <c r="L18" i="2" s="1"/>
  <c r="N18" i="2" s="1"/>
  <c r="P18" i="2" s="1"/>
  <c r="R18" i="2" s="1"/>
  <c r="F19" i="2"/>
  <c r="H19" i="2" s="1"/>
  <c r="J19" i="2" s="1"/>
  <c r="L19" i="2" s="1"/>
  <c r="N19" i="2" s="1"/>
  <c r="F20" i="2"/>
  <c r="H20" i="2" s="1"/>
  <c r="J20" i="2" s="1"/>
  <c r="L20" i="2" s="1"/>
  <c r="N20" i="2" s="1"/>
  <c r="P20" i="2" s="1"/>
  <c r="R20" i="2" s="1"/>
  <c r="T20" i="2" s="1"/>
  <c r="V20" i="2" s="1"/>
  <c r="X20" i="2" s="1"/>
  <c r="Z20" i="2" s="1"/>
  <c r="AB20" i="2" s="1"/>
  <c r="F22" i="2"/>
  <c r="H22" i="2" s="1"/>
  <c r="J22" i="2" s="1"/>
  <c r="L22" i="2" s="1"/>
  <c r="N22" i="2" s="1"/>
  <c r="P22" i="2" s="1"/>
  <c r="R22" i="2" s="1"/>
  <c r="T22" i="2" s="1"/>
  <c r="V22" i="2" s="1"/>
  <c r="X22" i="2" s="1"/>
  <c r="Z22" i="2" s="1"/>
  <c r="AB22" i="2" s="1"/>
  <c r="F24" i="2"/>
  <c r="H24" i="2" s="1"/>
  <c r="J24" i="2" s="1"/>
  <c r="L24" i="2" s="1"/>
  <c r="N24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Z27" i="2" s="1"/>
  <c r="AB27" i="2" s="1"/>
  <c r="F29" i="2"/>
  <c r="H29" i="2" s="1"/>
  <c r="J29" i="2" s="1"/>
  <c r="L29" i="2" s="1"/>
  <c r="N29" i="2" s="1"/>
  <c r="P29" i="2" s="1"/>
  <c r="R29" i="2" s="1"/>
  <c r="T29" i="2" s="1"/>
  <c r="V29" i="2" s="1"/>
  <c r="X29" i="2" s="1"/>
  <c r="Z29" i="2" s="1"/>
  <c r="AB29" i="2" s="1"/>
  <c r="F31" i="2"/>
  <c r="H31" i="2" s="1"/>
  <c r="J31" i="2" s="1"/>
  <c r="L31" i="2" s="1"/>
  <c r="N31" i="2" s="1"/>
  <c r="P31" i="2" s="1"/>
  <c r="R31" i="2" s="1"/>
  <c r="T31" i="2" s="1"/>
  <c r="V31" i="2" s="1"/>
  <c r="X31" i="2" s="1"/>
  <c r="Z31" i="2" s="1"/>
  <c r="AB31" i="2" s="1"/>
  <c r="F16" i="2"/>
  <c r="H16" i="2" s="1"/>
  <c r="J16" i="2" s="1"/>
  <c r="L16" i="2" s="1"/>
  <c r="N16" i="2" s="1"/>
  <c r="E143" i="2"/>
  <c r="E140" i="2"/>
  <c r="E121" i="2"/>
  <c r="E115" i="2"/>
  <c r="E114" i="2"/>
  <c r="F113" i="2"/>
  <c r="H113" i="2" s="1"/>
  <c r="J113" i="2" s="1"/>
  <c r="L113" i="2" s="1"/>
  <c r="N113" i="2" s="1"/>
  <c r="P113" i="2" s="1"/>
  <c r="R113" i="2" s="1"/>
  <c r="T113" i="2" s="1"/>
  <c r="V113" i="2" s="1"/>
  <c r="X113" i="2" s="1"/>
  <c r="Z113" i="2" s="1"/>
  <c r="AB113" i="2" s="1"/>
  <c r="E100" i="2"/>
  <c r="E96" i="2"/>
  <c r="E92" i="2"/>
  <c r="E88" i="2"/>
  <c r="E54" i="2"/>
  <c r="E41" i="2" s="1"/>
  <c r="E44" i="2"/>
  <c r="E43" i="2"/>
  <c r="Z145" i="2" l="1"/>
  <c r="AB21" i="2"/>
  <c r="AB145" i="2" s="1"/>
  <c r="T18" i="2"/>
  <c r="V18" i="2" s="1"/>
  <c r="X18" i="2" s="1"/>
  <c r="Z18" i="2" s="1"/>
  <c r="AB18" i="2" s="1"/>
  <c r="T118" i="2"/>
  <c r="V118" i="2" s="1"/>
  <c r="X118" i="2" s="1"/>
  <c r="Z118" i="2" s="1"/>
  <c r="AB118" i="2" s="1"/>
  <c r="P19" i="2"/>
  <c r="R19" i="2" s="1"/>
  <c r="T19" i="2" s="1"/>
  <c r="V19" i="2" s="1"/>
  <c r="X19" i="2" s="1"/>
  <c r="Z19" i="2" s="1"/>
  <c r="AB19" i="2" s="1"/>
  <c r="N138" i="2"/>
  <c r="P138" i="2" s="1"/>
  <c r="R138" i="2" s="1"/>
  <c r="T138" i="2" s="1"/>
  <c r="V138" i="2" s="1"/>
  <c r="X138" i="2" s="1"/>
  <c r="Z138" i="2" s="1"/>
  <c r="AB138" i="2" s="1"/>
  <c r="P67" i="2"/>
  <c r="R67" i="2" s="1"/>
  <c r="T67" i="2" s="1"/>
  <c r="V67" i="2" s="1"/>
  <c r="X67" i="2" s="1"/>
  <c r="Z67" i="2" s="1"/>
  <c r="AB67" i="2" s="1"/>
  <c r="N88" i="2"/>
  <c r="P90" i="2"/>
  <c r="N141" i="2"/>
  <c r="P16" i="2"/>
  <c r="N96" i="2"/>
  <c r="P98" i="2"/>
  <c r="N140" i="2"/>
  <c r="P79" i="2"/>
  <c r="N115" i="2"/>
  <c r="N139" i="2" s="1"/>
  <c r="P117" i="2"/>
  <c r="P45" i="2"/>
  <c r="N136" i="2"/>
  <c r="N84" i="2"/>
  <c r="P86" i="2"/>
  <c r="N92" i="2"/>
  <c r="P94" i="2"/>
  <c r="P102" i="2"/>
  <c r="R102" i="2" s="1"/>
  <c r="L138" i="2"/>
  <c r="L141" i="2"/>
  <c r="L136" i="2"/>
  <c r="L140" i="2"/>
  <c r="L88" i="2"/>
  <c r="L96" i="2"/>
  <c r="L115" i="2"/>
  <c r="L139" i="2" s="1"/>
  <c r="L84" i="2"/>
  <c r="L92" i="2"/>
  <c r="J138" i="2"/>
  <c r="F143" i="2"/>
  <c r="J136" i="2"/>
  <c r="J140" i="2"/>
  <c r="J115" i="2"/>
  <c r="J88" i="2"/>
  <c r="J96" i="2"/>
  <c r="J141" i="2"/>
  <c r="J84" i="2"/>
  <c r="J92" i="2"/>
  <c r="H143" i="2"/>
  <c r="J127" i="2"/>
  <c r="H141" i="2"/>
  <c r="F115" i="2"/>
  <c r="H88" i="2"/>
  <c r="H96" i="2"/>
  <c r="F134" i="2"/>
  <c r="H57" i="2"/>
  <c r="F100" i="2"/>
  <c r="H103" i="2"/>
  <c r="H138" i="2"/>
  <c r="H140" i="2"/>
  <c r="H136" i="2"/>
  <c r="H84" i="2"/>
  <c r="H92" i="2"/>
  <c r="H115" i="2"/>
  <c r="F84" i="2"/>
  <c r="F133" i="2"/>
  <c r="F136" i="2"/>
  <c r="E137" i="2"/>
  <c r="E75" i="2"/>
  <c r="F138" i="2"/>
  <c r="F141" i="2"/>
  <c r="F88" i="2"/>
  <c r="F96" i="2"/>
  <c r="E139" i="2"/>
  <c r="E111" i="2"/>
  <c r="F140" i="2"/>
  <c r="F92" i="2"/>
  <c r="E142" i="2"/>
  <c r="F77" i="2"/>
  <c r="H77" i="2" s="1"/>
  <c r="J77" i="2" s="1"/>
  <c r="L77" i="2" s="1"/>
  <c r="N77" i="2" s="1"/>
  <c r="P77" i="2" s="1"/>
  <c r="R77" i="2" s="1"/>
  <c r="T77" i="2" s="1"/>
  <c r="V77" i="2" s="1"/>
  <c r="X77" i="2" s="1"/>
  <c r="Z77" i="2" s="1"/>
  <c r="AB77" i="2" s="1"/>
  <c r="D114" i="2"/>
  <c r="F114" i="2" s="1"/>
  <c r="H114" i="2" s="1"/>
  <c r="J114" i="2" s="1"/>
  <c r="L114" i="2" s="1"/>
  <c r="N114" i="2" s="1"/>
  <c r="P114" i="2" s="1"/>
  <c r="R114" i="2" s="1"/>
  <c r="T114" i="2" s="1"/>
  <c r="V114" i="2" s="1"/>
  <c r="X114" i="2" s="1"/>
  <c r="Z114" i="2" s="1"/>
  <c r="AB114" i="2" s="1"/>
  <c r="D44" i="2"/>
  <c r="F44" i="2" s="1"/>
  <c r="H44" i="2" s="1"/>
  <c r="J44" i="2" s="1"/>
  <c r="L44" i="2" s="1"/>
  <c r="N44" i="2" s="1"/>
  <c r="D56" i="2"/>
  <c r="D43" i="2" s="1"/>
  <c r="F43" i="2" s="1"/>
  <c r="H43" i="2" s="1"/>
  <c r="J43" i="2" s="1"/>
  <c r="L43" i="2" s="1"/>
  <c r="N43" i="2" s="1"/>
  <c r="P43" i="2" s="1"/>
  <c r="R43" i="2" s="1"/>
  <c r="T43" i="2" s="1"/>
  <c r="V43" i="2" s="1"/>
  <c r="X43" i="2" s="1"/>
  <c r="Z43" i="2" s="1"/>
  <c r="AB43" i="2" s="1"/>
  <c r="P92" i="2" l="1"/>
  <c r="R94" i="2"/>
  <c r="P140" i="2"/>
  <c r="R79" i="2"/>
  <c r="P141" i="2"/>
  <c r="R16" i="2"/>
  <c r="P136" i="2"/>
  <c r="R45" i="2"/>
  <c r="P84" i="2"/>
  <c r="R86" i="2"/>
  <c r="P115" i="2"/>
  <c r="P139" i="2" s="1"/>
  <c r="R117" i="2"/>
  <c r="P96" i="2"/>
  <c r="R98" i="2"/>
  <c r="P88" i="2"/>
  <c r="R90" i="2"/>
  <c r="T102" i="2"/>
  <c r="V102" i="2" s="1"/>
  <c r="X102" i="2" s="1"/>
  <c r="Z102" i="2" s="1"/>
  <c r="AB102" i="2" s="1"/>
  <c r="N134" i="2"/>
  <c r="P44" i="2"/>
  <c r="L134" i="2"/>
  <c r="J143" i="2"/>
  <c r="L127" i="2"/>
  <c r="H133" i="2"/>
  <c r="J103" i="2"/>
  <c r="L103" i="2" s="1"/>
  <c r="N103" i="2" s="1"/>
  <c r="H134" i="2"/>
  <c r="J57" i="2"/>
  <c r="L57" i="2" s="1"/>
  <c r="N57" i="2" s="1"/>
  <c r="P57" i="2" s="1"/>
  <c r="R57" i="2" s="1"/>
  <c r="T57" i="2" s="1"/>
  <c r="V57" i="2" s="1"/>
  <c r="X57" i="2" s="1"/>
  <c r="Z57" i="2" s="1"/>
  <c r="AB57" i="2" s="1"/>
  <c r="H100" i="2"/>
  <c r="H137" i="2" s="1"/>
  <c r="F137" i="2"/>
  <c r="D54" i="2"/>
  <c r="D142" i="2" s="1"/>
  <c r="F56" i="2"/>
  <c r="E131" i="2"/>
  <c r="R96" i="2" l="1"/>
  <c r="T98" i="2"/>
  <c r="R140" i="2"/>
  <c r="T79" i="2"/>
  <c r="T86" i="2"/>
  <c r="R84" i="2"/>
  <c r="P134" i="2"/>
  <c r="R44" i="2"/>
  <c r="T90" i="2"/>
  <c r="R88" i="2"/>
  <c r="T117" i="2"/>
  <c r="R115" i="2"/>
  <c r="R139" i="2" s="1"/>
  <c r="T45" i="2"/>
  <c r="R136" i="2"/>
  <c r="T16" i="2"/>
  <c r="R141" i="2"/>
  <c r="T94" i="2"/>
  <c r="R92" i="2"/>
  <c r="L143" i="2"/>
  <c r="N127" i="2"/>
  <c r="P103" i="2"/>
  <c r="N100" i="2"/>
  <c r="N137" i="2" s="1"/>
  <c r="L100" i="2"/>
  <c r="L137" i="2" s="1"/>
  <c r="J134" i="2"/>
  <c r="J100" i="2"/>
  <c r="J137" i="2" s="1"/>
  <c r="J133" i="2"/>
  <c r="F54" i="2"/>
  <c r="F142" i="2" s="1"/>
  <c r="H56" i="2"/>
  <c r="D41" i="2"/>
  <c r="F41" i="2" s="1"/>
  <c r="H41" i="2" s="1"/>
  <c r="J41" i="2" s="1"/>
  <c r="L41" i="2" s="1"/>
  <c r="N41" i="2" s="1"/>
  <c r="P41" i="2" s="1"/>
  <c r="R41" i="2" s="1"/>
  <c r="T41" i="2" s="1"/>
  <c r="V41" i="2" s="1"/>
  <c r="X41" i="2" s="1"/>
  <c r="Z41" i="2" s="1"/>
  <c r="AB41" i="2" s="1"/>
  <c r="D140" i="2"/>
  <c r="T141" i="2" l="1"/>
  <c r="V16" i="2"/>
  <c r="T115" i="2"/>
  <c r="T139" i="2" s="1"/>
  <c r="V117" i="2"/>
  <c r="T96" i="2"/>
  <c r="V98" i="2"/>
  <c r="T92" i="2"/>
  <c r="V94" i="2"/>
  <c r="T136" i="2"/>
  <c r="V45" i="2"/>
  <c r="T88" i="2"/>
  <c r="V90" i="2"/>
  <c r="T84" i="2"/>
  <c r="V86" i="2"/>
  <c r="T140" i="2"/>
  <c r="V79" i="2"/>
  <c r="P100" i="2"/>
  <c r="P137" i="2" s="1"/>
  <c r="R103" i="2"/>
  <c r="R134" i="2"/>
  <c r="T44" i="2"/>
  <c r="N143" i="2"/>
  <c r="P127" i="2"/>
  <c r="H54" i="2"/>
  <c r="H142" i="2" s="1"/>
  <c r="J56" i="2"/>
  <c r="D136" i="2"/>
  <c r="V140" i="2" l="1"/>
  <c r="X79" i="2"/>
  <c r="V88" i="2"/>
  <c r="X90" i="2"/>
  <c r="V92" i="2"/>
  <c r="X94" i="2"/>
  <c r="V115" i="2"/>
  <c r="V139" i="2" s="1"/>
  <c r="X117" i="2"/>
  <c r="V84" i="2"/>
  <c r="X86" i="2"/>
  <c r="V136" i="2"/>
  <c r="X45" i="2"/>
  <c r="V96" i="2"/>
  <c r="X98" i="2"/>
  <c r="V141" i="2"/>
  <c r="X16" i="2"/>
  <c r="T134" i="2"/>
  <c r="V44" i="2"/>
  <c r="T103" i="2"/>
  <c r="R100" i="2"/>
  <c r="R137" i="2" s="1"/>
  <c r="P143" i="2"/>
  <c r="R127" i="2"/>
  <c r="J54" i="2"/>
  <c r="L56" i="2"/>
  <c r="D121" i="2"/>
  <c r="F121" i="2" s="1"/>
  <c r="H121" i="2" s="1"/>
  <c r="J121" i="2" s="1"/>
  <c r="L121" i="2" s="1"/>
  <c r="N121" i="2" s="1"/>
  <c r="P121" i="2" s="1"/>
  <c r="R121" i="2" s="1"/>
  <c r="T121" i="2" s="1"/>
  <c r="V121" i="2" s="1"/>
  <c r="X121" i="2" s="1"/>
  <c r="Z121" i="2" s="1"/>
  <c r="AB121" i="2" s="1"/>
  <c r="X141" i="2" l="1"/>
  <c r="Z16" i="2"/>
  <c r="X136" i="2"/>
  <c r="Z45" i="2"/>
  <c r="X115" i="2"/>
  <c r="X139" i="2" s="1"/>
  <c r="Z117" i="2"/>
  <c r="X88" i="2"/>
  <c r="Z90" i="2"/>
  <c r="X96" i="2"/>
  <c r="Z98" i="2"/>
  <c r="X84" i="2"/>
  <c r="Z86" i="2"/>
  <c r="X92" i="2"/>
  <c r="Z94" i="2"/>
  <c r="X140" i="2"/>
  <c r="Z79" i="2"/>
  <c r="X44" i="2"/>
  <c r="V134" i="2"/>
  <c r="T100" i="2"/>
  <c r="T137" i="2" s="1"/>
  <c r="V103" i="2"/>
  <c r="R143" i="2"/>
  <c r="T127" i="2"/>
  <c r="L54" i="2"/>
  <c r="L142" i="2" s="1"/>
  <c r="N56" i="2"/>
  <c r="J142" i="2"/>
  <c r="F66" i="2"/>
  <c r="H66" i="2" s="1"/>
  <c r="J66" i="2" s="1"/>
  <c r="L66" i="2" s="1"/>
  <c r="N66" i="2" s="1"/>
  <c r="P66" i="2" s="1"/>
  <c r="D15" i="2"/>
  <c r="F15" i="2" s="1"/>
  <c r="H15" i="2" s="1"/>
  <c r="J15" i="2" s="1"/>
  <c r="L15" i="2" s="1"/>
  <c r="N15" i="2" s="1"/>
  <c r="D143" i="2"/>
  <c r="F78" i="2"/>
  <c r="H78" i="2" s="1"/>
  <c r="J78" i="2" s="1"/>
  <c r="L78" i="2" s="1"/>
  <c r="D88" i="2"/>
  <c r="D92" i="2"/>
  <c r="D84" i="2"/>
  <c r="D100" i="2"/>
  <c r="D96" i="2"/>
  <c r="Z136" i="2" l="1"/>
  <c r="AB45" i="2"/>
  <c r="AB136" i="2" s="1"/>
  <c r="Z84" i="2"/>
  <c r="AB86" i="2"/>
  <c r="AB84" i="2" s="1"/>
  <c r="Z92" i="2"/>
  <c r="AB94" i="2"/>
  <c r="AB92" i="2" s="1"/>
  <c r="Z96" i="2"/>
  <c r="AB98" i="2"/>
  <c r="AB96" i="2" s="1"/>
  <c r="Z115" i="2"/>
  <c r="Z139" i="2" s="1"/>
  <c r="AB117" i="2"/>
  <c r="AB115" i="2" s="1"/>
  <c r="AB139" i="2" s="1"/>
  <c r="Z141" i="2"/>
  <c r="AB16" i="2"/>
  <c r="AB141" i="2" s="1"/>
  <c r="Z140" i="2"/>
  <c r="AB79" i="2"/>
  <c r="AB140" i="2" s="1"/>
  <c r="Z88" i="2"/>
  <c r="AB90" i="2"/>
  <c r="AB88" i="2" s="1"/>
  <c r="X134" i="2"/>
  <c r="Z44" i="2"/>
  <c r="V100" i="2"/>
  <c r="V137" i="2" s="1"/>
  <c r="X103" i="2"/>
  <c r="T143" i="2"/>
  <c r="V127" i="2"/>
  <c r="R66" i="2"/>
  <c r="T66" i="2" s="1"/>
  <c r="V66" i="2" s="1"/>
  <c r="X66" i="2" s="1"/>
  <c r="Z66" i="2" s="1"/>
  <c r="AB66" i="2" s="1"/>
  <c r="L133" i="2"/>
  <c r="N78" i="2"/>
  <c r="N54" i="2"/>
  <c r="N142" i="2" s="1"/>
  <c r="P56" i="2"/>
  <c r="R56" i="2" s="1"/>
  <c r="P15" i="2"/>
  <c r="R15" i="2" s="1"/>
  <c r="T15" i="2" s="1"/>
  <c r="V15" i="2" s="1"/>
  <c r="X15" i="2" s="1"/>
  <c r="Z15" i="2" s="1"/>
  <c r="AB15" i="2" s="1"/>
  <c r="D75" i="2"/>
  <c r="F75" i="2" s="1"/>
  <c r="D137" i="2"/>
  <c r="D115" i="2"/>
  <c r="D139" i="2" s="1"/>
  <c r="Z134" i="2" l="1"/>
  <c r="AB44" i="2"/>
  <c r="AB134" i="2" s="1"/>
  <c r="X100" i="2"/>
  <c r="X137" i="2" s="1"/>
  <c r="Z103" i="2"/>
  <c r="V143" i="2"/>
  <c r="X127" i="2"/>
  <c r="R54" i="2"/>
  <c r="R142" i="2" s="1"/>
  <c r="T56" i="2"/>
  <c r="V56" i="2" s="1"/>
  <c r="P54" i="2"/>
  <c r="P142" i="2" s="1"/>
  <c r="N133" i="2"/>
  <c r="P78" i="2"/>
  <c r="H75" i="2"/>
  <c r="J75" i="2" s="1"/>
  <c r="L75" i="2" s="1"/>
  <c r="N75" i="2" s="1"/>
  <c r="D111" i="2"/>
  <c r="F111" i="2" s="1"/>
  <c r="F139" i="2"/>
  <c r="H139" i="2" s="1"/>
  <c r="J139" i="2" s="1"/>
  <c r="Z100" i="2" l="1"/>
  <c r="Z137" i="2" s="1"/>
  <c r="AB103" i="2"/>
  <c r="AB100" i="2" s="1"/>
  <c r="AB137" i="2" s="1"/>
  <c r="X143" i="2"/>
  <c r="Z127" i="2"/>
  <c r="V54" i="2"/>
  <c r="V142" i="2" s="1"/>
  <c r="X56" i="2"/>
  <c r="T54" i="2"/>
  <c r="T142" i="2" s="1"/>
  <c r="P133" i="2"/>
  <c r="R78" i="2"/>
  <c r="P75" i="2"/>
  <c r="R75" i="2" s="1"/>
  <c r="F131" i="2"/>
  <c r="H111" i="2"/>
  <c r="D131" i="2"/>
  <c r="Z143" i="2" l="1"/>
  <c r="AB127" i="2"/>
  <c r="AB143" i="2" s="1"/>
  <c r="X54" i="2"/>
  <c r="X142" i="2" s="1"/>
  <c r="Z56" i="2"/>
  <c r="T75" i="2"/>
  <c r="V75" i="2" s="1"/>
  <c r="X75" i="2" s="1"/>
  <c r="Z75" i="2" s="1"/>
  <c r="AB75" i="2" s="1"/>
  <c r="R133" i="2"/>
  <c r="T78" i="2"/>
  <c r="H131" i="2"/>
  <c r="J111" i="2"/>
  <c r="Z54" i="2" l="1"/>
  <c r="Z142" i="2" s="1"/>
  <c r="AB56" i="2"/>
  <c r="AB54" i="2" s="1"/>
  <c r="AB142" i="2" s="1"/>
  <c r="T133" i="2"/>
  <c r="V78" i="2"/>
  <c r="J131" i="2"/>
  <c r="L111" i="2"/>
  <c r="V133" i="2" l="1"/>
  <c r="X78" i="2"/>
  <c r="L131" i="2"/>
  <c r="N111" i="2"/>
  <c r="X133" i="2" l="1"/>
  <c r="Z78" i="2"/>
  <c r="P111" i="2"/>
  <c r="N131" i="2"/>
  <c r="Z133" i="2" l="1"/>
  <c r="AB78" i="2"/>
  <c r="AB133" i="2" s="1"/>
  <c r="P131" i="2"/>
  <c r="R111" i="2"/>
  <c r="T111" i="2" l="1"/>
  <c r="R131" i="2"/>
  <c r="T131" i="2" l="1"/>
  <c r="V111" i="2"/>
  <c r="V131" i="2" l="1"/>
  <c r="X111" i="2"/>
  <c r="X131" i="2" l="1"/>
  <c r="Z111" i="2"/>
  <c r="Z131" i="2" l="1"/>
  <c r="AB111" i="2"/>
  <c r="AB131" i="2" s="1"/>
</calcChain>
</file>

<file path=xl/sharedStrings.xml><?xml version="1.0" encoding="utf-8"?>
<sst xmlns="http://schemas.openxmlformats.org/spreadsheetml/2006/main" count="396" uniqueCount="223">
  <si>
    <t>№ п/п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</si>
  <si>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</si>
  <si>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</si>
  <si>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</si>
  <si>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</si>
  <si>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</si>
  <si>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</si>
  <si>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</si>
  <si>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8.</t>
  </si>
  <si>
    <t>9.</t>
  </si>
  <si>
    <t>10.</t>
  </si>
  <si>
    <t>11.</t>
  </si>
  <si>
    <t>13.</t>
  </si>
  <si>
    <t>Внешнее благоустройство</t>
  </si>
  <si>
    <t>15.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</si>
  <si>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</si>
  <si>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</si>
  <si>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</si>
  <si>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</si>
  <si>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</si>
  <si>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</si>
  <si>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</si>
  <si>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</si>
  <si>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Строительство спортивного зала в МАОУ "СОШ № 12"</t>
  </si>
  <si>
    <t>Строительство, реконструкция и проектирование сетей наружного освещения</t>
  </si>
  <si>
    <t>10 2 4104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</si>
  <si>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</si>
  <si>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</si>
  <si>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</si>
  <si>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</si>
  <si>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11 1 4105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</si>
  <si>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</si>
  <si>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</si>
  <si>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</si>
  <si>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</si>
  <si>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</si>
  <si>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</si>
  <si>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</si>
  <si>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</si>
  <si>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</si>
  <si>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</si>
  <si>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</si>
  <si>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05 1 4200</t>
  </si>
  <si>
    <t>10 2 4207</t>
  </si>
  <si>
    <t>11 2 4107</t>
  </si>
  <si>
    <t>Реконструкция кладбища Банная гора (новое)</t>
  </si>
  <si>
    <t>Исполнитель</t>
  </si>
  <si>
    <t>к решению</t>
  </si>
  <si>
    <t>Пермской городской Думы</t>
  </si>
  <si>
    <t>Расширение и реконструкция (2 очередь) канализации</t>
  </si>
  <si>
    <t>средства дорожного фонда</t>
  </si>
  <si>
    <t>тыс. руб.</t>
  </si>
  <si>
    <t>в разрезе исполнителей</t>
  </si>
  <si>
    <t>05 1 4211</t>
  </si>
  <si>
    <t>Строительство газопроводов в микрорайонах индивидуальной застройки города Перми</t>
  </si>
  <si>
    <t>Департамент имущественных отношений</t>
  </si>
  <si>
    <t>30.</t>
  </si>
  <si>
    <t>2015 год</t>
  </si>
  <si>
    <t>Строительство физкультурно–оздоровительного комплекса в Дзержинском районе (ул. Шпальная, 2)</t>
  </si>
  <si>
    <t>краевой бюджет</t>
  </si>
  <si>
    <t>05 1 6201</t>
  </si>
  <si>
    <t>Прочие объекты</t>
  </si>
  <si>
    <t>91 9 4136</t>
  </si>
  <si>
    <t>31.</t>
  </si>
  <si>
    <t>32.</t>
  </si>
  <si>
    <t>Приобретение в муниципальную собственность здания для размещения муниципального архива</t>
  </si>
  <si>
    <t>91 9 4153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</si>
  <si>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</si>
  <si>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</si>
  <si>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</si>
  <si>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</si>
  <si>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12 2 4123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</si>
  <si>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</si>
  <si>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Строительство водопроводных сетей в микрорайоне Висим Мотовилихинского района города Перми</t>
  </si>
  <si>
    <t>17 1 4121</t>
  </si>
  <si>
    <t>Строительство водопроводных сетей в микрорайоне Вышка–1 Мотовилихинского района города Перми</t>
  </si>
  <si>
    <t>17 1 4122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</si>
  <si>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</si>
  <si>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</si>
  <si>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</si>
  <si>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03 3 4214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</si>
  <si>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</si>
  <si>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</si>
  <si>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</si>
  <si>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24 1 4164</t>
  </si>
  <si>
    <t>24 2 4100</t>
  </si>
  <si>
    <t>24 2 4117</t>
  </si>
  <si>
    <t>24 2 4118</t>
  </si>
  <si>
    <t>24 2 4119</t>
  </si>
  <si>
    <t>24 2 4129</t>
  </si>
  <si>
    <t>24 2 4130</t>
  </si>
  <si>
    <t>02 2 4155</t>
  </si>
  <si>
    <t>Реконструкция светофорных объектов в части установки устройства голосового и звукового сопровождения</t>
  </si>
  <si>
    <t>02 2 4158</t>
  </si>
  <si>
    <t>Реконструкция светофорных объектов в части установки устройства звукового сопровождения</t>
  </si>
  <si>
    <t>Реконструкция ул. Макаренко от бульвара Гагарина до ул. Уинской</t>
  </si>
  <si>
    <t>10 2 4206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</si>
  <si>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</si>
  <si>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</si>
  <si>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</si>
  <si>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центральной площадки города Перми – эспланада, 64–й квартал, участок 1(от здания Пермского академического Театра–Театра ул. Борчанинова)</t>
  </si>
  <si>
    <t>Реконструкция кладбища Северное</t>
  </si>
  <si>
    <t>11 2 4154</t>
  </si>
  <si>
    <t>10 2 6212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</si>
  <si>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</si>
  <si>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</si>
  <si>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2015 год</t>
  </si>
  <si>
    <t>Реконструкция многоквартирного дома по ул. Гашкова, 28б</t>
  </si>
  <si>
    <t>15 3 4124</t>
  </si>
  <si>
    <t>2.</t>
  </si>
  <si>
    <t>3.</t>
  </si>
  <si>
    <t>4.</t>
  </si>
  <si>
    <t>5.</t>
  </si>
  <si>
    <t>6.</t>
  </si>
  <si>
    <t>7.</t>
  </si>
  <si>
    <t>12.</t>
  </si>
  <si>
    <t>14.</t>
  </si>
  <si>
    <t>16.</t>
  </si>
  <si>
    <t>17.</t>
  </si>
  <si>
    <t>18.</t>
  </si>
  <si>
    <t>19.</t>
  </si>
  <si>
    <t>20.</t>
  </si>
  <si>
    <t>21.</t>
  </si>
  <si>
    <t>33.</t>
  </si>
  <si>
    <t>34.</t>
  </si>
  <si>
    <t>35.</t>
  </si>
  <si>
    <t>36.</t>
  </si>
  <si>
    <t>37.</t>
  </si>
  <si>
    <t>38.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</si>
  <si>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</si>
  <si>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</si>
  <si>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физкультурно–оздоровительного комплекса в Свердловском районе (ул. Обвинская, 9)</t>
  </si>
  <si>
    <t>ПРИЛОЖЕНИЕ № 13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</si>
  <si>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</si>
  <si>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</si>
  <si>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15 1 2147,15 3 2151,15 1 9602</t>
  </si>
  <si>
    <t>Строительство межшкольного стадиона в МАОУ "Гимназия № 7" г.Перми</t>
  </si>
  <si>
    <t>Строительство нового корпуса МАОУ "СОШ № 59"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</si>
  <si>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</si>
  <si>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</si>
  <si>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</si>
  <si>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</si>
  <si>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МБОУ "Гимназия № 11 им. С.П.Дягилева"</t>
  </si>
  <si>
    <t>24 2 4138</t>
  </si>
  <si>
    <t>10 2 4173</t>
  </si>
  <si>
    <t>11 1 4174</t>
  </si>
  <si>
    <t>Строительство пешеходного перехода из микрорайона Владимирский в микрорайон Юбилейный</t>
  </si>
  <si>
    <t>11 1 4175</t>
  </si>
  <si>
    <t>Строительство сквера по ул.Шпалопропиточной, 4б, 6</t>
  </si>
  <si>
    <t>11 1 4176</t>
  </si>
  <si>
    <t>40.</t>
  </si>
  <si>
    <t>41.</t>
  </si>
  <si>
    <t>42.</t>
  </si>
  <si>
    <t>43.</t>
  </si>
  <si>
    <t>от 16.12.2014 № 270</t>
  </si>
  <si>
    <t>Приобретение в собственность муниципального образования помещения для размещения МФЦ по ул. 9 мая, 3</t>
  </si>
  <si>
    <t>91 9 4172</t>
  </si>
  <si>
    <t>44.</t>
  </si>
  <si>
    <t>Изменения</t>
  </si>
  <si>
    <t>Департамент общественной безопасности</t>
  </si>
  <si>
    <t>Строительство сквера по ул. Краснополянской, 12</t>
  </si>
  <si>
    <t>Строительство тротуара со ступеньками и поручнями в м-не Соболи по ул. 1-й Соболинской от дома № 9 до дома № 23</t>
  </si>
  <si>
    <t xml:space="preserve">Управление капитального строительства </t>
  </si>
  <si>
    <t>Реконструкция здания МАОУ "СОШ № 32 имени Г.А.Сборщикова" г. Перми (пристройка спортивного зала)</t>
  </si>
  <si>
    <t>Строительство межшкольного стадиона в МАОУ Пермская кадетская школа № 1 «Пермский кадетский корпус имени генералиссимуса А.В. Суворова»</t>
  </si>
  <si>
    <t>22.</t>
  </si>
  <si>
    <t>23.</t>
  </si>
  <si>
    <t>24.</t>
  </si>
  <si>
    <t>25.</t>
  </si>
  <si>
    <t>26.</t>
  </si>
  <si>
    <t>27.</t>
  </si>
  <si>
    <t>28.</t>
  </si>
  <si>
    <t>29.</t>
  </si>
  <si>
    <t>45.</t>
  </si>
  <si>
    <t>Строительство кладбища «Восточное» с крематорием</t>
  </si>
  <si>
    <t>11 2 4106</t>
  </si>
  <si>
    <t>Строительство светофорного объекта на территории м/р Висим</t>
  </si>
  <si>
    <t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</t>
  </si>
  <si>
    <t>91 6 2183</t>
  </si>
  <si>
    <t>10 2 4112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</si>
  <si>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</si>
  <si>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</si>
  <si>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Общественная безопасность</t>
  </si>
  <si>
    <t>Обследование оползневого склона по ул. Мезенская, 166</t>
  </si>
  <si>
    <t>14 1 4142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</si>
  <si>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</si>
  <si>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</si>
  <si>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</si>
  <si>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</si>
  <si>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межшкольного стадиона в МАОУ Пермская кадетская школа № 1 "Пермский кадетский корпус имени генералиссимуса А.В. Суворова"</t>
  </si>
  <si>
    <t>24 2 4125</t>
  </si>
  <si>
    <t>Реконструкция здания МАОУ «СОШ № 32 имени Г.А.Сборщикова» г. Перми (пристройка спортивного зала)</t>
  </si>
  <si>
    <t>24 2 4133</t>
  </si>
  <si>
    <t>Строительство спортивной площадки в МАОУ «Лицей № 10»</t>
  </si>
  <si>
    <t>24 2 4143</t>
  </si>
  <si>
    <t>46.</t>
  </si>
  <si>
    <t>47.</t>
  </si>
  <si>
    <t>48.</t>
  </si>
  <si>
    <t>федеральный бюджет</t>
  </si>
  <si>
    <t>15 1 9502</t>
  </si>
  <si>
    <t xml:space="preserve"> </t>
  </si>
  <si>
    <t>49.</t>
  </si>
  <si>
    <t>Приобретение в собственность муниципального образования по-мещения для размещения МФЦ по ул. Уральская, 47а</t>
  </si>
  <si>
    <t>24 2 4201, 24 2 4202</t>
  </si>
  <si>
    <t>Возмездное приобретение недвижимого имущества в муниципальную собственность города Перми</t>
  </si>
  <si>
    <t>91 9 4177</t>
  </si>
  <si>
    <t>50.</t>
  </si>
  <si>
    <t>Реконструкция Театрального сада</t>
  </si>
  <si>
    <t>Строительство многоквартирного жилого дома по адресу: ул. Баранчинская, 10 для обеспечения жильем граждан</t>
  </si>
  <si>
    <t>11 1 4159</t>
  </si>
  <si>
    <t>51.</t>
  </si>
  <si>
    <t>15 3 4180</t>
  </si>
  <si>
    <t>Строительство спортивной площадки на территории МАОУ "Средняя общеобразовательная школа № 34"</t>
  </si>
  <si>
    <t>24 2 4144</t>
  </si>
  <si>
    <t>24 2 4145</t>
  </si>
  <si>
    <t>Строительство спортивной площадки на территории МАОУ "Средняя общеобразовательная школа № 140"</t>
  </si>
  <si>
    <t>52.</t>
  </si>
  <si>
    <t>Приобретение в собственность муниципального образования город Пермь жилых помещений</t>
  </si>
  <si>
    <t>15 1 6201</t>
  </si>
  <si>
    <t>15 1 4247</t>
  </si>
  <si>
    <t>24 2 4146</t>
  </si>
  <si>
    <t xml:space="preserve">Строительство физкультурного комплекса открытого типа МАОУ СОШ №79 г.Пермь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</si>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</sst>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/>
    <xf numFmtId="0" fontId="4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/>
    <xf numFmtId="0" fontId="4" fillId="4" borderId="1" xfId="0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0" fontId="2" fillId="4" borderId="0" xfId="0" applyFont="1" applyFill="1"/>
    <xf numFmtId="0" fontId="4" fillId="4" borderId="1" xfId="0" applyFont="1" applyFill="1" applyBorder="1" applyAlignment="1">
      <alignment vertical="top" wrapText="1"/>
    </xf>
    <xf numFmtId="164" fontId="4" fillId="5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3" borderId="4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vertical="top" wrapText="1"/>
    </xf>
    <xf numFmtId="0" fontId="2" fillId="3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6" borderId="0" xfId="0" applyFont="1" applyFill="1"/>
    <xf numFmtId="0" fontId="4" fillId="3" borderId="1" xfId="0" applyFont="1" applyFill="1" applyBorder="1" applyAlignment="1">
      <alignment vertical="top" wrapText="1"/>
    </xf>
    <xf numFmtId="0" fontId="2" fillId="2" borderId="0" xfId="0" applyFont="1" applyFill="1"/>
    <xf numFmtId="164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7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/>
    </xf>
    <xf numFmtId="164" fontId="4" fillId="8" borderId="1" xfId="0" applyNumberFormat="1" applyFont="1" applyFill="1" applyBorder="1"/>
    <xf numFmtId="0" fontId="2" fillId="8" borderId="0" xfId="0" applyFont="1" applyFill="1"/>
    <xf numFmtId="164" fontId="4" fillId="8" borderId="1" xfId="0" applyNumberFormat="1" applyFont="1" applyFill="1" applyBorder="1" applyAlignment="1">
      <alignment vertical="top" wrapText="1"/>
    </xf>
    <xf numFmtId="164" fontId="4" fillId="8" borderId="1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vertical="top"/>
    </xf>
    <xf numFmtId="0" fontId="2" fillId="3" borderId="0" xfId="0" applyFont="1" applyFill="1" applyBorder="1"/>
    <xf numFmtId="0" fontId="4" fillId="3" borderId="1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K145"/>
  <sheetViews>
    <sheetView tabSelected="1" topLeftCell="A125" zoomScale="70" zoomScaleNormal="70" workbookViewId="0">
      <selection activeCell="AC1" sqref="AC1:AC1048576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4" width="17.5703125" style="5" hidden="1" customWidth="1"/>
    <col min="5" max="5" width="17" style="5" hidden="1" customWidth="1"/>
    <col min="6" max="6" width="17.5703125" style="5" hidden="1" customWidth="1"/>
    <col min="7" max="7" width="16.85546875" style="5" hidden="1" customWidth="1"/>
    <col min="8" max="8" width="17.5703125" style="5" hidden="1" customWidth="1"/>
    <col min="9" max="9" width="16.85546875" style="40" hidden="1" customWidth="1"/>
    <col min="10" max="10" width="17.5703125" style="5" hidden="1" customWidth="1"/>
    <col min="11" max="11" width="16.85546875" style="40" hidden="1" customWidth="1"/>
    <col min="12" max="12" width="17.5703125" style="5" hidden="1" customWidth="1"/>
    <col min="13" max="13" width="16.85546875" style="40" hidden="1" customWidth="1"/>
    <col min="14" max="14" width="17.5703125" style="5" hidden="1" customWidth="1"/>
    <col min="15" max="15" width="16.85546875" style="40" hidden="1" customWidth="1"/>
    <col min="16" max="16" width="17.5703125" style="5" hidden="1" customWidth="1"/>
    <col min="17" max="17" width="16.85546875" style="40" hidden="1" customWidth="1"/>
    <col min="18" max="18" width="17.5703125" style="5" hidden="1" customWidth="1"/>
    <col min="19" max="19" width="16.85546875" style="40" hidden="1" customWidth="1"/>
    <col min="20" max="20" width="17.5703125" style="5" hidden="1" customWidth="1"/>
    <col min="21" max="21" width="16.85546875" style="40" hidden="1" customWidth="1"/>
    <col min="22" max="22" width="17.5703125" style="5" hidden="1" customWidth="1"/>
    <col min="23" max="23" width="16.85546875" style="40" hidden="1" customWidth="1"/>
    <col min="24" max="24" width="17.5703125" style="5" hidden="1" customWidth="1"/>
    <col min="25" max="25" width="16.85546875" style="40" hidden="1" customWidth="1"/>
    <col min="26" max="26" width="17.5703125" style="5" hidden="1" customWidth="1"/>
    <col min="27" max="27" width="16.85546875" style="21" hidden="1" customWidth="1"/>
    <col min="28" max="28" width="17.5703125" style="5" customWidth="1"/>
    <col min="29" max="29" width="37.42578125" style="1" hidden="1" customWidth="1"/>
    <col min="30" max="30" width="16.140625" style="1" customWidth="1"/>
    <col min="31" max="34" width="9.140625" style="1" customWidth="1"/>
    <col min="35" max="16384" width="9.140625" style="1"/>
  </cols>
  <sheetData>
    <row r="1" spans="1:30" x14ac:dyDescent="0.3">
      <c r="H1" s="4"/>
      <c r="J1" s="4"/>
      <c r="L1" s="4"/>
      <c r="N1" s="4"/>
      <c r="P1" s="4"/>
      <c r="R1" s="4"/>
      <c r="T1" s="4"/>
      <c r="V1" s="4"/>
      <c r="X1" s="4"/>
      <c r="Z1" s="4"/>
      <c r="AB1" s="4" t="s">
        <v>222</v>
      </c>
    </row>
    <row r="2" spans="1:30" x14ac:dyDescent="0.3">
      <c r="H2" s="4"/>
      <c r="J2" s="4"/>
      <c r="L2" s="4"/>
      <c r="N2" s="4"/>
      <c r="P2" s="4"/>
      <c r="R2" s="4"/>
      <c r="T2" s="4"/>
      <c r="V2" s="4"/>
      <c r="X2" s="4"/>
      <c r="Z2" s="4"/>
      <c r="AB2" s="4" t="s">
        <v>47</v>
      </c>
    </row>
    <row r="3" spans="1:30" x14ac:dyDescent="0.3">
      <c r="H3" s="4"/>
      <c r="J3" s="4"/>
      <c r="L3" s="4"/>
      <c r="N3" s="4"/>
      <c r="P3" s="4"/>
      <c r="R3" s="4"/>
      <c r="T3" s="4"/>
      <c r="V3" s="4"/>
      <c r="X3" s="4"/>
      <c r="Z3" s="4"/>
      <c r="AB3" s="4" t="s">
        <v>48</v>
      </c>
    </row>
    <row r="5" spans="1:30" x14ac:dyDescent="0.3">
      <c r="C5" s="5"/>
      <c r="D5" s="4"/>
      <c r="F5" s="4"/>
      <c r="H5" s="4"/>
      <c r="J5" s="4"/>
      <c r="L5" s="4"/>
      <c r="N5" s="4"/>
      <c r="P5" s="4"/>
      <c r="R5" s="4"/>
      <c r="T5" s="4"/>
      <c r="V5" s="4"/>
      <c r="X5" s="4"/>
      <c r="Z5" s="4"/>
      <c r="AB5" s="4" t="s">
        <v>132</v>
      </c>
    </row>
    <row r="6" spans="1:30" x14ac:dyDescent="0.3">
      <c r="C6" s="5"/>
      <c r="D6" s="4"/>
      <c r="F6" s="4"/>
      <c r="H6" s="4"/>
      <c r="J6" s="4"/>
      <c r="L6" s="4"/>
      <c r="N6" s="4"/>
      <c r="P6" s="4"/>
      <c r="R6" s="4"/>
      <c r="T6" s="4"/>
      <c r="V6" s="4"/>
      <c r="X6" s="4"/>
      <c r="Z6" s="4"/>
      <c r="AB6" s="4" t="s">
        <v>47</v>
      </c>
    </row>
    <row r="7" spans="1:30" x14ac:dyDescent="0.3">
      <c r="C7" s="5"/>
      <c r="D7" s="4"/>
      <c r="F7" s="4"/>
      <c r="H7" s="4"/>
      <c r="J7" s="4"/>
      <c r="L7" s="4"/>
      <c r="N7" s="4"/>
      <c r="P7" s="4"/>
      <c r="R7" s="4"/>
      <c r="T7" s="4"/>
      <c r="V7" s="4"/>
      <c r="X7" s="4"/>
      <c r="Z7" s="4"/>
      <c r="AB7" s="4" t="s">
        <v>48</v>
      </c>
    </row>
    <row r="8" spans="1:30" x14ac:dyDescent="0.3">
      <c r="D8" s="1"/>
      <c r="E8" s="1"/>
      <c r="F8" s="1"/>
      <c r="G8" s="4"/>
      <c r="H8" s="4"/>
      <c r="I8" s="41"/>
      <c r="J8" s="4"/>
      <c r="K8" s="41"/>
      <c r="L8" s="4"/>
      <c r="M8" s="41"/>
      <c r="N8" s="4"/>
      <c r="O8" s="41"/>
      <c r="P8" s="4"/>
      <c r="Q8" s="41"/>
      <c r="R8" s="4"/>
      <c r="S8" s="41"/>
      <c r="T8" s="4"/>
      <c r="U8" s="41"/>
      <c r="V8" s="4"/>
      <c r="W8" s="41"/>
      <c r="X8" s="4"/>
      <c r="Y8" s="41"/>
      <c r="Z8" s="4"/>
      <c r="AA8" s="22"/>
      <c r="AB8" s="4" t="s">
        <v>154</v>
      </c>
    </row>
    <row r="9" spans="1:30" ht="18.75" customHeight="1" x14ac:dyDescent="0.25">
      <c r="A9" s="96" t="s">
        <v>106</v>
      </c>
      <c r="B9" s="96"/>
      <c r="C9" s="96"/>
      <c r="D9" s="96"/>
      <c r="E9" s="18"/>
      <c r="F9" s="18"/>
      <c r="G9" s="28"/>
      <c r="H9" s="20"/>
      <c r="I9" s="42"/>
      <c r="J9" s="28"/>
      <c r="K9" s="42"/>
      <c r="L9" s="39"/>
      <c r="M9" s="42"/>
      <c r="N9" s="49"/>
      <c r="O9" s="42"/>
      <c r="P9" s="50"/>
      <c r="Q9" s="42"/>
      <c r="R9" s="55"/>
      <c r="S9" s="42"/>
      <c r="T9" s="56"/>
      <c r="U9" s="42"/>
      <c r="V9" s="59"/>
      <c r="W9" s="42"/>
      <c r="X9" s="63"/>
      <c r="Y9" s="42"/>
      <c r="Z9" s="66"/>
      <c r="AA9" s="23"/>
      <c r="AB9" s="78"/>
    </row>
    <row r="10" spans="1:30" ht="15.75" customHeight="1" x14ac:dyDescent="0.25">
      <c r="A10" s="96"/>
      <c r="B10" s="96"/>
      <c r="C10" s="96"/>
      <c r="D10" s="96"/>
      <c r="E10" s="18"/>
      <c r="F10" s="18"/>
      <c r="G10" s="28"/>
      <c r="H10" s="20"/>
      <c r="I10" s="42"/>
      <c r="J10" s="28"/>
      <c r="K10" s="42"/>
      <c r="L10" s="39"/>
      <c r="M10" s="42"/>
      <c r="N10" s="49"/>
      <c r="O10" s="42"/>
      <c r="P10" s="50"/>
      <c r="Q10" s="42"/>
      <c r="R10" s="55"/>
      <c r="S10" s="42"/>
      <c r="T10" s="56"/>
      <c r="U10" s="42"/>
      <c r="V10" s="59"/>
      <c r="W10" s="42"/>
      <c r="X10" s="63"/>
      <c r="Y10" s="42"/>
      <c r="Z10" s="66"/>
      <c r="AA10" s="23"/>
      <c r="AB10" s="78"/>
    </row>
    <row r="11" spans="1:30" ht="19.5" customHeight="1" x14ac:dyDescent="0.25">
      <c r="A11" s="96"/>
      <c r="B11" s="96"/>
      <c r="C11" s="96"/>
      <c r="D11" s="96"/>
      <c r="E11" s="18"/>
      <c r="F11" s="18"/>
      <c r="G11" s="28"/>
      <c r="H11" s="20"/>
      <c r="I11" s="42"/>
      <c r="J11" s="28"/>
      <c r="K11" s="42"/>
      <c r="L11" s="39"/>
      <c r="M11" s="42"/>
      <c r="N11" s="49"/>
      <c r="O11" s="42"/>
      <c r="P11" s="50"/>
      <c r="Q11" s="42"/>
      <c r="R11" s="55"/>
      <c r="S11" s="42"/>
      <c r="T11" s="56"/>
      <c r="U11" s="42"/>
      <c r="V11" s="59"/>
      <c r="W11" s="42"/>
      <c r="X11" s="63"/>
      <c r="Y11" s="42"/>
      <c r="Z11" s="66"/>
      <c r="AA11" s="23"/>
      <c r="AB11" s="78"/>
    </row>
    <row r="12" spans="1:30" x14ac:dyDescent="0.3">
      <c r="A12" s="2"/>
      <c r="B12" s="3"/>
      <c r="C12" s="3"/>
      <c r="D12" s="4"/>
      <c r="E12" s="4"/>
      <c r="F12" s="4"/>
      <c r="G12" s="4"/>
      <c r="H12" s="4"/>
      <c r="I12" s="41"/>
      <c r="J12" s="4"/>
      <c r="K12" s="41"/>
      <c r="L12" s="4"/>
      <c r="M12" s="41"/>
      <c r="N12" s="4"/>
      <c r="O12" s="41"/>
      <c r="P12" s="4"/>
      <c r="Q12" s="41"/>
      <c r="R12" s="4"/>
      <c r="S12" s="41"/>
      <c r="T12" s="4"/>
      <c r="U12" s="41"/>
      <c r="V12" s="4"/>
      <c r="W12" s="41"/>
      <c r="X12" s="4"/>
      <c r="Y12" s="41"/>
      <c r="Z12" s="4"/>
      <c r="AA12" s="22"/>
      <c r="AB12" s="4" t="s">
        <v>51</v>
      </c>
      <c r="AC12" s="6"/>
    </row>
    <row r="13" spans="1:30" ht="18" customHeight="1" x14ac:dyDescent="0.25">
      <c r="A13" s="97" t="s">
        <v>0</v>
      </c>
      <c r="B13" s="97" t="s">
        <v>105</v>
      </c>
      <c r="C13" s="97" t="s">
        <v>46</v>
      </c>
      <c r="D13" s="81" t="s">
        <v>57</v>
      </c>
      <c r="E13" s="81" t="s">
        <v>133</v>
      </c>
      <c r="F13" s="81" t="s">
        <v>57</v>
      </c>
      <c r="G13" s="81" t="s">
        <v>158</v>
      </c>
      <c r="H13" s="81" t="s">
        <v>57</v>
      </c>
      <c r="I13" s="83" t="s">
        <v>158</v>
      </c>
      <c r="J13" s="81" t="s">
        <v>57</v>
      </c>
      <c r="K13" s="83" t="s">
        <v>158</v>
      </c>
      <c r="L13" s="81" t="s">
        <v>57</v>
      </c>
      <c r="M13" s="83" t="s">
        <v>158</v>
      </c>
      <c r="N13" s="81" t="s">
        <v>57</v>
      </c>
      <c r="O13" s="83" t="s">
        <v>158</v>
      </c>
      <c r="P13" s="81" t="s">
        <v>57</v>
      </c>
      <c r="Q13" s="83" t="s">
        <v>158</v>
      </c>
      <c r="R13" s="81" t="s">
        <v>57</v>
      </c>
      <c r="S13" s="83" t="s">
        <v>158</v>
      </c>
      <c r="T13" s="81" t="s">
        <v>57</v>
      </c>
      <c r="U13" s="83" t="s">
        <v>158</v>
      </c>
      <c r="V13" s="81" t="s">
        <v>57</v>
      </c>
      <c r="W13" s="83" t="s">
        <v>158</v>
      </c>
      <c r="X13" s="81" t="s">
        <v>57</v>
      </c>
      <c r="Y13" s="83" t="s">
        <v>158</v>
      </c>
      <c r="Z13" s="81" t="s">
        <v>57</v>
      </c>
      <c r="AA13" s="79" t="s">
        <v>158</v>
      </c>
      <c r="AB13" s="81" t="s">
        <v>57</v>
      </c>
      <c r="AC13" s="91"/>
    </row>
    <row r="14" spans="1:30" ht="18" customHeight="1" x14ac:dyDescent="0.25">
      <c r="A14" s="98"/>
      <c r="B14" s="90"/>
      <c r="C14" s="90"/>
      <c r="D14" s="82"/>
      <c r="E14" s="82"/>
      <c r="F14" s="82"/>
      <c r="G14" s="82"/>
      <c r="H14" s="82"/>
      <c r="I14" s="84"/>
      <c r="J14" s="82"/>
      <c r="K14" s="84"/>
      <c r="L14" s="82"/>
      <c r="M14" s="84"/>
      <c r="N14" s="82"/>
      <c r="O14" s="84"/>
      <c r="P14" s="82"/>
      <c r="Q14" s="84"/>
      <c r="R14" s="82"/>
      <c r="S14" s="84"/>
      <c r="T14" s="82"/>
      <c r="U14" s="84"/>
      <c r="V14" s="82"/>
      <c r="W14" s="84"/>
      <c r="X14" s="82"/>
      <c r="Y14" s="84"/>
      <c r="Z14" s="82"/>
      <c r="AA14" s="80"/>
      <c r="AB14" s="82"/>
      <c r="AC14" s="91"/>
    </row>
    <row r="15" spans="1:30" s="48" customFormat="1" x14ac:dyDescent="0.3">
      <c r="A15" s="46"/>
      <c r="B15" s="74" t="s">
        <v>1</v>
      </c>
      <c r="C15" s="74"/>
      <c r="D15" s="68">
        <f>D16+D18+D19+D20+D22+D24+D27+D29+D31</f>
        <v>676471.9</v>
      </c>
      <c r="E15" s="68">
        <f>E16+E18+E19+E20+E22+E24+E27+E29+E31+E32</f>
        <v>2000</v>
      </c>
      <c r="F15" s="68">
        <f>D15+E15</f>
        <v>678471.9</v>
      </c>
      <c r="G15" s="68">
        <f>G16+G18+G19+G20+G22+G24+G27+G29+G31+G32</f>
        <v>-99426.94</v>
      </c>
      <c r="H15" s="68">
        <f>F15+G15</f>
        <v>579044.96</v>
      </c>
      <c r="I15" s="68">
        <f>I16+I18+I19+I20+I22+I24+I27+I29+I31+I32+I25+I28+I30+I21+I23+I26+I33+I34</f>
        <v>0</v>
      </c>
      <c r="J15" s="68">
        <f>H15+I15</f>
        <v>579044.96</v>
      </c>
      <c r="K15" s="68">
        <f>K16+K18+K19+K20+K22+K24+K27+K29+K31+K32+K25+K28+K30+K21+K23+K26+K33+K34+K17+K35+K36+K37</f>
        <v>-61558.228999999956</v>
      </c>
      <c r="L15" s="68">
        <f>J15+K15</f>
        <v>517486.73100000003</v>
      </c>
      <c r="M15" s="68">
        <f>M16+M18+M19+M20+M22+M24+M27+M29+M31+M32+M25+M28+M30+M21+M23+M26+M33+M34+M17+M35+M36+M37</f>
        <v>0</v>
      </c>
      <c r="N15" s="68">
        <f>L15+M15</f>
        <v>517486.73100000003</v>
      </c>
      <c r="O15" s="68">
        <f>O16+O18+O19+O20+O22+O24+O27+O29+O31+O32+O25+O28+O30+O21+O23+O26+O33+O34+O17+O35+O36+O37</f>
        <v>-63000</v>
      </c>
      <c r="P15" s="68">
        <f>N15+O15</f>
        <v>454486.73100000003</v>
      </c>
      <c r="Q15" s="68">
        <f>Q16+Q18+Q19+Q20+Q22+Q24+Q27+Q29+Q31+Q32+Q25+Q28+Q30+Q21+Q23+Q26+Q33+Q34+Q17+Q35+Q36+Q37</f>
        <v>0</v>
      </c>
      <c r="R15" s="68">
        <f>P15+Q15</f>
        <v>454486.73100000003</v>
      </c>
      <c r="S15" s="68">
        <f>S16+S18+S19+S20+S22+S24+S27+S29+S31+S32+S25+S28+S30+S21+S23+S26+S33+S34+S17+S35+S36+S37</f>
        <v>417.19</v>
      </c>
      <c r="T15" s="68">
        <f>R15+S15</f>
        <v>454903.92100000003</v>
      </c>
      <c r="U15" s="31">
        <f>U16+U18+U19+U20+U22+U24+U27+U29+U31+U32+U25+U28+U30+U21+U23+U26+U33+U34+U17+U35+U36+U37+U38+U39</f>
        <v>-2362.1999999999998</v>
      </c>
      <c r="V15" s="31">
        <f>T15+U15</f>
        <v>452541.72100000002</v>
      </c>
      <c r="W15" s="31">
        <f>W16+W18+W19+W20+W22+W24+W27+W29+W31+W32+W25+W28+W30+W21+W23+W26+W33+W34+W17+W35+W36+W37+W38+W39</f>
        <v>0</v>
      </c>
      <c r="X15" s="31">
        <f>V15+W15</f>
        <v>452541.72100000002</v>
      </c>
      <c r="Y15" s="31">
        <f>Y16+Y18+Y19+Y20+Y22+Y24+Y27+Y29+Y31+Y32+Y25+Y28+Y30+Y21+Y23+Y26+Y33+Y34+Y17+Y35+Y36+Y37+Y38+Y39+Y40</f>
        <v>-5497.7520000000004</v>
      </c>
      <c r="Z15" s="31">
        <f>X15+Y15</f>
        <v>447043.96900000004</v>
      </c>
      <c r="AA15" s="31">
        <f>AA16+AA18+AA19+AA20+AA22+AA24+AA27+AA29+AA31+AA32+AA25+AA28+AA30+AA21+AA23+AA26+AA33+AA34+AA17+AA35+AA36+AA37+AA38+AA39+AA40</f>
        <v>0</v>
      </c>
      <c r="AB15" s="31">
        <f>Z15+AA15</f>
        <v>447043.96900000004</v>
      </c>
      <c r="AC15" s="75"/>
    </row>
    <row r="16" spans="1:30" s="36" customFormat="1" ht="56.25" hidden="1" x14ac:dyDescent="0.3">
      <c r="A16" s="32" t="s">
        <v>4</v>
      </c>
      <c r="B16" s="33" t="s">
        <v>81</v>
      </c>
      <c r="C16" s="34" t="s">
        <v>55</v>
      </c>
      <c r="D16" s="35">
        <v>250000</v>
      </c>
      <c r="E16" s="35"/>
      <c r="F16" s="35">
        <f>D16+E16</f>
        <v>250000</v>
      </c>
      <c r="G16" s="35"/>
      <c r="H16" s="35">
        <f>F16+G16</f>
        <v>250000</v>
      </c>
      <c r="I16" s="35"/>
      <c r="J16" s="35">
        <f>H16+I16</f>
        <v>250000</v>
      </c>
      <c r="K16" s="31">
        <v>-250000</v>
      </c>
      <c r="L16" s="35">
        <f>J16+K16</f>
        <v>0</v>
      </c>
      <c r="M16" s="31"/>
      <c r="N16" s="35">
        <f>L16+M16</f>
        <v>0</v>
      </c>
      <c r="O16" s="31"/>
      <c r="P16" s="35">
        <f>N16+O16</f>
        <v>0</v>
      </c>
      <c r="Q16" s="31"/>
      <c r="R16" s="35">
        <f>P16+Q16</f>
        <v>0</v>
      </c>
      <c r="S16" s="31"/>
      <c r="T16" s="35">
        <f>R16+S16</f>
        <v>0</v>
      </c>
      <c r="U16" s="31"/>
      <c r="V16" s="35">
        <f>T16+U16</f>
        <v>0</v>
      </c>
      <c r="W16" s="31"/>
      <c r="X16" s="35">
        <f>V16+W16</f>
        <v>0</v>
      </c>
      <c r="Y16" s="31"/>
      <c r="Z16" s="35">
        <f>X16+Y16</f>
        <v>0</v>
      </c>
      <c r="AA16" s="24"/>
      <c r="AB16" s="35">
        <f>Z16+AA16</f>
        <v>0</v>
      </c>
      <c r="AC16" s="36" t="s">
        <v>82</v>
      </c>
      <c r="AD16" s="36">
        <v>0</v>
      </c>
    </row>
    <row r="17" spans="1:32" s="48" customFormat="1" ht="56.25" x14ac:dyDescent="0.3">
      <c r="A17" s="7" t="s">
        <v>4</v>
      </c>
      <c r="B17" s="10" t="s">
        <v>185</v>
      </c>
      <c r="C17" s="58" t="s">
        <v>55</v>
      </c>
      <c r="D17" s="31"/>
      <c r="E17" s="31"/>
      <c r="F17" s="31">
        <f>D17+E17</f>
        <v>0</v>
      </c>
      <c r="G17" s="31"/>
      <c r="H17" s="31">
        <f>F17+G17</f>
        <v>0</v>
      </c>
      <c r="I17" s="31"/>
      <c r="J17" s="31">
        <f>H17+I17</f>
        <v>0</v>
      </c>
      <c r="K17" s="31">
        <v>205000</v>
      </c>
      <c r="L17" s="31">
        <f>J17+K17</f>
        <v>205000</v>
      </c>
      <c r="M17" s="31"/>
      <c r="N17" s="31">
        <f>L17+M17</f>
        <v>205000</v>
      </c>
      <c r="O17" s="31">
        <v>-63000</v>
      </c>
      <c r="P17" s="31">
        <f>N17+O17</f>
        <v>142000</v>
      </c>
      <c r="Q17" s="31"/>
      <c r="R17" s="31">
        <f>P17+Q17</f>
        <v>142000</v>
      </c>
      <c r="S17" s="31"/>
      <c r="T17" s="31">
        <f>R17+S17</f>
        <v>142000</v>
      </c>
      <c r="U17" s="31">
        <v>-862.2</v>
      </c>
      <c r="V17" s="9">
        <f>T17+U17</f>
        <v>141137.79999999999</v>
      </c>
      <c r="W17" s="31"/>
      <c r="X17" s="9">
        <f>V17+W17</f>
        <v>141137.79999999999</v>
      </c>
      <c r="Y17" s="31"/>
      <c r="Z17" s="9">
        <f>X17+Y17</f>
        <v>141137.79999999999</v>
      </c>
      <c r="AA17" s="24"/>
      <c r="AB17" s="9">
        <f>Z17+AA17</f>
        <v>141137.79999999999</v>
      </c>
      <c r="AC17" s="48" t="s">
        <v>186</v>
      </c>
    </row>
    <row r="18" spans="1:32" ht="56.25" x14ac:dyDescent="0.3">
      <c r="A18" s="7" t="s">
        <v>109</v>
      </c>
      <c r="B18" s="10" t="s">
        <v>83</v>
      </c>
      <c r="C18" s="58" t="s">
        <v>55</v>
      </c>
      <c r="D18" s="9">
        <v>130000</v>
      </c>
      <c r="E18" s="9"/>
      <c r="F18" s="9">
        <f t="shared" ref="F18:F32" si="0">D18+E18</f>
        <v>130000</v>
      </c>
      <c r="G18" s="9">
        <v>-129999.948</v>
      </c>
      <c r="H18" s="9">
        <f t="shared" ref="H18:H32" si="1">F18+G18</f>
        <v>5.1999999996041879E-2</v>
      </c>
      <c r="I18" s="31"/>
      <c r="J18" s="9">
        <f t="shared" ref="J18:J34" si="2">H18+I18</f>
        <v>5.1999999996041879E-2</v>
      </c>
      <c r="K18" s="31"/>
      <c r="L18" s="9">
        <f t="shared" ref="L18:L36" si="3">J18+K18</f>
        <v>5.1999999996041879E-2</v>
      </c>
      <c r="M18" s="31"/>
      <c r="N18" s="9">
        <f t="shared" ref="N18:N36" si="4">L18+M18</f>
        <v>5.1999999996041879E-2</v>
      </c>
      <c r="O18" s="31"/>
      <c r="P18" s="9">
        <f t="shared" ref="P18:P36" si="5">N18+O18</f>
        <v>5.1999999996041879E-2</v>
      </c>
      <c r="Q18" s="31"/>
      <c r="R18" s="9">
        <f t="shared" ref="R18:R23" si="6">P18+Q18</f>
        <v>5.1999999996041879E-2</v>
      </c>
      <c r="S18" s="31"/>
      <c r="T18" s="9">
        <f t="shared" ref="T18:T23" si="7">R18+S18</f>
        <v>5.1999999996041879E-2</v>
      </c>
      <c r="U18" s="31"/>
      <c r="V18" s="9">
        <f t="shared" ref="V18:V23" si="8">T18+U18</f>
        <v>5.1999999996041879E-2</v>
      </c>
      <c r="W18" s="31"/>
      <c r="X18" s="9">
        <f t="shared" ref="X18:X23" si="9">V18+W18</f>
        <v>5.1999999996041879E-2</v>
      </c>
      <c r="Y18" s="31"/>
      <c r="Z18" s="9">
        <f t="shared" ref="Z18:Z23" si="10">X18+Y18</f>
        <v>5.1999999996041879E-2</v>
      </c>
      <c r="AA18" s="24"/>
      <c r="AB18" s="9">
        <f t="shared" ref="AB18:AB23" si="11">Z18+AA18</f>
        <v>5.1999999996041879E-2</v>
      </c>
      <c r="AC18" s="1" t="s">
        <v>84</v>
      </c>
    </row>
    <row r="19" spans="1:32" ht="37.5" x14ac:dyDescent="0.3">
      <c r="A19" s="7" t="s">
        <v>110</v>
      </c>
      <c r="B19" s="10" t="s">
        <v>23</v>
      </c>
      <c r="C19" s="58" t="s">
        <v>5</v>
      </c>
      <c r="D19" s="9">
        <v>33153.199999999997</v>
      </c>
      <c r="E19" s="9"/>
      <c r="F19" s="9">
        <f t="shared" si="0"/>
        <v>33153.199999999997</v>
      </c>
      <c r="G19" s="9"/>
      <c r="H19" s="9">
        <f t="shared" si="1"/>
        <v>33153.199999999997</v>
      </c>
      <c r="I19" s="31"/>
      <c r="J19" s="9">
        <f t="shared" si="2"/>
        <v>33153.199999999997</v>
      </c>
      <c r="K19" s="31">
        <f>30000+10000</f>
        <v>40000</v>
      </c>
      <c r="L19" s="9">
        <f t="shared" si="3"/>
        <v>73153.2</v>
      </c>
      <c r="M19" s="31"/>
      <c r="N19" s="9">
        <f t="shared" si="4"/>
        <v>73153.2</v>
      </c>
      <c r="O19" s="31"/>
      <c r="P19" s="9">
        <f t="shared" si="5"/>
        <v>73153.2</v>
      </c>
      <c r="Q19" s="31"/>
      <c r="R19" s="9">
        <f t="shared" si="6"/>
        <v>73153.2</v>
      </c>
      <c r="S19" s="31"/>
      <c r="T19" s="9">
        <f t="shared" si="7"/>
        <v>73153.2</v>
      </c>
      <c r="U19" s="31">
        <v>-3000</v>
      </c>
      <c r="V19" s="9">
        <f t="shared" si="8"/>
        <v>70153.2</v>
      </c>
      <c r="W19" s="31"/>
      <c r="X19" s="9">
        <f t="shared" si="9"/>
        <v>70153.2</v>
      </c>
      <c r="Y19" s="31"/>
      <c r="Z19" s="9">
        <f t="shared" si="10"/>
        <v>70153.2</v>
      </c>
      <c r="AA19" s="24"/>
      <c r="AB19" s="9">
        <f t="shared" si="11"/>
        <v>70153.2</v>
      </c>
      <c r="AC19" s="1" t="s">
        <v>85</v>
      </c>
    </row>
    <row r="20" spans="1:32" s="36" customFormat="1" ht="37.5" hidden="1" x14ac:dyDescent="0.3">
      <c r="A20" s="32"/>
      <c r="B20" s="33" t="s">
        <v>137</v>
      </c>
      <c r="C20" s="34" t="s">
        <v>5</v>
      </c>
      <c r="D20" s="35">
        <v>26500</v>
      </c>
      <c r="E20" s="35"/>
      <c r="F20" s="35">
        <f t="shared" si="0"/>
        <v>26500</v>
      </c>
      <c r="G20" s="35"/>
      <c r="H20" s="35">
        <f t="shared" si="1"/>
        <v>26500</v>
      </c>
      <c r="I20" s="31">
        <v>-26500</v>
      </c>
      <c r="J20" s="35">
        <f t="shared" si="2"/>
        <v>0</v>
      </c>
      <c r="K20" s="31"/>
      <c r="L20" s="35">
        <f t="shared" si="3"/>
        <v>0</v>
      </c>
      <c r="M20" s="31"/>
      <c r="N20" s="35">
        <f t="shared" si="4"/>
        <v>0</v>
      </c>
      <c r="O20" s="31"/>
      <c r="P20" s="35">
        <f t="shared" si="5"/>
        <v>0</v>
      </c>
      <c r="Q20" s="31"/>
      <c r="R20" s="35">
        <f t="shared" si="6"/>
        <v>0</v>
      </c>
      <c r="S20" s="31"/>
      <c r="T20" s="35">
        <f t="shared" si="7"/>
        <v>0</v>
      </c>
      <c r="U20" s="31"/>
      <c r="V20" s="35">
        <f t="shared" si="8"/>
        <v>0</v>
      </c>
      <c r="W20" s="31"/>
      <c r="X20" s="35">
        <f t="shared" si="9"/>
        <v>0</v>
      </c>
      <c r="Y20" s="31"/>
      <c r="Z20" s="35">
        <f t="shared" si="10"/>
        <v>0</v>
      </c>
      <c r="AA20" s="24"/>
      <c r="AB20" s="35">
        <f t="shared" si="11"/>
        <v>0</v>
      </c>
      <c r="AC20" s="36" t="s">
        <v>86</v>
      </c>
      <c r="AD20" s="36">
        <v>0</v>
      </c>
    </row>
    <row r="21" spans="1:32" ht="56.25" x14ac:dyDescent="0.3">
      <c r="A21" s="7" t="s">
        <v>111</v>
      </c>
      <c r="B21" s="10" t="s">
        <v>137</v>
      </c>
      <c r="C21" s="58" t="s">
        <v>162</v>
      </c>
      <c r="D21" s="9"/>
      <c r="E21" s="9"/>
      <c r="F21" s="9"/>
      <c r="G21" s="9"/>
      <c r="H21" s="9"/>
      <c r="I21" s="31">
        <v>26500</v>
      </c>
      <c r="J21" s="9">
        <f t="shared" si="2"/>
        <v>26500</v>
      </c>
      <c r="K21" s="31">
        <v>-24552.7</v>
      </c>
      <c r="L21" s="9">
        <f t="shared" si="3"/>
        <v>1947.2999999999993</v>
      </c>
      <c r="M21" s="31"/>
      <c r="N21" s="9">
        <f t="shared" si="4"/>
        <v>1947.2999999999993</v>
      </c>
      <c r="O21" s="31"/>
      <c r="P21" s="9">
        <f t="shared" si="5"/>
        <v>1947.2999999999993</v>
      </c>
      <c r="Q21" s="31"/>
      <c r="R21" s="9">
        <f t="shared" si="6"/>
        <v>1947.2999999999993</v>
      </c>
      <c r="S21" s="31"/>
      <c r="T21" s="9">
        <f t="shared" si="7"/>
        <v>1947.2999999999993</v>
      </c>
      <c r="U21" s="31"/>
      <c r="V21" s="9">
        <f t="shared" si="8"/>
        <v>1947.2999999999993</v>
      </c>
      <c r="W21" s="31"/>
      <c r="X21" s="9">
        <f t="shared" si="9"/>
        <v>1947.2999999999993</v>
      </c>
      <c r="Y21" s="31">
        <v>-1214.357</v>
      </c>
      <c r="Z21" s="9">
        <f t="shared" si="10"/>
        <v>732.9429999999993</v>
      </c>
      <c r="AA21" s="24"/>
      <c r="AB21" s="9">
        <f t="shared" si="11"/>
        <v>732.9429999999993</v>
      </c>
      <c r="AC21" s="1" t="s">
        <v>86</v>
      </c>
    </row>
    <row r="22" spans="1:32" s="36" customFormat="1" ht="37.5" hidden="1" x14ac:dyDescent="0.3">
      <c r="A22" s="32"/>
      <c r="B22" s="33" t="s">
        <v>138</v>
      </c>
      <c r="C22" s="34" t="s">
        <v>5</v>
      </c>
      <c r="D22" s="35">
        <v>26500</v>
      </c>
      <c r="E22" s="35"/>
      <c r="F22" s="35">
        <f t="shared" si="0"/>
        <v>26500</v>
      </c>
      <c r="G22" s="35"/>
      <c r="H22" s="35">
        <f t="shared" si="1"/>
        <v>26500</v>
      </c>
      <c r="I22" s="31">
        <v>-26500</v>
      </c>
      <c r="J22" s="35">
        <f t="shared" si="2"/>
        <v>0</v>
      </c>
      <c r="K22" s="31"/>
      <c r="L22" s="9">
        <f t="shared" si="3"/>
        <v>0</v>
      </c>
      <c r="M22" s="31"/>
      <c r="N22" s="9">
        <f t="shared" si="4"/>
        <v>0</v>
      </c>
      <c r="O22" s="31"/>
      <c r="P22" s="9">
        <f t="shared" si="5"/>
        <v>0</v>
      </c>
      <c r="Q22" s="31"/>
      <c r="R22" s="9">
        <f t="shared" si="6"/>
        <v>0</v>
      </c>
      <c r="S22" s="31"/>
      <c r="T22" s="9">
        <f t="shared" si="7"/>
        <v>0</v>
      </c>
      <c r="U22" s="31"/>
      <c r="V22" s="9">
        <f t="shared" si="8"/>
        <v>0</v>
      </c>
      <c r="W22" s="31"/>
      <c r="X22" s="9">
        <f t="shared" si="9"/>
        <v>0</v>
      </c>
      <c r="Y22" s="31"/>
      <c r="Z22" s="9">
        <f t="shared" si="10"/>
        <v>0</v>
      </c>
      <c r="AA22" s="24"/>
      <c r="AB22" s="9">
        <f t="shared" si="11"/>
        <v>0</v>
      </c>
      <c r="AC22" s="36" t="s">
        <v>87</v>
      </c>
      <c r="AD22" s="36">
        <v>0</v>
      </c>
    </row>
    <row r="23" spans="1:32" s="36" customFormat="1" ht="56.25" hidden="1" x14ac:dyDescent="0.3">
      <c r="A23" s="32" t="s">
        <v>112</v>
      </c>
      <c r="B23" s="33" t="s">
        <v>138</v>
      </c>
      <c r="C23" s="34" t="s">
        <v>162</v>
      </c>
      <c r="D23" s="35"/>
      <c r="E23" s="35"/>
      <c r="F23" s="35"/>
      <c r="G23" s="35"/>
      <c r="H23" s="35"/>
      <c r="I23" s="35">
        <v>26500</v>
      </c>
      <c r="J23" s="35">
        <f t="shared" si="2"/>
        <v>26500</v>
      </c>
      <c r="K23" s="35">
        <v>-23867.8</v>
      </c>
      <c r="L23" s="35">
        <f t="shared" si="3"/>
        <v>2632.2000000000007</v>
      </c>
      <c r="M23" s="35"/>
      <c r="N23" s="35">
        <f t="shared" si="4"/>
        <v>2632.2000000000007</v>
      </c>
      <c r="O23" s="35"/>
      <c r="P23" s="35">
        <f t="shared" si="5"/>
        <v>2632.2000000000007</v>
      </c>
      <c r="Q23" s="35"/>
      <c r="R23" s="35">
        <f t="shared" si="6"/>
        <v>2632.2000000000007</v>
      </c>
      <c r="S23" s="35"/>
      <c r="T23" s="35">
        <f t="shared" si="7"/>
        <v>2632.2000000000007</v>
      </c>
      <c r="U23" s="35"/>
      <c r="V23" s="35">
        <f t="shared" si="8"/>
        <v>2632.2000000000007</v>
      </c>
      <c r="W23" s="35"/>
      <c r="X23" s="35">
        <f t="shared" si="9"/>
        <v>2632.2000000000007</v>
      </c>
      <c r="Y23" s="31">
        <v>-2632.2</v>
      </c>
      <c r="Z23" s="35">
        <f t="shared" si="10"/>
        <v>0</v>
      </c>
      <c r="AA23" s="35"/>
      <c r="AB23" s="35">
        <f t="shared" si="11"/>
        <v>0</v>
      </c>
      <c r="AC23" s="36" t="s">
        <v>87</v>
      </c>
      <c r="AD23" s="36">
        <v>0</v>
      </c>
    </row>
    <row r="24" spans="1:32" s="36" customFormat="1" ht="37.5" hidden="1" x14ac:dyDescent="0.3">
      <c r="A24" s="32"/>
      <c r="B24" s="33" t="s">
        <v>139</v>
      </c>
      <c r="C24" s="34" t="s">
        <v>5</v>
      </c>
      <c r="D24" s="35">
        <v>97057.1</v>
      </c>
      <c r="E24" s="35"/>
      <c r="F24" s="35">
        <f t="shared" si="0"/>
        <v>97057.1</v>
      </c>
      <c r="G24" s="35"/>
      <c r="H24" s="35">
        <f t="shared" si="1"/>
        <v>97057.1</v>
      </c>
      <c r="I24" s="31">
        <v>-97057.1</v>
      </c>
      <c r="J24" s="35">
        <f t="shared" si="2"/>
        <v>0</v>
      </c>
      <c r="K24" s="31"/>
      <c r="L24" s="35">
        <f t="shared" si="3"/>
        <v>0</v>
      </c>
      <c r="M24" s="31"/>
      <c r="N24" s="35">
        <f t="shared" si="4"/>
        <v>0</v>
      </c>
      <c r="O24" s="31"/>
      <c r="P24" s="35" t="s">
        <v>200</v>
      </c>
      <c r="Q24" s="31"/>
      <c r="R24" s="35" t="s">
        <v>200</v>
      </c>
      <c r="S24" s="31"/>
      <c r="T24" s="35" t="s">
        <v>200</v>
      </c>
      <c r="U24" s="31"/>
      <c r="V24" s="35" t="s">
        <v>200</v>
      </c>
      <c r="W24" s="31"/>
      <c r="X24" s="35" t="s">
        <v>200</v>
      </c>
      <c r="Y24" s="31"/>
      <c r="Z24" s="35" t="s">
        <v>200</v>
      </c>
      <c r="AA24" s="24"/>
      <c r="AB24" s="35" t="s">
        <v>200</v>
      </c>
      <c r="AC24" s="36" t="s">
        <v>88</v>
      </c>
      <c r="AD24" s="36">
        <v>0</v>
      </c>
    </row>
    <row r="25" spans="1:32" s="36" customFormat="1" ht="56.25" hidden="1" x14ac:dyDescent="0.3">
      <c r="A25" s="32" t="s">
        <v>113</v>
      </c>
      <c r="B25" s="33" t="s">
        <v>139</v>
      </c>
      <c r="C25" s="34" t="s">
        <v>162</v>
      </c>
      <c r="D25" s="35"/>
      <c r="E25" s="35"/>
      <c r="F25" s="35"/>
      <c r="G25" s="35"/>
      <c r="H25" s="35"/>
      <c r="I25" s="35">
        <v>97057.1</v>
      </c>
      <c r="J25" s="35">
        <f t="shared" si="2"/>
        <v>97057.1</v>
      </c>
      <c r="K25" s="35">
        <v>-97057.1</v>
      </c>
      <c r="L25" s="35">
        <f t="shared" si="3"/>
        <v>0</v>
      </c>
      <c r="M25" s="35"/>
      <c r="N25" s="35">
        <f t="shared" si="4"/>
        <v>0</v>
      </c>
      <c r="O25" s="35"/>
      <c r="P25" s="35">
        <f t="shared" si="5"/>
        <v>0</v>
      </c>
      <c r="Q25" s="35"/>
      <c r="R25" s="35">
        <f t="shared" ref="R25:R36" si="12">P25+Q25</f>
        <v>0</v>
      </c>
      <c r="S25" s="35"/>
      <c r="T25" s="35">
        <f t="shared" ref="T25:T36" si="13">R25+S25</f>
        <v>0</v>
      </c>
      <c r="U25" s="35"/>
      <c r="V25" s="35">
        <f t="shared" ref="V25:V36" si="14">T25+U25</f>
        <v>0</v>
      </c>
      <c r="W25" s="31"/>
      <c r="X25" s="35">
        <f t="shared" ref="X25:X36" si="15">V25+W25</f>
        <v>0</v>
      </c>
      <c r="Y25" s="31"/>
      <c r="Z25" s="35">
        <f t="shared" ref="Z25:Z36" si="16">X25+Y25</f>
        <v>0</v>
      </c>
      <c r="AA25" s="24"/>
      <c r="AB25" s="35">
        <f t="shared" ref="AB25:AB36" si="17">Z25+AA25</f>
        <v>0</v>
      </c>
      <c r="AC25" s="36" t="s">
        <v>88</v>
      </c>
      <c r="AD25" s="36">
        <v>0</v>
      </c>
    </row>
    <row r="26" spans="1:32" ht="37.5" x14ac:dyDescent="0.3">
      <c r="A26" s="7" t="s">
        <v>112</v>
      </c>
      <c r="B26" s="10" t="s">
        <v>139</v>
      </c>
      <c r="C26" s="58" t="s">
        <v>5</v>
      </c>
      <c r="D26" s="35"/>
      <c r="E26" s="35"/>
      <c r="F26" s="35"/>
      <c r="G26" s="35"/>
      <c r="H26" s="35"/>
      <c r="I26" s="31"/>
      <c r="J26" s="35">
        <f t="shared" si="2"/>
        <v>0</v>
      </c>
      <c r="K26" s="31">
        <v>3751.4540000000002</v>
      </c>
      <c r="L26" s="9">
        <f t="shared" si="3"/>
        <v>3751.4540000000002</v>
      </c>
      <c r="M26" s="31"/>
      <c r="N26" s="9">
        <f t="shared" si="4"/>
        <v>3751.4540000000002</v>
      </c>
      <c r="O26" s="31"/>
      <c r="P26" s="9">
        <f t="shared" si="5"/>
        <v>3751.4540000000002</v>
      </c>
      <c r="Q26" s="31"/>
      <c r="R26" s="9">
        <f t="shared" si="12"/>
        <v>3751.4540000000002</v>
      </c>
      <c r="S26" s="31"/>
      <c r="T26" s="9">
        <f t="shared" si="13"/>
        <v>3751.4540000000002</v>
      </c>
      <c r="U26" s="31"/>
      <c r="V26" s="9">
        <f t="shared" si="14"/>
        <v>3751.4540000000002</v>
      </c>
      <c r="W26" s="31"/>
      <c r="X26" s="9">
        <f t="shared" si="15"/>
        <v>3751.4540000000002</v>
      </c>
      <c r="Y26" s="31">
        <v>-1987.3920000000001</v>
      </c>
      <c r="Z26" s="9">
        <f t="shared" si="16"/>
        <v>1764.0620000000001</v>
      </c>
      <c r="AA26" s="24"/>
      <c r="AB26" s="9">
        <f t="shared" si="17"/>
        <v>1764.0620000000001</v>
      </c>
      <c r="AC26" s="48" t="s">
        <v>88</v>
      </c>
      <c r="AD26" s="48"/>
      <c r="AE26" s="48"/>
      <c r="AF26" s="48"/>
    </row>
    <row r="27" spans="1:32" s="36" customFormat="1" ht="37.5" hidden="1" x14ac:dyDescent="0.3">
      <c r="A27" s="32"/>
      <c r="B27" s="33" t="s">
        <v>140</v>
      </c>
      <c r="C27" s="34" t="s">
        <v>5</v>
      </c>
      <c r="D27" s="35">
        <v>15000</v>
      </c>
      <c r="E27" s="35"/>
      <c r="F27" s="35">
        <f t="shared" si="0"/>
        <v>15000</v>
      </c>
      <c r="G27" s="35"/>
      <c r="H27" s="35">
        <f t="shared" si="1"/>
        <v>15000</v>
      </c>
      <c r="I27" s="31">
        <v>-15000</v>
      </c>
      <c r="J27" s="35">
        <f t="shared" si="2"/>
        <v>0</v>
      </c>
      <c r="K27" s="31"/>
      <c r="L27" s="35">
        <f t="shared" si="3"/>
        <v>0</v>
      </c>
      <c r="M27" s="31"/>
      <c r="N27" s="35">
        <f t="shared" si="4"/>
        <v>0</v>
      </c>
      <c r="O27" s="31"/>
      <c r="P27" s="35">
        <f t="shared" si="5"/>
        <v>0</v>
      </c>
      <c r="Q27" s="31"/>
      <c r="R27" s="35">
        <f t="shared" si="12"/>
        <v>0</v>
      </c>
      <c r="S27" s="31"/>
      <c r="T27" s="35">
        <f t="shared" si="13"/>
        <v>0</v>
      </c>
      <c r="U27" s="31"/>
      <c r="V27" s="35">
        <f t="shared" si="14"/>
        <v>0</v>
      </c>
      <c r="W27" s="31"/>
      <c r="X27" s="35">
        <f t="shared" si="15"/>
        <v>0</v>
      </c>
      <c r="Y27" s="31"/>
      <c r="Z27" s="35">
        <f t="shared" si="16"/>
        <v>0</v>
      </c>
      <c r="AA27" s="24"/>
      <c r="AB27" s="35">
        <f t="shared" si="17"/>
        <v>0</v>
      </c>
      <c r="AC27" s="36" t="s">
        <v>89</v>
      </c>
      <c r="AD27" s="36">
        <v>0</v>
      </c>
    </row>
    <row r="28" spans="1:32" ht="56.25" x14ac:dyDescent="0.3">
      <c r="A28" s="7" t="s">
        <v>113</v>
      </c>
      <c r="B28" s="10" t="s">
        <v>140</v>
      </c>
      <c r="C28" s="58" t="s">
        <v>162</v>
      </c>
      <c r="D28" s="9"/>
      <c r="E28" s="9"/>
      <c r="F28" s="9"/>
      <c r="G28" s="9"/>
      <c r="H28" s="9"/>
      <c r="I28" s="31">
        <v>15000</v>
      </c>
      <c r="J28" s="9">
        <f t="shared" si="2"/>
        <v>15000</v>
      </c>
      <c r="K28" s="31">
        <f>2000+213.564</f>
        <v>2213.5639999999999</v>
      </c>
      <c r="L28" s="9">
        <f t="shared" si="3"/>
        <v>17213.563999999998</v>
      </c>
      <c r="M28" s="31"/>
      <c r="N28" s="9">
        <f t="shared" si="4"/>
        <v>17213.563999999998</v>
      </c>
      <c r="O28" s="31"/>
      <c r="P28" s="9">
        <f t="shared" si="5"/>
        <v>17213.563999999998</v>
      </c>
      <c r="Q28" s="31"/>
      <c r="R28" s="9">
        <f t="shared" si="12"/>
        <v>17213.563999999998</v>
      </c>
      <c r="S28" s="31"/>
      <c r="T28" s="9">
        <f t="shared" si="13"/>
        <v>17213.563999999998</v>
      </c>
      <c r="U28" s="31"/>
      <c r="V28" s="9">
        <f t="shared" si="14"/>
        <v>17213.563999999998</v>
      </c>
      <c r="W28" s="31"/>
      <c r="X28" s="9">
        <f t="shared" si="15"/>
        <v>17213.563999999998</v>
      </c>
      <c r="Y28" s="31"/>
      <c r="Z28" s="9">
        <f t="shared" si="16"/>
        <v>17213.563999999998</v>
      </c>
      <c r="AA28" s="24"/>
      <c r="AB28" s="9">
        <f t="shared" si="17"/>
        <v>17213.563999999998</v>
      </c>
      <c r="AC28" s="1" t="s">
        <v>89</v>
      </c>
    </row>
    <row r="29" spans="1:32" s="36" customFormat="1" ht="37.5" hidden="1" x14ac:dyDescent="0.3">
      <c r="A29" s="32"/>
      <c r="B29" s="33" t="s">
        <v>141</v>
      </c>
      <c r="C29" s="34" t="s">
        <v>5</v>
      </c>
      <c r="D29" s="35">
        <v>15000</v>
      </c>
      <c r="E29" s="35"/>
      <c r="F29" s="35">
        <f t="shared" si="0"/>
        <v>15000</v>
      </c>
      <c r="G29" s="35"/>
      <c r="H29" s="35">
        <f t="shared" si="1"/>
        <v>15000</v>
      </c>
      <c r="I29" s="31">
        <v>-15000</v>
      </c>
      <c r="J29" s="35">
        <f t="shared" si="2"/>
        <v>0</v>
      </c>
      <c r="K29" s="31"/>
      <c r="L29" s="35">
        <f t="shared" si="3"/>
        <v>0</v>
      </c>
      <c r="M29" s="31"/>
      <c r="N29" s="35">
        <f t="shared" si="4"/>
        <v>0</v>
      </c>
      <c r="O29" s="31"/>
      <c r="P29" s="35">
        <f t="shared" si="5"/>
        <v>0</v>
      </c>
      <c r="Q29" s="31"/>
      <c r="R29" s="35">
        <f t="shared" si="12"/>
        <v>0</v>
      </c>
      <c r="S29" s="31"/>
      <c r="T29" s="35">
        <f t="shared" si="13"/>
        <v>0</v>
      </c>
      <c r="U29" s="31"/>
      <c r="V29" s="35">
        <f t="shared" si="14"/>
        <v>0</v>
      </c>
      <c r="W29" s="31"/>
      <c r="X29" s="35">
        <f t="shared" si="15"/>
        <v>0</v>
      </c>
      <c r="Y29" s="31"/>
      <c r="Z29" s="35">
        <f t="shared" si="16"/>
        <v>0</v>
      </c>
      <c r="AA29" s="24"/>
      <c r="AB29" s="35">
        <f t="shared" si="17"/>
        <v>0</v>
      </c>
      <c r="AC29" s="36" t="s">
        <v>90</v>
      </c>
      <c r="AD29" s="36">
        <v>0</v>
      </c>
    </row>
    <row r="30" spans="1:32" ht="56.25" x14ac:dyDescent="0.3">
      <c r="A30" s="7" t="s">
        <v>114</v>
      </c>
      <c r="B30" s="10" t="s">
        <v>141</v>
      </c>
      <c r="C30" s="58" t="s">
        <v>162</v>
      </c>
      <c r="D30" s="9"/>
      <c r="E30" s="9"/>
      <c r="F30" s="9"/>
      <c r="G30" s="9"/>
      <c r="H30" s="9"/>
      <c r="I30" s="31">
        <v>15000</v>
      </c>
      <c r="J30" s="9">
        <f t="shared" si="2"/>
        <v>15000</v>
      </c>
      <c r="K30" s="31">
        <f>1300+639.337</f>
        <v>1939.337</v>
      </c>
      <c r="L30" s="9">
        <f t="shared" si="3"/>
        <v>16939.337</v>
      </c>
      <c r="M30" s="31"/>
      <c r="N30" s="9">
        <f t="shared" si="4"/>
        <v>16939.337</v>
      </c>
      <c r="O30" s="31"/>
      <c r="P30" s="9">
        <f t="shared" si="5"/>
        <v>16939.337</v>
      </c>
      <c r="Q30" s="31"/>
      <c r="R30" s="9">
        <f t="shared" si="12"/>
        <v>16939.337</v>
      </c>
      <c r="S30" s="31"/>
      <c r="T30" s="9">
        <f t="shared" si="13"/>
        <v>16939.337</v>
      </c>
      <c r="U30" s="31"/>
      <c r="V30" s="9">
        <f t="shared" si="14"/>
        <v>16939.337</v>
      </c>
      <c r="W30" s="31"/>
      <c r="X30" s="9">
        <f t="shared" si="15"/>
        <v>16939.337</v>
      </c>
      <c r="Y30" s="31"/>
      <c r="Z30" s="9">
        <f t="shared" si="16"/>
        <v>16939.337</v>
      </c>
      <c r="AA30" s="24"/>
      <c r="AB30" s="9">
        <f t="shared" si="17"/>
        <v>16939.337</v>
      </c>
      <c r="AC30" s="1" t="s">
        <v>90</v>
      </c>
    </row>
    <row r="31" spans="1:32" ht="37.5" x14ac:dyDescent="0.3">
      <c r="A31" s="7" t="s">
        <v>8</v>
      </c>
      <c r="B31" s="58" t="s">
        <v>142</v>
      </c>
      <c r="C31" s="58" t="s">
        <v>5</v>
      </c>
      <c r="D31" s="9">
        <v>83261.600000000006</v>
      </c>
      <c r="E31" s="9"/>
      <c r="F31" s="9">
        <f t="shared" si="0"/>
        <v>83261.600000000006</v>
      </c>
      <c r="G31" s="9">
        <v>30573.008000000002</v>
      </c>
      <c r="H31" s="9">
        <f t="shared" si="1"/>
        <v>113834.60800000001</v>
      </c>
      <c r="I31" s="31"/>
      <c r="J31" s="9">
        <f t="shared" si="2"/>
        <v>113834.60800000001</v>
      </c>
      <c r="K31" s="31">
        <f>-23936.2+89196.425</f>
        <v>65260.225000000006</v>
      </c>
      <c r="L31" s="9">
        <f t="shared" si="3"/>
        <v>179094.83300000001</v>
      </c>
      <c r="M31" s="31"/>
      <c r="N31" s="9">
        <f t="shared" si="4"/>
        <v>179094.83300000001</v>
      </c>
      <c r="O31" s="31">
        <f>-18864.421+16522.958+2341.463</f>
        <v>0</v>
      </c>
      <c r="P31" s="9">
        <f t="shared" si="5"/>
        <v>179094.83300000001</v>
      </c>
      <c r="Q31" s="31">
        <f>-18864.421+16522.958+2341.463</f>
        <v>0</v>
      </c>
      <c r="R31" s="9">
        <f t="shared" si="12"/>
        <v>179094.83300000001</v>
      </c>
      <c r="S31" s="31">
        <f>417.19</f>
        <v>417.19</v>
      </c>
      <c r="T31" s="9">
        <f t="shared" si="13"/>
        <v>179512.02300000002</v>
      </c>
      <c r="U31" s="31"/>
      <c r="V31" s="9">
        <f t="shared" si="14"/>
        <v>179512.02300000002</v>
      </c>
      <c r="W31" s="31"/>
      <c r="X31" s="9">
        <f t="shared" si="15"/>
        <v>179512.02300000002</v>
      </c>
      <c r="Y31" s="31"/>
      <c r="Z31" s="9">
        <f t="shared" si="16"/>
        <v>179512.02300000002</v>
      </c>
      <c r="AA31" s="24"/>
      <c r="AB31" s="9">
        <f t="shared" si="17"/>
        <v>179512.02300000002</v>
      </c>
      <c r="AC31" s="1" t="s">
        <v>203</v>
      </c>
    </row>
    <row r="32" spans="1:32" ht="37.5" x14ac:dyDescent="0.3">
      <c r="A32" s="7" t="s">
        <v>9</v>
      </c>
      <c r="B32" s="58" t="s">
        <v>136</v>
      </c>
      <c r="C32" s="58" t="s">
        <v>5</v>
      </c>
      <c r="D32" s="9">
        <v>0</v>
      </c>
      <c r="E32" s="9">
        <v>2000</v>
      </c>
      <c r="F32" s="9">
        <f t="shared" si="0"/>
        <v>2000</v>
      </c>
      <c r="G32" s="9"/>
      <c r="H32" s="9">
        <f t="shared" si="1"/>
        <v>2000</v>
      </c>
      <c r="I32" s="31"/>
      <c r="J32" s="9">
        <f t="shared" si="2"/>
        <v>2000</v>
      </c>
      <c r="K32" s="31"/>
      <c r="L32" s="9">
        <f t="shared" si="3"/>
        <v>2000</v>
      </c>
      <c r="M32" s="31"/>
      <c r="N32" s="9">
        <f t="shared" si="4"/>
        <v>2000</v>
      </c>
      <c r="O32" s="31"/>
      <c r="P32" s="9">
        <f t="shared" si="5"/>
        <v>2000</v>
      </c>
      <c r="Q32" s="31"/>
      <c r="R32" s="9">
        <f t="shared" si="12"/>
        <v>2000</v>
      </c>
      <c r="S32" s="31"/>
      <c r="T32" s="9">
        <f t="shared" si="13"/>
        <v>2000</v>
      </c>
      <c r="U32" s="31"/>
      <c r="V32" s="9">
        <f t="shared" si="14"/>
        <v>2000</v>
      </c>
      <c r="W32" s="31"/>
      <c r="X32" s="9">
        <f t="shared" si="15"/>
        <v>2000</v>
      </c>
      <c r="Y32" s="31"/>
      <c r="Z32" s="9">
        <f t="shared" si="16"/>
        <v>2000</v>
      </c>
      <c r="AA32" s="24"/>
      <c r="AB32" s="9">
        <f t="shared" si="17"/>
        <v>2000</v>
      </c>
      <c r="AC32" s="1" t="s">
        <v>143</v>
      </c>
    </row>
    <row r="33" spans="1:30" ht="37.5" hidden="1" x14ac:dyDescent="0.3">
      <c r="A33" s="7" t="s">
        <v>11</v>
      </c>
      <c r="B33" s="30" t="s">
        <v>163</v>
      </c>
      <c r="C33" s="30" t="s">
        <v>5</v>
      </c>
      <c r="D33" s="9"/>
      <c r="E33" s="9"/>
      <c r="F33" s="9"/>
      <c r="G33" s="9"/>
      <c r="H33" s="9"/>
      <c r="I33" s="31"/>
      <c r="J33" s="38">
        <f t="shared" si="2"/>
        <v>0</v>
      </c>
      <c r="K33" s="31"/>
      <c r="L33" s="9">
        <f t="shared" si="3"/>
        <v>0</v>
      </c>
      <c r="M33" s="31"/>
      <c r="N33" s="9">
        <f t="shared" si="4"/>
        <v>0</v>
      </c>
      <c r="O33" s="31"/>
      <c r="P33" s="9">
        <f t="shared" si="5"/>
        <v>0</v>
      </c>
      <c r="Q33" s="31"/>
      <c r="R33" s="9">
        <f t="shared" si="12"/>
        <v>0</v>
      </c>
      <c r="S33" s="31"/>
      <c r="T33" s="9">
        <f t="shared" si="13"/>
        <v>0</v>
      </c>
      <c r="U33" s="31"/>
      <c r="V33" s="9">
        <f t="shared" si="14"/>
        <v>0</v>
      </c>
      <c r="W33" s="31"/>
      <c r="X33" s="9">
        <f t="shared" si="15"/>
        <v>0</v>
      </c>
      <c r="Y33" s="31"/>
      <c r="Z33" s="9">
        <f t="shared" si="16"/>
        <v>0</v>
      </c>
      <c r="AA33" s="24"/>
      <c r="AB33" s="9">
        <f t="shared" si="17"/>
        <v>0</v>
      </c>
      <c r="AD33" s="1">
        <v>0</v>
      </c>
    </row>
    <row r="34" spans="1:30" ht="56.25" hidden="1" x14ac:dyDescent="0.3">
      <c r="A34" s="7" t="s">
        <v>115</v>
      </c>
      <c r="B34" s="30" t="s">
        <v>164</v>
      </c>
      <c r="C34" s="30" t="s">
        <v>5</v>
      </c>
      <c r="D34" s="9"/>
      <c r="E34" s="9"/>
      <c r="F34" s="9"/>
      <c r="G34" s="9"/>
      <c r="H34" s="9"/>
      <c r="I34" s="31"/>
      <c r="J34" s="38">
        <f t="shared" si="2"/>
        <v>0</v>
      </c>
      <c r="K34" s="31"/>
      <c r="L34" s="9">
        <f t="shared" si="3"/>
        <v>0</v>
      </c>
      <c r="M34" s="31"/>
      <c r="N34" s="9">
        <f t="shared" si="4"/>
        <v>0</v>
      </c>
      <c r="O34" s="31"/>
      <c r="P34" s="9">
        <f t="shared" si="5"/>
        <v>0</v>
      </c>
      <c r="Q34" s="31"/>
      <c r="R34" s="9">
        <f t="shared" si="12"/>
        <v>0</v>
      </c>
      <c r="S34" s="31"/>
      <c r="T34" s="9">
        <f t="shared" si="13"/>
        <v>0</v>
      </c>
      <c r="U34" s="31"/>
      <c r="V34" s="9">
        <f t="shared" si="14"/>
        <v>0</v>
      </c>
      <c r="W34" s="31"/>
      <c r="X34" s="9">
        <f t="shared" si="15"/>
        <v>0</v>
      </c>
      <c r="Y34" s="31"/>
      <c r="Z34" s="9">
        <f t="shared" si="16"/>
        <v>0</v>
      </c>
      <c r="AA34" s="24"/>
      <c r="AB34" s="9">
        <f t="shared" si="17"/>
        <v>0</v>
      </c>
      <c r="AD34" s="1">
        <v>0</v>
      </c>
    </row>
    <row r="35" spans="1:30" ht="56.25" x14ac:dyDescent="0.3">
      <c r="A35" s="7" t="s">
        <v>10</v>
      </c>
      <c r="B35" s="58" t="s">
        <v>189</v>
      </c>
      <c r="C35" s="58" t="s">
        <v>5</v>
      </c>
      <c r="D35" s="9"/>
      <c r="E35" s="9"/>
      <c r="F35" s="9"/>
      <c r="G35" s="9"/>
      <c r="H35" s="9"/>
      <c r="I35" s="31"/>
      <c r="J35" s="31"/>
      <c r="K35" s="31">
        <v>1600</v>
      </c>
      <c r="L35" s="31">
        <f t="shared" si="3"/>
        <v>1600</v>
      </c>
      <c r="M35" s="31"/>
      <c r="N35" s="31">
        <f t="shared" si="4"/>
        <v>1600</v>
      </c>
      <c r="O35" s="31"/>
      <c r="P35" s="31">
        <f t="shared" si="5"/>
        <v>1600</v>
      </c>
      <c r="Q35" s="31"/>
      <c r="R35" s="31">
        <f t="shared" si="12"/>
        <v>1600</v>
      </c>
      <c r="S35" s="31"/>
      <c r="T35" s="31">
        <f t="shared" si="13"/>
        <v>1600</v>
      </c>
      <c r="U35" s="31"/>
      <c r="V35" s="9">
        <f t="shared" si="14"/>
        <v>1600</v>
      </c>
      <c r="W35" s="31"/>
      <c r="X35" s="9">
        <f t="shared" si="15"/>
        <v>1600</v>
      </c>
      <c r="Y35" s="31">
        <v>127.95</v>
      </c>
      <c r="Z35" s="9">
        <f t="shared" si="16"/>
        <v>1727.95</v>
      </c>
      <c r="AA35" s="24"/>
      <c r="AB35" s="9">
        <f t="shared" si="17"/>
        <v>1727.95</v>
      </c>
      <c r="AC35" s="1" t="s">
        <v>190</v>
      </c>
    </row>
    <row r="36" spans="1:30" ht="37.5" x14ac:dyDescent="0.3">
      <c r="A36" s="7" t="s">
        <v>11</v>
      </c>
      <c r="B36" s="58" t="s">
        <v>191</v>
      </c>
      <c r="C36" s="58" t="s">
        <v>5</v>
      </c>
      <c r="D36" s="9"/>
      <c r="E36" s="9"/>
      <c r="F36" s="9"/>
      <c r="G36" s="9"/>
      <c r="H36" s="9"/>
      <c r="I36" s="31"/>
      <c r="J36" s="31"/>
      <c r="K36" s="31">
        <v>5000.0010000000002</v>
      </c>
      <c r="L36" s="31">
        <f t="shared" si="3"/>
        <v>5000.0010000000002</v>
      </c>
      <c r="M36" s="31"/>
      <c r="N36" s="31">
        <f t="shared" si="4"/>
        <v>5000.0010000000002</v>
      </c>
      <c r="O36" s="31"/>
      <c r="P36" s="31">
        <f t="shared" si="5"/>
        <v>5000.0010000000002</v>
      </c>
      <c r="Q36" s="31"/>
      <c r="R36" s="31">
        <f t="shared" si="12"/>
        <v>5000.0010000000002</v>
      </c>
      <c r="S36" s="31"/>
      <c r="T36" s="31">
        <f t="shared" si="13"/>
        <v>5000.0010000000002</v>
      </c>
      <c r="U36" s="31"/>
      <c r="V36" s="9">
        <f t="shared" si="14"/>
        <v>5000.0010000000002</v>
      </c>
      <c r="W36" s="31"/>
      <c r="X36" s="9">
        <f t="shared" si="15"/>
        <v>5000.0010000000002</v>
      </c>
      <c r="Y36" s="31"/>
      <c r="Z36" s="9">
        <f t="shared" si="16"/>
        <v>5000.0010000000002</v>
      </c>
      <c r="AA36" s="24"/>
      <c r="AB36" s="9">
        <f t="shared" si="17"/>
        <v>5000.0010000000002</v>
      </c>
      <c r="AC36" s="1" t="s">
        <v>192</v>
      </c>
    </row>
    <row r="37" spans="1:30" ht="37.5" x14ac:dyDescent="0.3">
      <c r="A37" s="7" t="s">
        <v>115</v>
      </c>
      <c r="B37" s="58" t="s">
        <v>193</v>
      </c>
      <c r="C37" s="58" t="s">
        <v>5</v>
      </c>
      <c r="D37" s="9"/>
      <c r="E37" s="9"/>
      <c r="F37" s="9"/>
      <c r="G37" s="9"/>
      <c r="H37" s="9"/>
      <c r="I37" s="31"/>
      <c r="J37" s="31"/>
      <c r="K37" s="31">
        <v>9154.7900000000009</v>
      </c>
      <c r="L37" s="31">
        <f>K37+J37</f>
        <v>9154.7900000000009</v>
      </c>
      <c r="M37" s="31"/>
      <c r="N37" s="31">
        <f>M37+L37</f>
        <v>9154.7900000000009</v>
      </c>
      <c r="O37" s="31"/>
      <c r="P37" s="31">
        <f>O37+N37</f>
        <v>9154.7900000000009</v>
      </c>
      <c r="Q37" s="31"/>
      <c r="R37" s="31">
        <f>Q37+P37</f>
        <v>9154.7900000000009</v>
      </c>
      <c r="S37" s="31"/>
      <c r="T37" s="31">
        <f>S37+R37</f>
        <v>9154.7900000000009</v>
      </c>
      <c r="U37" s="31"/>
      <c r="V37" s="9">
        <f>U37+T37</f>
        <v>9154.7900000000009</v>
      </c>
      <c r="W37" s="31"/>
      <c r="X37" s="9">
        <f>W37+V37</f>
        <v>9154.7900000000009</v>
      </c>
      <c r="Y37" s="31">
        <v>-572.00599999999997</v>
      </c>
      <c r="Z37" s="9">
        <f>Y37+X37</f>
        <v>8582.7840000000015</v>
      </c>
      <c r="AA37" s="24"/>
      <c r="AB37" s="9">
        <f>AA37+Z37</f>
        <v>8582.7840000000015</v>
      </c>
      <c r="AC37" s="1" t="s">
        <v>194</v>
      </c>
    </row>
    <row r="38" spans="1:30" ht="37.5" x14ac:dyDescent="0.3">
      <c r="A38" s="7" t="s">
        <v>12</v>
      </c>
      <c r="B38" s="58" t="s">
        <v>212</v>
      </c>
      <c r="C38" s="58" t="s">
        <v>5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31">
        <v>500</v>
      </c>
      <c r="V38" s="9">
        <f>U38+T38</f>
        <v>500</v>
      </c>
      <c r="W38" s="31"/>
      <c r="X38" s="9">
        <f>W38+V38</f>
        <v>500</v>
      </c>
      <c r="Y38" s="31"/>
      <c r="Z38" s="9">
        <f>Y38+X38</f>
        <v>500</v>
      </c>
      <c r="AA38" s="24"/>
      <c r="AB38" s="9">
        <f>AA38+Z38</f>
        <v>500</v>
      </c>
      <c r="AC38" s="62" t="s">
        <v>213</v>
      </c>
    </row>
    <row r="39" spans="1:30" ht="37.5" x14ac:dyDescent="0.3">
      <c r="A39" s="7" t="s">
        <v>116</v>
      </c>
      <c r="B39" s="58" t="s">
        <v>215</v>
      </c>
      <c r="C39" s="58" t="s">
        <v>5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31">
        <v>1000</v>
      </c>
      <c r="V39" s="9">
        <f>U39+T39</f>
        <v>1000</v>
      </c>
      <c r="W39" s="31"/>
      <c r="X39" s="9">
        <f>W39+V39</f>
        <v>1000</v>
      </c>
      <c r="Y39" s="31"/>
      <c r="Z39" s="9">
        <f>Y39+X39</f>
        <v>1000</v>
      </c>
      <c r="AA39" s="24"/>
      <c r="AB39" s="9">
        <f>AA39+Z39</f>
        <v>1000</v>
      </c>
      <c r="AC39" s="62" t="s">
        <v>214</v>
      </c>
    </row>
    <row r="40" spans="1:30" ht="37.5" x14ac:dyDescent="0.3">
      <c r="A40" s="7" t="s">
        <v>14</v>
      </c>
      <c r="B40" s="73" t="s">
        <v>221</v>
      </c>
      <c r="C40" s="73" t="s">
        <v>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31"/>
      <c r="V40" s="9"/>
      <c r="W40" s="31"/>
      <c r="X40" s="9"/>
      <c r="Y40" s="31">
        <v>780.25300000000004</v>
      </c>
      <c r="Z40" s="9">
        <f>Y40+X40</f>
        <v>780.25300000000004</v>
      </c>
      <c r="AA40" s="24"/>
      <c r="AB40" s="9">
        <f>AA40+Z40</f>
        <v>780.25300000000004</v>
      </c>
      <c r="AC40" s="62" t="s">
        <v>220</v>
      </c>
    </row>
    <row r="41" spans="1:30" s="48" customFormat="1" x14ac:dyDescent="0.3">
      <c r="A41" s="46"/>
      <c r="B41" s="47" t="s">
        <v>6</v>
      </c>
      <c r="C41" s="47"/>
      <c r="D41" s="68">
        <f>D45+D46+D47+D48+D50+D51+D52+D53+D54+D59</f>
        <v>1372142.0999999999</v>
      </c>
      <c r="E41" s="68">
        <f>E45+E46+E47+E48+E50+E51+E52+E53+E54+E59</f>
        <v>-70361.785999999993</v>
      </c>
      <c r="F41" s="68">
        <f>D41+E41</f>
        <v>1301780.3139999998</v>
      </c>
      <c r="G41" s="68">
        <f>G45+G46+G47+G48+G50+G51+G52+G53+G54+G59</f>
        <v>0</v>
      </c>
      <c r="H41" s="68">
        <f>F41+G41</f>
        <v>1301780.3139999998</v>
      </c>
      <c r="I41" s="68">
        <f>I45+I46+I47+I48+I50+I51+I52+I53+I54+I59+I60</f>
        <v>-23581.27</v>
      </c>
      <c r="J41" s="68">
        <f>I41+H41</f>
        <v>1278199.0439999998</v>
      </c>
      <c r="K41" s="68">
        <f>K45+K46+K47+K48+K50+K51+K52+K53+K54+K59+K60</f>
        <v>-30621.777999999998</v>
      </c>
      <c r="L41" s="68">
        <f>K41+J41</f>
        <v>1247577.2659999998</v>
      </c>
      <c r="M41" s="68">
        <f>M45+M46+M47+M48+M50+M51+M52+M53+M54+M59+M60</f>
        <v>0</v>
      </c>
      <c r="N41" s="68">
        <f>M41+L41</f>
        <v>1247577.2659999998</v>
      </c>
      <c r="O41" s="68">
        <f>O45+O46+O47+O48+O50+O51+O52+O53+O54+O59+O60+O49</f>
        <v>101097.349</v>
      </c>
      <c r="P41" s="68">
        <f>O41+N41</f>
        <v>1348674.6149999998</v>
      </c>
      <c r="Q41" s="68">
        <f>Q45+Q46+Q47+Q48+Q50+Q51+Q52+Q53+Q54+Q59+Q60+Q49</f>
        <v>0</v>
      </c>
      <c r="R41" s="68">
        <f>Q41+P41</f>
        <v>1348674.6149999998</v>
      </c>
      <c r="S41" s="68">
        <f>S45+S46+S47+S48+S50+S51+S52+S53+S54+S59+S60+S49+S61</f>
        <v>-3477.6710000000012</v>
      </c>
      <c r="T41" s="68">
        <f>S41+R41</f>
        <v>1345196.9439999997</v>
      </c>
      <c r="U41" s="31">
        <f>U45+U46+U47+U48+U50+U51+U52+U53+U54+U59+U60+U49+U61</f>
        <v>-14333.914000000001</v>
      </c>
      <c r="V41" s="31">
        <f>U41+T41</f>
        <v>1330863.0299999996</v>
      </c>
      <c r="W41" s="31">
        <f>W45+W46+W47+W48+W50+W51+W52+W53+W54+W59+W60+W49+W61+W62</f>
        <v>12941.531999999999</v>
      </c>
      <c r="X41" s="31">
        <f>W41+V41</f>
        <v>1343804.5619999995</v>
      </c>
      <c r="Y41" s="31">
        <f>Y45+Y46+Y47+Y48+Y50+Y51+Y52+Y53+Y54+Y59+Y60+Y49+Y61+Y62</f>
        <v>-37982.906000000003</v>
      </c>
      <c r="Z41" s="31">
        <f>Y41+X41</f>
        <v>1305821.6559999995</v>
      </c>
      <c r="AA41" s="31">
        <f>AA45+AA46+AA47+AA48+AA50+AA51+AA52+AA53+AA54+AA59+AA60+AA49+AA61+AA62</f>
        <v>-1252.1190000000001</v>
      </c>
      <c r="AB41" s="31">
        <f>AA41+Z41</f>
        <v>1304569.5369999995</v>
      </c>
    </row>
    <row r="42" spans="1:30" x14ac:dyDescent="0.3">
      <c r="A42" s="7"/>
      <c r="B42" s="8" t="s">
        <v>2</v>
      </c>
      <c r="C42" s="58"/>
      <c r="D42" s="9"/>
      <c r="E42" s="9"/>
      <c r="F42" s="9"/>
      <c r="G42" s="9"/>
      <c r="H42" s="9"/>
      <c r="I42" s="31"/>
      <c r="J42" s="9"/>
      <c r="K42" s="31"/>
      <c r="L42" s="9"/>
      <c r="M42" s="31"/>
      <c r="N42" s="9"/>
      <c r="O42" s="31"/>
      <c r="P42" s="9"/>
      <c r="Q42" s="31"/>
      <c r="R42" s="9"/>
      <c r="S42" s="31"/>
      <c r="T42" s="9"/>
      <c r="U42" s="31"/>
      <c r="V42" s="9"/>
      <c r="W42" s="31"/>
      <c r="X42" s="9"/>
      <c r="Y42" s="31"/>
      <c r="Z42" s="9"/>
      <c r="AA42" s="24"/>
      <c r="AB42" s="9"/>
    </row>
    <row r="43" spans="1:30" hidden="1" x14ac:dyDescent="0.3">
      <c r="A43" s="7"/>
      <c r="B43" s="17" t="s">
        <v>3</v>
      </c>
      <c r="C43" s="17"/>
      <c r="D43" s="9">
        <f>D45+D46+D47+D48+D50+D51+D52+D53+D56+D59</f>
        <v>1214745</v>
      </c>
      <c r="E43" s="9">
        <f>E45+E46+E47+E48+E50+E51+E52+E53+E56+E59</f>
        <v>-27507.385999999999</v>
      </c>
      <c r="F43" s="9">
        <f>D43+E43</f>
        <v>1187237.6140000001</v>
      </c>
      <c r="G43" s="9">
        <f>G45+G46+G47+G48+G50+G51+G52+G53+G56+G59</f>
        <v>0</v>
      </c>
      <c r="H43" s="9">
        <f>F43+G43</f>
        <v>1187237.6140000001</v>
      </c>
      <c r="I43" s="31">
        <f>I45+I46+I47+I48+I50+I51+I52+I53+I56+I59+I60</f>
        <v>-23581.27</v>
      </c>
      <c r="J43" s="9">
        <f>H43+I43</f>
        <v>1163656.344</v>
      </c>
      <c r="K43" s="31">
        <f>K45+K46+K47+K48+K50+K51+K52+K53+K56+K59+K60</f>
        <v>-30621.777999999998</v>
      </c>
      <c r="L43" s="9">
        <f>J43+K43</f>
        <v>1133034.5660000001</v>
      </c>
      <c r="M43" s="31">
        <f>M45+M46+M47+M48+M50+M51+M52+M53+M56+M59+M60</f>
        <v>0</v>
      </c>
      <c r="N43" s="9">
        <f>L43+M43</f>
        <v>1133034.5660000001</v>
      </c>
      <c r="O43" s="31">
        <f>O45+O46+O47+O48+O50+O51+O52+O53+O56+O59+O60</f>
        <v>-8541.2530000000006</v>
      </c>
      <c r="P43" s="9">
        <f>N43+O43</f>
        <v>1124493.3130000001</v>
      </c>
      <c r="Q43" s="31">
        <f>Q45+Q46+Q47+Q48+Q50+Q51+Q52+Q53+Q56+Q59+Q60</f>
        <v>0</v>
      </c>
      <c r="R43" s="9">
        <f>P43+Q43</f>
        <v>1124493.3130000001</v>
      </c>
      <c r="S43" s="31">
        <f>S45+S46+S47+S48+S50+S51+S52+S53+S56+S59+S60</f>
        <v>-10098.390000000001</v>
      </c>
      <c r="T43" s="9">
        <f>R43+S43</f>
        <v>1114394.9230000002</v>
      </c>
      <c r="U43" s="31">
        <f>U45+U46+U47+U48+U50+U51+U52+U53+U56+U59+U60</f>
        <v>-14333.914000000001</v>
      </c>
      <c r="V43" s="9">
        <f>T43+U43</f>
        <v>1100061.0090000001</v>
      </c>
      <c r="W43" s="31">
        <f>W45+W46+W47+W48+W50+W51+W52+W53+W56+W59+W60</f>
        <v>-27101.248999999996</v>
      </c>
      <c r="X43" s="9">
        <f>V43+W43</f>
        <v>1072959.76</v>
      </c>
      <c r="Y43" s="31">
        <f>Y45+Y46+Y47+Y48+Y50+Y51+Y52+Y53+Y56+Y59+Y60</f>
        <v>-23068.045999999998</v>
      </c>
      <c r="Z43" s="9">
        <f>X43+Y43</f>
        <v>1049891.7139999999</v>
      </c>
      <c r="AA43" s="24">
        <f>AA45+AA46+AA47+AA48+AA50+AA51+AA52+AA53+AA56+AA59+AA60</f>
        <v>-1252.1190000000001</v>
      </c>
      <c r="AB43" s="9">
        <f>Z43+AA43</f>
        <v>1048639.595</v>
      </c>
      <c r="AD43" s="1">
        <v>0</v>
      </c>
    </row>
    <row r="44" spans="1:30" x14ac:dyDescent="0.3">
      <c r="A44" s="7"/>
      <c r="B44" s="58" t="s">
        <v>59</v>
      </c>
      <c r="C44" s="58"/>
      <c r="D44" s="9">
        <f>D57</f>
        <v>157397.1</v>
      </c>
      <c r="E44" s="9">
        <f t="shared" ref="E44:G44" si="18">E57</f>
        <v>-42854.400000000001</v>
      </c>
      <c r="F44" s="9">
        <f>D44+E44</f>
        <v>114542.70000000001</v>
      </c>
      <c r="G44" s="9">
        <f t="shared" si="18"/>
        <v>0</v>
      </c>
      <c r="H44" s="9">
        <f>F44+G44</f>
        <v>114542.70000000001</v>
      </c>
      <c r="I44" s="31">
        <f t="shared" ref="I44:K44" si="19">I57</f>
        <v>0</v>
      </c>
      <c r="J44" s="9">
        <f>H44+I44</f>
        <v>114542.70000000001</v>
      </c>
      <c r="K44" s="31">
        <f t="shared" si="19"/>
        <v>0</v>
      </c>
      <c r="L44" s="9">
        <f>J44+K44</f>
        <v>114542.70000000001</v>
      </c>
      <c r="M44" s="31">
        <f t="shared" ref="M44:O44" si="20">M57</f>
        <v>0</v>
      </c>
      <c r="N44" s="9">
        <f>L44+M44</f>
        <v>114542.70000000001</v>
      </c>
      <c r="O44" s="31">
        <f t="shared" si="20"/>
        <v>4642.1350000000002</v>
      </c>
      <c r="P44" s="9">
        <f>N44+O44</f>
        <v>119184.83500000001</v>
      </c>
      <c r="Q44" s="31">
        <f t="shared" ref="Q44:S44" si="21">Q57</f>
        <v>0</v>
      </c>
      <c r="R44" s="9">
        <f>P44+Q44</f>
        <v>119184.83500000001</v>
      </c>
      <c r="S44" s="31">
        <f t="shared" si="21"/>
        <v>5319.4380000000001</v>
      </c>
      <c r="T44" s="9">
        <f>R44+S44</f>
        <v>124504.273</v>
      </c>
      <c r="U44" s="31">
        <f t="shared" ref="U44" si="22">U57</f>
        <v>0</v>
      </c>
      <c r="V44" s="9">
        <f>T44+U44</f>
        <v>124504.273</v>
      </c>
      <c r="W44" s="31">
        <f>W57+W65</f>
        <v>27627.403000000002</v>
      </c>
      <c r="X44" s="9">
        <f>V44+W44</f>
        <v>152131.67600000001</v>
      </c>
      <c r="Y44" s="31">
        <f>Y57+Y65</f>
        <v>-14914.86</v>
      </c>
      <c r="Z44" s="9">
        <f>X44+Y44</f>
        <v>137216.81599999999</v>
      </c>
      <c r="AA44" s="24">
        <f>AA57+AA65</f>
        <v>0</v>
      </c>
      <c r="AB44" s="9">
        <f>Z44+AA44</f>
        <v>137216.81599999999</v>
      </c>
    </row>
    <row r="45" spans="1:30" s="36" customFormat="1" ht="75.75" hidden="1" customHeight="1" x14ac:dyDescent="0.3">
      <c r="A45" s="32"/>
      <c r="B45" s="37" t="s">
        <v>31</v>
      </c>
      <c r="C45" s="34" t="s">
        <v>7</v>
      </c>
      <c r="D45" s="35">
        <v>3903.5</v>
      </c>
      <c r="E45" s="35">
        <v>70</v>
      </c>
      <c r="F45" s="35">
        <f>D45+E45</f>
        <v>3973.5</v>
      </c>
      <c r="G45" s="35"/>
      <c r="H45" s="35">
        <f>F45+G45</f>
        <v>3973.5</v>
      </c>
      <c r="I45" s="31">
        <v>-3973.5</v>
      </c>
      <c r="J45" s="35">
        <f>H45+I45</f>
        <v>0</v>
      </c>
      <c r="K45" s="31"/>
      <c r="L45" s="35">
        <f>J45+K45</f>
        <v>0</v>
      </c>
      <c r="M45" s="31"/>
      <c r="N45" s="35">
        <f>L45+M45</f>
        <v>0</v>
      </c>
      <c r="O45" s="31"/>
      <c r="P45" s="35">
        <f>N45+O45</f>
        <v>0</v>
      </c>
      <c r="Q45" s="31"/>
      <c r="R45" s="35">
        <f>P45+Q45</f>
        <v>0</v>
      </c>
      <c r="S45" s="31"/>
      <c r="T45" s="35">
        <f>R45+S45</f>
        <v>0</v>
      </c>
      <c r="U45" s="31"/>
      <c r="V45" s="35">
        <f>T45+U45</f>
        <v>0</v>
      </c>
      <c r="W45" s="31"/>
      <c r="X45" s="35">
        <f>V45+W45</f>
        <v>0</v>
      </c>
      <c r="Y45" s="31"/>
      <c r="Z45" s="35">
        <f>X45+Y45</f>
        <v>0</v>
      </c>
      <c r="AA45" s="24"/>
      <c r="AB45" s="35">
        <f>Z45+AA45</f>
        <v>0</v>
      </c>
      <c r="AC45" s="36" t="s">
        <v>32</v>
      </c>
      <c r="AD45" s="36">
        <v>0</v>
      </c>
    </row>
    <row r="46" spans="1:30" ht="74.25" customHeight="1" x14ac:dyDescent="0.3">
      <c r="A46" s="7" t="s">
        <v>117</v>
      </c>
      <c r="B46" s="11" t="s">
        <v>49</v>
      </c>
      <c r="C46" s="58" t="s">
        <v>7</v>
      </c>
      <c r="D46" s="9">
        <v>97944.5</v>
      </c>
      <c r="E46" s="9"/>
      <c r="F46" s="9">
        <f t="shared" ref="F46:F53" si="23">D46+E46</f>
        <v>97944.5</v>
      </c>
      <c r="G46" s="9"/>
      <c r="H46" s="9">
        <f t="shared" ref="H46:H53" si="24">F46+G46</f>
        <v>97944.5</v>
      </c>
      <c r="I46" s="31"/>
      <c r="J46" s="9">
        <f t="shared" ref="J46:J53" si="25">H46+I46</f>
        <v>97944.5</v>
      </c>
      <c r="K46" s="31">
        <f>-17000+2249.75</f>
        <v>-14750.25</v>
      </c>
      <c r="L46" s="9">
        <f t="shared" ref="L46:L53" si="26">J46+K46</f>
        <v>83194.25</v>
      </c>
      <c r="M46" s="31"/>
      <c r="N46" s="9">
        <f t="shared" ref="N46:N53" si="27">L46+M46</f>
        <v>83194.25</v>
      </c>
      <c r="O46" s="31"/>
      <c r="P46" s="9">
        <f t="shared" ref="P46:P53" si="28">N46+O46</f>
        <v>83194.25</v>
      </c>
      <c r="Q46" s="31"/>
      <c r="R46" s="9">
        <f t="shared" ref="R46:R53" si="29">P46+Q46</f>
        <v>83194.25</v>
      </c>
      <c r="S46" s="31"/>
      <c r="T46" s="9">
        <f t="shared" ref="T46:T53" si="30">R46+S46</f>
        <v>83194.25</v>
      </c>
      <c r="U46" s="31"/>
      <c r="V46" s="9">
        <f t="shared" ref="V46:V53" si="31">T46+U46</f>
        <v>83194.25</v>
      </c>
      <c r="W46" s="31">
        <f>-15175.238+57.263</f>
        <v>-15117.974999999999</v>
      </c>
      <c r="X46" s="9">
        <f t="shared" ref="X46:X53" si="32">V46+W46</f>
        <v>68076.274999999994</v>
      </c>
      <c r="Y46" s="31"/>
      <c r="Z46" s="9">
        <f t="shared" ref="Z46:Z53" si="33">X46+Y46</f>
        <v>68076.274999999994</v>
      </c>
      <c r="AA46" s="24"/>
      <c r="AB46" s="9">
        <f t="shared" ref="AB46:AB53" si="34">Z46+AA46</f>
        <v>68076.274999999994</v>
      </c>
      <c r="AC46" s="1" t="s">
        <v>36</v>
      </c>
    </row>
    <row r="47" spans="1:30" ht="75" x14ac:dyDescent="0.3">
      <c r="A47" s="7" t="s">
        <v>118</v>
      </c>
      <c r="B47" s="58" t="s">
        <v>34</v>
      </c>
      <c r="C47" s="58" t="s">
        <v>7</v>
      </c>
      <c r="D47" s="9">
        <v>115096.8</v>
      </c>
      <c r="E47" s="9"/>
      <c r="F47" s="9">
        <f t="shared" si="23"/>
        <v>115096.8</v>
      </c>
      <c r="G47" s="9"/>
      <c r="H47" s="9">
        <f t="shared" si="24"/>
        <v>115096.8</v>
      </c>
      <c r="I47" s="31"/>
      <c r="J47" s="9">
        <f t="shared" si="25"/>
        <v>115096.8</v>
      </c>
      <c r="K47" s="31">
        <v>-50000</v>
      </c>
      <c r="L47" s="9">
        <f t="shared" si="26"/>
        <v>65096.800000000003</v>
      </c>
      <c r="M47" s="31"/>
      <c r="N47" s="9">
        <f t="shared" si="27"/>
        <v>65096.800000000003</v>
      </c>
      <c r="O47" s="31"/>
      <c r="P47" s="9">
        <f t="shared" si="28"/>
        <v>65096.800000000003</v>
      </c>
      <c r="Q47" s="31"/>
      <c r="R47" s="9">
        <f t="shared" si="29"/>
        <v>65096.800000000003</v>
      </c>
      <c r="S47" s="31"/>
      <c r="T47" s="9">
        <f t="shared" si="30"/>
        <v>65096.800000000003</v>
      </c>
      <c r="U47" s="31"/>
      <c r="V47" s="9">
        <f t="shared" si="31"/>
        <v>65096.800000000003</v>
      </c>
      <c r="W47" s="31"/>
      <c r="X47" s="9">
        <f t="shared" si="32"/>
        <v>65096.800000000003</v>
      </c>
      <c r="Y47" s="31"/>
      <c r="Z47" s="9">
        <f t="shared" si="33"/>
        <v>65096.800000000003</v>
      </c>
      <c r="AA47" s="24"/>
      <c r="AB47" s="9">
        <f t="shared" si="34"/>
        <v>65096.800000000003</v>
      </c>
      <c r="AC47" s="1" t="s">
        <v>35</v>
      </c>
    </row>
    <row r="48" spans="1:30" s="48" customFormat="1" ht="75" x14ac:dyDescent="0.3">
      <c r="A48" s="46" t="s">
        <v>119</v>
      </c>
      <c r="B48" s="47" t="s">
        <v>54</v>
      </c>
      <c r="C48" s="47" t="s">
        <v>7</v>
      </c>
      <c r="D48" s="31">
        <v>107731.9</v>
      </c>
      <c r="E48" s="31"/>
      <c r="F48" s="31">
        <f t="shared" si="23"/>
        <v>107731.9</v>
      </c>
      <c r="G48" s="31"/>
      <c r="H48" s="31">
        <f t="shared" si="24"/>
        <v>107731.9</v>
      </c>
      <c r="I48" s="31"/>
      <c r="J48" s="31">
        <f t="shared" si="25"/>
        <v>107731.9</v>
      </c>
      <c r="K48" s="31">
        <f>-26991.5+30575.924</f>
        <v>3584.4239999999991</v>
      </c>
      <c r="L48" s="31">
        <f t="shared" si="26"/>
        <v>111316.32399999999</v>
      </c>
      <c r="M48" s="31"/>
      <c r="N48" s="31">
        <f t="shared" si="27"/>
        <v>111316.32399999999</v>
      </c>
      <c r="O48" s="31">
        <v>-6988.1</v>
      </c>
      <c r="P48" s="31">
        <f t="shared" si="28"/>
        <v>104328.22399999999</v>
      </c>
      <c r="Q48" s="31"/>
      <c r="R48" s="31">
        <f t="shared" si="29"/>
        <v>104328.22399999999</v>
      </c>
      <c r="S48" s="31"/>
      <c r="T48" s="31">
        <f t="shared" si="30"/>
        <v>104328.22399999999</v>
      </c>
      <c r="U48" s="31"/>
      <c r="V48" s="31">
        <f t="shared" si="31"/>
        <v>104328.22399999999</v>
      </c>
      <c r="W48" s="31">
        <v>2775.2950000000001</v>
      </c>
      <c r="X48" s="31">
        <f t="shared" si="32"/>
        <v>107103.51899999999</v>
      </c>
      <c r="Y48" s="31">
        <v>-14.438000000000001</v>
      </c>
      <c r="Z48" s="31">
        <f t="shared" si="33"/>
        <v>107089.08099999999</v>
      </c>
      <c r="AA48" s="24"/>
      <c r="AB48" s="31">
        <f t="shared" si="34"/>
        <v>107089.08099999999</v>
      </c>
      <c r="AC48" s="48" t="s">
        <v>37</v>
      </c>
    </row>
    <row r="49" spans="1:30" ht="56.25" x14ac:dyDescent="0.3">
      <c r="A49" s="7" t="s">
        <v>120</v>
      </c>
      <c r="B49" s="58" t="s">
        <v>54</v>
      </c>
      <c r="C49" s="58" t="s">
        <v>162</v>
      </c>
      <c r="D49" s="9"/>
      <c r="E49" s="9"/>
      <c r="F49" s="9"/>
      <c r="G49" s="9"/>
      <c r="H49" s="9"/>
      <c r="I49" s="31"/>
      <c r="J49" s="9"/>
      <c r="K49" s="31"/>
      <c r="L49" s="9"/>
      <c r="M49" s="31"/>
      <c r="N49" s="9"/>
      <c r="O49" s="31">
        <v>6988.1</v>
      </c>
      <c r="P49" s="9">
        <f t="shared" si="28"/>
        <v>6988.1</v>
      </c>
      <c r="Q49" s="31"/>
      <c r="R49" s="9">
        <f t="shared" si="29"/>
        <v>6988.1</v>
      </c>
      <c r="S49" s="31"/>
      <c r="T49" s="9">
        <f t="shared" si="30"/>
        <v>6988.1</v>
      </c>
      <c r="U49" s="31"/>
      <c r="V49" s="9">
        <f t="shared" si="31"/>
        <v>6988.1</v>
      </c>
      <c r="W49" s="31"/>
      <c r="X49" s="9">
        <f t="shared" si="32"/>
        <v>6988.1</v>
      </c>
      <c r="Y49" s="31"/>
      <c r="Z49" s="9">
        <f t="shared" si="33"/>
        <v>6988.1</v>
      </c>
      <c r="AA49" s="24"/>
      <c r="AB49" s="9">
        <f t="shared" si="34"/>
        <v>6988.1</v>
      </c>
      <c r="AC49" s="1" t="s">
        <v>37</v>
      </c>
    </row>
    <row r="50" spans="1:30" ht="75" x14ac:dyDescent="0.3">
      <c r="A50" s="7" t="s">
        <v>121</v>
      </c>
      <c r="B50" s="58" t="s">
        <v>38</v>
      </c>
      <c r="C50" s="58" t="s">
        <v>7</v>
      </c>
      <c r="D50" s="9">
        <v>6363.6</v>
      </c>
      <c r="E50" s="9">
        <v>-2847.5859999999998</v>
      </c>
      <c r="F50" s="9">
        <f t="shared" si="23"/>
        <v>3516.0140000000006</v>
      </c>
      <c r="G50" s="9"/>
      <c r="H50" s="9">
        <f t="shared" si="24"/>
        <v>3516.0140000000006</v>
      </c>
      <c r="I50" s="31"/>
      <c r="J50" s="9">
        <f t="shared" si="25"/>
        <v>3516.0140000000006</v>
      </c>
      <c r="K50" s="31"/>
      <c r="L50" s="9">
        <f t="shared" si="26"/>
        <v>3516.0140000000006</v>
      </c>
      <c r="M50" s="31"/>
      <c r="N50" s="9">
        <f t="shared" si="27"/>
        <v>3516.0140000000006</v>
      </c>
      <c r="O50" s="31"/>
      <c r="P50" s="9">
        <f t="shared" si="28"/>
        <v>3516.0140000000006</v>
      </c>
      <c r="Q50" s="31"/>
      <c r="R50" s="9">
        <f t="shared" si="29"/>
        <v>3516.0140000000006</v>
      </c>
      <c r="S50" s="31"/>
      <c r="T50" s="9">
        <f t="shared" si="30"/>
        <v>3516.0140000000006</v>
      </c>
      <c r="U50" s="31">
        <v>-2662.982</v>
      </c>
      <c r="V50" s="9">
        <f t="shared" si="31"/>
        <v>853.03200000000061</v>
      </c>
      <c r="W50" s="31"/>
      <c r="X50" s="9">
        <f t="shared" si="32"/>
        <v>853.03200000000061</v>
      </c>
      <c r="Y50" s="31"/>
      <c r="Z50" s="9">
        <f t="shared" si="33"/>
        <v>853.03200000000061</v>
      </c>
      <c r="AA50" s="24"/>
      <c r="AB50" s="9">
        <f t="shared" si="34"/>
        <v>853.03200000000061</v>
      </c>
      <c r="AC50" s="1" t="s">
        <v>39</v>
      </c>
    </row>
    <row r="51" spans="1:30" ht="75" x14ac:dyDescent="0.3">
      <c r="A51" s="7" t="s">
        <v>122</v>
      </c>
      <c r="B51" s="58" t="s">
        <v>40</v>
      </c>
      <c r="C51" s="58" t="s">
        <v>7</v>
      </c>
      <c r="D51" s="12">
        <v>5406.6</v>
      </c>
      <c r="E51" s="12"/>
      <c r="F51" s="9">
        <f t="shared" si="23"/>
        <v>5406.6</v>
      </c>
      <c r="G51" s="12"/>
      <c r="H51" s="9">
        <f t="shared" si="24"/>
        <v>5406.6</v>
      </c>
      <c r="I51" s="43"/>
      <c r="J51" s="9">
        <f t="shared" si="25"/>
        <v>5406.6</v>
      </c>
      <c r="K51" s="43">
        <f>7363.833+234.043</f>
        <v>7597.8759999999993</v>
      </c>
      <c r="L51" s="9">
        <f t="shared" si="26"/>
        <v>13004.475999999999</v>
      </c>
      <c r="M51" s="43"/>
      <c r="N51" s="9">
        <f t="shared" si="27"/>
        <v>13004.475999999999</v>
      </c>
      <c r="O51" s="43"/>
      <c r="P51" s="9">
        <f t="shared" si="28"/>
        <v>13004.475999999999</v>
      </c>
      <c r="Q51" s="43"/>
      <c r="R51" s="9">
        <f t="shared" si="29"/>
        <v>13004.475999999999</v>
      </c>
      <c r="S51" s="43"/>
      <c r="T51" s="9">
        <f t="shared" si="30"/>
        <v>13004.475999999999</v>
      </c>
      <c r="U51" s="43"/>
      <c r="V51" s="9">
        <f t="shared" si="31"/>
        <v>13004.475999999999</v>
      </c>
      <c r="W51" s="43">
        <v>-1962.5619999999999</v>
      </c>
      <c r="X51" s="9">
        <f t="shared" si="32"/>
        <v>11041.913999999999</v>
      </c>
      <c r="Y51" s="43"/>
      <c r="Z51" s="9">
        <f t="shared" si="33"/>
        <v>11041.913999999999</v>
      </c>
      <c r="AA51" s="25">
        <v>-17.219000000000001</v>
      </c>
      <c r="AB51" s="9">
        <f t="shared" si="34"/>
        <v>11024.695</v>
      </c>
      <c r="AC51" s="1" t="s">
        <v>41</v>
      </c>
    </row>
    <row r="52" spans="1:30" ht="75" x14ac:dyDescent="0.3">
      <c r="A52" s="7" t="s">
        <v>165</v>
      </c>
      <c r="B52" s="58" t="s">
        <v>73</v>
      </c>
      <c r="C52" s="58" t="s">
        <v>7</v>
      </c>
      <c r="D52" s="12">
        <v>1638.9</v>
      </c>
      <c r="E52" s="12"/>
      <c r="F52" s="9">
        <f t="shared" si="23"/>
        <v>1638.9</v>
      </c>
      <c r="G52" s="12"/>
      <c r="H52" s="9">
        <f t="shared" si="24"/>
        <v>1638.9</v>
      </c>
      <c r="I52" s="43"/>
      <c r="J52" s="9">
        <f t="shared" si="25"/>
        <v>1638.9</v>
      </c>
      <c r="K52" s="43"/>
      <c r="L52" s="9">
        <f t="shared" si="26"/>
        <v>1638.9</v>
      </c>
      <c r="M52" s="43"/>
      <c r="N52" s="9">
        <f t="shared" si="27"/>
        <v>1638.9</v>
      </c>
      <c r="O52" s="43"/>
      <c r="P52" s="9">
        <f t="shared" si="28"/>
        <v>1638.9</v>
      </c>
      <c r="Q52" s="43"/>
      <c r="R52" s="9">
        <f t="shared" si="29"/>
        <v>1638.9</v>
      </c>
      <c r="S52" s="43"/>
      <c r="T52" s="9">
        <f t="shared" si="30"/>
        <v>1638.9</v>
      </c>
      <c r="U52" s="43"/>
      <c r="V52" s="9">
        <f t="shared" si="31"/>
        <v>1638.9</v>
      </c>
      <c r="W52" s="43"/>
      <c r="X52" s="9">
        <f t="shared" si="32"/>
        <v>1638.9</v>
      </c>
      <c r="Y52" s="43"/>
      <c r="Z52" s="9">
        <f t="shared" si="33"/>
        <v>1638.9</v>
      </c>
      <c r="AA52" s="25"/>
      <c r="AB52" s="9">
        <f t="shared" si="34"/>
        <v>1638.9</v>
      </c>
      <c r="AC52" s="1" t="s">
        <v>74</v>
      </c>
    </row>
    <row r="53" spans="1:30" ht="75" x14ac:dyDescent="0.3">
      <c r="A53" s="7" t="s">
        <v>166</v>
      </c>
      <c r="B53" s="58" t="s">
        <v>75</v>
      </c>
      <c r="C53" s="58" t="s">
        <v>7</v>
      </c>
      <c r="D53" s="12">
        <v>2021.2</v>
      </c>
      <c r="E53" s="12"/>
      <c r="F53" s="9">
        <f t="shared" si="23"/>
        <v>2021.2</v>
      </c>
      <c r="G53" s="12"/>
      <c r="H53" s="9">
        <f t="shared" si="24"/>
        <v>2021.2</v>
      </c>
      <c r="I53" s="43"/>
      <c r="J53" s="9">
        <f t="shared" si="25"/>
        <v>2021.2</v>
      </c>
      <c r="K53" s="43"/>
      <c r="L53" s="9">
        <f t="shared" si="26"/>
        <v>2021.2</v>
      </c>
      <c r="M53" s="43"/>
      <c r="N53" s="9">
        <f t="shared" si="27"/>
        <v>2021.2</v>
      </c>
      <c r="O53" s="43"/>
      <c r="P53" s="9">
        <f t="shared" si="28"/>
        <v>2021.2</v>
      </c>
      <c r="Q53" s="43"/>
      <c r="R53" s="9">
        <f t="shared" si="29"/>
        <v>2021.2</v>
      </c>
      <c r="S53" s="43"/>
      <c r="T53" s="9">
        <f t="shared" si="30"/>
        <v>2021.2</v>
      </c>
      <c r="U53" s="43"/>
      <c r="V53" s="9">
        <f t="shared" si="31"/>
        <v>2021.2</v>
      </c>
      <c r="W53" s="43"/>
      <c r="X53" s="9">
        <f t="shared" si="32"/>
        <v>2021.2</v>
      </c>
      <c r="Y53" s="43"/>
      <c r="Z53" s="9">
        <f t="shared" si="33"/>
        <v>2021.2</v>
      </c>
      <c r="AA53" s="25"/>
      <c r="AB53" s="9">
        <f t="shared" si="34"/>
        <v>2021.2</v>
      </c>
      <c r="AC53" s="1" t="s">
        <v>76</v>
      </c>
    </row>
    <row r="54" spans="1:30" ht="75" x14ac:dyDescent="0.3">
      <c r="A54" s="7" t="s">
        <v>167</v>
      </c>
      <c r="B54" s="58" t="s">
        <v>130</v>
      </c>
      <c r="C54" s="58" t="s">
        <v>33</v>
      </c>
      <c r="D54" s="12">
        <f t="shared" ref="D54:J54" si="35">D56+D57</f>
        <v>1022254.4999999999</v>
      </c>
      <c r="E54" s="12">
        <f t="shared" si="35"/>
        <v>-67584.2</v>
      </c>
      <c r="F54" s="12">
        <f t="shared" si="35"/>
        <v>954670.29999999981</v>
      </c>
      <c r="G54" s="12">
        <f t="shared" si="35"/>
        <v>0</v>
      </c>
      <c r="H54" s="12">
        <f t="shared" si="35"/>
        <v>954670.29999999981</v>
      </c>
      <c r="I54" s="43">
        <f t="shared" si="35"/>
        <v>-19607.77</v>
      </c>
      <c r="J54" s="12">
        <f t="shared" si="35"/>
        <v>935062.5299999998</v>
      </c>
      <c r="K54" s="43">
        <f t="shared" ref="K54:L54" si="36">K56+K57</f>
        <v>-8902.9959999999992</v>
      </c>
      <c r="L54" s="12">
        <f t="shared" si="36"/>
        <v>926159.53399999975</v>
      </c>
      <c r="M54" s="43">
        <f t="shared" ref="M54:N54" si="37">M56+M57</f>
        <v>0</v>
      </c>
      <c r="N54" s="12">
        <f t="shared" si="37"/>
        <v>926159.53399999975</v>
      </c>
      <c r="O54" s="43">
        <f t="shared" ref="O54:R54" si="38">O56+O57+O58</f>
        <v>101097.349</v>
      </c>
      <c r="P54" s="43">
        <f t="shared" si="38"/>
        <v>1027256.8829999997</v>
      </c>
      <c r="Q54" s="43">
        <f t="shared" si="38"/>
        <v>0</v>
      </c>
      <c r="R54" s="43">
        <f t="shared" si="38"/>
        <v>1027256.8829999997</v>
      </c>
      <c r="S54" s="43">
        <f t="shared" ref="S54:X54" si="39">S56+S57+S58</f>
        <v>-4778.9520000000011</v>
      </c>
      <c r="T54" s="43">
        <f t="shared" si="39"/>
        <v>1022477.9309999997</v>
      </c>
      <c r="U54" s="43">
        <f t="shared" si="39"/>
        <v>-6780.6319999999996</v>
      </c>
      <c r="V54" s="12">
        <f t="shared" si="39"/>
        <v>1015697.2989999998</v>
      </c>
      <c r="W54" s="43">
        <f>W56+W57+W58</f>
        <v>-22414.737000000001</v>
      </c>
      <c r="X54" s="12">
        <f t="shared" si="39"/>
        <v>993282.5619999998</v>
      </c>
      <c r="Y54" s="43">
        <f>Y56+Y57+Y58</f>
        <v>-37968.468000000001</v>
      </c>
      <c r="Z54" s="12">
        <f t="shared" ref="Z54:AB54" si="40">Z56+Z57+Z58</f>
        <v>955314.09399999969</v>
      </c>
      <c r="AA54" s="25">
        <f>AA56+AA57+AA58</f>
        <v>-1234.9000000000001</v>
      </c>
      <c r="AB54" s="12">
        <f t="shared" si="40"/>
        <v>954079.19399999967</v>
      </c>
    </row>
    <row r="55" spans="1:30" x14ac:dyDescent="0.3">
      <c r="A55" s="7"/>
      <c r="B55" s="8" t="s">
        <v>2</v>
      </c>
      <c r="C55" s="58"/>
      <c r="D55" s="12"/>
      <c r="E55" s="12"/>
      <c r="F55" s="12"/>
      <c r="G55" s="12"/>
      <c r="H55" s="12"/>
      <c r="I55" s="43"/>
      <c r="J55" s="12"/>
      <c r="K55" s="43"/>
      <c r="L55" s="12"/>
      <c r="M55" s="43"/>
      <c r="N55" s="12"/>
      <c r="O55" s="43"/>
      <c r="P55" s="12"/>
      <c r="Q55" s="43"/>
      <c r="R55" s="12"/>
      <c r="S55" s="43"/>
      <c r="T55" s="12"/>
      <c r="U55" s="43"/>
      <c r="V55" s="12"/>
      <c r="W55" s="43"/>
      <c r="X55" s="12"/>
      <c r="Y55" s="43"/>
      <c r="Z55" s="12"/>
      <c r="AA55" s="25"/>
      <c r="AB55" s="12"/>
    </row>
    <row r="56" spans="1:30" hidden="1" x14ac:dyDescent="0.3">
      <c r="A56" s="7"/>
      <c r="B56" s="17" t="s">
        <v>3</v>
      </c>
      <c r="C56" s="17"/>
      <c r="D56" s="12">
        <f>230535.8+68937.5+565384.1</f>
        <v>864857.39999999991</v>
      </c>
      <c r="E56" s="12">
        <v>-24729.8</v>
      </c>
      <c r="F56" s="12">
        <f>D56+E56</f>
        <v>840127.59999999986</v>
      </c>
      <c r="G56" s="12"/>
      <c r="H56" s="12">
        <f>F56+G56</f>
        <v>840127.59999999986</v>
      </c>
      <c r="I56" s="43">
        <f>-19607.77</f>
        <v>-19607.77</v>
      </c>
      <c r="J56" s="12">
        <f t="shared" ref="J56:J67" si="41">H56+I56</f>
        <v>820519.82999999984</v>
      </c>
      <c r="K56" s="43">
        <f>-40792.668+7910.644+14147.238+9831.79</f>
        <v>-8902.9959999999992</v>
      </c>
      <c r="L56" s="12">
        <f t="shared" ref="L56:L73" si="42">J56+K56</f>
        <v>811616.8339999998</v>
      </c>
      <c r="M56" s="43"/>
      <c r="N56" s="12">
        <f t="shared" ref="N56:N73" si="43">L56+M56</f>
        <v>811616.8339999998</v>
      </c>
      <c r="O56" s="43">
        <f>-98.961-1454.192</f>
        <v>-1553.153</v>
      </c>
      <c r="P56" s="12">
        <f t="shared" ref="P56:P73" si="44">N56+O56</f>
        <v>810063.68099999975</v>
      </c>
      <c r="Q56" s="43"/>
      <c r="R56" s="12">
        <f t="shared" ref="R56:R73" si="45">P56+Q56</f>
        <v>810063.68099999975</v>
      </c>
      <c r="S56" s="43">
        <f>-7840.974-1201.281-110.908-53.013-892.214</f>
        <v>-10098.390000000001</v>
      </c>
      <c r="T56" s="12">
        <f t="shared" ref="T56:T61" si="46">R56+S56</f>
        <v>799965.29099999974</v>
      </c>
      <c r="U56" s="43">
        <f>-6780.632</f>
        <v>-6780.6319999999996</v>
      </c>
      <c r="V56" s="12">
        <f t="shared" ref="V56:V61" si="47">T56+U56</f>
        <v>793184.65899999975</v>
      </c>
      <c r="W56" s="43">
        <f>-100.71-12415.378-279.919</f>
        <v>-12796.007</v>
      </c>
      <c r="X56" s="12">
        <f t="shared" ref="X56:X65" si="48">V56+W56</f>
        <v>780388.65199999977</v>
      </c>
      <c r="Y56" s="43">
        <f>-19966.248-3087.36</f>
        <v>-23053.608</v>
      </c>
      <c r="Z56" s="12">
        <f t="shared" ref="Z56:Z62" si="49">X56+Y56</f>
        <v>757335.04399999976</v>
      </c>
      <c r="AA56" s="25">
        <v>-1234.9000000000001</v>
      </c>
      <c r="AB56" s="12">
        <f t="shared" ref="AB56:AB62" si="50">Z56+AA56</f>
        <v>756100.14399999974</v>
      </c>
      <c r="AC56" s="1" t="s">
        <v>135</v>
      </c>
      <c r="AD56" s="1">
        <v>0</v>
      </c>
    </row>
    <row r="57" spans="1:30" x14ac:dyDescent="0.3">
      <c r="A57" s="7"/>
      <c r="B57" s="58" t="s">
        <v>59</v>
      </c>
      <c r="C57" s="58"/>
      <c r="D57" s="12">
        <v>157397.1</v>
      </c>
      <c r="E57" s="12">
        <v>-42854.400000000001</v>
      </c>
      <c r="F57" s="12">
        <f>D57+E57</f>
        <v>114542.70000000001</v>
      </c>
      <c r="G57" s="12"/>
      <c r="H57" s="12">
        <f>F57+G57</f>
        <v>114542.70000000001</v>
      </c>
      <c r="I57" s="43"/>
      <c r="J57" s="12">
        <f t="shared" si="41"/>
        <v>114542.70000000001</v>
      </c>
      <c r="K57" s="43"/>
      <c r="L57" s="12">
        <f t="shared" si="42"/>
        <v>114542.70000000001</v>
      </c>
      <c r="M57" s="43"/>
      <c r="N57" s="12">
        <f t="shared" si="43"/>
        <v>114542.70000000001</v>
      </c>
      <c r="O57" s="43">
        <f>7851.161-3209.026</f>
        <v>4642.1350000000002</v>
      </c>
      <c r="P57" s="12">
        <f t="shared" si="44"/>
        <v>119184.83500000001</v>
      </c>
      <c r="Q57" s="43"/>
      <c r="R57" s="12">
        <f t="shared" si="45"/>
        <v>119184.83500000001</v>
      </c>
      <c r="S57" s="43">
        <v>5319.4380000000001</v>
      </c>
      <c r="T57" s="12">
        <f t="shared" si="46"/>
        <v>124504.273</v>
      </c>
      <c r="U57" s="43"/>
      <c r="V57" s="12">
        <f t="shared" si="47"/>
        <v>124504.273</v>
      </c>
      <c r="W57" s="43">
        <v>-9618.73</v>
      </c>
      <c r="X57" s="12">
        <f t="shared" si="48"/>
        <v>114885.54300000001</v>
      </c>
      <c r="Y57" s="43">
        <v>-14914.86</v>
      </c>
      <c r="Z57" s="12">
        <f t="shared" si="49"/>
        <v>99970.683000000005</v>
      </c>
      <c r="AA57" s="25"/>
      <c r="AB57" s="12">
        <f t="shared" si="50"/>
        <v>99970.683000000005</v>
      </c>
      <c r="AC57" s="1" t="s">
        <v>104</v>
      </c>
    </row>
    <row r="58" spans="1:30" x14ac:dyDescent="0.3">
      <c r="A58" s="7"/>
      <c r="B58" s="58" t="s">
        <v>198</v>
      </c>
      <c r="C58" s="58"/>
      <c r="D58" s="12"/>
      <c r="E58" s="12"/>
      <c r="F58" s="12"/>
      <c r="G58" s="12"/>
      <c r="H58" s="12"/>
      <c r="I58" s="43"/>
      <c r="J58" s="12"/>
      <c r="K58" s="43"/>
      <c r="L58" s="12"/>
      <c r="M58" s="43"/>
      <c r="N58" s="12"/>
      <c r="O58" s="43">
        <v>98008.366999999998</v>
      </c>
      <c r="P58" s="12">
        <f t="shared" si="44"/>
        <v>98008.366999999998</v>
      </c>
      <c r="Q58" s="43"/>
      <c r="R58" s="12">
        <f t="shared" si="45"/>
        <v>98008.366999999998</v>
      </c>
      <c r="S58" s="43"/>
      <c r="T58" s="12">
        <f t="shared" si="46"/>
        <v>98008.366999999998</v>
      </c>
      <c r="U58" s="43"/>
      <c r="V58" s="12">
        <f t="shared" si="47"/>
        <v>98008.366999999998</v>
      </c>
      <c r="W58" s="43"/>
      <c r="X58" s="12">
        <f t="shared" si="48"/>
        <v>98008.366999999998</v>
      </c>
      <c r="Y58" s="43"/>
      <c r="Z58" s="12">
        <f t="shared" si="49"/>
        <v>98008.366999999998</v>
      </c>
      <c r="AA58" s="25"/>
      <c r="AB58" s="12">
        <f t="shared" si="50"/>
        <v>98008.366999999998</v>
      </c>
      <c r="AC58" s="1" t="s">
        <v>199</v>
      </c>
    </row>
    <row r="59" spans="1:30" s="36" customFormat="1" ht="56.25" hidden="1" x14ac:dyDescent="0.3">
      <c r="A59" s="32" t="s">
        <v>166</v>
      </c>
      <c r="B59" s="34" t="s">
        <v>107</v>
      </c>
      <c r="C59" s="34" t="s">
        <v>33</v>
      </c>
      <c r="D59" s="72">
        <v>9780.6</v>
      </c>
      <c r="E59" s="72"/>
      <c r="F59" s="72">
        <f>D59+E59</f>
        <v>9780.6</v>
      </c>
      <c r="G59" s="72"/>
      <c r="H59" s="72">
        <f>F59+G59</f>
        <v>9780.6</v>
      </c>
      <c r="I59" s="72"/>
      <c r="J59" s="72">
        <f t="shared" si="41"/>
        <v>9780.6</v>
      </c>
      <c r="K59" s="72">
        <v>-4890.3</v>
      </c>
      <c r="L59" s="72">
        <f t="shared" si="42"/>
        <v>4890.3</v>
      </c>
      <c r="M59" s="72"/>
      <c r="N59" s="72">
        <f t="shared" si="43"/>
        <v>4890.3</v>
      </c>
      <c r="O59" s="72"/>
      <c r="P59" s="72">
        <f t="shared" si="44"/>
        <v>4890.3</v>
      </c>
      <c r="Q59" s="72"/>
      <c r="R59" s="72">
        <f t="shared" si="45"/>
        <v>4890.3</v>
      </c>
      <c r="S59" s="72"/>
      <c r="T59" s="72">
        <f t="shared" si="46"/>
        <v>4890.3</v>
      </c>
      <c r="U59" s="72">
        <v>-4890.3</v>
      </c>
      <c r="V59" s="72">
        <f t="shared" si="47"/>
        <v>0</v>
      </c>
      <c r="W59" s="72"/>
      <c r="X59" s="72">
        <f t="shared" si="48"/>
        <v>0</v>
      </c>
      <c r="Y59" s="43"/>
      <c r="Z59" s="72">
        <f t="shared" si="49"/>
        <v>0</v>
      </c>
      <c r="AA59" s="72"/>
      <c r="AB59" s="72">
        <f t="shared" si="50"/>
        <v>0</v>
      </c>
      <c r="AC59" s="36" t="s">
        <v>108</v>
      </c>
      <c r="AD59" s="36">
        <v>0</v>
      </c>
    </row>
    <row r="60" spans="1:30" ht="75" x14ac:dyDescent="0.3">
      <c r="A60" s="7" t="s">
        <v>168</v>
      </c>
      <c r="B60" s="11" t="s">
        <v>180</v>
      </c>
      <c r="C60" s="58" t="s">
        <v>7</v>
      </c>
      <c r="D60" s="12"/>
      <c r="E60" s="12"/>
      <c r="F60" s="12"/>
      <c r="G60" s="12"/>
      <c r="H60" s="12"/>
      <c r="I60" s="43"/>
      <c r="J60" s="12">
        <f t="shared" si="41"/>
        <v>0</v>
      </c>
      <c r="K60" s="43">
        <v>36739.468000000001</v>
      </c>
      <c r="L60" s="12">
        <f t="shared" si="42"/>
        <v>36739.468000000001</v>
      </c>
      <c r="M60" s="43"/>
      <c r="N60" s="12">
        <f t="shared" si="43"/>
        <v>36739.468000000001</v>
      </c>
      <c r="O60" s="43"/>
      <c r="P60" s="12">
        <f t="shared" si="44"/>
        <v>36739.468000000001</v>
      </c>
      <c r="Q60" s="43"/>
      <c r="R60" s="12">
        <f t="shared" si="45"/>
        <v>36739.468000000001</v>
      </c>
      <c r="S60" s="43"/>
      <c r="T60" s="12">
        <f t="shared" si="46"/>
        <v>36739.468000000001</v>
      </c>
      <c r="U60" s="43"/>
      <c r="V60" s="12">
        <f t="shared" si="47"/>
        <v>36739.468000000001</v>
      </c>
      <c r="W60" s="43"/>
      <c r="X60" s="12">
        <f t="shared" si="48"/>
        <v>36739.468000000001</v>
      </c>
      <c r="Y60" s="43"/>
      <c r="Z60" s="12">
        <f t="shared" si="49"/>
        <v>36739.468000000001</v>
      </c>
      <c r="AA60" s="25"/>
      <c r="AB60" s="12">
        <f t="shared" si="50"/>
        <v>36739.468000000001</v>
      </c>
      <c r="AC60" s="1" t="s">
        <v>181</v>
      </c>
    </row>
    <row r="61" spans="1:30" ht="56.25" x14ac:dyDescent="0.3">
      <c r="A61" s="7" t="s">
        <v>169</v>
      </c>
      <c r="B61" s="11" t="s">
        <v>208</v>
      </c>
      <c r="C61" s="58" t="s">
        <v>33</v>
      </c>
      <c r="D61" s="12"/>
      <c r="E61" s="12"/>
      <c r="F61" s="12"/>
      <c r="G61" s="12"/>
      <c r="H61" s="12"/>
      <c r="I61" s="43"/>
      <c r="J61" s="12"/>
      <c r="K61" s="43"/>
      <c r="L61" s="12"/>
      <c r="M61" s="43"/>
      <c r="N61" s="12"/>
      <c r="O61" s="43"/>
      <c r="P61" s="12"/>
      <c r="Q61" s="43"/>
      <c r="R61" s="12"/>
      <c r="S61" s="43">
        <v>1301.2809999999999</v>
      </c>
      <c r="T61" s="12">
        <f t="shared" si="46"/>
        <v>1301.2809999999999</v>
      </c>
      <c r="U61" s="43"/>
      <c r="V61" s="12">
        <f t="shared" si="47"/>
        <v>1301.2809999999999</v>
      </c>
      <c r="W61" s="43"/>
      <c r="X61" s="12">
        <f t="shared" si="48"/>
        <v>1301.2809999999999</v>
      </c>
      <c r="Y61" s="43"/>
      <c r="Z61" s="12">
        <f t="shared" si="49"/>
        <v>1301.2809999999999</v>
      </c>
      <c r="AA61" s="25"/>
      <c r="AB61" s="12">
        <f t="shared" si="50"/>
        <v>1301.2809999999999</v>
      </c>
      <c r="AC61" s="1" t="s">
        <v>211</v>
      </c>
    </row>
    <row r="62" spans="1:30" ht="56.25" x14ac:dyDescent="0.3">
      <c r="A62" s="7" t="s">
        <v>170</v>
      </c>
      <c r="B62" s="11" t="s">
        <v>217</v>
      </c>
      <c r="C62" s="64" t="s">
        <v>33</v>
      </c>
      <c r="D62" s="12"/>
      <c r="E62" s="12"/>
      <c r="F62" s="12"/>
      <c r="G62" s="12"/>
      <c r="H62" s="12"/>
      <c r="I62" s="43"/>
      <c r="J62" s="12"/>
      <c r="K62" s="43"/>
      <c r="L62" s="12"/>
      <c r="M62" s="43"/>
      <c r="N62" s="12"/>
      <c r="O62" s="43"/>
      <c r="P62" s="12"/>
      <c r="Q62" s="43"/>
      <c r="R62" s="12"/>
      <c r="S62" s="43"/>
      <c r="T62" s="12"/>
      <c r="U62" s="43"/>
      <c r="V62" s="12"/>
      <c r="W62" s="43">
        <f>W64+W65</f>
        <v>49661.510999999999</v>
      </c>
      <c r="X62" s="12">
        <f t="shared" si="48"/>
        <v>49661.510999999999</v>
      </c>
      <c r="Y62" s="43">
        <f>Y64+Y65</f>
        <v>0</v>
      </c>
      <c r="Z62" s="12">
        <f t="shared" si="49"/>
        <v>49661.510999999999</v>
      </c>
      <c r="AA62" s="25">
        <f>AA64+AA65</f>
        <v>0</v>
      </c>
      <c r="AB62" s="12">
        <f t="shared" si="50"/>
        <v>49661.510999999999</v>
      </c>
    </row>
    <row r="63" spans="1:30" x14ac:dyDescent="0.3">
      <c r="A63" s="7"/>
      <c r="B63" s="8" t="s">
        <v>2</v>
      </c>
      <c r="C63" s="64"/>
      <c r="D63" s="12"/>
      <c r="E63" s="12"/>
      <c r="F63" s="12"/>
      <c r="G63" s="12"/>
      <c r="H63" s="12"/>
      <c r="I63" s="43"/>
      <c r="J63" s="12"/>
      <c r="K63" s="43"/>
      <c r="L63" s="12"/>
      <c r="M63" s="43"/>
      <c r="N63" s="12"/>
      <c r="O63" s="43"/>
      <c r="P63" s="12"/>
      <c r="Q63" s="43"/>
      <c r="R63" s="12"/>
      <c r="S63" s="43"/>
      <c r="T63" s="12"/>
      <c r="U63" s="43"/>
      <c r="V63" s="12"/>
      <c r="W63" s="43"/>
      <c r="X63" s="12"/>
      <c r="Y63" s="43"/>
      <c r="Z63" s="12"/>
      <c r="AA63" s="25"/>
      <c r="AB63" s="12"/>
    </row>
    <row r="64" spans="1:30" hidden="1" x14ac:dyDescent="0.3">
      <c r="A64" s="7"/>
      <c r="B64" s="64" t="s">
        <v>3</v>
      </c>
      <c r="C64" s="64"/>
      <c r="D64" s="12"/>
      <c r="E64" s="12"/>
      <c r="F64" s="12"/>
      <c r="G64" s="12"/>
      <c r="H64" s="12"/>
      <c r="I64" s="43"/>
      <c r="J64" s="12"/>
      <c r="K64" s="43"/>
      <c r="L64" s="12"/>
      <c r="M64" s="43"/>
      <c r="N64" s="12"/>
      <c r="O64" s="43"/>
      <c r="P64" s="12"/>
      <c r="Q64" s="43"/>
      <c r="R64" s="12"/>
      <c r="S64" s="43"/>
      <c r="T64" s="12"/>
      <c r="U64" s="43"/>
      <c r="V64" s="12"/>
      <c r="W64" s="43">
        <v>12415.378000000001</v>
      </c>
      <c r="X64" s="12">
        <f t="shared" si="48"/>
        <v>12415.378000000001</v>
      </c>
      <c r="Y64" s="43"/>
      <c r="Z64" s="12">
        <f t="shared" ref="Z64:Z65" si="51">X64+Y64</f>
        <v>12415.378000000001</v>
      </c>
      <c r="AA64" s="25"/>
      <c r="AB64" s="12">
        <f t="shared" ref="AB64:AB65" si="52">Z64+AA64</f>
        <v>12415.378000000001</v>
      </c>
      <c r="AC64" s="1" t="s">
        <v>219</v>
      </c>
      <c r="AD64" s="1">
        <v>0</v>
      </c>
    </row>
    <row r="65" spans="1:30" x14ac:dyDescent="0.3">
      <c r="A65" s="7"/>
      <c r="B65" s="64" t="s">
        <v>59</v>
      </c>
      <c r="C65" s="64"/>
      <c r="D65" s="12"/>
      <c r="E65" s="12"/>
      <c r="F65" s="12"/>
      <c r="G65" s="12"/>
      <c r="H65" s="12"/>
      <c r="I65" s="43"/>
      <c r="J65" s="12"/>
      <c r="K65" s="43"/>
      <c r="L65" s="12"/>
      <c r="M65" s="43"/>
      <c r="N65" s="12"/>
      <c r="O65" s="43"/>
      <c r="P65" s="12"/>
      <c r="Q65" s="43"/>
      <c r="R65" s="12"/>
      <c r="S65" s="43"/>
      <c r="T65" s="12"/>
      <c r="U65" s="43"/>
      <c r="V65" s="12"/>
      <c r="W65" s="43">
        <v>37246.133000000002</v>
      </c>
      <c r="X65" s="12">
        <f t="shared" si="48"/>
        <v>37246.133000000002</v>
      </c>
      <c r="Y65" s="43"/>
      <c r="Z65" s="12">
        <f t="shared" si="51"/>
        <v>37246.133000000002</v>
      </c>
      <c r="AA65" s="25"/>
      <c r="AB65" s="12">
        <f t="shared" si="52"/>
        <v>37246.133000000002</v>
      </c>
      <c r="AC65" s="1" t="s">
        <v>218</v>
      </c>
    </row>
    <row r="66" spans="1:30" s="48" customFormat="1" x14ac:dyDescent="0.3">
      <c r="A66" s="46"/>
      <c r="B66" s="47" t="s">
        <v>13</v>
      </c>
      <c r="C66" s="47"/>
      <c r="D66" s="31">
        <f>D67+D68+D69+D70+D71+D72</f>
        <v>166862.29999999999</v>
      </c>
      <c r="E66" s="31">
        <f>E67+E68+E69+E70+E71+E72</f>
        <v>853.52800000000002</v>
      </c>
      <c r="F66" s="31">
        <f>D66+E66</f>
        <v>167715.82799999998</v>
      </c>
      <c r="G66" s="31">
        <f>G67+G68+G69+G70+G71+G72</f>
        <v>0</v>
      </c>
      <c r="H66" s="31">
        <f>F66+G66</f>
        <v>167715.82799999998</v>
      </c>
      <c r="I66" s="31">
        <f>I67+I68+I69+I70+I71+I72+I73</f>
        <v>0</v>
      </c>
      <c r="J66" s="31">
        <f t="shared" si="41"/>
        <v>167715.82799999998</v>
      </c>
      <c r="K66" s="31">
        <f>K67+K68+K69+K70+K71+K72+K73</f>
        <v>6792.6309999999994</v>
      </c>
      <c r="L66" s="31">
        <f t="shared" si="42"/>
        <v>174508.45899999997</v>
      </c>
      <c r="M66" s="31">
        <f>M67+M68+M69+M70+M71+M72+M73</f>
        <v>0</v>
      </c>
      <c r="N66" s="31">
        <f t="shared" si="43"/>
        <v>174508.45899999997</v>
      </c>
      <c r="O66" s="31">
        <f>O67+O68+O69+O70+O71+O72+O73</f>
        <v>-1191.288</v>
      </c>
      <c r="P66" s="31">
        <f t="shared" si="44"/>
        <v>173317.17099999997</v>
      </c>
      <c r="Q66" s="31">
        <f>Q67+Q68+Q69+Q70+Q71+Q72+Q73+Q74</f>
        <v>200</v>
      </c>
      <c r="R66" s="31">
        <f>P66+Q66</f>
        <v>173517.17099999997</v>
      </c>
      <c r="S66" s="31">
        <f>S67+S68+S69+S70+S71+S72+S73+S74</f>
        <v>-3777.6839999999997</v>
      </c>
      <c r="T66" s="31">
        <f>R66+S66</f>
        <v>169739.48699999996</v>
      </c>
      <c r="U66" s="31">
        <f>U67+U68+U69+U70+U71+U72+U73+U74</f>
        <v>-220.82299999999998</v>
      </c>
      <c r="V66" s="31">
        <f>T66+U66</f>
        <v>169518.66399999996</v>
      </c>
      <c r="W66" s="31">
        <f>W67+W68+W69+W70+W71+W72+W73+W74</f>
        <v>0</v>
      </c>
      <c r="X66" s="31">
        <f>V66+W66</f>
        <v>169518.66399999996</v>
      </c>
      <c r="Y66" s="31">
        <f>Y67+Y68+Y69+Y70+Y71+Y72+Y73+Y74</f>
        <v>0</v>
      </c>
      <c r="Z66" s="31">
        <f>X66+Y66</f>
        <v>169518.66399999996</v>
      </c>
      <c r="AA66" s="31">
        <f>AA67+AA68+AA69+AA70+AA71+AA72+AA73+AA74</f>
        <v>-2571.864</v>
      </c>
      <c r="AB66" s="31">
        <f>Z66+AA66</f>
        <v>166946.79999999996</v>
      </c>
    </row>
    <row r="67" spans="1:30" ht="75" x14ac:dyDescent="0.3">
      <c r="A67" s="7" t="s">
        <v>171</v>
      </c>
      <c r="B67" s="11" t="s">
        <v>24</v>
      </c>
      <c r="C67" s="11" t="s">
        <v>15</v>
      </c>
      <c r="D67" s="12">
        <v>56816.9</v>
      </c>
      <c r="E67" s="12"/>
      <c r="F67" s="12">
        <f>D67+E67</f>
        <v>56816.9</v>
      </c>
      <c r="G67" s="12"/>
      <c r="H67" s="12">
        <f>F67+G67</f>
        <v>56816.9</v>
      </c>
      <c r="I67" s="43"/>
      <c r="J67" s="12">
        <f t="shared" si="41"/>
        <v>56816.9</v>
      </c>
      <c r="K67" s="43">
        <f>-12888.473+2045.108+1505.6</f>
        <v>-9337.7649999999994</v>
      </c>
      <c r="L67" s="12">
        <f t="shared" si="42"/>
        <v>47479.135000000002</v>
      </c>
      <c r="M67" s="43"/>
      <c r="N67" s="12">
        <f t="shared" si="43"/>
        <v>47479.135000000002</v>
      </c>
      <c r="O67" s="43">
        <f>-86.806-1454.201</f>
        <v>-1541.0070000000001</v>
      </c>
      <c r="P67" s="12">
        <f t="shared" si="44"/>
        <v>45938.128000000004</v>
      </c>
      <c r="Q67" s="43"/>
      <c r="R67" s="12">
        <f t="shared" si="45"/>
        <v>45938.128000000004</v>
      </c>
      <c r="S67" s="43">
        <f>-709.972+97.954-3567.461</f>
        <v>-4179.4789999999994</v>
      </c>
      <c r="T67" s="12">
        <f>R67+S67</f>
        <v>41758.649000000005</v>
      </c>
      <c r="U67" s="43">
        <v>-30.652000000000001</v>
      </c>
      <c r="V67" s="12">
        <f>T67+U67</f>
        <v>41727.997000000003</v>
      </c>
      <c r="W67" s="43"/>
      <c r="X67" s="12">
        <f>V67+W67</f>
        <v>41727.997000000003</v>
      </c>
      <c r="Y67" s="43"/>
      <c r="Z67" s="12">
        <f>X67+Y67</f>
        <v>41727.997000000003</v>
      </c>
      <c r="AA67" s="25">
        <v>-568.28099999999995</v>
      </c>
      <c r="AB67" s="12">
        <f>Z67+AA67</f>
        <v>41159.716</v>
      </c>
      <c r="AC67" s="1" t="s">
        <v>25</v>
      </c>
    </row>
    <row r="68" spans="1:30" ht="75" x14ac:dyDescent="0.3">
      <c r="A68" s="7" t="s">
        <v>172</v>
      </c>
      <c r="B68" s="11" t="s">
        <v>100</v>
      </c>
      <c r="C68" s="11" t="s">
        <v>15</v>
      </c>
      <c r="D68" s="13">
        <v>105045.4</v>
      </c>
      <c r="E68" s="13"/>
      <c r="F68" s="12">
        <f t="shared" ref="F68:F72" si="53">D68+E68</f>
        <v>105045.4</v>
      </c>
      <c r="G68" s="13"/>
      <c r="H68" s="12">
        <f t="shared" ref="H68:H72" si="54">F68+G68</f>
        <v>105045.4</v>
      </c>
      <c r="I68" s="44"/>
      <c r="J68" s="12">
        <f t="shared" ref="J68:J73" si="55">H68+I68</f>
        <v>105045.4</v>
      </c>
      <c r="K68" s="44"/>
      <c r="L68" s="12">
        <f t="shared" si="42"/>
        <v>105045.4</v>
      </c>
      <c r="M68" s="44"/>
      <c r="N68" s="12">
        <f t="shared" si="43"/>
        <v>105045.4</v>
      </c>
      <c r="O68" s="44">
        <f>41.805-34.982</f>
        <v>6.8230000000000004</v>
      </c>
      <c r="P68" s="12">
        <f t="shared" si="44"/>
        <v>105052.223</v>
      </c>
      <c r="Q68" s="44"/>
      <c r="R68" s="12">
        <f t="shared" si="45"/>
        <v>105052.223</v>
      </c>
      <c r="S68" s="44">
        <v>302.62400000000002</v>
      </c>
      <c r="T68" s="12">
        <f t="shared" ref="T68:T73" si="56">R68+S68</f>
        <v>105354.84699999999</v>
      </c>
      <c r="U68" s="44"/>
      <c r="V68" s="12">
        <f t="shared" ref="V68:V73" si="57">T68+U68</f>
        <v>105354.84699999999</v>
      </c>
      <c r="W68" s="44"/>
      <c r="X68" s="12">
        <f t="shared" ref="X68:X73" si="58">V68+W68</f>
        <v>105354.84699999999</v>
      </c>
      <c r="Y68" s="44"/>
      <c r="Z68" s="12">
        <f t="shared" ref="Z68:Z73" si="59">X68+Y68</f>
        <v>105354.84699999999</v>
      </c>
      <c r="AA68" s="26">
        <v>-24.536000000000001</v>
      </c>
      <c r="AB68" s="12">
        <f t="shared" ref="AB68:AB73" si="60">Z68+AA68</f>
        <v>105330.311</v>
      </c>
      <c r="AC68" s="1" t="s">
        <v>30</v>
      </c>
    </row>
    <row r="69" spans="1:30" ht="60" customHeight="1" x14ac:dyDescent="0.3">
      <c r="A69" s="7" t="s">
        <v>56</v>
      </c>
      <c r="B69" s="11" t="s">
        <v>45</v>
      </c>
      <c r="C69" s="11" t="s">
        <v>15</v>
      </c>
      <c r="D69" s="13">
        <v>3517</v>
      </c>
      <c r="E69" s="13"/>
      <c r="F69" s="12">
        <f t="shared" si="53"/>
        <v>3517</v>
      </c>
      <c r="G69" s="13"/>
      <c r="H69" s="12">
        <f t="shared" si="54"/>
        <v>3517</v>
      </c>
      <c r="I69" s="44"/>
      <c r="J69" s="12">
        <f t="shared" si="55"/>
        <v>3517</v>
      </c>
      <c r="K69" s="44">
        <v>4.8860000000000001</v>
      </c>
      <c r="L69" s="12">
        <f t="shared" si="42"/>
        <v>3521.886</v>
      </c>
      <c r="M69" s="44"/>
      <c r="N69" s="12">
        <f t="shared" si="43"/>
        <v>3521.886</v>
      </c>
      <c r="O69" s="44">
        <v>-35.384</v>
      </c>
      <c r="P69" s="12">
        <f t="shared" si="44"/>
        <v>3486.502</v>
      </c>
      <c r="Q69" s="44"/>
      <c r="R69" s="12">
        <f t="shared" si="45"/>
        <v>3486.502</v>
      </c>
      <c r="S69" s="44"/>
      <c r="T69" s="12">
        <f t="shared" si="56"/>
        <v>3486.502</v>
      </c>
      <c r="U69" s="44"/>
      <c r="V69" s="12">
        <f t="shared" si="57"/>
        <v>3486.502</v>
      </c>
      <c r="W69" s="44"/>
      <c r="X69" s="12">
        <f t="shared" si="58"/>
        <v>3486.502</v>
      </c>
      <c r="Y69" s="44"/>
      <c r="Z69" s="12">
        <f t="shared" si="59"/>
        <v>3486.502</v>
      </c>
      <c r="AA69" s="26"/>
      <c r="AB69" s="12">
        <f t="shared" si="60"/>
        <v>3486.502</v>
      </c>
      <c r="AC69" s="1" t="s">
        <v>44</v>
      </c>
    </row>
    <row r="70" spans="1:30" ht="60" customHeight="1" x14ac:dyDescent="0.3">
      <c r="A70" s="7" t="s">
        <v>63</v>
      </c>
      <c r="B70" s="11" t="s">
        <v>101</v>
      </c>
      <c r="C70" s="11" t="s">
        <v>15</v>
      </c>
      <c r="D70" s="13">
        <v>1483</v>
      </c>
      <c r="E70" s="13"/>
      <c r="F70" s="12">
        <f t="shared" si="53"/>
        <v>1483</v>
      </c>
      <c r="G70" s="13"/>
      <c r="H70" s="12">
        <f t="shared" si="54"/>
        <v>1483</v>
      </c>
      <c r="I70" s="44"/>
      <c r="J70" s="12">
        <f t="shared" si="55"/>
        <v>1483</v>
      </c>
      <c r="K70" s="44">
        <v>-458.43200000000002</v>
      </c>
      <c r="L70" s="12">
        <f t="shared" si="42"/>
        <v>1024.568</v>
      </c>
      <c r="M70" s="44"/>
      <c r="N70" s="12">
        <f t="shared" si="43"/>
        <v>1024.568</v>
      </c>
      <c r="O70" s="44">
        <v>378.28</v>
      </c>
      <c r="P70" s="12">
        <f t="shared" si="44"/>
        <v>1402.848</v>
      </c>
      <c r="Q70" s="44"/>
      <c r="R70" s="12">
        <f t="shared" si="45"/>
        <v>1402.848</v>
      </c>
      <c r="S70" s="44"/>
      <c r="T70" s="12">
        <f t="shared" si="56"/>
        <v>1402.848</v>
      </c>
      <c r="U70" s="44">
        <v>-190.17099999999999</v>
      </c>
      <c r="V70" s="12">
        <f t="shared" si="57"/>
        <v>1212.6769999999999</v>
      </c>
      <c r="W70" s="44"/>
      <c r="X70" s="12">
        <f t="shared" si="58"/>
        <v>1212.6769999999999</v>
      </c>
      <c r="Y70" s="44"/>
      <c r="Z70" s="12">
        <f t="shared" si="59"/>
        <v>1212.6769999999999</v>
      </c>
      <c r="AA70" s="26">
        <v>-932.75099999999998</v>
      </c>
      <c r="AB70" s="12">
        <f t="shared" si="60"/>
        <v>279.92599999999993</v>
      </c>
      <c r="AC70" s="1" t="s">
        <v>102</v>
      </c>
    </row>
    <row r="71" spans="1:30" ht="60" customHeight="1" x14ac:dyDescent="0.3">
      <c r="A71" s="7" t="s">
        <v>64</v>
      </c>
      <c r="B71" s="11" t="s">
        <v>160</v>
      </c>
      <c r="C71" s="11" t="s">
        <v>15</v>
      </c>
      <c r="D71" s="13">
        <v>0</v>
      </c>
      <c r="E71" s="13">
        <v>42.7</v>
      </c>
      <c r="F71" s="12">
        <f t="shared" si="53"/>
        <v>42.7</v>
      </c>
      <c r="G71" s="13"/>
      <c r="H71" s="12">
        <f t="shared" si="54"/>
        <v>42.7</v>
      </c>
      <c r="I71" s="44"/>
      <c r="J71" s="12">
        <f t="shared" si="55"/>
        <v>42.7</v>
      </c>
      <c r="K71" s="44"/>
      <c r="L71" s="12">
        <f t="shared" si="42"/>
        <v>42.7</v>
      </c>
      <c r="M71" s="44"/>
      <c r="N71" s="12">
        <f t="shared" si="43"/>
        <v>42.7</v>
      </c>
      <c r="O71" s="44"/>
      <c r="P71" s="12">
        <f t="shared" si="44"/>
        <v>42.7</v>
      </c>
      <c r="Q71" s="44"/>
      <c r="R71" s="12">
        <f t="shared" si="45"/>
        <v>42.7</v>
      </c>
      <c r="S71" s="44">
        <v>99.171000000000006</v>
      </c>
      <c r="T71" s="12">
        <f t="shared" si="56"/>
        <v>141.87100000000001</v>
      </c>
      <c r="U71" s="44"/>
      <c r="V71" s="12">
        <f t="shared" si="57"/>
        <v>141.87100000000001</v>
      </c>
      <c r="W71" s="44"/>
      <c r="X71" s="12">
        <f t="shared" si="58"/>
        <v>141.87100000000001</v>
      </c>
      <c r="Y71" s="44"/>
      <c r="Z71" s="12">
        <f t="shared" si="59"/>
        <v>141.87100000000001</v>
      </c>
      <c r="AA71" s="26">
        <v>-99.171000000000006</v>
      </c>
      <c r="AB71" s="12">
        <f t="shared" si="60"/>
        <v>42.7</v>
      </c>
      <c r="AC71" s="1" t="s">
        <v>147</v>
      </c>
    </row>
    <row r="72" spans="1:30" ht="60" customHeight="1" x14ac:dyDescent="0.3">
      <c r="A72" s="7" t="s">
        <v>123</v>
      </c>
      <c r="B72" s="11" t="s">
        <v>148</v>
      </c>
      <c r="C72" s="11" t="s">
        <v>15</v>
      </c>
      <c r="D72" s="13">
        <v>0</v>
      </c>
      <c r="E72" s="13">
        <v>810.82799999999997</v>
      </c>
      <c r="F72" s="12">
        <f t="shared" si="53"/>
        <v>810.82799999999997</v>
      </c>
      <c r="G72" s="13"/>
      <c r="H72" s="12">
        <f t="shared" si="54"/>
        <v>810.82799999999997</v>
      </c>
      <c r="I72" s="44"/>
      <c r="J72" s="12">
        <f t="shared" si="55"/>
        <v>810.82799999999997</v>
      </c>
      <c r="K72" s="44">
        <f>-418.643+3916</f>
        <v>3497.357</v>
      </c>
      <c r="L72" s="12">
        <f t="shared" si="42"/>
        <v>4308.1849999999995</v>
      </c>
      <c r="M72" s="44"/>
      <c r="N72" s="12">
        <f t="shared" si="43"/>
        <v>4308.1849999999995</v>
      </c>
      <c r="O72" s="44"/>
      <c r="P72" s="12">
        <f t="shared" si="44"/>
        <v>4308.1849999999995</v>
      </c>
      <c r="Q72" s="44"/>
      <c r="R72" s="12">
        <f t="shared" si="45"/>
        <v>4308.1849999999995</v>
      </c>
      <c r="S72" s="44"/>
      <c r="T72" s="12">
        <f t="shared" si="56"/>
        <v>4308.1849999999995</v>
      </c>
      <c r="U72" s="44"/>
      <c r="V72" s="12">
        <f t="shared" si="57"/>
        <v>4308.1849999999995</v>
      </c>
      <c r="W72" s="44"/>
      <c r="X72" s="12">
        <f t="shared" si="58"/>
        <v>4308.1849999999995</v>
      </c>
      <c r="Y72" s="44"/>
      <c r="Z72" s="12">
        <f t="shared" si="59"/>
        <v>4308.1849999999995</v>
      </c>
      <c r="AA72" s="26"/>
      <c r="AB72" s="12">
        <f t="shared" si="60"/>
        <v>4308.1849999999995</v>
      </c>
      <c r="AC72" s="1" t="s">
        <v>149</v>
      </c>
    </row>
    <row r="73" spans="1:30" ht="60" customHeight="1" x14ac:dyDescent="0.3">
      <c r="A73" s="7" t="s">
        <v>124</v>
      </c>
      <c r="B73" s="11" t="s">
        <v>174</v>
      </c>
      <c r="C73" s="11" t="s">
        <v>15</v>
      </c>
      <c r="D73" s="13"/>
      <c r="E73" s="13"/>
      <c r="F73" s="12"/>
      <c r="G73" s="13"/>
      <c r="H73" s="12"/>
      <c r="I73" s="44"/>
      <c r="J73" s="12">
        <f t="shared" si="55"/>
        <v>0</v>
      </c>
      <c r="K73" s="44">
        <v>13086.584999999999</v>
      </c>
      <c r="L73" s="12">
        <f t="shared" si="42"/>
        <v>13086.584999999999</v>
      </c>
      <c r="M73" s="44"/>
      <c r="N73" s="12">
        <f t="shared" si="43"/>
        <v>13086.584999999999</v>
      </c>
      <c r="O73" s="44"/>
      <c r="P73" s="12">
        <f t="shared" si="44"/>
        <v>13086.584999999999</v>
      </c>
      <c r="Q73" s="44"/>
      <c r="R73" s="12">
        <f t="shared" si="45"/>
        <v>13086.584999999999</v>
      </c>
      <c r="S73" s="44"/>
      <c r="T73" s="12">
        <f t="shared" si="56"/>
        <v>13086.584999999999</v>
      </c>
      <c r="U73" s="44"/>
      <c r="V73" s="12">
        <f t="shared" si="57"/>
        <v>13086.584999999999</v>
      </c>
      <c r="W73" s="44"/>
      <c r="X73" s="12">
        <f t="shared" si="58"/>
        <v>13086.584999999999</v>
      </c>
      <c r="Y73" s="44"/>
      <c r="Z73" s="12">
        <f t="shared" si="59"/>
        <v>13086.584999999999</v>
      </c>
      <c r="AA73" s="26">
        <v>-946.33100000000002</v>
      </c>
      <c r="AB73" s="12">
        <f t="shared" si="60"/>
        <v>12140.253999999999</v>
      </c>
      <c r="AC73" s="1" t="s">
        <v>175</v>
      </c>
    </row>
    <row r="74" spans="1:30" ht="60" customHeight="1" x14ac:dyDescent="0.3">
      <c r="A74" s="7" t="s">
        <v>125</v>
      </c>
      <c r="B74" s="11" t="s">
        <v>207</v>
      </c>
      <c r="C74" s="11" t="s">
        <v>15</v>
      </c>
      <c r="D74" s="13"/>
      <c r="E74" s="13"/>
      <c r="F74" s="12"/>
      <c r="G74" s="13"/>
      <c r="H74" s="12"/>
      <c r="I74" s="44"/>
      <c r="J74" s="12"/>
      <c r="K74" s="44"/>
      <c r="L74" s="12"/>
      <c r="M74" s="44"/>
      <c r="N74" s="12"/>
      <c r="O74" s="44"/>
      <c r="P74" s="12"/>
      <c r="Q74" s="44">
        <v>200</v>
      </c>
      <c r="R74" s="12">
        <f>P74+Q74</f>
        <v>200</v>
      </c>
      <c r="S74" s="44"/>
      <c r="T74" s="12">
        <f>R74+S74</f>
        <v>200</v>
      </c>
      <c r="U74" s="44"/>
      <c r="V74" s="12">
        <f>T74+U74</f>
        <v>200</v>
      </c>
      <c r="W74" s="44"/>
      <c r="X74" s="12">
        <f>V74+W74</f>
        <v>200</v>
      </c>
      <c r="Y74" s="44"/>
      <c r="Z74" s="12">
        <f>X74+Y74</f>
        <v>200</v>
      </c>
      <c r="AA74" s="26">
        <v>-0.79400000000000004</v>
      </c>
      <c r="AB74" s="12">
        <f>Z74+AA74</f>
        <v>199.20599999999999</v>
      </c>
      <c r="AC74" s="1" t="s">
        <v>209</v>
      </c>
    </row>
    <row r="75" spans="1:30" s="48" customFormat="1" x14ac:dyDescent="0.3">
      <c r="A75" s="46"/>
      <c r="B75" s="47" t="s">
        <v>16</v>
      </c>
      <c r="C75" s="47"/>
      <c r="D75" s="71">
        <f>D79+D80+D81+D82+D83+D84+D88+D92+D96+D100+D104+D105+D106</f>
        <v>479771.7</v>
      </c>
      <c r="E75" s="71">
        <f>E79+E80+E81+E82+E83+E84+E88+E92+E96+E100+E104+E105+E106</f>
        <v>2273.3000000000002</v>
      </c>
      <c r="F75" s="71">
        <f>D75+E75</f>
        <v>482045</v>
      </c>
      <c r="G75" s="71">
        <f>G79+G80+G81+G82+G83+G84+G88+G92+G96+G100+G104+G105+G106</f>
        <v>0</v>
      </c>
      <c r="H75" s="71">
        <f>F75+G75</f>
        <v>482045</v>
      </c>
      <c r="I75" s="71">
        <f>I79+I80+I81+I82+I83+I84+I88+I92+I96+I100+I104+I105+I106+I107+I108</f>
        <v>0</v>
      </c>
      <c r="J75" s="71">
        <f>H75+I75</f>
        <v>482045</v>
      </c>
      <c r="K75" s="71">
        <f>K79+K80+K81+K82+K83+K84+K88+K92+K96+K100+K104+K105+K106+K107+K108+K109+K110</f>
        <v>7146.5560000000005</v>
      </c>
      <c r="L75" s="71">
        <f>J75+K75</f>
        <v>489191.55599999998</v>
      </c>
      <c r="M75" s="71">
        <f>M79+M80+M81+M82+M83+M84+M88+M92+M96+M100+M104+M105+M106+M107+M108+M109+M110</f>
        <v>-486.68299999999999</v>
      </c>
      <c r="N75" s="71">
        <f>L75+M75</f>
        <v>488704.87299999996</v>
      </c>
      <c r="O75" s="71">
        <f>O79+O80+O81+O82+O83+O84+O88+O92+O96+O100+O104+O105+O106+O107+O108+O109+O110</f>
        <v>-35290.519000000008</v>
      </c>
      <c r="P75" s="71">
        <f>N75+O75</f>
        <v>453414.35399999993</v>
      </c>
      <c r="Q75" s="71">
        <f>Q79+Q80+Q81+Q82+Q83+Q84+Q88+Q92+Q96+Q100+Q104+Q105+Q106+Q107+Q108+Q109+Q110</f>
        <v>0</v>
      </c>
      <c r="R75" s="71">
        <f>P75+Q75</f>
        <v>453414.35399999993</v>
      </c>
      <c r="S75" s="71">
        <f>S79+S80+S81+S82+S83+S84+S88+S92+S96+S100+S104+S105+S106+S107+S108+S109+S110</f>
        <v>-5583.4059999999999</v>
      </c>
      <c r="T75" s="71">
        <f>R75+S75</f>
        <v>447830.94799999992</v>
      </c>
      <c r="U75" s="44">
        <f>U79+U80+U81+U82+U83+U84+U88+U92+U96+U100+U104+U105+U106+U107+U108+U109+U110</f>
        <v>-1.0429999999999999</v>
      </c>
      <c r="V75" s="44">
        <f>T75+U75</f>
        <v>447829.90499999991</v>
      </c>
      <c r="W75" s="44">
        <f>W79+W80+W81+W82+W83+W84+W88+W92+W96+W100+W104+W105+W106+W107+W108+W109+W110</f>
        <v>-9499.9</v>
      </c>
      <c r="X75" s="44">
        <f>V75+W75</f>
        <v>438330.00499999989</v>
      </c>
      <c r="Y75" s="44">
        <f>Y79+Y80+Y81+Y82+Y83+Y84+Y88+Y92+Y96+Y100+Y104+Y105+Y106+Y107+Y108+Y109+Y110</f>
        <v>0</v>
      </c>
      <c r="Z75" s="44">
        <f>X75+Y75</f>
        <v>438330.00499999989</v>
      </c>
      <c r="AA75" s="44">
        <f>AA79+AA80+AA81+AA82+AA83+AA84+AA88+AA92+AA96+AA100+AA104+AA105+AA106+AA107+AA108+AA109+AA110</f>
        <v>0</v>
      </c>
      <c r="AB75" s="44">
        <f>Z75+AA75</f>
        <v>438330.00499999989</v>
      </c>
    </row>
    <row r="76" spans="1:30" x14ac:dyDescent="0.3">
      <c r="A76" s="7"/>
      <c r="B76" s="8" t="s">
        <v>2</v>
      </c>
      <c r="C76" s="11"/>
      <c r="D76" s="12"/>
      <c r="E76" s="12"/>
      <c r="F76" s="12"/>
      <c r="G76" s="12"/>
      <c r="H76" s="12"/>
      <c r="I76" s="43"/>
      <c r="J76" s="12"/>
      <c r="K76" s="43"/>
      <c r="L76" s="12"/>
      <c r="M76" s="43"/>
      <c r="N76" s="12"/>
      <c r="O76" s="43"/>
      <c r="P76" s="12"/>
      <c r="Q76" s="43"/>
      <c r="R76" s="12"/>
      <c r="S76" s="43"/>
      <c r="T76" s="12"/>
      <c r="U76" s="43"/>
      <c r="V76" s="12"/>
      <c r="W76" s="43"/>
      <c r="X76" s="12"/>
      <c r="Y76" s="43"/>
      <c r="Z76" s="12"/>
      <c r="AA76" s="25"/>
      <c r="AB76" s="12"/>
    </row>
    <row r="77" spans="1:30" hidden="1" x14ac:dyDescent="0.3">
      <c r="A77" s="7"/>
      <c r="B77" s="8" t="s">
        <v>3</v>
      </c>
      <c r="C77" s="11"/>
      <c r="D77" s="12">
        <f>D79+D80+D81+D82+D83+D86+D90+D94+D98+D102+D104+D105+D106</f>
        <v>133748.5</v>
      </c>
      <c r="E77" s="12">
        <f>E79+E80+E81+E82+E83+E86+E90+E94+E98+E102+E104+E105+E106</f>
        <v>2273.3000000000002</v>
      </c>
      <c r="F77" s="12">
        <f>D77+E77</f>
        <v>136021.79999999999</v>
      </c>
      <c r="G77" s="12">
        <f>G79+G80+G81+G82+G83+G86+G90+G94+G98+G102+G104+G105+G106</f>
        <v>0</v>
      </c>
      <c r="H77" s="12">
        <f>F77+G77</f>
        <v>136021.79999999999</v>
      </c>
      <c r="I77" s="43">
        <f>I79+I80+I81+I82+I83+I86+I90+I94+I98+I102+I104+I105+I106+I107+I108</f>
        <v>0</v>
      </c>
      <c r="J77" s="12">
        <f>H77+I77</f>
        <v>136021.79999999999</v>
      </c>
      <c r="K77" s="43">
        <f>K79+K80+K81+K82+K83+K86+K90+K94+K98+K102+K104+K105+K106+K107+K108</f>
        <v>-2622.1</v>
      </c>
      <c r="L77" s="12">
        <f>J77+K77</f>
        <v>133399.69999999998</v>
      </c>
      <c r="M77" s="43">
        <f>M79+M80+M81+M82+M83+M86+M90+M94+M98+M102+M104+M105+M106+M107+M108</f>
        <v>-486.68299999999999</v>
      </c>
      <c r="N77" s="12">
        <f>L77+M77</f>
        <v>132913.01699999999</v>
      </c>
      <c r="O77" s="43">
        <f>O79+O80+O81+O82+O83+O86+O90+O94+O98+O102+O104+O105+O106+O107+O108</f>
        <v>-9062.7119999999995</v>
      </c>
      <c r="P77" s="12">
        <f>N77+O77</f>
        <v>123850.30499999999</v>
      </c>
      <c r="Q77" s="43">
        <f>Q79+Q80+Q81+Q82+Q83+Q86+Q90+Q94+Q98+Q102+Q104+Q105+Q106+Q107+Q108</f>
        <v>0</v>
      </c>
      <c r="R77" s="12">
        <f>P77+Q77</f>
        <v>123850.30499999999</v>
      </c>
      <c r="S77" s="43">
        <f>S79+S80+S81+S82+S83+S86+S90+S94+S98+S102+S104+S105+S106+S107+S108</f>
        <v>96.347999999999999</v>
      </c>
      <c r="T77" s="12">
        <f>R77+S77</f>
        <v>123946.65299999999</v>
      </c>
      <c r="U77" s="43">
        <f>U79+U80+U81+U82+U83+U86+U90+U94+U98+U102+U104+U105+U106+U107+U108</f>
        <v>-1.0429999999999999</v>
      </c>
      <c r="V77" s="12">
        <f>T77+U77</f>
        <v>123945.60999999999</v>
      </c>
      <c r="W77" s="43">
        <f>W79+W80+W81+W82+W83+W86+W90+W94+W98+W102+W104+W105+W106+W107+W108</f>
        <v>-9499.9</v>
      </c>
      <c r="X77" s="12">
        <f>V77+W77</f>
        <v>114445.70999999999</v>
      </c>
      <c r="Y77" s="43">
        <f>Y79+Y80+Y81+Y82+Y83+Y86+Y90+Y94+Y98+Y102+Y104+Y105+Y106+Y107+Y108</f>
        <v>0</v>
      </c>
      <c r="Z77" s="12">
        <f>X77+Y77</f>
        <v>114445.70999999999</v>
      </c>
      <c r="AA77" s="25">
        <f>AA79+AA80+AA81+AA82+AA83+AA86+AA90+AA94+AA98+AA102+AA104+AA105+AA106+AA107+AA108</f>
        <v>0</v>
      </c>
      <c r="AB77" s="12">
        <f>Z77+AA77</f>
        <v>114445.70999999999</v>
      </c>
      <c r="AD77" s="1">
        <v>0</v>
      </c>
    </row>
    <row r="78" spans="1:30" x14ac:dyDescent="0.3">
      <c r="A78" s="7"/>
      <c r="B78" s="58" t="s">
        <v>50</v>
      </c>
      <c r="C78" s="11"/>
      <c r="D78" s="12">
        <f>D87+D91+D95+D99+D103</f>
        <v>346023.19999999995</v>
      </c>
      <c r="E78" s="12">
        <f>E87+E91+E95+E99+E103</f>
        <v>0</v>
      </c>
      <c r="F78" s="12">
        <f>D78+E78</f>
        <v>346023.19999999995</v>
      </c>
      <c r="G78" s="12">
        <f>G87+G91+G95+G99+G103</f>
        <v>0</v>
      </c>
      <c r="H78" s="12">
        <f>F78+G78</f>
        <v>346023.19999999995</v>
      </c>
      <c r="I78" s="43">
        <f>I87+I91+I95+I99+I103</f>
        <v>0</v>
      </c>
      <c r="J78" s="12">
        <f>H78+I78</f>
        <v>346023.19999999995</v>
      </c>
      <c r="K78" s="43">
        <f>K87+K91+K95+K99+K103</f>
        <v>0</v>
      </c>
      <c r="L78" s="12">
        <f>J78+K78</f>
        <v>346023.19999999995</v>
      </c>
      <c r="M78" s="43">
        <f>M87+M91+M95+M99+M103</f>
        <v>0</v>
      </c>
      <c r="N78" s="12">
        <f>L78+M78</f>
        <v>346023.19999999995</v>
      </c>
      <c r="O78" s="43">
        <f>O87+O91+O95+O99+O103</f>
        <v>-26252.2</v>
      </c>
      <c r="P78" s="12">
        <f>N78+O78</f>
        <v>319770.99999999994</v>
      </c>
      <c r="Q78" s="43">
        <f>Q87+Q91+Q95+Q99+Q103</f>
        <v>0</v>
      </c>
      <c r="R78" s="12">
        <f>P78+Q78</f>
        <v>319770.99999999994</v>
      </c>
      <c r="S78" s="43">
        <f>S87+S91+S95+S99+S103</f>
        <v>0</v>
      </c>
      <c r="T78" s="12">
        <f>R78+S78</f>
        <v>319770.99999999994</v>
      </c>
      <c r="U78" s="43">
        <f>U87+U91+U95+U99+U103</f>
        <v>0</v>
      </c>
      <c r="V78" s="12">
        <f>T78+U78</f>
        <v>319770.99999999994</v>
      </c>
      <c r="W78" s="43">
        <f>W87+W91+W95+W99+W103</f>
        <v>0</v>
      </c>
      <c r="X78" s="12">
        <f>V78+W78</f>
        <v>319770.99999999994</v>
      </c>
      <c r="Y78" s="43">
        <f>Y87+Y91+Y95+Y99+Y103</f>
        <v>0</v>
      </c>
      <c r="Z78" s="12">
        <f>X78+Y78</f>
        <v>319770.99999999994</v>
      </c>
      <c r="AA78" s="25">
        <f>AA87+AA91+AA95+AA99+AA103</f>
        <v>0</v>
      </c>
      <c r="AB78" s="12">
        <f>Z78+AA78</f>
        <v>319770.99999999994</v>
      </c>
    </row>
    <row r="79" spans="1:30" ht="56.25" x14ac:dyDescent="0.3">
      <c r="A79" s="7" t="s">
        <v>126</v>
      </c>
      <c r="B79" s="58" t="s">
        <v>67</v>
      </c>
      <c r="C79" s="11" t="s">
        <v>17</v>
      </c>
      <c r="D79" s="9">
        <v>3217.7</v>
      </c>
      <c r="E79" s="9"/>
      <c r="F79" s="9">
        <f>D79+E79</f>
        <v>3217.7</v>
      </c>
      <c r="G79" s="9"/>
      <c r="H79" s="9">
        <f>F79+G79</f>
        <v>3217.7</v>
      </c>
      <c r="I79" s="31"/>
      <c r="J79" s="9">
        <f>H79+I79</f>
        <v>3217.7</v>
      </c>
      <c r="K79" s="31"/>
      <c r="L79" s="9">
        <f>J79+K79</f>
        <v>3217.7</v>
      </c>
      <c r="M79" s="31"/>
      <c r="N79" s="9">
        <f>L79+M79</f>
        <v>3217.7</v>
      </c>
      <c r="O79" s="31"/>
      <c r="P79" s="9">
        <f>N79+O79</f>
        <v>3217.7</v>
      </c>
      <c r="Q79" s="31"/>
      <c r="R79" s="9">
        <f>P79+Q79</f>
        <v>3217.7</v>
      </c>
      <c r="S79" s="31"/>
      <c r="T79" s="9">
        <f>R79+S79</f>
        <v>3217.7</v>
      </c>
      <c r="U79" s="31"/>
      <c r="V79" s="9">
        <f>T79+U79</f>
        <v>3217.7</v>
      </c>
      <c r="W79" s="31"/>
      <c r="X79" s="9">
        <f>V79+W79</f>
        <v>3217.7</v>
      </c>
      <c r="Y79" s="31"/>
      <c r="Z79" s="9">
        <f>X79+Y79</f>
        <v>3217.7</v>
      </c>
      <c r="AA79" s="24"/>
      <c r="AB79" s="9">
        <f>Z79+AA79</f>
        <v>3217.7</v>
      </c>
      <c r="AC79" s="1" t="s">
        <v>68</v>
      </c>
    </row>
    <row r="80" spans="1:30" ht="56.25" x14ac:dyDescent="0.3">
      <c r="A80" s="7" t="s">
        <v>127</v>
      </c>
      <c r="B80" s="58" t="s">
        <v>69</v>
      </c>
      <c r="C80" s="11" t="s">
        <v>17</v>
      </c>
      <c r="D80" s="9">
        <v>3000</v>
      </c>
      <c r="E80" s="9"/>
      <c r="F80" s="9">
        <f t="shared" ref="F80:F83" si="61">D80+E80</f>
        <v>3000</v>
      </c>
      <c r="G80" s="9"/>
      <c r="H80" s="9">
        <f t="shared" ref="H80:H83" si="62">F80+G80</f>
        <v>3000</v>
      </c>
      <c r="I80" s="31"/>
      <c r="J80" s="9">
        <f t="shared" ref="J80:J83" si="63">H80+I80</f>
        <v>3000</v>
      </c>
      <c r="K80" s="31"/>
      <c r="L80" s="9">
        <f t="shared" ref="L80:L83" si="64">J80+K80</f>
        <v>3000</v>
      </c>
      <c r="M80" s="31"/>
      <c r="N80" s="9">
        <f t="shared" ref="N80:N83" si="65">L80+M80</f>
        <v>3000</v>
      </c>
      <c r="O80" s="31"/>
      <c r="P80" s="9">
        <f t="shared" ref="P80:P83" si="66">N80+O80</f>
        <v>3000</v>
      </c>
      <c r="Q80" s="31"/>
      <c r="R80" s="9">
        <f t="shared" ref="R80:R83" si="67">P80+Q80</f>
        <v>3000</v>
      </c>
      <c r="S80" s="31"/>
      <c r="T80" s="9">
        <f t="shared" ref="T80:T83" si="68">R80+S80</f>
        <v>3000</v>
      </c>
      <c r="U80" s="31">
        <v>-1.0429999999999999</v>
      </c>
      <c r="V80" s="9">
        <f t="shared" ref="V80:V83" si="69">T80+U80</f>
        <v>2998.9569999999999</v>
      </c>
      <c r="W80" s="31"/>
      <c r="X80" s="9">
        <f t="shared" ref="X80:X83" si="70">V80+W80</f>
        <v>2998.9569999999999</v>
      </c>
      <c r="Y80" s="31"/>
      <c r="Z80" s="9">
        <f t="shared" ref="Z80:Z83" si="71">X80+Y80</f>
        <v>2998.9569999999999</v>
      </c>
      <c r="AA80" s="24"/>
      <c r="AB80" s="9">
        <f t="shared" ref="AB80:AB83" si="72">Z80+AA80</f>
        <v>2998.9569999999999</v>
      </c>
      <c r="AC80" s="1" t="s">
        <v>70</v>
      </c>
    </row>
    <row r="81" spans="1:63" s="36" customFormat="1" ht="56.25" hidden="1" x14ac:dyDescent="0.3">
      <c r="A81" s="32" t="s">
        <v>171</v>
      </c>
      <c r="B81" s="34" t="s">
        <v>72</v>
      </c>
      <c r="C81" s="37" t="s">
        <v>17</v>
      </c>
      <c r="D81" s="35">
        <v>2000</v>
      </c>
      <c r="E81" s="35"/>
      <c r="F81" s="35">
        <f t="shared" si="61"/>
        <v>2000</v>
      </c>
      <c r="G81" s="35"/>
      <c r="H81" s="35">
        <f t="shared" si="62"/>
        <v>2000</v>
      </c>
      <c r="I81" s="35"/>
      <c r="J81" s="35">
        <f t="shared" si="63"/>
        <v>2000</v>
      </c>
      <c r="K81" s="35">
        <v>-2000</v>
      </c>
      <c r="L81" s="35">
        <f t="shared" si="64"/>
        <v>0</v>
      </c>
      <c r="M81" s="35"/>
      <c r="N81" s="35">
        <f t="shared" si="65"/>
        <v>0</v>
      </c>
      <c r="O81" s="35"/>
      <c r="P81" s="35">
        <f t="shared" si="66"/>
        <v>0</v>
      </c>
      <c r="Q81" s="35"/>
      <c r="R81" s="35">
        <f t="shared" si="67"/>
        <v>0</v>
      </c>
      <c r="S81" s="35"/>
      <c r="T81" s="35">
        <f t="shared" si="68"/>
        <v>0</v>
      </c>
      <c r="U81" s="35"/>
      <c r="V81" s="35">
        <f t="shared" si="69"/>
        <v>0</v>
      </c>
      <c r="W81" s="35"/>
      <c r="X81" s="35">
        <f t="shared" si="70"/>
        <v>0</v>
      </c>
      <c r="Y81" s="31"/>
      <c r="Z81" s="35">
        <f t="shared" si="71"/>
        <v>0</v>
      </c>
      <c r="AA81" s="35"/>
      <c r="AB81" s="35">
        <f t="shared" si="72"/>
        <v>0</v>
      </c>
      <c r="AC81" s="36" t="s">
        <v>71</v>
      </c>
      <c r="AD81" s="36">
        <v>0</v>
      </c>
    </row>
    <row r="82" spans="1:63" ht="56.25" x14ac:dyDescent="0.3">
      <c r="A82" s="7" t="s">
        <v>128</v>
      </c>
      <c r="B82" s="58" t="s">
        <v>92</v>
      </c>
      <c r="C82" s="11" t="s">
        <v>17</v>
      </c>
      <c r="D82" s="9">
        <v>453.8</v>
      </c>
      <c r="E82" s="9"/>
      <c r="F82" s="9">
        <f t="shared" si="61"/>
        <v>453.8</v>
      </c>
      <c r="G82" s="9"/>
      <c r="H82" s="9">
        <f t="shared" si="62"/>
        <v>453.8</v>
      </c>
      <c r="I82" s="31"/>
      <c r="J82" s="9">
        <f t="shared" si="63"/>
        <v>453.8</v>
      </c>
      <c r="K82" s="31"/>
      <c r="L82" s="9">
        <f t="shared" si="64"/>
        <v>453.8</v>
      </c>
      <c r="M82" s="31"/>
      <c r="N82" s="9">
        <f t="shared" si="65"/>
        <v>453.8</v>
      </c>
      <c r="O82" s="31"/>
      <c r="P82" s="9">
        <f t="shared" si="66"/>
        <v>453.8</v>
      </c>
      <c r="Q82" s="31"/>
      <c r="R82" s="9">
        <f t="shared" si="67"/>
        <v>453.8</v>
      </c>
      <c r="S82" s="31"/>
      <c r="T82" s="9">
        <f t="shared" si="68"/>
        <v>453.8</v>
      </c>
      <c r="U82" s="31"/>
      <c r="V82" s="9">
        <f t="shared" si="69"/>
        <v>453.8</v>
      </c>
      <c r="W82" s="31"/>
      <c r="X82" s="9">
        <f t="shared" si="70"/>
        <v>453.8</v>
      </c>
      <c r="Y82" s="31"/>
      <c r="Z82" s="9">
        <f t="shared" si="71"/>
        <v>453.8</v>
      </c>
      <c r="AA82" s="24"/>
      <c r="AB82" s="9">
        <f t="shared" si="72"/>
        <v>453.8</v>
      </c>
      <c r="AC82" s="1" t="s">
        <v>91</v>
      </c>
    </row>
    <row r="83" spans="1:63" ht="56.25" x14ac:dyDescent="0.3">
      <c r="A83" s="7" t="s">
        <v>129</v>
      </c>
      <c r="B83" s="58" t="s">
        <v>94</v>
      </c>
      <c r="C83" s="11" t="s">
        <v>17</v>
      </c>
      <c r="D83" s="14">
        <v>235.9</v>
      </c>
      <c r="E83" s="14"/>
      <c r="F83" s="9">
        <f t="shared" si="61"/>
        <v>235.9</v>
      </c>
      <c r="G83" s="14"/>
      <c r="H83" s="9">
        <f t="shared" si="62"/>
        <v>235.9</v>
      </c>
      <c r="I83" s="45"/>
      <c r="J83" s="9">
        <f t="shared" si="63"/>
        <v>235.9</v>
      </c>
      <c r="K83" s="45"/>
      <c r="L83" s="9">
        <f t="shared" si="64"/>
        <v>235.9</v>
      </c>
      <c r="M83" s="45"/>
      <c r="N83" s="9">
        <f t="shared" si="65"/>
        <v>235.9</v>
      </c>
      <c r="O83" s="45"/>
      <c r="P83" s="9">
        <f t="shared" si="66"/>
        <v>235.9</v>
      </c>
      <c r="Q83" s="45"/>
      <c r="R83" s="9">
        <f t="shared" si="67"/>
        <v>235.9</v>
      </c>
      <c r="S83" s="45"/>
      <c r="T83" s="9">
        <f t="shared" si="68"/>
        <v>235.9</v>
      </c>
      <c r="U83" s="45"/>
      <c r="V83" s="9">
        <f t="shared" si="69"/>
        <v>235.9</v>
      </c>
      <c r="W83" s="45"/>
      <c r="X83" s="9">
        <f t="shared" si="70"/>
        <v>235.9</v>
      </c>
      <c r="Y83" s="45"/>
      <c r="Z83" s="9">
        <f t="shared" si="71"/>
        <v>235.9</v>
      </c>
      <c r="AA83" s="27"/>
      <c r="AB83" s="9">
        <f t="shared" si="72"/>
        <v>235.9</v>
      </c>
      <c r="AC83" s="1" t="s">
        <v>93</v>
      </c>
    </row>
    <row r="84" spans="1:63" ht="75" x14ac:dyDescent="0.3">
      <c r="A84" s="7" t="s">
        <v>150</v>
      </c>
      <c r="B84" s="58" t="s">
        <v>95</v>
      </c>
      <c r="C84" s="11" t="s">
        <v>15</v>
      </c>
      <c r="D84" s="14">
        <f>D86+D87</f>
        <v>125387.8</v>
      </c>
      <c r="E84" s="14">
        <f>E86+E87</f>
        <v>0</v>
      </c>
      <c r="F84" s="14">
        <f t="shared" ref="F84:H84" si="73">F86+F87</f>
        <v>125387.8</v>
      </c>
      <c r="G84" s="14">
        <f>G86+G87</f>
        <v>0</v>
      </c>
      <c r="H84" s="14">
        <f t="shared" si="73"/>
        <v>125387.8</v>
      </c>
      <c r="I84" s="45">
        <f>I86+I87</f>
        <v>4500</v>
      </c>
      <c r="J84" s="14">
        <f t="shared" ref="J84:L84" si="74">J86+J87</f>
        <v>129887.8</v>
      </c>
      <c r="K84" s="45">
        <f>K86+K87</f>
        <v>0</v>
      </c>
      <c r="L84" s="14">
        <f t="shared" si="74"/>
        <v>129887.8</v>
      </c>
      <c r="M84" s="45">
        <f>M86+M87</f>
        <v>0</v>
      </c>
      <c r="N84" s="14">
        <f t="shared" ref="N84:P84" si="75">N86+N87</f>
        <v>129887.8</v>
      </c>
      <c r="O84" s="45">
        <f>O86+O87</f>
        <v>2217.4919999999997</v>
      </c>
      <c r="P84" s="14">
        <f t="shared" si="75"/>
        <v>132105.29199999999</v>
      </c>
      <c r="Q84" s="45">
        <f>Q86+Q87</f>
        <v>0</v>
      </c>
      <c r="R84" s="14">
        <f t="shared" ref="R84:T84" si="76">R86+R87</f>
        <v>132105.29199999999</v>
      </c>
      <c r="S84" s="45">
        <f>S86+S87</f>
        <v>0</v>
      </c>
      <c r="T84" s="14">
        <f t="shared" si="76"/>
        <v>132105.29199999999</v>
      </c>
      <c r="U84" s="45">
        <f>U86+U87</f>
        <v>0</v>
      </c>
      <c r="V84" s="14">
        <f t="shared" ref="V84:X84" si="77">V86+V87</f>
        <v>132105.29199999999</v>
      </c>
      <c r="W84" s="45">
        <f>W86+W87</f>
        <v>0</v>
      </c>
      <c r="X84" s="14">
        <f t="shared" si="77"/>
        <v>132105.29199999999</v>
      </c>
      <c r="Y84" s="45">
        <f>Y86+Y87</f>
        <v>0</v>
      </c>
      <c r="Z84" s="14">
        <f t="shared" ref="Z84:AB84" si="78">Z86+Z87</f>
        <v>132105.29199999999</v>
      </c>
      <c r="AA84" s="27">
        <f>AA86+AA87</f>
        <v>0</v>
      </c>
      <c r="AB84" s="14">
        <f t="shared" si="78"/>
        <v>132105.29199999999</v>
      </c>
      <c r="AC84" s="1" t="s">
        <v>96</v>
      </c>
    </row>
    <row r="85" spans="1:63" x14ac:dyDescent="0.3">
      <c r="A85" s="7"/>
      <c r="B85" s="8" t="s">
        <v>2</v>
      </c>
      <c r="C85" s="11"/>
      <c r="D85" s="14"/>
      <c r="E85" s="14"/>
      <c r="F85" s="14"/>
      <c r="G85" s="14"/>
      <c r="H85" s="14"/>
      <c r="I85" s="45"/>
      <c r="J85" s="14"/>
      <c r="K85" s="45"/>
      <c r="L85" s="14"/>
      <c r="M85" s="45"/>
      <c r="N85" s="14"/>
      <c r="O85" s="45"/>
      <c r="P85" s="14"/>
      <c r="Q85" s="45"/>
      <c r="R85" s="14"/>
      <c r="S85" s="45"/>
      <c r="T85" s="14"/>
      <c r="U85" s="45"/>
      <c r="V85" s="14"/>
      <c r="W85" s="45"/>
      <c r="X85" s="14"/>
      <c r="Y85" s="45"/>
      <c r="Z85" s="14"/>
      <c r="AA85" s="27"/>
      <c r="AB85" s="14"/>
    </row>
    <row r="86" spans="1:63" hidden="1" x14ac:dyDescent="0.3">
      <c r="A86" s="7"/>
      <c r="B86" s="17" t="s">
        <v>3</v>
      </c>
      <c r="C86" s="11"/>
      <c r="D86" s="14">
        <v>31347</v>
      </c>
      <c r="E86" s="14"/>
      <c r="F86" s="14">
        <f>D86+E86</f>
        <v>31347</v>
      </c>
      <c r="G86" s="14"/>
      <c r="H86" s="14">
        <f>F86+G86</f>
        <v>31347</v>
      </c>
      <c r="I86" s="45">
        <v>4500</v>
      </c>
      <c r="J86" s="14">
        <f>H86+I86</f>
        <v>35847</v>
      </c>
      <c r="K86" s="45"/>
      <c r="L86" s="14">
        <f>J86+K86</f>
        <v>35847</v>
      </c>
      <c r="M86" s="45"/>
      <c r="N86" s="14">
        <f>L86+M86</f>
        <v>35847</v>
      </c>
      <c r="O86" s="45">
        <v>-2820.6770000000001</v>
      </c>
      <c r="P86" s="14">
        <f>N86+O86</f>
        <v>33026.322999999997</v>
      </c>
      <c r="Q86" s="45"/>
      <c r="R86" s="14">
        <f>P86+Q86</f>
        <v>33026.322999999997</v>
      </c>
      <c r="S86" s="45"/>
      <c r="T86" s="14">
        <f>R86+S86</f>
        <v>33026.322999999997</v>
      </c>
      <c r="U86" s="45"/>
      <c r="V86" s="14">
        <f>T86+U86</f>
        <v>33026.322999999997</v>
      </c>
      <c r="W86" s="45"/>
      <c r="X86" s="14">
        <f>V86+W86</f>
        <v>33026.322999999997</v>
      </c>
      <c r="Y86" s="45"/>
      <c r="Z86" s="14">
        <f>X86+Y86</f>
        <v>33026.322999999997</v>
      </c>
      <c r="AA86" s="27"/>
      <c r="AB86" s="14">
        <f>Z86+AA86</f>
        <v>33026.322999999997</v>
      </c>
      <c r="AD86" s="1">
        <v>0</v>
      </c>
    </row>
    <row r="87" spans="1:63" x14ac:dyDescent="0.3">
      <c r="A87" s="7"/>
      <c r="B87" s="58" t="s">
        <v>50</v>
      </c>
      <c r="C87" s="11"/>
      <c r="D87" s="14">
        <v>94040.8</v>
      </c>
      <c r="E87" s="14"/>
      <c r="F87" s="14">
        <f>D87+E87</f>
        <v>94040.8</v>
      </c>
      <c r="G87" s="14"/>
      <c r="H87" s="14">
        <f>F87+G87</f>
        <v>94040.8</v>
      </c>
      <c r="I87" s="45"/>
      <c r="J87" s="14">
        <f>H87+I87</f>
        <v>94040.8</v>
      </c>
      <c r="K87" s="45"/>
      <c r="L87" s="14">
        <f>J87+K87</f>
        <v>94040.8</v>
      </c>
      <c r="M87" s="45"/>
      <c r="N87" s="14">
        <f>L87+M87</f>
        <v>94040.8</v>
      </c>
      <c r="O87" s="45">
        <v>5038.1689999999999</v>
      </c>
      <c r="P87" s="14">
        <f>N87+O87</f>
        <v>99078.968999999997</v>
      </c>
      <c r="Q87" s="45"/>
      <c r="R87" s="14">
        <f>P87+Q87</f>
        <v>99078.968999999997</v>
      </c>
      <c r="S87" s="45"/>
      <c r="T87" s="14">
        <f>R87+S87</f>
        <v>99078.968999999997</v>
      </c>
      <c r="U87" s="45"/>
      <c r="V87" s="14">
        <f>T87+U87</f>
        <v>99078.968999999997</v>
      </c>
      <c r="W87" s="45"/>
      <c r="X87" s="14">
        <f>V87+W87</f>
        <v>99078.968999999997</v>
      </c>
      <c r="Y87" s="45"/>
      <c r="Z87" s="14">
        <f>X87+Y87</f>
        <v>99078.968999999997</v>
      </c>
      <c r="AA87" s="27"/>
      <c r="AB87" s="14">
        <f>Z87+AA87</f>
        <v>99078.968999999997</v>
      </c>
      <c r="AC87" s="1" t="s">
        <v>103</v>
      </c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</row>
    <row r="88" spans="1:63" s="51" customFormat="1" ht="75" x14ac:dyDescent="0.3">
      <c r="A88" s="7" t="s">
        <v>151</v>
      </c>
      <c r="B88" s="58" t="s">
        <v>97</v>
      </c>
      <c r="C88" s="11" t="s">
        <v>15</v>
      </c>
      <c r="D88" s="45">
        <f>D90+D91</f>
        <v>22000</v>
      </c>
      <c r="E88" s="45">
        <f t="shared" ref="E88:F88" si="79">E90+E91</f>
        <v>0</v>
      </c>
      <c r="F88" s="45">
        <f t="shared" si="79"/>
        <v>22000</v>
      </c>
      <c r="G88" s="45">
        <f t="shared" ref="G88:H88" si="80">G90+G91</f>
        <v>0</v>
      </c>
      <c r="H88" s="45">
        <f t="shared" si="80"/>
        <v>22000</v>
      </c>
      <c r="I88" s="45">
        <f t="shared" ref="I88:J88" si="81">I90+I91</f>
        <v>0</v>
      </c>
      <c r="J88" s="45">
        <f t="shared" si="81"/>
        <v>22000</v>
      </c>
      <c r="K88" s="45">
        <f t="shared" ref="K88:L88" si="82">K90+K91</f>
        <v>0</v>
      </c>
      <c r="L88" s="45">
        <f t="shared" si="82"/>
        <v>22000</v>
      </c>
      <c r="M88" s="45">
        <f t="shared" ref="M88:N88" si="83">M90+M91</f>
        <v>0</v>
      </c>
      <c r="N88" s="45">
        <f t="shared" si="83"/>
        <v>22000</v>
      </c>
      <c r="O88" s="45">
        <f t="shared" ref="O88:P88" si="84">O90+O91</f>
        <v>-7226</v>
      </c>
      <c r="P88" s="45">
        <f t="shared" si="84"/>
        <v>14774</v>
      </c>
      <c r="Q88" s="45">
        <f t="shared" ref="Q88:R88" si="85">Q90+Q91</f>
        <v>0</v>
      </c>
      <c r="R88" s="45">
        <f t="shared" si="85"/>
        <v>14774</v>
      </c>
      <c r="S88" s="45">
        <f t="shared" ref="S88:T88" si="86">S90+S91</f>
        <v>0</v>
      </c>
      <c r="T88" s="45">
        <f t="shared" si="86"/>
        <v>14774</v>
      </c>
      <c r="U88" s="45">
        <f t="shared" ref="U88:V88" si="87">U90+U91</f>
        <v>0</v>
      </c>
      <c r="V88" s="14">
        <f t="shared" si="87"/>
        <v>14774</v>
      </c>
      <c r="W88" s="45">
        <f t="shared" ref="W88:X88" si="88">W90+W91</f>
        <v>0</v>
      </c>
      <c r="X88" s="14">
        <f t="shared" si="88"/>
        <v>14774</v>
      </c>
      <c r="Y88" s="45">
        <f t="shared" ref="Y88:Z88" si="89">Y90+Y91</f>
        <v>0</v>
      </c>
      <c r="Z88" s="14">
        <f t="shared" si="89"/>
        <v>14774</v>
      </c>
      <c r="AA88" s="27">
        <f t="shared" ref="AA88:AB88" si="90">AA90+AA91</f>
        <v>0</v>
      </c>
      <c r="AB88" s="14">
        <f t="shared" si="90"/>
        <v>14774</v>
      </c>
      <c r="AC88" s="48" t="s">
        <v>43</v>
      </c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</row>
    <row r="89" spans="1:63" s="51" customFormat="1" x14ac:dyDescent="0.3">
      <c r="A89" s="7"/>
      <c r="B89" s="8" t="s">
        <v>2</v>
      </c>
      <c r="C89" s="11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14"/>
      <c r="W89" s="45"/>
      <c r="X89" s="14"/>
      <c r="Y89" s="45"/>
      <c r="Z89" s="14"/>
      <c r="AA89" s="27"/>
      <c r="AB89" s="14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</row>
    <row r="90" spans="1:63" s="51" customFormat="1" hidden="1" x14ac:dyDescent="0.3">
      <c r="A90" s="46"/>
      <c r="B90" s="47" t="s">
        <v>3</v>
      </c>
      <c r="C90" s="52"/>
      <c r="D90" s="45">
        <v>5500</v>
      </c>
      <c r="E90" s="45"/>
      <c r="F90" s="45">
        <f>D90+E90</f>
        <v>5500</v>
      </c>
      <c r="G90" s="45"/>
      <c r="H90" s="45">
        <f>F90+G90</f>
        <v>5500</v>
      </c>
      <c r="I90" s="45"/>
      <c r="J90" s="45">
        <f>H90+I90</f>
        <v>5500</v>
      </c>
      <c r="K90" s="45"/>
      <c r="L90" s="45">
        <f>J90+K90</f>
        <v>5500</v>
      </c>
      <c r="M90" s="45"/>
      <c r="N90" s="45">
        <f>L90+M90</f>
        <v>5500</v>
      </c>
      <c r="O90" s="45">
        <v>-1806.5</v>
      </c>
      <c r="P90" s="45">
        <f>N90+O90</f>
        <v>3693.5</v>
      </c>
      <c r="Q90" s="45"/>
      <c r="R90" s="45">
        <f>P90+Q90</f>
        <v>3693.5</v>
      </c>
      <c r="S90" s="45"/>
      <c r="T90" s="45">
        <f>R90+S90</f>
        <v>3693.5</v>
      </c>
      <c r="U90" s="45"/>
      <c r="V90" s="45">
        <f>T90+U90</f>
        <v>3693.5</v>
      </c>
      <c r="W90" s="45"/>
      <c r="X90" s="45">
        <f>V90+W90</f>
        <v>3693.5</v>
      </c>
      <c r="Y90" s="45"/>
      <c r="Z90" s="45">
        <f>X90+Y90</f>
        <v>3693.5</v>
      </c>
      <c r="AA90" s="27"/>
      <c r="AB90" s="45">
        <f>Z90+AA90</f>
        <v>3693.5</v>
      </c>
      <c r="AC90" s="48"/>
      <c r="AD90" s="48">
        <v>0</v>
      </c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</row>
    <row r="91" spans="1:63" s="51" customFormat="1" x14ac:dyDescent="0.3">
      <c r="A91" s="7"/>
      <c r="B91" s="58" t="s">
        <v>50</v>
      </c>
      <c r="C91" s="11"/>
      <c r="D91" s="45">
        <v>16500</v>
      </c>
      <c r="E91" s="45"/>
      <c r="F91" s="45">
        <f>D91+E91</f>
        <v>16500</v>
      </c>
      <c r="G91" s="45"/>
      <c r="H91" s="45">
        <f>F91+G91</f>
        <v>16500</v>
      </c>
      <c r="I91" s="45"/>
      <c r="J91" s="45">
        <f>H91+I91</f>
        <v>16500</v>
      </c>
      <c r="K91" s="45"/>
      <c r="L91" s="45">
        <f>J91+K91</f>
        <v>16500</v>
      </c>
      <c r="M91" s="45"/>
      <c r="N91" s="45">
        <f>L91+M91</f>
        <v>16500</v>
      </c>
      <c r="O91" s="45">
        <v>-5419.5</v>
      </c>
      <c r="P91" s="45">
        <f>N91+O91</f>
        <v>11080.5</v>
      </c>
      <c r="Q91" s="45"/>
      <c r="R91" s="45">
        <f>P91+Q91</f>
        <v>11080.5</v>
      </c>
      <c r="S91" s="45"/>
      <c r="T91" s="45">
        <f>R91+S91</f>
        <v>11080.5</v>
      </c>
      <c r="U91" s="45"/>
      <c r="V91" s="14">
        <f>T91+U91</f>
        <v>11080.5</v>
      </c>
      <c r="W91" s="45"/>
      <c r="X91" s="14">
        <f>V91+W91</f>
        <v>11080.5</v>
      </c>
      <c r="Y91" s="45"/>
      <c r="Z91" s="14">
        <f>X91+Y91</f>
        <v>11080.5</v>
      </c>
      <c r="AA91" s="27"/>
      <c r="AB91" s="14">
        <f>Z91+AA91</f>
        <v>11080.5</v>
      </c>
      <c r="AC91" s="48" t="s">
        <v>103</v>
      </c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</row>
    <row r="92" spans="1:63" s="53" customFormat="1" ht="75" x14ac:dyDescent="0.3">
      <c r="A92" s="7" t="s">
        <v>152</v>
      </c>
      <c r="B92" s="58" t="s">
        <v>98</v>
      </c>
      <c r="C92" s="11" t="s">
        <v>15</v>
      </c>
      <c r="D92" s="45">
        <f>D94+D95</f>
        <v>36000</v>
      </c>
      <c r="E92" s="45">
        <f t="shared" ref="E92:G92" si="91">E94+E95</f>
        <v>0</v>
      </c>
      <c r="F92" s="45">
        <f>F94+F95</f>
        <v>36000</v>
      </c>
      <c r="G92" s="45">
        <f t="shared" si="91"/>
        <v>0</v>
      </c>
      <c r="H92" s="45">
        <f>H94+H95</f>
        <v>36000</v>
      </c>
      <c r="I92" s="45">
        <f t="shared" ref="I92:K92" si="92">I94+I95</f>
        <v>-4500</v>
      </c>
      <c r="J92" s="45">
        <f>J94+J95</f>
        <v>31500</v>
      </c>
      <c r="K92" s="45">
        <f t="shared" si="92"/>
        <v>0</v>
      </c>
      <c r="L92" s="45">
        <f>L94+L95</f>
        <v>31500</v>
      </c>
      <c r="M92" s="45">
        <f t="shared" ref="M92:O92" si="93">M94+M95</f>
        <v>0</v>
      </c>
      <c r="N92" s="45">
        <f>N94+N95</f>
        <v>31500</v>
      </c>
      <c r="O92" s="45">
        <f t="shared" si="93"/>
        <v>-14000</v>
      </c>
      <c r="P92" s="45">
        <f>P94+P95</f>
        <v>17500</v>
      </c>
      <c r="Q92" s="45">
        <f t="shared" ref="Q92:S92" si="94">Q94+Q95</f>
        <v>0</v>
      </c>
      <c r="R92" s="45">
        <f>R94+R95</f>
        <v>17500</v>
      </c>
      <c r="S92" s="45">
        <f t="shared" si="94"/>
        <v>0</v>
      </c>
      <c r="T92" s="45">
        <f>T94+T95</f>
        <v>17500</v>
      </c>
      <c r="U92" s="45">
        <f t="shared" ref="U92:W92" si="95">U94+U95</f>
        <v>0</v>
      </c>
      <c r="V92" s="14">
        <f>V94+V95</f>
        <v>17500</v>
      </c>
      <c r="W92" s="45">
        <f t="shared" si="95"/>
        <v>0</v>
      </c>
      <c r="X92" s="14">
        <f>X94+X95</f>
        <v>17500</v>
      </c>
      <c r="Y92" s="45">
        <f t="shared" ref="Y92:AA92" si="96">Y94+Y95</f>
        <v>0</v>
      </c>
      <c r="Z92" s="14">
        <f>Z94+Z95</f>
        <v>17500</v>
      </c>
      <c r="AA92" s="27">
        <f t="shared" si="96"/>
        <v>0</v>
      </c>
      <c r="AB92" s="14">
        <f>AB94+AB95</f>
        <v>17500</v>
      </c>
      <c r="AC92" s="48" t="s">
        <v>99</v>
      </c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</row>
    <row r="93" spans="1:63" s="53" customFormat="1" x14ac:dyDescent="0.3">
      <c r="A93" s="7"/>
      <c r="B93" s="8" t="s">
        <v>2</v>
      </c>
      <c r="C93" s="11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14"/>
      <c r="W93" s="45"/>
      <c r="X93" s="14"/>
      <c r="Y93" s="45"/>
      <c r="Z93" s="14"/>
      <c r="AA93" s="27"/>
      <c r="AB93" s="14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</row>
    <row r="94" spans="1:63" s="48" customFormat="1" hidden="1" x14ac:dyDescent="0.3">
      <c r="A94" s="46"/>
      <c r="B94" s="47" t="s">
        <v>3</v>
      </c>
      <c r="C94" s="52"/>
      <c r="D94" s="45">
        <v>9000</v>
      </c>
      <c r="E94" s="45"/>
      <c r="F94" s="45">
        <f>D94+E94</f>
        <v>9000</v>
      </c>
      <c r="G94" s="45"/>
      <c r="H94" s="45">
        <f>F94+G94</f>
        <v>9000</v>
      </c>
      <c r="I94" s="45">
        <v>-4500</v>
      </c>
      <c r="J94" s="45">
        <f>H94+I94</f>
        <v>4500</v>
      </c>
      <c r="K94" s="45"/>
      <c r="L94" s="45">
        <f>J94+K94</f>
        <v>4500</v>
      </c>
      <c r="M94" s="45"/>
      <c r="N94" s="45">
        <f>L94+M94</f>
        <v>4500</v>
      </c>
      <c r="O94" s="45">
        <v>-125</v>
      </c>
      <c r="P94" s="45">
        <f>N94+O94</f>
        <v>4375</v>
      </c>
      <c r="Q94" s="45"/>
      <c r="R94" s="45">
        <f>P94+Q94</f>
        <v>4375</v>
      </c>
      <c r="S94" s="45"/>
      <c r="T94" s="45">
        <f>R94+S94</f>
        <v>4375</v>
      </c>
      <c r="U94" s="45"/>
      <c r="V94" s="45">
        <f>T94+U94</f>
        <v>4375</v>
      </c>
      <c r="W94" s="45"/>
      <c r="X94" s="45">
        <f>V94+W94</f>
        <v>4375</v>
      </c>
      <c r="Y94" s="45"/>
      <c r="Z94" s="45">
        <f>X94+Y94</f>
        <v>4375</v>
      </c>
      <c r="AA94" s="45"/>
      <c r="AB94" s="45">
        <f>Z94+AA94</f>
        <v>4375</v>
      </c>
      <c r="AD94" s="48">
        <v>0</v>
      </c>
    </row>
    <row r="95" spans="1:63" s="53" customFormat="1" x14ac:dyDescent="0.3">
      <c r="A95" s="7"/>
      <c r="B95" s="58" t="s">
        <v>50</v>
      </c>
      <c r="C95" s="11"/>
      <c r="D95" s="45">
        <v>27000</v>
      </c>
      <c r="E95" s="45"/>
      <c r="F95" s="45">
        <f>D95+E95</f>
        <v>27000</v>
      </c>
      <c r="G95" s="45"/>
      <c r="H95" s="45">
        <f>F95+G95</f>
        <v>27000</v>
      </c>
      <c r="I95" s="45"/>
      <c r="J95" s="45">
        <f>H95+I95</f>
        <v>27000</v>
      </c>
      <c r="K95" s="45"/>
      <c r="L95" s="45">
        <f>J95+K95</f>
        <v>27000</v>
      </c>
      <c r="M95" s="45"/>
      <c r="N95" s="45">
        <f>L95+M95</f>
        <v>27000</v>
      </c>
      <c r="O95" s="45">
        <v>-13875</v>
      </c>
      <c r="P95" s="45">
        <f>N95+O95</f>
        <v>13125</v>
      </c>
      <c r="Q95" s="45"/>
      <c r="R95" s="45">
        <f>P95+Q95</f>
        <v>13125</v>
      </c>
      <c r="S95" s="45"/>
      <c r="T95" s="45">
        <f>R95+S95</f>
        <v>13125</v>
      </c>
      <c r="U95" s="45"/>
      <c r="V95" s="14">
        <f>T95+U95</f>
        <v>13125</v>
      </c>
      <c r="W95" s="45"/>
      <c r="X95" s="14">
        <f>V95+W95</f>
        <v>13125</v>
      </c>
      <c r="Y95" s="45"/>
      <c r="Z95" s="14">
        <f>X95+Y95</f>
        <v>13125</v>
      </c>
      <c r="AA95" s="27"/>
      <c r="AB95" s="14">
        <f>Z95+AA95</f>
        <v>13125</v>
      </c>
      <c r="AC95" s="48" t="s">
        <v>103</v>
      </c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</row>
    <row r="96" spans="1:63" ht="55.15" customHeight="1" x14ac:dyDescent="0.3">
      <c r="A96" s="7" t="s">
        <v>153</v>
      </c>
      <c r="B96" s="11" t="s">
        <v>26</v>
      </c>
      <c r="C96" s="11" t="s">
        <v>15</v>
      </c>
      <c r="D96" s="12">
        <f>D98+D99</f>
        <v>137976.59999999998</v>
      </c>
      <c r="E96" s="12">
        <f t="shared" ref="E96:F96" si="97">E98+E99</f>
        <v>0</v>
      </c>
      <c r="F96" s="12">
        <f t="shared" si="97"/>
        <v>137976.59999999998</v>
      </c>
      <c r="G96" s="12">
        <f t="shared" ref="G96:H96" si="98">G98+G99</f>
        <v>0</v>
      </c>
      <c r="H96" s="12">
        <f t="shared" si="98"/>
        <v>137976.59999999998</v>
      </c>
      <c r="I96" s="43">
        <f t="shared" ref="I96:J96" si="99">I98+I99</f>
        <v>0</v>
      </c>
      <c r="J96" s="12">
        <f t="shared" si="99"/>
        <v>137976.59999999998</v>
      </c>
      <c r="K96" s="43">
        <f t="shared" ref="K96:L96" si="100">K98+K99</f>
        <v>0</v>
      </c>
      <c r="L96" s="12">
        <f t="shared" si="100"/>
        <v>137976.59999999998</v>
      </c>
      <c r="M96" s="43">
        <f t="shared" ref="M96:N96" si="101">M98+M99</f>
        <v>0</v>
      </c>
      <c r="N96" s="12">
        <f t="shared" si="101"/>
        <v>137976.59999999998</v>
      </c>
      <c r="O96" s="43">
        <f t="shared" ref="O96:P96" si="102">O98+O99</f>
        <v>0</v>
      </c>
      <c r="P96" s="43">
        <f t="shared" si="102"/>
        <v>137976.59999999998</v>
      </c>
      <c r="Q96" s="43">
        <f t="shared" ref="Q96:R96" si="103">Q98+Q99</f>
        <v>0</v>
      </c>
      <c r="R96" s="43">
        <f t="shared" si="103"/>
        <v>137976.59999999998</v>
      </c>
      <c r="S96" s="43">
        <f t="shared" ref="S96:T96" si="104">S98+S99</f>
        <v>0</v>
      </c>
      <c r="T96" s="43">
        <f t="shared" si="104"/>
        <v>137976.59999999998</v>
      </c>
      <c r="U96" s="43">
        <f t="shared" ref="U96:V96" si="105">U98+U99</f>
        <v>0</v>
      </c>
      <c r="V96" s="12">
        <f t="shared" si="105"/>
        <v>137976.59999999998</v>
      </c>
      <c r="W96" s="43">
        <f t="shared" ref="W96:X96" si="106">W98+W99</f>
        <v>0</v>
      </c>
      <c r="X96" s="12">
        <f t="shared" si="106"/>
        <v>137976.59999999998</v>
      </c>
      <c r="Y96" s="43">
        <f t="shared" ref="Y96:Z96" si="107">Y98+Y99</f>
        <v>0</v>
      </c>
      <c r="Z96" s="12">
        <f t="shared" si="107"/>
        <v>137976.59999999998</v>
      </c>
      <c r="AA96" s="25">
        <f t="shared" ref="AA96:AB96" si="108">AA98+AA99</f>
        <v>0</v>
      </c>
      <c r="AB96" s="12">
        <f t="shared" si="108"/>
        <v>137976.59999999998</v>
      </c>
      <c r="AC96" s="48" t="s">
        <v>27</v>
      </c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</row>
    <row r="97" spans="1:63" ht="16.149999999999999" customHeight="1" x14ac:dyDescent="0.3">
      <c r="A97" s="7"/>
      <c r="B97" s="8" t="s">
        <v>2</v>
      </c>
      <c r="C97" s="11"/>
      <c r="D97" s="12"/>
      <c r="E97" s="12"/>
      <c r="F97" s="12"/>
      <c r="G97" s="12"/>
      <c r="H97" s="12"/>
      <c r="I97" s="43"/>
      <c r="J97" s="12"/>
      <c r="K97" s="43"/>
      <c r="L97" s="12"/>
      <c r="M97" s="43"/>
      <c r="N97" s="12"/>
      <c r="O97" s="43"/>
      <c r="P97" s="12"/>
      <c r="Q97" s="43"/>
      <c r="R97" s="12"/>
      <c r="S97" s="43"/>
      <c r="T97" s="12"/>
      <c r="U97" s="43"/>
      <c r="V97" s="12"/>
      <c r="W97" s="43"/>
      <c r="X97" s="12"/>
      <c r="Y97" s="43"/>
      <c r="Z97" s="12"/>
      <c r="AA97" s="25"/>
      <c r="AB97" s="12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</row>
    <row r="98" spans="1:63" ht="18.600000000000001" hidden="1" customHeight="1" x14ac:dyDescent="0.3">
      <c r="A98" s="7"/>
      <c r="B98" s="17" t="s">
        <v>3</v>
      </c>
      <c r="C98" s="11"/>
      <c r="D98" s="12">
        <v>34494.199999999997</v>
      </c>
      <c r="E98" s="12"/>
      <c r="F98" s="12">
        <f>D98+E98</f>
        <v>34494.199999999997</v>
      </c>
      <c r="G98" s="12"/>
      <c r="H98" s="12">
        <f>F98+G98</f>
        <v>34494.199999999997</v>
      </c>
      <c r="I98" s="43"/>
      <c r="J98" s="12">
        <f>H98+I98</f>
        <v>34494.199999999997</v>
      </c>
      <c r="K98" s="43"/>
      <c r="L98" s="12">
        <f>J98+K98</f>
        <v>34494.199999999997</v>
      </c>
      <c r="M98" s="43"/>
      <c r="N98" s="12">
        <f>L98+M98</f>
        <v>34494.199999999997</v>
      </c>
      <c r="O98" s="43"/>
      <c r="P98" s="12">
        <f>N98+O98</f>
        <v>34494.199999999997</v>
      </c>
      <c r="Q98" s="43"/>
      <c r="R98" s="12">
        <f>P98+Q98</f>
        <v>34494.199999999997</v>
      </c>
      <c r="S98" s="43"/>
      <c r="T98" s="12">
        <f>R98+S98</f>
        <v>34494.199999999997</v>
      </c>
      <c r="U98" s="43"/>
      <c r="V98" s="12">
        <f>T98+U98</f>
        <v>34494.199999999997</v>
      </c>
      <c r="W98" s="43"/>
      <c r="X98" s="12">
        <f>V98+W98</f>
        <v>34494.199999999997</v>
      </c>
      <c r="Y98" s="43"/>
      <c r="Z98" s="12">
        <f>X98+Y98</f>
        <v>34494.199999999997</v>
      </c>
      <c r="AA98" s="25"/>
      <c r="AB98" s="12">
        <f>Z98+AA98</f>
        <v>34494.199999999997</v>
      </c>
      <c r="AD98" s="1">
        <v>0</v>
      </c>
    </row>
    <row r="99" spans="1:63" ht="19.899999999999999" customHeight="1" x14ac:dyDescent="0.3">
      <c r="A99" s="7"/>
      <c r="B99" s="58" t="s">
        <v>50</v>
      </c>
      <c r="C99" s="11"/>
      <c r="D99" s="12">
        <v>103482.4</v>
      </c>
      <c r="E99" s="12"/>
      <c r="F99" s="12">
        <f>D99+E99</f>
        <v>103482.4</v>
      </c>
      <c r="G99" s="12"/>
      <c r="H99" s="12">
        <f>F99+G99</f>
        <v>103482.4</v>
      </c>
      <c r="I99" s="43"/>
      <c r="J99" s="12">
        <f>H99+I99</f>
        <v>103482.4</v>
      </c>
      <c r="K99" s="43"/>
      <c r="L99" s="12">
        <f>J99+K99</f>
        <v>103482.4</v>
      </c>
      <c r="M99" s="43"/>
      <c r="N99" s="12">
        <f>L99+M99</f>
        <v>103482.4</v>
      </c>
      <c r="O99" s="43"/>
      <c r="P99" s="12">
        <f>N99+O99</f>
        <v>103482.4</v>
      </c>
      <c r="Q99" s="43"/>
      <c r="R99" s="12">
        <f>P99+Q99</f>
        <v>103482.4</v>
      </c>
      <c r="S99" s="43"/>
      <c r="T99" s="12">
        <f>R99+S99</f>
        <v>103482.4</v>
      </c>
      <c r="U99" s="43"/>
      <c r="V99" s="12">
        <f>T99+U99</f>
        <v>103482.4</v>
      </c>
      <c r="W99" s="43"/>
      <c r="X99" s="12">
        <f>V99+W99</f>
        <v>103482.4</v>
      </c>
      <c r="Y99" s="43"/>
      <c r="Z99" s="12">
        <f>X99+Y99</f>
        <v>103482.4</v>
      </c>
      <c r="AA99" s="25"/>
      <c r="AB99" s="12">
        <f>Z99+AA99</f>
        <v>103482.4</v>
      </c>
      <c r="AC99" s="1" t="s">
        <v>103</v>
      </c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</row>
    <row r="100" spans="1:63" ht="59.25" customHeight="1" x14ac:dyDescent="0.3">
      <c r="A100" s="7" t="s">
        <v>157</v>
      </c>
      <c r="B100" s="11" t="s">
        <v>28</v>
      </c>
      <c r="C100" s="11" t="s">
        <v>15</v>
      </c>
      <c r="D100" s="12">
        <f>D102+D103</f>
        <v>140000</v>
      </c>
      <c r="E100" s="12">
        <f t="shared" ref="E100:F100" si="109">E102+E103</f>
        <v>0</v>
      </c>
      <c r="F100" s="12">
        <f t="shared" si="109"/>
        <v>140000</v>
      </c>
      <c r="G100" s="12">
        <f t="shared" ref="G100:H100" si="110">G102+G103</f>
        <v>0</v>
      </c>
      <c r="H100" s="12">
        <f t="shared" si="110"/>
        <v>140000</v>
      </c>
      <c r="I100" s="43">
        <f t="shared" ref="I100:J100" si="111">I102+I103</f>
        <v>0</v>
      </c>
      <c r="J100" s="12">
        <f t="shared" si="111"/>
        <v>140000</v>
      </c>
      <c r="K100" s="43">
        <f>K102+K103</f>
        <v>0</v>
      </c>
      <c r="L100" s="12">
        <f t="shared" ref="L100:N100" si="112">L102+L103</f>
        <v>140000</v>
      </c>
      <c r="M100" s="43">
        <f>M102+M103</f>
        <v>0</v>
      </c>
      <c r="N100" s="12">
        <f t="shared" si="112"/>
        <v>140000</v>
      </c>
      <c r="O100" s="43">
        <f>O102+O103</f>
        <v>-15994.491</v>
      </c>
      <c r="P100" s="12">
        <f t="shared" ref="P100:R100" si="113">P102+P103</f>
        <v>124005.50899999999</v>
      </c>
      <c r="Q100" s="43">
        <f>Q102+Q103</f>
        <v>0</v>
      </c>
      <c r="R100" s="12">
        <f t="shared" si="113"/>
        <v>124005.50899999999</v>
      </c>
      <c r="S100" s="43">
        <f>S102+S103</f>
        <v>0</v>
      </c>
      <c r="T100" s="12">
        <f t="shared" ref="T100:V100" si="114">T102+T103</f>
        <v>124005.50899999999</v>
      </c>
      <c r="U100" s="43">
        <f>U102+U103</f>
        <v>0</v>
      </c>
      <c r="V100" s="12">
        <f t="shared" si="114"/>
        <v>124005.50899999999</v>
      </c>
      <c r="W100" s="43">
        <f>W102+W103</f>
        <v>0</v>
      </c>
      <c r="X100" s="12">
        <f t="shared" ref="X100:Z100" si="115">X102+X103</f>
        <v>124005.50899999999</v>
      </c>
      <c r="Y100" s="43">
        <f>Y102+Y103</f>
        <v>0</v>
      </c>
      <c r="Z100" s="12">
        <f t="shared" si="115"/>
        <v>124005.50899999999</v>
      </c>
      <c r="AA100" s="25">
        <f>AA102+AA103</f>
        <v>0</v>
      </c>
      <c r="AB100" s="12">
        <f t="shared" ref="AB100" si="116">AB102+AB103</f>
        <v>124005.50899999999</v>
      </c>
      <c r="AC100" s="1" t="s">
        <v>29</v>
      </c>
    </row>
    <row r="101" spans="1:63" ht="21" customHeight="1" x14ac:dyDescent="0.3">
      <c r="A101" s="7"/>
      <c r="B101" s="8" t="s">
        <v>2</v>
      </c>
      <c r="C101" s="11"/>
      <c r="D101" s="13"/>
      <c r="E101" s="13"/>
      <c r="F101" s="13"/>
      <c r="G101" s="13"/>
      <c r="H101" s="13"/>
      <c r="I101" s="44"/>
      <c r="J101" s="13"/>
      <c r="K101" s="44"/>
      <c r="L101" s="13"/>
      <c r="M101" s="44"/>
      <c r="N101" s="13"/>
      <c r="O101" s="44"/>
      <c r="P101" s="13"/>
      <c r="Q101" s="44"/>
      <c r="R101" s="13"/>
      <c r="S101" s="44"/>
      <c r="T101" s="13"/>
      <c r="U101" s="44"/>
      <c r="V101" s="13"/>
      <c r="W101" s="44"/>
      <c r="X101" s="13"/>
      <c r="Y101" s="44"/>
      <c r="Z101" s="13"/>
      <c r="AA101" s="26"/>
      <c r="AB101" s="13"/>
    </row>
    <row r="102" spans="1:63" hidden="1" x14ac:dyDescent="0.3">
      <c r="A102" s="7"/>
      <c r="B102" s="17" t="s">
        <v>3</v>
      </c>
      <c r="C102" s="11"/>
      <c r="D102" s="13">
        <v>35000</v>
      </c>
      <c r="E102" s="13"/>
      <c r="F102" s="13">
        <f t="shared" ref="F102:F111" si="117">D102+E102</f>
        <v>35000</v>
      </c>
      <c r="G102" s="13"/>
      <c r="H102" s="13">
        <f t="shared" ref="H102:H111" si="118">F102+G102</f>
        <v>35000</v>
      </c>
      <c r="I102" s="44"/>
      <c r="J102" s="13">
        <f t="shared" ref="J102:J111" si="119">H102+I102</f>
        <v>35000</v>
      </c>
      <c r="K102" s="44"/>
      <c r="L102" s="13">
        <f t="shared" ref="L102:L111" si="120">J102+K102</f>
        <v>35000</v>
      </c>
      <c r="M102" s="44"/>
      <c r="N102" s="13">
        <f t="shared" ref="N102:N111" si="121">L102+M102</f>
        <v>35000</v>
      </c>
      <c r="O102" s="44">
        <v>-3998.6219999999998</v>
      </c>
      <c r="P102" s="13">
        <f t="shared" ref="P102:P111" si="122">N102+O102</f>
        <v>31001.378000000001</v>
      </c>
      <c r="Q102" s="44"/>
      <c r="R102" s="13">
        <f t="shared" ref="R102:R111" si="123">P102+Q102</f>
        <v>31001.378000000001</v>
      </c>
      <c r="S102" s="44"/>
      <c r="T102" s="13">
        <f t="shared" ref="T102:T111" si="124">R102+S102</f>
        <v>31001.378000000001</v>
      </c>
      <c r="U102" s="44"/>
      <c r="V102" s="13">
        <f t="shared" ref="V102:V111" si="125">T102+U102</f>
        <v>31001.378000000001</v>
      </c>
      <c r="W102" s="44"/>
      <c r="X102" s="13">
        <f t="shared" ref="X102:X111" si="126">V102+W102</f>
        <v>31001.378000000001</v>
      </c>
      <c r="Y102" s="44"/>
      <c r="Z102" s="13">
        <f t="shared" ref="Z102:Z111" si="127">X102+Y102</f>
        <v>31001.378000000001</v>
      </c>
      <c r="AA102" s="26"/>
      <c r="AB102" s="13">
        <f t="shared" ref="AB102:AB111" si="128">Z102+AA102</f>
        <v>31001.378000000001</v>
      </c>
      <c r="AD102" s="1">
        <v>0</v>
      </c>
    </row>
    <row r="103" spans="1:63" x14ac:dyDescent="0.3">
      <c r="A103" s="7"/>
      <c r="B103" s="58" t="s">
        <v>50</v>
      </c>
      <c r="C103" s="11"/>
      <c r="D103" s="13">
        <v>105000</v>
      </c>
      <c r="E103" s="13"/>
      <c r="F103" s="13">
        <f t="shared" si="117"/>
        <v>105000</v>
      </c>
      <c r="G103" s="13"/>
      <c r="H103" s="13">
        <f t="shared" si="118"/>
        <v>105000</v>
      </c>
      <c r="I103" s="44"/>
      <c r="J103" s="13">
        <f t="shared" si="119"/>
        <v>105000</v>
      </c>
      <c r="K103" s="44"/>
      <c r="L103" s="13">
        <f t="shared" si="120"/>
        <v>105000</v>
      </c>
      <c r="M103" s="44"/>
      <c r="N103" s="13">
        <f t="shared" si="121"/>
        <v>105000</v>
      </c>
      <c r="O103" s="44">
        <v>-11995.869000000001</v>
      </c>
      <c r="P103" s="13">
        <f t="shared" si="122"/>
        <v>93004.130999999994</v>
      </c>
      <c r="Q103" s="44"/>
      <c r="R103" s="13">
        <f t="shared" si="123"/>
        <v>93004.130999999994</v>
      </c>
      <c r="S103" s="44"/>
      <c r="T103" s="13">
        <f t="shared" si="124"/>
        <v>93004.130999999994</v>
      </c>
      <c r="U103" s="44"/>
      <c r="V103" s="13">
        <f t="shared" si="125"/>
        <v>93004.130999999994</v>
      </c>
      <c r="W103" s="44"/>
      <c r="X103" s="13">
        <f t="shared" si="126"/>
        <v>93004.130999999994</v>
      </c>
      <c r="Y103" s="44"/>
      <c r="Z103" s="13">
        <f t="shared" si="127"/>
        <v>93004.130999999994</v>
      </c>
      <c r="AA103" s="26"/>
      <c r="AB103" s="13">
        <f t="shared" si="128"/>
        <v>93004.130999999994</v>
      </c>
      <c r="AC103" s="1" t="s">
        <v>103</v>
      </c>
    </row>
    <row r="104" spans="1:63" s="36" customFormat="1" ht="56.25" hidden="1" x14ac:dyDescent="0.3">
      <c r="A104" s="32" t="s">
        <v>157</v>
      </c>
      <c r="B104" s="37" t="s">
        <v>28</v>
      </c>
      <c r="C104" s="34" t="s">
        <v>33</v>
      </c>
      <c r="D104" s="65">
        <v>9499.9</v>
      </c>
      <c r="E104" s="65"/>
      <c r="F104" s="65">
        <f t="shared" si="117"/>
        <v>9499.9</v>
      </c>
      <c r="G104" s="65"/>
      <c r="H104" s="65">
        <f t="shared" si="118"/>
        <v>9499.9</v>
      </c>
      <c r="I104" s="65"/>
      <c r="J104" s="65">
        <f t="shared" si="119"/>
        <v>9499.9</v>
      </c>
      <c r="K104" s="65"/>
      <c r="L104" s="65">
        <f t="shared" si="120"/>
        <v>9499.9</v>
      </c>
      <c r="M104" s="65"/>
      <c r="N104" s="65">
        <f t="shared" si="121"/>
        <v>9499.9</v>
      </c>
      <c r="O104" s="65"/>
      <c r="P104" s="65">
        <f t="shared" si="122"/>
        <v>9499.9</v>
      </c>
      <c r="Q104" s="65"/>
      <c r="R104" s="65">
        <f t="shared" si="123"/>
        <v>9499.9</v>
      </c>
      <c r="S104" s="65"/>
      <c r="T104" s="65">
        <f t="shared" si="124"/>
        <v>9499.9</v>
      </c>
      <c r="U104" s="65"/>
      <c r="V104" s="65">
        <f t="shared" si="125"/>
        <v>9499.9</v>
      </c>
      <c r="W104" s="44">
        <v>-9499.9</v>
      </c>
      <c r="X104" s="65">
        <f t="shared" si="126"/>
        <v>0</v>
      </c>
      <c r="Y104" s="44"/>
      <c r="Z104" s="65">
        <f t="shared" si="127"/>
        <v>0</v>
      </c>
      <c r="AA104" s="65"/>
      <c r="AB104" s="65">
        <f t="shared" si="128"/>
        <v>0</v>
      </c>
      <c r="AC104" s="36" t="s">
        <v>29</v>
      </c>
      <c r="AD104" s="36">
        <v>0</v>
      </c>
    </row>
    <row r="105" spans="1:63" ht="75" x14ac:dyDescent="0.3">
      <c r="A105" s="7" t="s">
        <v>173</v>
      </c>
      <c r="B105" s="11" t="s">
        <v>161</v>
      </c>
      <c r="C105" s="11" t="s">
        <v>15</v>
      </c>
      <c r="D105" s="13">
        <v>0</v>
      </c>
      <c r="E105" s="13">
        <v>653</v>
      </c>
      <c r="F105" s="13">
        <f t="shared" si="117"/>
        <v>653</v>
      </c>
      <c r="G105" s="13"/>
      <c r="H105" s="13">
        <f t="shared" si="118"/>
        <v>653</v>
      </c>
      <c r="I105" s="44"/>
      <c r="J105" s="13">
        <f t="shared" si="119"/>
        <v>653</v>
      </c>
      <c r="K105" s="44"/>
      <c r="L105" s="13">
        <f t="shared" si="120"/>
        <v>653</v>
      </c>
      <c r="M105" s="44"/>
      <c r="N105" s="13">
        <f t="shared" si="121"/>
        <v>653</v>
      </c>
      <c r="O105" s="44">
        <v>-311.91300000000001</v>
      </c>
      <c r="P105" s="13">
        <f t="shared" si="122"/>
        <v>341.08699999999999</v>
      </c>
      <c r="Q105" s="44"/>
      <c r="R105" s="13">
        <f t="shared" si="123"/>
        <v>341.08699999999999</v>
      </c>
      <c r="S105" s="44"/>
      <c r="T105" s="13">
        <f t="shared" si="124"/>
        <v>341.08699999999999</v>
      </c>
      <c r="U105" s="44"/>
      <c r="V105" s="13">
        <f t="shared" si="125"/>
        <v>341.08699999999999</v>
      </c>
      <c r="W105" s="44"/>
      <c r="X105" s="13">
        <f t="shared" si="126"/>
        <v>341.08699999999999</v>
      </c>
      <c r="Y105" s="44"/>
      <c r="Z105" s="13">
        <f t="shared" si="127"/>
        <v>341.08699999999999</v>
      </c>
      <c r="AA105" s="26"/>
      <c r="AB105" s="13">
        <f t="shared" si="128"/>
        <v>341.08699999999999</v>
      </c>
      <c r="AC105" s="1" t="s">
        <v>144</v>
      </c>
    </row>
    <row r="106" spans="1:63" ht="75" x14ac:dyDescent="0.3">
      <c r="A106" s="7" t="s">
        <v>195</v>
      </c>
      <c r="B106" s="11" t="s">
        <v>146</v>
      </c>
      <c r="C106" s="11" t="s">
        <v>15</v>
      </c>
      <c r="D106" s="13">
        <v>0</v>
      </c>
      <c r="E106" s="13">
        <v>1620.3</v>
      </c>
      <c r="F106" s="13">
        <f t="shared" si="117"/>
        <v>1620.3</v>
      </c>
      <c r="G106" s="13"/>
      <c r="H106" s="13">
        <f t="shared" si="118"/>
        <v>1620.3</v>
      </c>
      <c r="I106" s="44"/>
      <c r="J106" s="13">
        <f t="shared" si="119"/>
        <v>1620.3</v>
      </c>
      <c r="K106" s="44">
        <v>-622.1</v>
      </c>
      <c r="L106" s="13">
        <f t="shared" si="120"/>
        <v>998.19999999999993</v>
      </c>
      <c r="M106" s="44">
        <v>-486.68299999999999</v>
      </c>
      <c r="N106" s="13">
        <f t="shared" si="121"/>
        <v>511.51699999999994</v>
      </c>
      <c r="O106" s="44"/>
      <c r="P106" s="13">
        <f t="shared" si="122"/>
        <v>511.51699999999994</v>
      </c>
      <c r="Q106" s="44"/>
      <c r="R106" s="13">
        <f t="shared" si="123"/>
        <v>511.51699999999994</v>
      </c>
      <c r="S106" s="44">
        <v>96.347999999999999</v>
      </c>
      <c r="T106" s="13">
        <f t="shared" si="124"/>
        <v>607.8649999999999</v>
      </c>
      <c r="U106" s="44"/>
      <c r="V106" s="13">
        <f t="shared" si="125"/>
        <v>607.8649999999999</v>
      </c>
      <c r="W106" s="44"/>
      <c r="X106" s="13">
        <f t="shared" si="126"/>
        <v>607.8649999999999</v>
      </c>
      <c r="Y106" s="44"/>
      <c r="Z106" s="13">
        <f t="shared" si="127"/>
        <v>607.8649999999999</v>
      </c>
      <c r="AA106" s="26"/>
      <c r="AB106" s="13">
        <f t="shared" si="128"/>
        <v>607.8649999999999</v>
      </c>
      <c r="AC106" s="1" t="s">
        <v>145</v>
      </c>
    </row>
    <row r="107" spans="1:63" s="36" customFormat="1" ht="56.25" hidden="1" x14ac:dyDescent="0.3">
      <c r="A107" s="32" t="s">
        <v>157</v>
      </c>
      <c r="B107" s="37" t="s">
        <v>176</v>
      </c>
      <c r="C107" s="37" t="s">
        <v>17</v>
      </c>
      <c r="D107" s="65"/>
      <c r="E107" s="65"/>
      <c r="F107" s="65"/>
      <c r="G107" s="65"/>
      <c r="H107" s="65"/>
      <c r="I107" s="65"/>
      <c r="J107" s="65">
        <f t="shared" si="119"/>
        <v>0</v>
      </c>
      <c r="K107" s="65"/>
      <c r="L107" s="65">
        <f t="shared" si="120"/>
        <v>0</v>
      </c>
      <c r="M107" s="65"/>
      <c r="N107" s="65">
        <f t="shared" si="121"/>
        <v>0</v>
      </c>
      <c r="O107" s="65"/>
      <c r="P107" s="65">
        <f t="shared" si="122"/>
        <v>0</v>
      </c>
      <c r="Q107" s="65"/>
      <c r="R107" s="65">
        <f t="shared" si="123"/>
        <v>0</v>
      </c>
      <c r="S107" s="65"/>
      <c r="T107" s="65">
        <f t="shared" si="124"/>
        <v>0</v>
      </c>
      <c r="U107" s="65"/>
      <c r="V107" s="65">
        <f t="shared" si="125"/>
        <v>0</v>
      </c>
      <c r="W107" s="65"/>
      <c r="X107" s="65">
        <f t="shared" si="126"/>
        <v>0</v>
      </c>
      <c r="Y107" s="44"/>
      <c r="Z107" s="65">
        <f t="shared" si="127"/>
        <v>0</v>
      </c>
      <c r="AA107" s="65"/>
      <c r="AB107" s="65">
        <f t="shared" si="128"/>
        <v>0</v>
      </c>
      <c r="AC107" s="36" t="s">
        <v>178</v>
      </c>
      <c r="AD107" s="36">
        <v>0</v>
      </c>
    </row>
    <row r="108" spans="1:63" s="36" customFormat="1" ht="75" hidden="1" x14ac:dyDescent="0.3">
      <c r="A108" s="32" t="s">
        <v>173</v>
      </c>
      <c r="B108" s="37" t="s">
        <v>177</v>
      </c>
      <c r="C108" s="37" t="s">
        <v>15</v>
      </c>
      <c r="D108" s="65"/>
      <c r="E108" s="65"/>
      <c r="F108" s="65"/>
      <c r="G108" s="65"/>
      <c r="H108" s="65"/>
      <c r="I108" s="65"/>
      <c r="J108" s="65">
        <f t="shared" si="119"/>
        <v>0</v>
      </c>
      <c r="K108" s="65"/>
      <c r="L108" s="65">
        <f t="shared" si="120"/>
        <v>0</v>
      </c>
      <c r="M108" s="65"/>
      <c r="N108" s="65">
        <f t="shared" si="121"/>
        <v>0</v>
      </c>
      <c r="O108" s="65"/>
      <c r="P108" s="65">
        <f t="shared" si="122"/>
        <v>0</v>
      </c>
      <c r="Q108" s="65"/>
      <c r="R108" s="65">
        <f t="shared" si="123"/>
        <v>0</v>
      </c>
      <c r="S108" s="65"/>
      <c r="T108" s="65">
        <f t="shared" si="124"/>
        <v>0</v>
      </c>
      <c r="U108" s="65"/>
      <c r="V108" s="65">
        <f t="shared" si="125"/>
        <v>0</v>
      </c>
      <c r="W108" s="65"/>
      <c r="X108" s="65">
        <f t="shared" si="126"/>
        <v>0</v>
      </c>
      <c r="Y108" s="44"/>
      <c r="Z108" s="65">
        <f t="shared" si="127"/>
        <v>0</v>
      </c>
      <c r="AA108" s="65"/>
      <c r="AB108" s="65">
        <f t="shared" si="128"/>
        <v>0</v>
      </c>
      <c r="AC108" s="36" t="s">
        <v>179</v>
      </c>
      <c r="AD108" s="36">
        <v>0</v>
      </c>
    </row>
    <row r="109" spans="1:63" ht="60" customHeight="1" x14ac:dyDescent="0.3">
      <c r="A109" s="7" t="s">
        <v>196</v>
      </c>
      <c r="B109" s="11" t="s">
        <v>176</v>
      </c>
      <c r="C109" s="11" t="s">
        <v>17</v>
      </c>
      <c r="D109" s="13"/>
      <c r="E109" s="13"/>
      <c r="F109" s="12"/>
      <c r="G109" s="13"/>
      <c r="H109" s="12"/>
      <c r="I109" s="44"/>
      <c r="J109" s="12"/>
      <c r="K109" s="44">
        <v>11.824</v>
      </c>
      <c r="L109" s="13">
        <f t="shared" si="120"/>
        <v>11.824</v>
      </c>
      <c r="M109" s="44"/>
      <c r="N109" s="13">
        <f t="shared" si="121"/>
        <v>11.824</v>
      </c>
      <c r="O109" s="44"/>
      <c r="P109" s="13">
        <f t="shared" si="122"/>
        <v>11.824</v>
      </c>
      <c r="Q109" s="44"/>
      <c r="R109" s="13">
        <f t="shared" si="123"/>
        <v>11.824</v>
      </c>
      <c r="S109" s="44"/>
      <c r="T109" s="13">
        <f t="shared" si="124"/>
        <v>11.824</v>
      </c>
      <c r="U109" s="44"/>
      <c r="V109" s="13">
        <f t="shared" si="125"/>
        <v>11.824</v>
      </c>
      <c r="W109" s="44"/>
      <c r="X109" s="13">
        <f t="shared" si="126"/>
        <v>11.824</v>
      </c>
      <c r="Y109" s="44"/>
      <c r="Z109" s="13">
        <f t="shared" si="127"/>
        <v>11.824</v>
      </c>
      <c r="AA109" s="26"/>
      <c r="AB109" s="13">
        <f t="shared" si="128"/>
        <v>11.824</v>
      </c>
      <c r="AC109" s="1" t="s">
        <v>178</v>
      </c>
    </row>
    <row r="110" spans="1:63" ht="60" customHeight="1" x14ac:dyDescent="0.3">
      <c r="A110" s="7" t="s">
        <v>197</v>
      </c>
      <c r="B110" s="11" t="s">
        <v>187</v>
      </c>
      <c r="C110" s="11" t="s">
        <v>15</v>
      </c>
      <c r="D110" s="13"/>
      <c r="E110" s="13"/>
      <c r="F110" s="12"/>
      <c r="G110" s="13"/>
      <c r="H110" s="12"/>
      <c r="I110" s="44"/>
      <c r="J110" s="12"/>
      <c r="K110" s="44">
        <v>9756.8320000000003</v>
      </c>
      <c r="L110" s="13">
        <f t="shared" si="120"/>
        <v>9756.8320000000003</v>
      </c>
      <c r="M110" s="44"/>
      <c r="N110" s="13">
        <f t="shared" si="121"/>
        <v>9756.8320000000003</v>
      </c>
      <c r="O110" s="44">
        <v>24.393000000000001</v>
      </c>
      <c r="P110" s="13">
        <f t="shared" si="122"/>
        <v>9781.2250000000004</v>
      </c>
      <c r="Q110" s="44"/>
      <c r="R110" s="13">
        <f t="shared" si="123"/>
        <v>9781.2250000000004</v>
      </c>
      <c r="S110" s="44">
        <v>-5679.7539999999999</v>
      </c>
      <c r="T110" s="13">
        <f t="shared" si="124"/>
        <v>4101.4710000000005</v>
      </c>
      <c r="U110" s="44"/>
      <c r="V110" s="13">
        <f t="shared" si="125"/>
        <v>4101.4710000000005</v>
      </c>
      <c r="W110" s="44"/>
      <c r="X110" s="13">
        <f t="shared" si="126"/>
        <v>4101.4710000000005</v>
      </c>
      <c r="Y110" s="44"/>
      <c r="Z110" s="13">
        <f t="shared" si="127"/>
        <v>4101.4710000000005</v>
      </c>
      <c r="AA110" s="26"/>
      <c r="AB110" s="13">
        <f t="shared" si="128"/>
        <v>4101.4710000000005</v>
      </c>
      <c r="AC110" s="1" t="s">
        <v>188</v>
      </c>
    </row>
    <row r="111" spans="1:63" s="48" customFormat="1" x14ac:dyDescent="0.3">
      <c r="A111" s="46"/>
      <c r="B111" s="76" t="s">
        <v>18</v>
      </c>
      <c r="C111" s="77"/>
      <c r="D111" s="68">
        <f>D115+D119</f>
        <v>190910.9</v>
      </c>
      <c r="E111" s="68">
        <f>E115+E119+E120</f>
        <v>0</v>
      </c>
      <c r="F111" s="68">
        <f t="shared" si="117"/>
        <v>190910.9</v>
      </c>
      <c r="G111" s="68">
        <f>G115+G119+G120</f>
        <v>0</v>
      </c>
      <c r="H111" s="68">
        <f t="shared" si="118"/>
        <v>190910.9</v>
      </c>
      <c r="I111" s="68">
        <f>I115+I119+I120</f>
        <v>0</v>
      </c>
      <c r="J111" s="68">
        <f t="shared" si="119"/>
        <v>190910.9</v>
      </c>
      <c r="K111" s="68">
        <f>K115+K119+K120</f>
        <v>-51186.917999999998</v>
      </c>
      <c r="L111" s="68">
        <f t="shared" si="120"/>
        <v>139723.98199999999</v>
      </c>
      <c r="M111" s="68">
        <f>M115+M119+M120</f>
        <v>0</v>
      </c>
      <c r="N111" s="68">
        <f t="shared" si="121"/>
        <v>139723.98199999999</v>
      </c>
      <c r="O111" s="68">
        <f>O115+O119+O120</f>
        <v>-44395.9</v>
      </c>
      <c r="P111" s="68">
        <f t="shared" si="122"/>
        <v>95328.081999999995</v>
      </c>
      <c r="Q111" s="68">
        <f>Q115+Q119+Q120</f>
        <v>0</v>
      </c>
      <c r="R111" s="68">
        <f t="shared" si="123"/>
        <v>95328.081999999995</v>
      </c>
      <c r="S111" s="68">
        <f>S115+S119+S120</f>
        <v>0</v>
      </c>
      <c r="T111" s="68">
        <f t="shared" si="124"/>
        <v>95328.081999999995</v>
      </c>
      <c r="U111" s="31">
        <f>U115+U119+U120</f>
        <v>0</v>
      </c>
      <c r="V111" s="31">
        <f t="shared" si="125"/>
        <v>95328.081999999995</v>
      </c>
      <c r="W111" s="31">
        <f>W115+W119+W120</f>
        <v>0</v>
      </c>
      <c r="X111" s="31">
        <f t="shared" si="126"/>
        <v>95328.081999999995</v>
      </c>
      <c r="Y111" s="31">
        <f>Y115+Y119+Y120</f>
        <v>0</v>
      </c>
      <c r="Z111" s="31">
        <f t="shared" si="127"/>
        <v>95328.081999999995</v>
      </c>
      <c r="AA111" s="31">
        <f>AA115+AA119+AA120</f>
        <v>0</v>
      </c>
      <c r="AB111" s="31">
        <f t="shared" si="128"/>
        <v>95328.081999999995</v>
      </c>
    </row>
    <row r="112" spans="1:63" x14ac:dyDescent="0.3">
      <c r="A112" s="7"/>
      <c r="B112" s="8" t="s">
        <v>2</v>
      </c>
      <c r="C112" s="15"/>
      <c r="D112" s="9"/>
      <c r="E112" s="9"/>
      <c r="F112" s="9"/>
      <c r="G112" s="9"/>
      <c r="H112" s="9"/>
      <c r="I112" s="31"/>
      <c r="J112" s="9"/>
      <c r="K112" s="31"/>
      <c r="L112" s="9"/>
      <c r="M112" s="31"/>
      <c r="N112" s="9"/>
      <c r="O112" s="31"/>
      <c r="P112" s="9"/>
      <c r="Q112" s="31"/>
      <c r="R112" s="9"/>
      <c r="S112" s="31"/>
      <c r="T112" s="9"/>
      <c r="U112" s="31"/>
      <c r="V112" s="9"/>
      <c r="W112" s="31"/>
      <c r="X112" s="9"/>
      <c r="Y112" s="31"/>
      <c r="Z112" s="9"/>
      <c r="AA112" s="24"/>
      <c r="AB112" s="9"/>
    </row>
    <row r="113" spans="1:30" hidden="1" x14ac:dyDescent="0.3">
      <c r="A113" s="7"/>
      <c r="B113" s="17" t="s">
        <v>3</v>
      </c>
      <c r="C113" s="15"/>
      <c r="D113" s="9">
        <f>D117+D119+D120</f>
        <v>127234.8</v>
      </c>
      <c r="E113" s="9">
        <f>E117+E119+E120</f>
        <v>0</v>
      </c>
      <c r="F113" s="9">
        <f>D113+E113</f>
        <v>127234.8</v>
      </c>
      <c r="G113" s="9">
        <f>G117+G119+G120</f>
        <v>0</v>
      </c>
      <c r="H113" s="9">
        <f>F113+G113</f>
        <v>127234.8</v>
      </c>
      <c r="I113" s="31">
        <f>I117+I119+I120</f>
        <v>0</v>
      </c>
      <c r="J113" s="9">
        <f>H113+I113</f>
        <v>127234.8</v>
      </c>
      <c r="K113" s="31">
        <f>K117+K119+K120</f>
        <v>-51186.917999999998</v>
      </c>
      <c r="L113" s="9">
        <f>J113+K113</f>
        <v>76047.882000000012</v>
      </c>
      <c r="M113" s="31">
        <f>M117+M119+M120</f>
        <v>0</v>
      </c>
      <c r="N113" s="9">
        <f>L113+M113</f>
        <v>76047.882000000012</v>
      </c>
      <c r="O113" s="31">
        <f>O117+O119+O120</f>
        <v>0</v>
      </c>
      <c r="P113" s="9">
        <f>N113+O113</f>
        <v>76047.882000000012</v>
      </c>
      <c r="Q113" s="31">
        <f>Q117+Q119+Q120</f>
        <v>0</v>
      </c>
      <c r="R113" s="9">
        <f>P113+Q113</f>
        <v>76047.882000000012</v>
      </c>
      <c r="S113" s="31">
        <f>S117+S119+S120</f>
        <v>0</v>
      </c>
      <c r="T113" s="9">
        <f>R113+S113</f>
        <v>76047.882000000012</v>
      </c>
      <c r="U113" s="31">
        <f>U117+U119+U120</f>
        <v>0</v>
      </c>
      <c r="V113" s="9">
        <f>T113+U113</f>
        <v>76047.882000000012</v>
      </c>
      <c r="W113" s="31">
        <f>W117+W119+W120</f>
        <v>0</v>
      </c>
      <c r="X113" s="9">
        <f>V113+W113</f>
        <v>76047.882000000012</v>
      </c>
      <c r="Y113" s="31">
        <f>Y117+Y119+Y120</f>
        <v>0</v>
      </c>
      <c r="Z113" s="9">
        <f>X113+Y113</f>
        <v>76047.882000000012</v>
      </c>
      <c r="AA113" s="24">
        <f>AA117+AA119+AA120</f>
        <v>0</v>
      </c>
      <c r="AB113" s="9">
        <f>Z113+AA113</f>
        <v>76047.882000000012</v>
      </c>
      <c r="AD113" s="1">
        <v>0</v>
      </c>
    </row>
    <row r="114" spans="1:30" x14ac:dyDescent="0.3">
      <c r="A114" s="7"/>
      <c r="B114" s="58" t="s">
        <v>59</v>
      </c>
      <c r="C114" s="15"/>
      <c r="D114" s="9">
        <f>D118</f>
        <v>63676.1</v>
      </c>
      <c r="E114" s="9">
        <f t="shared" ref="E114:G114" si="129">E118</f>
        <v>0</v>
      </c>
      <c r="F114" s="9">
        <f>D114+E114</f>
        <v>63676.1</v>
      </c>
      <c r="G114" s="9">
        <f t="shared" si="129"/>
        <v>0</v>
      </c>
      <c r="H114" s="9">
        <f>F114+G114</f>
        <v>63676.1</v>
      </c>
      <c r="I114" s="31">
        <f t="shared" ref="I114:K114" si="130">I118</f>
        <v>0</v>
      </c>
      <c r="J114" s="9">
        <f>H114+I114</f>
        <v>63676.1</v>
      </c>
      <c r="K114" s="31">
        <f t="shared" si="130"/>
        <v>0</v>
      </c>
      <c r="L114" s="9">
        <f>J114+K114</f>
        <v>63676.1</v>
      </c>
      <c r="M114" s="31">
        <f t="shared" ref="M114:O114" si="131">M118</f>
        <v>0</v>
      </c>
      <c r="N114" s="9">
        <f>L114+M114</f>
        <v>63676.1</v>
      </c>
      <c r="O114" s="31">
        <f t="shared" si="131"/>
        <v>-44395.9</v>
      </c>
      <c r="P114" s="9">
        <f>N114+O114</f>
        <v>19280.199999999997</v>
      </c>
      <c r="Q114" s="31">
        <f t="shared" ref="Q114:S114" si="132">Q118</f>
        <v>0</v>
      </c>
      <c r="R114" s="9">
        <f>P114+Q114</f>
        <v>19280.199999999997</v>
      </c>
      <c r="S114" s="31">
        <f t="shared" si="132"/>
        <v>0</v>
      </c>
      <c r="T114" s="9">
        <f>R114+S114</f>
        <v>19280.199999999997</v>
      </c>
      <c r="U114" s="31">
        <f t="shared" ref="U114:W114" si="133">U118</f>
        <v>0</v>
      </c>
      <c r="V114" s="9">
        <f>T114+U114</f>
        <v>19280.199999999997</v>
      </c>
      <c r="W114" s="31">
        <f t="shared" si="133"/>
        <v>0</v>
      </c>
      <c r="X114" s="9">
        <f>V114+W114</f>
        <v>19280.199999999997</v>
      </c>
      <c r="Y114" s="31">
        <f t="shared" ref="Y114:AA114" si="134">Y118</f>
        <v>0</v>
      </c>
      <c r="Z114" s="9">
        <f>X114+Y114</f>
        <v>19280.199999999997</v>
      </c>
      <c r="AA114" s="24">
        <f t="shared" si="134"/>
        <v>0</v>
      </c>
      <c r="AB114" s="9">
        <f>Z114+AA114</f>
        <v>19280.199999999997</v>
      </c>
    </row>
    <row r="115" spans="1:30" ht="75" x14ac:dyDescent="0.3">
      <c r="A115" s="7" t="s">
        <v>201</v>
      </c>
      <c r="B115" s="16" t="s">
        <v>131</v>
      </c>
      <c r="C115" s="11" t="s">
        <v>19</v>
      </c>
      <c r="D115" s="9">
        <f>D117+D118</f>
        <v>90910.9</v>
      </c>
      <c r="E115" s="9">
        <f t="shared" ref="E115:F115" si="135">E117+E118</f>
        <v>0</v>
      </c>
      <c r="F115" s="9">
        <f t="shared" si="135"/>
        <v>90910.9</v>
      </c>
      <c r="G115" s="9">
        <f t="shared" ref="G115:H115" si="136">G117+G118</f>
        <v>0</v>
      </c>
      <c r="H115" s="9">
        <f t="shared" si="136"/>
        <v>90910.9</v>
      </c>
      <c r="I115" s="31">
        <f>I117+I118</f>
        <v>0</v>
      </c>
      <c r="J115" s="9">
        <f t="shared" ref="J115:L115" si="137">J117+J118</f>
        <v>90910.9</v>
      </c>
      <c r="K115" s="31">
        <f>K117+K118</f>
        <v>48813.082000000002</v>
      </c>
      <c r="L115" s="9">
        <f t="shared" si="137"/>
        <v>139723.98199999999</v>
      </c>
      <c r="M115" s="31">
        <f>M117+M118</f>
        <v>0</v>
      </c>
      <c r="N115" s="9">
        <f t="shared" ref="N115:P115" si="138">N117+N118</f>
        <v>139723.98199999999</v>
      </c>
      <c r="O115" s="31">
        <f>O117+O118</f>
        <v>-44395.9</v>
      </c>
      <c r="P115" s="9">
        <f t="shared" si="138"/>
        <v>95328.081999999995</v>
      </c>
      <c r="Q115" s="31">
        <f>Q117+Q118</f>
        <v>0</v>
      </c>
      <c r="R115" s="9">
        <f t="shared" ref="R115:T115" si="139">R117+R118</f>
        <v>95328.081999999995</v>
      </c>
      <c r="S115" s="31">
        <f>S117+S118</f>
        <v>0</v>
      </c>
      <c r="T115" s="9">
        <f t="shared" si="139"/>
        <v>95328.081999999995</v>
      </c>
      <c r="U115" s="31">
        <f>U117+U118</f>
        <v>0</v>
      </c>
      <c r="V115" s="9">
        <f t="shared" ref="V115:X115" si="140">V117+V118</f>
        <v>95328.081999999995</v>
      </c>
      <c r="W115" s="31">
        <f>W117+W118</f>
        <v>0</v>
      </c>
      <c r="X115" s="9">
        <f t="shared" si="140"/>
        <v>95328.081999999995</v>
      </c>
      <c r="Y115" s="31">
        <f>Y117+Y118</f>
        <v>0</v>
      </c>
      <c r="Z115" s="9">
        <f t="shared" ref="Z115:AB115" si="141">Z117+Z118</f>
        <v>95328.081999999995</v>
      </c>
      <c r="AA115" s="24">
        <f>AA117+AA118</f>
        <v>0</v>
      </c>
      <c r="AB115" s="9">
        <f t="shared" si="141"/>
        <v>95328.081999999995</v>
      </c>
      <c r="AC115" s="1" t="s">
        <v>42</v>
      </c>
    </row>
    <row r="116" spans="1:30" x14ac:dyDescent="0.3">
      <c r="A116" s="7"/>
      <c r="B116" s="8" t="s">
        <v>2</v>
      </c>
      <c r="C116" s="11"/>
      <c r="D116" s="9"/>
      <c r="E116" s="9"/>
      <c r="F116" s="9"/>
      <c r="G116" s="9"/>
      <c r="H116" s="9"/>
      <c r="I116" s="31"/>
      <c r="J116" s="9"/>
      <c r="K116" s="31"/>
      <c r="L116" s="9"/>
      <c r="M116" s="31"/>
      <c r="N116" s="9"/>
      <c r="O116" s="31"/>
      <c r="P116" s="9"/>
      <c r="Q116" s="31"/>
      <c r="R116" s="9"/>
      <c r="S116" s="31"/>
      <c r="T116" s="9"/>
      <c r="U116" s="31"/>
      <c r="V116" s="9"/>
      <c r="W116" s="31"/>
      <c r="X116" s="9"/>
      <c r="Y116" s="31"/>
      <c r="Z116" s="9"/>
      <c r="AA116" s="24"/>
      <c r="AB116" s="9"/>
    </row>
    <row r="117" spans="1:30" hidden="1" x14ac:dyDescent="0.3">
      <c r="A117" s="7"/>
      <c r="B117" s="17" t="s">
        <v>3</v>
      </c>
      <c r="C117" s="11"/>
      <c r="D117" s="9">
        <v>27234.799999999999</v>
      </c>
      <c r="E117" s="9"/>
      <c r="F117" s="9">
        <f t="shared" ref="F117:F127" si="142">D117+E117</f>
        <v>27234.799999999999</v>
      </c>
      <c r="G117" s="9"/>
      <c r="H117" s="9">
        <f t="shared" ref="H117:H119" si="143">F117+G117</f>
        <v>27234.799999999999</v>
      </c>
      <c r="I117" s="31"/>
      <c r="J117" s="9">
        <f t="shared" ref="J117:J119" si="144">H117+I117</f>
        <v>27234.799999999999</v>
      </c>
      <c r="K117" s="31">
        <f>19299.429+17637.755+9014.371+2861.527</f>
        <v>48813.082000000002</v>
      </c>
      <c r="L117" s="9">
        <f>J117+K117</f>
        <v>76047.881999999998</v>
      </c>
      <c r="M117" s="31"/>
      <c r="N117" s="9">
        <f>L117+M117</f>
        <v>76047.881999999998</v>
      </c>
      <c r="O117" s="31"/>
      <c r="P117" s="9">
        <f>N117+O117</f>
        <v>76047.881999999998</v>
      </c>
      <c r="Q117" s="31"/>
      <c r="R117" s="9">
        <f>P117+Q117</f>
        <v>76047.881999999998</v>
      </c>
      <c r="S117" s="31"/>
      <c r="T117" s="9">
        <f>R117+S117</f>
        <v>76047.881999999998</v>
      </c>
      <c r="U117" s="31"/>
      <c r="V117" s="9">
        <f>T117+U117</f>
        <v>76047.881999999998</v>
      </c>
      <c r="W117" s="31"/>
      <c r="X117" s="9">
        <f>V117+W117</f>
        <v>76047.881999999998</v>
      </c>
      <c r="Y117" s="31"/>
      <c r="Z117" s="9">
        <f>X117+Y117</f>
        <v>76047.881999999998</v>
      </c>
      <c r="AA117" s="24"/>
      <c r="AB117" s="9">
        <f>Z117+AA117</f>
        <v>76047.881999999998</v>
      </c>
      <c r="AD117" s="1">
        <v>0</v>
      </c>
    </row>
    <row r="118" spans="1:30" x14ac:dyDescent="0.3">
      <c r="A118" s="7"/>
      <c r="B118" s="58" t="s">
        <v>59</v>
      </c>
      <c r="C118" s="11"/>
      <c r="D118" s="9">
        <v>63676.1</v>
      </c>
      <c r="E118" s="9"/>
      <c r="F118" s="9">
        <f t="shared" si="142"/>
        <v>63676.1</v>
      </c>
      <c r="G118" s="9"/>
      <c r="H118" s="9">
        <f t="shared" si="143"/>
        <v>63676.1</v>
      </c>
      <c r="I118" s="31"/>
      <c r="J118" s="9">
        <f t="shared" si="144"/>
        <v>63676.1</v>
      </c>
      <c r="K118" s="31"/>
      <c r="L118" s="9">
        <f t="shared" ref="L118:L119" si="145">J118+K118</f>
        <v>63676.1</v>
      </c>
      <c r="M118" s="31"/>
      <c r="N118" s="9">
        <f t="shared" ref="N118:N119" si="146">L118+M118</f>
        <v>63676.1</v>
      </c>
      <c r="O118" s="31">
        <v>-44395.9</v>
      </c>
      <c r="P118" s="9">
        <f t="shared" ref="P118:P119" si="147">N118+O118</f>
        <v>19280.199999999997</v>
      </c>
      <c r="Q118" s="31"/>
      <c r="R118" s="9">
        <f t="shared" ref="R118:R119" si="148">P118+Q118</f>
        <v>19280.199999999997</v>
      </c>
      <c r="S118" s="31"/>
      <c r="T118" s="9">
        <f t="shared" ref="T118:T119" si="149">R118+S118</f>
        <v>19280.199999999997</v>
      </c>
      <c r="U118" s="31"/>
      <c r="V118" s="9">
        <f t="shared" ref="V118:V119" si="150">T118+U118</f>
        <v>19280.199999999997</v>
      </c>
      <c r="W118" s="31"/>
      <c r="X118" s="9">
        <f t="shared" ref="X118:X119" si="151">V118+W118</f>
        <v>19280.199999999997</v>
      </c>
      <c r="Y118" s="31"/>
      <c r="Z118" s="9">
        <f t="shared" ref="Z118:Z119" si="152">X118+Y118</f>
        <v>19280.199999999997</v>
      </c>
      <c r="AA118" s="24"/>
      <c r="AB118" s="9">
        <f t="shared" ref="AB118:AB119" si="153">Z118+AA118</f>
        <v>19280.199999999997</v>
      </c>
      <c r="AC118" s="1" t="s">
        <v>60</v>
      </c>
    </row>
    <row r="119" spans="1:30" s="36" customFormat="1" ht="75" hidden="1" x14ac:dyDescent="0.3">
      <c r="A119" s="32"/>
      <c r="B119" s="34" t="s">
        <v>58</v>
      </c>
      <c r="C119" s="37" t="s">
        <v>19</v>
      </c>
      <c r="D119" s="35">
        <v>100000</v>
      </c>
      <c r="E119" s="35">
        <v>-100000</v>
      </c>
      <c r="F119" s="35">
        <f t="shared" si="142"/>
        <v>0</v>
      </c>
      <c r="G119" s="35"/>
      <c r="H119" s="35">
        <f t="shared" si="143"/>
        <v>0</v>
      </c>
      <c r="I119" s="31"/>
      <c r="J119" s="35">
        <f t="shared" si="144"/>
        <v>0</v>
      </c>
      <c r="K119" s="31"/>
      <c r="L119" s="35">
        <f t="shared" si="145"/>
        <v>0</v>
      </c>
      <c r="M119" s="31"/>
      <c r="N119" s="35">
        <f t="shared" si="146"/>
        <v>0</v>
      </c>
      <c r="O119" s="31"/>
      <c r="P119" s="35">
        <f t="shared" si="147"/>
        <v>0</v>
      </c>
      <c r="Q119" s="31"/>
      <c r="R119" s="35">
        <f t="shared" si="148"/>
        <v>0</v>
      </c>
      <c r="S119" s="31"/>
      <c r="T119" s="35">
        <f t="shared" si="149"/>
        <v>0</v>
      </c>
      <c r="U119" s="31"/>
      <c r="V119" s="35">
        <f t="shared" si="150"/>
        <v>0</v>
      </c>
      <c r="W119" s="31"/>
      <c r="X119" s="35">
        <f t="shared" si="151"/>
        <v>0</v>
      </c>
      <c r="Y119" s="31"/>
      <c r="Z119" s="35">
        <f t="shared" si="152"/>
        <v>0</v>
      </c>
      <c r="AA119" s="24"/>
      <c r="AB119" s="35">
        <f t="shared" si="153"/>
        <v>0</v>
      </c>
      <c r="AC119" s="36" t="s">
        <v>53</v>
      </c>
      <c r="AD119" s="36">
        <v>0</v>
      </c>
    </row>
    <row r="120" spans="1:30" s="36" customFormat="1" ht="56.25" hidden="1" x14ac:dyDescent="0.3">
      <c r="A120" s="32" t="s">
        <v>150</v>
      </c>
      <c r="B120" s="34" t="s">
        <v>134</v>
      </c>
      <c r="C120" s="34" t="s">
        <v>55</v>
      </c>
      <c r="D120" s="35">
        <v>0</v>
      </c>
      <c r="E120" s="35">
        <v>100000</v>
      </c>
      <c r="F120" s="35">
        <f>D120+E120</f>
        <v>100000</v>
      </c>
      <c r="G120" s="35"/>
      <c r="H120" s="35">
        <f>F120+G120</f>
        <v>100000</v>
      </c>
      <c r="I120" s="35"/>
      <c r="J120" s="35">
        <f>H120+I120</f>
        <v>100000</v>
      </c>
      <c r="K120" s="31">
        <v>-100000</v>
      </c>
      <c r="L120" s="35">
        <f>J120+K120</f>
        <v>0</v>
      </c>
      <c r="M120" s="31"/>
      <c r="N120" s="35">
        <f>L120+M120</f>
        <v>0</v>
      </c>
      <c r="O120" s="31"/>
      <c r="P120" s="35">
        <f>N120+O120</f>
        <v>0</v>
      </c>
      <c r="Q120" s="31"/>
      <c r="R120" s="35">
        <f>P120+Q120</f>
        <v>0</v>
      </c>
      <c r="S120" s="31"/>
      <c r="T120" s="35">
        <f>R120+S120</f>
        <v>0</v>
      </c>
      <c r="U120" s="31"/>
      <c r="V120" s="35">
        <f>T120+U120</f>
        <v>0</v>
      </c>
      <c r="W120" s="31"/>
      <c r="X120" s="35">
        <f>V120+W120</f>
        <v>0</v>
      </c>
      <c r="Y120" s="31"/>
      <c r="Z120" s="35">
        <f>X120+Y120</f>
        <v>0</v>
      </c>
      <c r="AA120" s="35"/>
      <c r="AB120" s="35">
        <f>Z120+AA120</f>
        <v>0</v>
      </c>
      <c r="AC120" s="36" t="s">
        <v>53</v>
      </c>
      <c r="AD120" s="36">
        <v>0</v>
      </c>
    </row>
    <row r="121" spans="1:30" s="48" customFormat="1" x14ac:dyDescent="0.3">
      <c r="A121" s="46"/>
      <c r="B121" s="47" t="s">
        <v>61</v>
      </c>
      <c r="C121" s="52"/>
      <c r="D121" s="68">
        <f>D122+D124</f>
        <v>86502</v>
      </c>
      <c r="E121" s="68">
        <f t="shared" ref="E121" si="154">E122+E124</f>
        <v>0</v>
      </c>
      <c r="F121" s="68">
        <f t="shared" si="142"/>
        <v>86502</v>
      </c>
      <c r="G121" s="68">
        <f>G122+G124+G125</f>
        <v>0</v>
      </c>
      <c r="H121" s="68">
        <f t="shared" ref="H121:H127" si="155">F121+G121</f>
        <v>86502</v>
      </c>
      <c r="I121" s="68">
        <f>I122+I124+I125</f>
        <v>0</v>
      </c>
      <c r="J121" s="68">
        <f t="shared" ref="J121:J127" si="156">H121+I121</f>
        <v>86502</v>
      </c>
      <c r="K121" s="68">
        <f>K122+K124+K125</f>
        <v>-50500</v>
      </c>
      <c r="L121" s="68">
        <f t="shared" ref="L121:L127" si="157">J121+K121</f>
        <v>36002</v>
      </c>
      <c r="M121" s="68">
        <f>M122+M124+M125</f>
        <v>0</v>
      </c>
      <c r="N121" s="68">
        <f t="shared" ref="N121:N127" si="158">L121+M121</f>
        <v>36002</v>
      </c>
      <c r="O121" s="68">
        <f>O122+O124+O125+O123</f>
        <v>0</v>
      </c>
      <c r="P121" s="68">
        <f t="shared" ref="P121:P127" si="159">N121+O121</f>
        <v>36002</v>
      </c>
      <c r="Q121" s="68">
        <f>Q122+Q124+Q125+Q123</f>
        <v>0</v>
      </c>
      <c r="R121" s="68">
        <f t="shared" ref="R121:R127" si="160">P121+Q121</f>
        <v>36002</v>
      </c>
      <c r="S121" s="68">
        <f>S122+S124+S125+S123</f>
        <v>0</v>
      </c>
      <c r="T121" s="68">
        <f t="shared" ref="T121:T127" si="161">R121+S121</f>
        <v>36002</v>
      </c>
      <c r="U121" s="31">
        <f>U122+U124+U125+U123</f>
        <v>0</v>
      </c>
      <c r="V121" s="31">
        <f t="shared" ref="V121:V127" si="162">T121+U121</f>
        <v>36002</v>
      </c>
      <c r="W121" s="31">
        <f>W122+W124+W125+W123</f>
        <v>0</v>
      </c>
      <c r="X121" s="31">
        <f t="shared" ref="X121:X127" si="163">V121+W121</f>
        <v>36002</v>
      </c>
      <c r="Y121" s="31">
        <f>Y122+Y124+Y125+Y123</f>
        <v>0</v>
      </c>
      <c r="Z121" s="31">
        <f t="shared" ref="Z121:Z127" si="164">X121+Y121</f>
        <v>36002</v>
      </c>
      <c r="AA121" s="31">
        <f>AA122+AA124+AA125+AA123</f>
        <v>0</v>
      </c>
      <c r="AB121" s="31">
        <f t="shared" ref="AB121:AB127" si="165">Z121+AA121</f>
        <v>36002</v>
      </c>
    </row>
    <row r="122" spans="1:30" s="36" customFormat="1" ht="56.25" hidden="1" x14ac:dyDescent="0.3">
      <c r="A122" s="32" t="s">
        <v>196</v>
      </c>
      <c r="B122" s="34" t="s">
        <v>204</v>
      </c>
      <c r="C122" s="34" t="s">
        <v>55</v>
      </c>
      <c r="D122" s="35">
        <v>62002</v>
      </c>
      <c r="E122" s="35"/>
      <c r="F122" s="35">
        <f t="shared" si="142"/>
        <v>62002</v>
      </c>
      <c r="G122" s="35">
        <v>-14193.74</v>
      </c>
      <c r="H122" s="35">
        <f t="shared" si="155"/>
        <v>47808.26</v>
      </c>
      <c r="I122" s="35"/>
      <c r="J122" s="35">
        <f t="shared" si="156"/>
        <v>47808.26</v>
      </c>
      <c r="K122" s="35">
        <v>-26000</v>
      </c>
      <c r="L122" s="35">
        <f t="shared" si="157"/>
        <v>21808.260000000002</v>
      </c>
      <c r="M122" s="35"/>
      <c r="N122" s="35">
        <f t="shared" si="158"/>
        <v>21808.260000000002</v>
      </c>
      <c r="O122" s="35">
        <v>-21808.26</v>
      </c>
      <c r="P122" s="35">
        <f t="shared" si="159"/>
        <v>0</v>
      </c>
      <c r="Q122" s="35"/>
      <c r="R122" s="35">
        <f t="shared" si="160"/>
        <v>0</v>
      </c>
      <c r="S122" s="35"/>
      <c r="T122" s="35">
        <f t="shared" si="161"/>
        <v>0</v>
      </c>
      <c r="U122" s="35"/>
      <c r="V122" s="35">
        <f t="shared" si="162"/>
        <v>0</v>
      </c>
      <c r="W122" s="35"/>
      <c r="X122" s="35">
        <f t="shared" si="163"/>
        <v>0</v>
      </c>
      <c r="Y122" s="31"/>
      <c r="Z122" s="35">
        <f t="shared" si="164"/>
        <v>0</v>
      </c>
      <c r="AA122" s="35"/>
      <c r="AB122" s="35">
        <f t="shared" si="165"/>
        <v>0</v>
      </c>
      <c r="AC122" s="36" t="s">
        <v>62</v>
      </c>
      <c r="AD122" s="36">
        <v>0</v>
      </c>
    </row>
    <row r="123" spans="1:30" ht="56.25" x14ac:dyDescent="0.3">
      <c r="A123" s="7" t="s">
        <v>206</v>
      </c>
      <c r="B123" s="58" t="s">
        <v>202</v>
      </c>
      <c r="C123" s="54" t="s">
        <v>55</v>
      </c>
      <c r="D123" s="9"/>
      <c r="E123" s="9"/>
      <c r="F123" s="9"/>
      <c r="G123" s="9"/>
      <c r="H123" s="9"/>
      <c r="I123" s="31"/>
      <c r="J123" s="9"/>
      <c r="K123" s="31"/>
      <c r="L123" s="9"/>
      <c r="M123" s="31"/>
      <c r="N123" s="9"/>
      <c r="O123" s="31">
        <v>21808.26</v>
      </c>
      <c r="P123" s="9">
        <f t="shared" si="159"/>
        <v>21808.26</v>
      </c>
      <c r="Q123" s="31"/>
      <c r="R123" s="9">
        <f t="shared" si="160"/>
        <v>21808.26</v>
      </c>
      <c r="S123" s="31"/>
      <c r="T123" s="9">
        <f t="shared" si="161"/>
        <v>21808.26</v>
      </c>
      <c r="U123" s="31"/>
      <c r="V123" s="9">
        <f t="shared" si="162"/>
        <v>21808.26</v>
      </c>
      <c r="W123" s="31"/>
      <c r="X123" s="9">
        <f t="shared" si="163"/>
        <v>21808.26</v>
      </c>
      <c r="Y123" s="31"/>
      <c r="Z123" s="9">
        <f t="shared" si="164"/>
        <v>21808.26</v>
      </c>
      <c r="AA123" s="24"/>
      <c r="AB123" s="9">
        <f t="shared" si="165"/>
        <v>21808.26</v>
      </c>
      <c r="AC123" s="1" t="s">
        <v>205</v>
      </c>
    </row>
    <row r="124" spans="1:30" s="36" customFormat="1" ht="56.25" hidden="1" x14ac:dyDescent="0.3">
      <c r="A124" s="32" t="s">
        <v>152</v>
      </c>
      <c r="B124" s="34" t="s">
        <v>65</v>
      </c>
      <c r="C124" s="34" t="s">
        <v>55</v>
      </c>
      <c r="D124" s="35">
        <v>24500</v>
      </c>
      <c r="E124" s="35"/>
      <c r="F124" s="35">
        <f t="shared" si="142"/>
        <v>24500</v>
      </c>
      <c r="G124" s="35"/>
      <c r="H124" s="35">
        <f t="shared" si="155"/>
        <v>24500</v>
      </c>
      <c r="I124" s="35"/>
      <c r="J124" s="35">
        <f t="shared" si="156"/>
        <v>24500</v>
      </c>
      <c r="K124" s="31">
        <v>-24500</v>
      </c>
      <c r="L124" s="35">
        <f t="shared" si="157"/>
        <v>0</v>
      </c>
      <c r="M124" s="31"/>
      <c r="N124" s="35">
        <f t="shared" si="158"/>
        <v>0</v>
      </c>
      <c r="O124" s="31"/>
      <c r="P124" s="35">
        <f t="shared" si="159"/>
        <v>0</v>
      </c>
      <c r="Q124" s="31"/>
      <c r="R124" s="35">
        <f t="shared" si="160"/>
        <v>0</v>
      </c>
      <c r="S124" s="31"/>
      <c r="T124" s="35">
        <f t="shared" si="161"/>
        <v>0</v>
      </c>
      <c r="U124" s="31"/>
      <c r="V124" s="35">
        <f t="shared" si="162"/>
        <v>0</v>
      </c>
      <c r="W124" s="31"/>
      <c r="X124" s="35">
        <f t="shared" si="163"/>
        <v>0</v>
      </c>
      <c r="Y124" s="31"/>
      <c r="Z124" s="35">
        <f t="shared" si="164"/>
        <v>0</v>
      </c>
      <c r="AA124" s="35"/>
      <c r="AB124" s="35">
        <f t="shared" si="165"/>
        <v>0</v>
      </c>
      <c r="AC124" s="36" t="s">
        <v>66</v>
      </c>
      <c r="AD124" s="36">
        <v>0</v>
      </c>
    </row>
    <row r="125" spans="1:30" ht="56.25" x14ac:dyDescent="0.3">
      <c r="A125" s="7" t="s">
        <v>210</v>
      </c>
      <c r="B125" s="58" t="s">
        <v>155</v>
      </c>
      <c r="C125" s="58" t="s">
        <v>55</v>
      </c>
      <c r="D125" s="9"/>
      <c r="E125" s="9"/>
      <c r="F125" s="9"/>
      <c r="G125" s="9">
        <v>14193.74</v>
      </c>
      <c r="H125" s="9">
        <f t="shared" si="155"/>
        <v>14193.74</v>
      </c>
      <c r="I125" s="31"/>
      <c r="J125" s="9">
        <f t="shared" si="156"/>
        <v>14193.74</v>
      </c>
      <c r="K125" s="31"/>
      <c r="L125" s="9">
        <f t="shared" si="157"/>
        <v>14193.74</v>
      </c>
      <c r="M125" s="31"/>
      <c r="N125" s="9">
        <f t="shared" si="158"/>
        <v>14193.74</v>
      </c>
      <c r="O125" s="31"/>
      <c r="P125" s="9">
        <f t="shared" si="159"/>
        <v>14193.74</v>
      </c>
      <c r="Q125" s="31"/>
      <c r="R125" s="9">
        <f t="shared" si="160"/>
        <v>14193.74</v>
      </c>
      <c r="S125" s="31"/>
      <c r="T125" s="9">
        <f t="shared" si="161"/>
        <v>14193.74</v>
      </c>
      <c r="U125" s="31"/>
      <c r="V125" s="9">
        <f t="shared" si="162"/>
        <v>14193.74</v>
      </c>
      <c r="W125" s="31"/>
      <c r="X125" s="9">
        <f t="shared" si="163"/>
        <v>14193.74</v>
      </c>
      <c r="Y125" s="31"/>
      <c r="Z125" s="9">
        <f t="shared" si="164"/>
        <v>14193.74</v>
      </c>
      <c r="AA125" s="24"/>
      <c r="AB125" s="9">
        <f t="shared" si="165"/>
        <v>14193.74</v>
      </c>
      <c r="AC125" s="1" t="s">
        <v>156</v>
      </c>
    </row>
    <row r="126" spans="1:30" s="69" customFormat="1" ht="19.5" hidden="1" customHeight="1" x14ac:dyDescent="0.3">
      <c r="A126" s="67"/>
      <c r="B126" s="70" t="s">
        <v>77</v>
      </c>
      <c r="C126" s="70"/>
      <c r="D126" s="68">
        <f>D127</f>
        <v>50000</v>
      </c>
      <c r="E126" s="68">
        <f t="shared" ref="E126:AA126" si="166">E127</f>
        <v>-50000</v>
      </c>
      <c r="F126" s="68">
        <f t="shared" si="142"/>
        <v>0</v>
      </c>
      <c r="G126" s="68">
        <f t="shared" si="166"/>
        <v>0</v>
      </c>
      <c r="H126" s="68">
        <f t="shared" si="155"/>
        <v>0</v>
      </c>
      <c r="I126" s="68">
        <f t="shared" si="166"/>
        <v>0</v>
      </c>
      <c r="J126" s="68">
        <f t="shared" si="156"/>
        <v>0</v>
      </c>
      <c r="K126" s="68">
        <f t="shared" si="166"/>
        <v>0</v>
      </c>
      <c r="L126" s="68">
        <f t="shared" si="157"/>
        <v>0</v>
      </c>
      <c r="M126" s="68">
        <f t="shared" si="166"/>
        <v>0</v>
      </c>
      <c r="N126" s="68">
        <f t="shared" si="158"/>
        <v>0</v>
      </c>
      <c r="O126" s="68">
        <f t="shared" si="166"/>
        <v>0</v>
      </c>
      <c r="P126" s="68">
        <f t="shared" si="159"/>
        <v>0</v>
      </c>
      <c r="Q126" s="68">
        <f t="shared" si="166"/>
        <v>0</v>
      </c>
      <c r="R126" s="68">
        <f t="shared" si="160"/>
        <v>0</v>
      </c>
      <c r="S126" s="68">
        <f t="shared" si="166"/>
        <v>0</v>
      </c>
      <c r="T126" s="68">
        <f t="shared" si="161"/>
        <v>0</v>
      </c>
      <c r="U126" s="68">
        <f t="shared" si="166"/>
        <v>0</v>
      </c>
      <c r="V126" s="68">
        <f t="shared" si="162"/>
        <v>0</v>
      </c>
      <c r="W126" s="68">
        <f t="shared" si="166"/>
        <v>0</v>
      </c>
      <c r="X126" s="68">
        <f t="shared" si="163"/>
        <v>0</v>
      </c>
      <c r="Y126" s="31">
        <f t="shared" si="166"/>
        <v>0</v>
      </c>
      <c r="Z126" s="68">
        <f t="shared" si="164"/>
        <v>0</v>
      </c>
      <c r="AA126" s="68">
        <f t="shared" si="166"/>
        <v>0</v>
      </c>
      <c r="AB126" s="68">
        <f t="shared" si="165"/>
        <v>0</v>
      </c>
      <c r="AD126" s="69">
        <v>0</v>
      </c>
    </row>
    <row r="127" spans="1:30" s="36" customFormat="1" ht="75" hidden="1" x14ac:dyDescent="0.3">
      <c r="A127" s="32"/>
      <c r="B127" s="34" t="s">
        <v>78</v>
      </c>
      <c r="C127" s="37" t="s">
        <v>79</v>
      </c>
      <c r="D127" s="35">
        <v>50000</v>
      </c>
      <c r="E127" s="35">
        <v>-50000</v>
      </c>
      <c r="F127" s="35">
        <f t="shared" si="142"/>
        <v>0</v>
      </c>
      <c r="G127" s="35"/>
      <c r="H127" s="35">
        <f t="shared" si="155"/>
        <v>0</v>
      </c>
      <c r="I127" s="31"/>
      <c r="J127" s="35">
        <f t="shared" si="156"/>
        <v>0</v>
      </c>
      <c r="K127" s="31"/>
      <c r="L127" s="35">
        <f t="shared" si="157"/>
        <v>0</v>
      </c>
      <c r="M127" s="31"/>
      <c r="N127" s="35">
        <f t="shared" si="158"/>
        <v>0</v>
      </c>
      <c r="O127" s="31"/>
      <c r="P127" s="35">
        <f t="shared" si="159"/>
        <v>0</v>
      </c>
      <c r="Q127" s="31"/>
      <c r="R127" s="35">
        <f t="shared" si="160"/>
        <v>0</v>
      </c>
      <c r="S127" s="31"/>
      <c r="T127" s="35">
        <f t="shared" si="161"/>
        <v>0</v>
      </c>
      <c r="U127" s="31"/>
      <c r="V127" s="35">
        <f t="shared" si="162"/>
        <v>0</v>
      </c>
      <c r="W127" s="31"/>
      <c r="X127" s="35">
        <f t="shared" si="163"/>
        <v>0</v>
      </c>
      <c r="Y127" s="31"/>
      <c r="Z127" s="35">
        <f t="shared" si="164"/>
        <v>0</v>
      </c>
      <c r="AA127" s="24"/>
      <c r="AB127" s="35">
        <f t="shared" si="165"/>
        <v>0</v>
      </c>
      <c r="AC127" s="36" t="s">
        <v>80</v>
      </c>
      <c r="AD127" s="36">
        <v>0</v>
      </c>
    </row>
    <row r="128" spans="1:30" s="48" customFormat="1" x14ac:dyDescent="0.3">
      <c r="A128" s="46"/>
      <c r="B128" s="47" t="s">
        <v>182</v>
      </c>
      <c r="C128" s="47"/>
      <c r="D128" s="68"/>
      <c r="E128" s="68"/>
      <c r="F128" s="68"/>
      <c r="G128" s="68"/>
      <c r="H128" s="68"/>
      <c r="I128" s="68">
        <f>I129+I130</f>
        <v>3973.5</v>
      </c>
      <c r="J128" s="68">
        <f>I128+H128</f>
        <v>3973.5</v>
      </c>
      <c r="K128" s="68">
        <f>K129+K130</f>
        <v>250</v>
      </c>
      <c r="L128" s="68">
        <f>K128+J128</f>
        <v>4223.5</v>
      </c>
      <c r="M128" s="68">
        <f>M129+M130</f>
        <v>0</v>
      </c>
      <c r="N128" s="68">
        <f>M128+L128</f>
        <v>4223.5</v>
      </c>
      <c r="O128" s="68">
        <f>O129+O130</f>
        <v>252.697</v>
      </c>
      <c r="P128" s="68">
        <f>O128+N128</f>
        <v>4476.1970000000001</v>
      </c>
      <c r="Q128" s="68">
        <f>Q129+Q130</f>
        <v>0</v>
      </c>
      <c r="R128" s="68">
        <f>Q128+P128</f>
        <v>4476.1970000000001</v>
      </c>
      <c r="S128" s="68">
        <f>S129+S130</f>
        <v>-252.697</v>
      </c>
      <c r="T128" s="68">
        <f>S128+R128</f>
        <v>4223.5</v>
      </c>
      <c r="U128" s="31">
        <f>U129+U130</f>
        <v>5.5</v>
      </c>
      <c r="V128" s="31">
        <f>U128+T128</f>
        <v>4229</v>
      </c>
      <c r="W128" s="31">
        <f>W129+W130</f>
        <v>0</v>
      </c>
      <c r="X128" s="31">
        <f>W128+V128</f>
        <v>4229</v>
      </c>
      <c r="Y128" s="31">
        <f>Y129+Y130</f>
        <v>-73.296000000000006</v>
      </c>
      <c r="Z128" s="31">
        <f>Y128+X128</f>
        <v>4155.7039999999997</v>
      </c>
      <c r="AA128" s="31">
        <f>AA129+AA130</f>
        <v>0</v>
      </c>
      <c r="AB128" s="31">
        <f>AA128+Z128</f>
        <v>4155.7039999999997</v>
      </c>
    </row>
    <row r="129" spans="1:30" ht="56.25" x14ac:dyDescent="0.3">
      <c r="A129" s="7" t="s">
        <v>216</v>
      </c>
      <c r="B129" s="58" t="s">
        <v>31</v>
      </c>
      <c r="C129" s="58" t="s">
        <v>159</v>
      </c>
      <c r="D129" s="9"/>
      <c r="E129" s="9"/>
      <c r="F129" s="9"/>
      <c r="G129" s="9"/>
      <c r="H129" s="9"/>
      <c r="I129" s="43">
        <v>3973.5</v>
      </c>
      <c r="J129" s="9">
        <f>I129+H129</f>
        <v>3973.5</v>
      </c>
      <c r="K129" s="43">
        <v>250</v>
      </c>
      <c r="L129" s="9">
        <f>K129+J129</f>
        <v>4223.5</v>
      </c>
      <c r="M129" s="43"/>
      <c r="N129" s="9">
        <f>M129+L129</f>
        <v>4223.5</v>
      </c>
      <c r="O129" s="43"/>
      <c r="P129" s="9">
        <f>O129+N129</f>
        <v>4223.5</v>
      </c>
      <c r="Q129" s="43"/>
      <c r="R129" s="9">
        <f>Q129+P129</f>
        <v>4223.5</v>
      </c>
      <c r="S129" s="43"/>
      <c r="T129" s="9">
        <f>S129+R129</f>
        <v>4223.5</v>
      </c>
      <c r="U129" s="43">
        <f>171.3-165.8</f>
        <v>5.5</v>
      </c>
      <c r="V129" s="9">
        <f>U129+T129</f>
        <v>4229</v>
      </c>
      <c r="W129" s="43"/>
      <c r="X129" s="9">
        <f>W129+V129</f>
        <v>4229</v>
      </c>
      <c r="Y129" s="43">
        <v>-73.296000000000006</v>
      </c>
      <c r="Z129" s="9">
        <f>Y129+X129</f>
        <v>4155.7039999999997</v>
      </c>
      <c r="AA129" s="25"/>
      <c r="AB129" s="9">
        <f>AA129+Z129</f>
        <v>4155.7039999999997</v>
      </c>
      <c r="AC129" s="1" t="s">
        <v>32</v>
      </c>
    </row>
    <row r="130" spans="1:30" s="36" customFormat="1" ht="56.25" hidden="1" x14ac:dyDescent="0.3">
      <c r="A130" s="32" t="s">
        <v>210</v>
      </c>
      <c r="B130" s="34" t="s">
        <v>183</v>
      </c>
      <c r="C130" s="34" t="s">
        <v>159</v>
      </c>
      <c r="D130" s="35"/>
      <c r="E130" s="35"/>
      <c r="F130" s="35"/>
      <c r="G130" s="35"/>
      <c r="H130" s="35"/>
      <c r="I130" s="35"/>
      <c r="J130" s="35">
        <f>I130+H130</f>
        <v>0</v>
      </c>
      <c r="K130" s="35"/>
      <c r="L130" s="35">
        <f>K130+J130</f>
        <v>0</v>
      </c>
      <c r="M130" s="35"/>
      <c r="N130" s="35">
        <f>M130+L130</f>
        <v>0</v>
      </c>
      <c r="O130" s="35">
        <v>252.697</v>
      </c>
      <c r="P130" s="35">
        <f>O130+N130</f>
        <v>252.697</v>
      </c>
      <c r="Q130" s="35"/>
      <c r="R130" s="35">
        <f>Q130+P130</f>
        <v>252.697</v>
      </c>
      <c r="S130" s="31">
        <v>-252.697</v>
      </c>
      <c r="T130" s="35">
        <f>S130+R130</f>
        <v>0</v>
      </c>
      <c r="U130" s="31"/>
      <c r="V130" s="35">
        <f>U130+T130</f>
        <v>0</v>
      </c>
      <c r="W130" s="31"/>
      <c r="X130" s="35">
        <f>W130+V130</f>
        <v>0</v>
      </c>
      <c r="Y130" s="31"/>
      <c r="Z130" s="35">
        <f>Y130+X130</f>
        <v>0</v>
      </c>
      <c r="AA130" s="35"/>
      <c r="AB130" s="35">
        <f>AA130+Z130</f>
        <v>0</v>
      </c>
      <c r="AC130" s="36" t="s">
        <v>184</v>
      </c>
      <c r="AD130" s="36">
        <v>0</v>
      </c>
    </row>
    <row r="131" spans="1:30" x14ac:dyDescent="0.3">
      <c r="A131" s="7"/>
      <c r="B131" s="58" t="s">
        <v>20</v>
      </c>
      <c r="C131" s="58"/>
      <c r="D131" s="9">
        <f>D15+D41+D66+D75+D111+D121+D126</f>
        <v>3022660.9</v>
      </c>
      <c r="E131" s="9">
        <f>E15+E41+E66+E75+E111+E121+E126</f>
        <v>-115234.95799999998</v>
      </c>
      <c r="F131" s="9">
        <f>F15+F41+F66+F75+F111+F121+F126</f>
        <v>2907425.9419999993</v>
      </c>
      <c r="G131" s="9">
        <f>G15+G41+G66+G75+G111+G121+G126</f>
        <v>-99426.94</v>
      </c>
      <c r="H131" s="9">
        <f>H15+H41+H66+H75+H111+H121+H126</f>
        <v>2807999.0019999999</v>
      </c>
      <c r="I131" s="31">
        <f t="shared" ref="I131:P131" si="167">I15+I41+I66+I75+I111+I121+I126+I128</f>
        <v>-19607.77</v>
      </c>
      <c r="J131" s="9">
        <f t="shared" si="167"/>
        <v>2788391.2319999994</v>
      </c>
      <c r="K131" s="31">
        <f t="shared" si="167"/>
        <v>-179677.73799999995</v>
      </c>
      <c r="L131" s="9">
        <f t="shared" si="167"/>
        <v>2608713.4939999999</v>
      </c>
      <c r="M131" s="31">
        <f t="shared" si="167"/>
        <v>-486.68299999999999</v>
      </c>
      <c r="N131" s="9">
        <f t="shared" si="167"/>
        <v>2608226.8109999998</v>
      </c>
      <c r="O131" s="31">
        <f t="shared" si="167"/>
        <v>-42527.661000000007</v>
      </c>
      <c r="P131" s="9">
        <f t="shared" si="167"/>
        <v>2565699.15</v>
      </c>
      <c r="Q131" s="31">
        <f t="shared" ref="Q131:R131" si="168">Q15+Q41+Q66+Q75+Q111+Q121+Q126+Q128</f>
        <v>200</v>
      </c>
      <c r="R131" s="9">
        <f t="shared" si="168"/>
        <v>2565899.15</v>
      </c>
      <c r="S131" s="31">
        <f t="shared" ref="S131:T131" si="169">S15+S41+S66+S75+S111+S121+S126+S128</f>
        <v>-12674.268</v>
      </c>
      <c r="T131" s="9">
        <f t="shared" si="169"/>
        <v>2553224.8819999998</v>
      </c>
      <c r="U131" s="31">
        <f t="shared" ref="U131:V131" si="170">U15+U41+U66+U75+U111+U121+U126+U128</f>
        <v>-16912.480000000003</v>
      </c>
      <c r="V131" s="9">
        <f t="shared" si="170"/>
        <v>2536312.4019999993</v>
      </c>
      <c r="W131" s="31">
        <f t="shared" ref="W131:AB131" si="171">W15+W41+W66+W75+W111+W121+W126+W128</f>
        <v>3441.6319999999996</v>
      </c>
      <c r="X131" s="9">
        <f t="shared" si="171"/>
        <v>2539754.0339999991</v>
      </c>
      <c r="Y131" s="31">
        <f t="shared" si="171"/>
        <v>-43553.954000000005</v>
      </c>
      <c r="Z131" s="9">
        <f t="shared" si="171"/>
        <v>2496200.0799999991</v>
      </c>
      <c r="AA131" s="24">
        <f t="shared" si="171"/>
        <v>-3823.9830000000002</v>
      </c>
      <c r="AB131" s="9">
        <f t="shared" si="171"/>
        <v>2492376.0969999996</v>
      </c>
    </row>
    <row r="132" spans="1:30" x14ac:dyDescent="0.3">
      <c r="A132" s="7"/>
      <c r="B132" s="92" t="s">
        <v>21</v>
      </c>
      <c r="C132" s="93"/>
      <c r="D132" s="9"/>
      <c r="E132" s="9"/>
      <c r="F132" s="9"/>
      <c r="G132" s="9"/>
      <c r="H132" s="9"/>
      <c r="I132" s="31"/>
      <c r="J132" s="9"/>
      <c r="K132" s="31"/>
      <c r="L132" s="9"/>
      <c r="M132" s="31"/>
      <c r="N132" s="9"/>
      <c r="O132" s="31"/>
      <c r="P132" s="9"/>
      <c r="Q132" s="31"/>
      <c r="R132" s="9"/>
      <c r="S132" s="31"/>
      <c r="T132" s="9"/>
      <c r="U132" s="31"/>
      <c r="V132" s="9"/>
      <c r="W132" s="31"/>
      <c r="X132" s="9"/>
      <c r="Y132" s="31"/>
      <c r="Z132" s="9"/>
      <c r="AA132" s="24"/>
      <c r="AB132" s="9"/>
    </row>
    <row r="133" spans="1:30" x14ac:dyDescent="0.3">
      <c r="A133" s="7"/>
      <c r="B133" s="94" t="s">
        <v>50</v>
      </c>
      <c r="C133" s="95"/>
      <c r="D133" s="9">
        <f t="shared" ref="D133:J133" si="172">D87+D91+D95+D99+D103</f>
        <v>346023.19999999995</v>
      </c>
      <c r="E133" s="9">
        <f t="shared" si="172"/>
        <v>0</v>
      </c>
      <c r="F133" s="9">
        <f t="shared" si="172"/>
        <v>346023.19999999995</v>
      </c>
      <c r="G133" s="9">
        <f t="shared" si="172"/>
        <v>0</v>
      </c>
      <c r="H133" s="9">
        <f t="shared" si="172"/>
        <v>346023.19999999995</v>
      </c>
      <c r="I133" s="31">
        <f t="shared" si="172"/>
        <v>0</v>
      </c>
      <c r="J133" s="9">
        <f t="shared" si="172"/>
        <v>346023.19999999995</v>
      </c>
      <c r="K133" s="31">
        <f t="shared" ref="K133:P133" si="173">K78</f>
        <v>0</v>
      </c>
      <c r="L133" s="9">
        <f t="shared" si="173"/>
        <v>346023.19999999995</v>
      </c>
      <c r="M133" s="31">
        <f t="shared" si="173"/>
        <v>0</v>
      </c>
      <c r="N133" s="9">
        <f t="shared" si="173"/>
        <v>346023.19999999995</v>
      </c>
      <c r="O133" s="31">
        <f t="shared" si="173"/>
        <v>-26252.2</v>
      </c>
      <c r="P133" s="9">
        <f t="shared" si="173"/>
        <v>319770.99999999994</v>
      </c>
      <c r="Q133" s="31">
        <f t="shared" ref="Q133:R133" si="174">Q78</f>
        <v>0</v>
      </c>
      <c r="R133" s="9">
        <f t="shared" si="174"/>
        <v>319770.99999999994</v>
      </c>
      <c r="S133" s="31">
        <f t="shared" ref="S133:T133" si="175">S78</f>
        <v>0</v>
      </c>
      <c r="T133" s="9">
        <f t="shared" si="175"/>
        <v>319770.99999999994</v>
      </c>
      <c r="U133" s="31">
        <f t="shared" ref="U133:V133" si="176">U78</f>
        <v>0</v>
      </c>
      <c r="V133" s="9">
        <f t="shared" si="176"/>
        <v>319770.99999999994</v>
      </c>
      <c r="W133" s="31">
        <f t="shared" ref="W133:X133" si="177">W78</f>
        <v>0</v>
      </c>
      <c r="X133" s="9">
        <f t="shared" si="177"/>
        <v>319770.99999999994</v>
      </c>
      <c r="Y133" s="31">
        <f t="shared" ref="Y133:Z133" si="178">Y78</f>
        <v>0</v>
      </c>
      <c r="Z133" s="9">
        <f t="shared" si="178"/>
        <v>319770.99999999994</v>
      </c>
      <c r="AA133" s="24">
        <f t="shared" ref="AA133:AB133" si="179">AA78</f>
        <v>0</v>
      </c>
      <c r="AB133" s="9">
        <f t="shared" si="179"/>
        <v>319770.99999999994</v>
      </c>
    </row>
    <row r="134" spans="1:30" x14ac:dyDescent="0.3">
      <c r="A134" s="7"/>
      <c r="B134" s="60" t="s">
        <v>59</v>
      </c>
      <c r="C134" s="61"/>
      <c r="D134" s="9">
        <f t="shared" ref="D134:J134" si="180">D57+D118</f>
        <v>221073.2</v>
      </c>
      <c r="E134" s="9">
        <f t="shared" si="180"/>
        <v>-42854.400000000001</v>
      </c>
      <c r="F134" s="9">
        <f t="shared" si="180"/>
        <v>178218.80000000002</v>
      </c>
      <c r="G134" s="9">
        <f t="shared" si="180"/>
        <v>0</v>
      </c>
      <c r="H134" s="9">
        <f t="shared" si="180"/>
        <v>178218.80000000002</v>
      </c>
      <c r="I134" s="31">
        <f t="shared" si="180"/>
        <v>0</v>
      </c>
      <c r="J134" s="9">
        <f t="shared" si="180"/>
        <v>178218.80000000002</v>
      </c>
      <c r="K134" s="31">
        <f t="shared" ref="K134:P134" si="181">K44+K114</f>
        <v>0</v>
      </c>
      <c r="L134" s="9">
        <f t="shared" si="181"/>
        <v>178218.80000000002</v>
      </c>
      <c r="M134" s="31">
        <f t="shared" si="181"/>
        <v>0</v>
      </c>
      <c r="N134" s="9">
        <f t="shared" si="181"/>
        <v>178218.80000000002</v>
      </c>
      <c r="O134" s="31">
        <f t="shared" si="181"/>
        <v>-39753.764999999999</v>
      </c>
      <c r="P134" s="9">
        <f t="shared" si="181"/>
        <v>138465.035</v>
      </c>
      <c r="Q134" s="31">
        <f t="shared" ref="Q134:R134" si="182">Q44+Q114</f>
        <v>0</v>
      </c>
      <c r="R134" s="9">
        <f t="shared" si="182"/>
        <v>138465.035</v>
      </c>
      <c r="S134" s="31">
        <f t="shared" ref="S134:T134" si="183">S44+S114</f>
        <v>5319.4380000000001</v>
      </c>
      <c r="T134" s="9">
        <f t="shared" si="183"/>
        <v>143784.473</v>
      </c>
      <c r="U134" s="31">
        <f t="shared" ref="U134:V134" si="184">U44+U114</f>
        <v>0</v>
      </c>
      <c r="V134" s="9">
        <f t="shared" si="184"/>
        <v>143784.473</v>
      </c>
      <c r="W134" s="31">
        <f t="shared" ref="W134:AB134" si="185">W44+W114</f>
        <v>27627.403000000002</v>
      </c>
      <c r="X134" s="9">
        <f t="shared" si="185"/>
        <v>171411.87599999999</v>
      </c>
      <c r="Y134" s="31">
        <f t="shared" si="185"/>
        <v>-14914.86</v>
      </c>
      <c r="Z134" s="9">
        <f t="shared" si="185"/>
        <v>156497.016</v>
      </c>
      <c r="AA134" s="24">
        <f t="shared" si="185"/>
        <v>0</v>
      </c>
      <c r="AB134" s="9">
        <f t="shared" si="185"/>
        <v>156497.016</v>
      </c>
    </row>
    <row r="135" spans="1:30" x14ac:dyDescent="0.3">
      <c r="A135" s="7"/>
      <c r="B135" s="88" t="s">
        <v>52</v>
      </c>
      <c r="C135" s="88"/>
      <c r="D135" s="9"/>
      <c r="E135" s="9"/>
      <c r="F135" s="9"/>
      <c r="G135" s="9"/>
      <c r="H135" s="9"/>
      <c r="I135" s="31"/>
      <c r="J135" s="9"/>
      <c r="K135" s="31"/>
      <c r="L135" s="9"/>
      <c r="M135" s="31"/>
      <c r="N135" s="9"/>
      <c r="O135" s="31"/>
      <c r="P135" s="9"/>
      <c r="Q135" s="31"/>
      <c r="R135" s="9"/>
      <c r="S135" s="31"/>
      <c r="T135" s="9"/>
      <c r="U135" s="31"/>
      <c r="V135" s="9"/>
      <c r="W135" s="31"/>
      <c r="X135" s="9"/>
      <c r="Y135" s="31"/>
      <c r="Z135" s="9"/>
      <c r="AA135" s="24"/>
      <c r="AB135" s="9"/>
    </row>
    <row r="136" spans="1:30" x14ac:dyDescent="0.3">
      <c r="A136" s="7"/>
      <c r="B136" s="88" t="s">
        <v>7</v>
      </c>
      <c r="C136" s="90"/>
      <c r="D136" s="9">
        <f>D45+D46+D47+D48+D50+D51+D52+D53</f>
        <v>340106.99999999994</v>
      </c>
      <c r="E136" s="9">
        <f>E45+E46+E47+E48+E50+E51+E52+E53</f>
        <v>-2777.5859999999998</v>
      </c>
      <c r="F136" s="9">
        <f>F45+F46+F47+F48+F50+F51+F52+F53</f>
        <v>337329.41399999999</v>
      </c>
      <c r="G136" s="9">
        <f>G45+G46+G47+G48+G50+G51+G52+G53</f>
        <v>0</v>
      </c>
      <c r="H136" s="9">
        <f>H45+H46+H47+H48+H50+H51+H52+H53</f>
        <v>337329.41399999999</v>
      </c>
      <c r="I136" s="31">
        <f t="shared" ref="I136:P136" si="186">I45+I46+I47+I48+I50+I51+I52+I53+I60</f>
        <v>-3973.5</v>
      </c>
      <c r="J136" s="9">
        <f t="shared" si="186"/>
        <v>333355.91399999999</v>
      </c>
      <c r="K136" s="31">
        <f t="shared" si="186"/>
        <v>-16828.482000000004</v>
      </c>
      <c r="L136" s="9">
        <f t="shared" si="186"/>
        <v>316527.43200000003</v>
      </c>
      <c r="M136" s="31">
        <f t="shared" si="186"/>
        <v>0</v>
      </c>
      <c r="N136" s="9">
        <f t="shared" si="186"/>
        <v>316527.43200000003</v>
      </c>
      <c r="O136" s="31">
        <f t="shared" si="186"/>
        <v>-6988.1</v>
      </c>
      <c r="P136" s="9">
        <f t="shared" si="186"/>
        <v>309539.33199999999</v>
      </c>
      <c r="Q136" s="31">
        <f t="shared" ref="Q136:R136" si="187">Q45+Q46+Q47+Q48+Q50+Q51+Q52+Q53+Q60</f>
        <v>0</v>
      </c>
      <c r="R136" s="9">
        <f t="shared" si="187"/>
        <v>309539.33199999999</v>
      </c>
      <c r="S136" s="31">
        <f t="shared" ref="S136:T136" si="188">S45+S46+S47+S48+S50+S51+S52+S53+S60</f>
        <v>0</v>
      </c>
      <c r="T136" s="9">
        <f t="shared" si="188"/>
        <v>309539.33199999999</v>
      </c>
      <c r="U136" s="31">
        <f t="shared" ref="U136:V136" si="189">U45+U46+U47+U48+U50+U51+U52+U53+U60</f>
        <v>-2662.982</v>
      </c>
      <c r="V136" s="9">
        <f t="shared" si="189"/>
        <v>306876.35000000003</v>
      </c>
      <c r="W136" s="31">
        <f t="shared" ref="W136:X136" si="190">W45+W46+W47+W48+W50+W51+W52+W53+W60</f>
        <v>-14305.241999999998</v>
      </c>
      <c r="X136" s="9">
        <f t="shared" si="190"/>
        <v>292571.10800000001</v>
      </c>
      <c r="Y136" s="31">
        <f t="shared" ref="Y136:Z136" si="191">Y45+Y46+Y47+Y48+Y50+Y51+Y52+Y53+Y60</f>
        <v>-14.438000000000001</v>
      </c>
      <c r="Z136" s="9">
        <f t="shared" si="191"/>
        <v>292556.67000000004</v>
      </c>
      <c r="AA136" s="24">
        <f t="shared" ref="AA136:AB136" si="192">AA45+AA46+AA47+AA48+AA50+AA51+AA52+AA53+AA60</f>
        <v>-17.219000000000001</v>
      </c>
      <c r="AB136" s="9">
        <f t="shared" si="192"/>
        <v>292539.45100000006</v>
      </c>
    </row>
    <row r="137" spans="1:30" x14ac:dyDescent="0.3">
      <c r="A137" s="7"/>
      <c r="B137" s="88" t="s">
        <v>15</v>
      </c>
      <c r="C137" s="90"/>
      <c r="D137" s="9">
        <f>D67+D68+D69+D70+D71+D72+D84+D88+D92+D96+D100+D105+D106</f>
        <v>628226.69999999995</v>
      </c>
      <c r="E137" s="9">
        <f>E67+E68+E69+E70+E71+E72+E84+E88+E92+E96+E100+E105+E106</f>
        <v>3126.828</v>
      </c>
      <c r="F137" s="9">
        <f>F67+F68+F69+F70+F71+F72+F84+F88+F92+F96+F100+F105+F106</f>
        <v>631353.52800000005</v>
      </c>
      <c r="G137" s="9">
        <f>G67+G68+G69+G70+G71+G72+G84+G88+G92+G96+G100+G105+G106</f>
        <v>0</v>
      </c>
      <c r="H137" s="9">
        <f>H67+H68+H69+H70+H71+H72+H84+H88+H92+H96+H100+H105+H106</f>
        <v>631353.52800000005</v>
      </c>
      <c r="I137" s="31">
        <f>I67+I68+I69+I70+I71+I72+I84+I88+I92+I96+I100+I105+I106+I73+I108</f>
        <v>0</v>
      </c>
      <c r="J137" s="9">
        <f>J67+J68+J69+J70+J71+J72+J84+J88+J92+J96+J100+J105+J106+J73+J108</f>
        <v>631353.52800000005</v>
      </c>
      <c r="K137" s="31">
        <f t="shared" ref="K137:P137" si="193">K67+K68+K69+K70+K71+K72+K84+K88+K92+K96+K100+K105+K106+K73+K108+K110</f>
        <v>15927.362999999999</v>
      </c>
      <c r="L137" s="9">
        <f t="shared" si="193"/>
        <v>647280.89099999995</v>
      </c>
      <c r="M137" s="31">
        <f t="shared" si="193"/>
        <v>-486.68299999999999</v>
      </c>
      <c r="N137" s="9">
        <f t="shared" si="193"/>
        <v>646794.20799999998</v>
      </c>
      <c r="O137" s="31">
        <f t="shared" si="193"/>
        <v>-36481.807000000008</v>
      </c>
      <c r="P137" s="9">
        <f t="shared" si="193"/>
        <v>610312.40099999995</v>
      </c>
      <c r="Q137" s="31">
        <f t="shared" ref="Q137:V137" si="194">Q67+Q68+Q69+Q70+Q71+Q72+Q84+Q88+Q92+Q96+Q100+Q105+Q106+Q73+Q108+Q110+Q74</f>
        <v>200</v>
      </c>
      <c r="R137" s="9">
        <f t="shared" si="194"/>
        <v>610512.40099999995</v>
      </c>
      <c r="S137" s="31">
        <f t="shared" si="194"/>
        <v>-9361.09</v>
      </c>
      <c r="T137" s="9">
        <f t="shared" si="194"/>
        <v>601151.31099999999</v>
      </c>
      <c r="U137" s="31">
        <f t="shared" si="194"/>
        <v>-220.82299999999998</v>
      </c>
      <c r="V137" s="9">
        <f t="shared" si="194"/>
        <v>600930.48800000001</v>
      </c>
      <c r="W137" s="31">
        <f t="shared" ref="W137:X137" si="195">W67+W68+W69+W70+W71+W72+W84+W88+W92+W96+W100+W105+W106+W73+W108+W110+W74</f>
        <v>0</v>
      </c>
      <c r="X137" s="9">
        <f t="shared" si="195"/>
        <v>600930.48800000001</v>
      </c>
      <c r="Y137" s="31">
        <f t="shared" ref="Y137:Z137" si="196">Y67+Y68+Y69+Y70+Y71+Y72+Y84+Y88+Y92+Y96+Y100+Y105+Y106+Y73+Y108+Y110+Y74</f>
        <v>0</v>
      </c>
      <c r="Z137" s="9">
        <f t="shared" si="196"/>
        <v>600930.48800000001</v>
      </c>
      <c r="AA137" s="24">
        <f t="shared" ref="AA137:AB137" si="197">AA67+AA68+AA69+AA70+AA71+AA72+AA84+AA88+AA92+AA96+AA100+AA105+AA106+AA73+AA108+AA110+AA74</f>
        <v>-2571.864</v>
      </c>
      <c r="AB137" s="9">
        <f t="shared" si="197"/>
        <v>598358.62399999995</v>
      </c>
    </row>
    <row r="138" spans="1:30" x14ac:dyDescent="0.3">
      <c r="A138" s="7"/>
      <c r="B138" s="88" t="s">
        <v>22</v>
      </c>
      <c r="C138" s="90"/>
      <c r="D138" s="9">
        <f>D19+D20+D22+D24+D27+D29+D31+D32</f>
        <v>296471.90000000002</v>
      </c>
      <c r="E138" s="9">
        <f>E19+E20+E22+E24+E27+E29+E31+E32</f>
        <v>2000</v>
      </c>
      <c r="F138" s="9">
        <f>F19+F20+F22+F24+F27+F29+F31+F32</f>
        <v>298471.90000000002</v>
      </c>
      <c r="G138" s="9">
        <f>G19+G20+G22+G24+G27+G29+G31+G32</f>
        <v>30573.008000000002</v>
      </c>
      <c r="H138" s="9">
        <f>H19+H20+H22+H24+H27+H29+H31+H32</f>
        <v>329044.908</v>
      </c>
      <c r="I138" s="31">
        <f>I19+I20+I22+I24+I27+I29+I31+I32+I33+I34+I26</f>
        <v>-180057.1</v>
      </c>
      <c r="J138" s="9">
        <f>J19+J20+J22+J24+J27+J29+J31+J32+J33+J34+J26</f>
        <v>148987.80800000002</v>
      </c>
      <c r="K138" s="31">
        <f>K19+K20+K22+K24+K27+K29+K31+K32+K33+K34+K26+K35+K36+K37</f>
        <v>124766.47</v>
      </c>
      <c r="L138" s="9">
        <f>L19+L20+L22+L24+L27+L29+L31+L32+L33+L34+L26+L35+L36+L37</f>
        <v>273754.27799999999</v>
      </c>
      <c r="M138" s="31">
        <f>M19+M20+M22+M24+M27+M29+M31+M32+M33+M34+M26+M35+M36+M37</f>
        <v>0</v>
      </c>
      <c r="N138" s="9">
        <f>N19+N20+N22+N24+N27+N29+N31+N32+N33+N34+N26+N35+N36+N37</f>
        <v>273754.27799999999</v>
      </c>
      <c r="O138" s="31">
        <f>O19+O20+O22+O24+O27+O29+O31+O32+O33+O34+O26+O35+O36+O37</f>
        <v>0</v>
      </c>
      <c r="P138" s="9">
        <f>N138+O138</f>
        <v>273754.27799999999</v>
      </c>
      <c r="Q138" s="31">
        <f>Q19+Q20+Q22+Q24+Q27+Q29+Q31+Q32+Q33+Q34+Q26+Q35+Q36+Q37</f>
        <v>0</v>
      </c>
      <c r="R138" s="9">
        <f>P138+Q138</f>
        <v>273754.27799999999</v>
      </c>
      <c r="S138" s="31">
        <f>S19+S20+S22+S24+S27+S29+S31+S32+S33+S34+S26+S35+S36+S37</f>
        <v>417.19</v>
      </c>
      <c r="T138" s="9">
        <f>R138+S138</f>
        <v>274171.46799999999</v>
      </c>
      <c r="U138" s="31">
        <f>U19+U20+U22+U24+U27+U29+U31+U32+U33+U34+U26+U35+U36+U37+U38+U39</f>
        <v>-1500</v>
      </c>
      <c r="V138" s="9">
        <f>T138+U138</f>
        <v>272671.46799999999</v>
      </c>
      <c r="W138" s="31">
        <f>W19+W20+W22+W24+W27+W29+W31+W32+W33+W34+W26+W35+W36+W37+W38+W39</f>
        <v>0</v>
      </c>
      <c r="X138" s="9">
        <f>V138+W138</f>
        <v>272671.46799999999</v>
      </c>
      <c r="Y138" s="31">
        <f>Y19+Y20+Y22+Y24+Y27+Y29+Y31+Y32+Y33+Y34+Y26+Y35+Y36+Y37+Y38+Y39+Y40</f>
        <v>-1651.1949999999997</v>
      </c>
      <c r="Z138" s="9">
        <f>X138+Y138</f>
        <v>271020.27299999999</v>
      </c>
      <c r="AA138" s="24">
        <f>AA19+AA20+AA22+AA24+AA27+AA29+AA31+AA32+AA33+AA34+AA26+AA35+AA36+AA37+AA38+AA39+AA40</f>
        <v>0</v>
      </c>
      <c r="AB138" s="9">
        <f>Z138+AA138</f>
        <v>271020.27299999999</v>
      </c>
    </row>
    <row r="139" spans="1:30" x14ac:dyDescent="0.3">
      <c r="A139" s="7"/>
      <c r="B139" s="89" t="s">
        <v>19</v>
      </c>
      <c r="C139" s="90"/>
      <c r="D139" s="9">
        <f>D115+D119</f>
        <v>190910.9</v>
      </c>
      <c r="E139" s="9">
        <f>E115+E119</f>
        <v>-100000</v>
      </c>
      <c r="F139" s="9">
        <f>D139+E139</f>
        <v>90910.9</v>
      </c>
      <c r="G139" s="9">
        <f>G115+G119</f>
        <v>0</v>
      </c>
      <c r="H139" s="9">
        <f>F139+G139</f>
        <v>90910.9</v>
      </c>
      <c r="I139" s="31">
        <f>I115+I119</f>
        <v>0</v>
      </c>
      <c r="J139" s="9">
        <f>H139+I139</f>
        <v>90910.9</v>
      </c>
      <c r="K139" s="31">
        <f t="shared" ref="K139:P139" si="198">K115+K119</f>
        <v>48813.082000000002</v>
      </c>
      <c r="L139" s="9">
        <f t="shared" si="198"/>
        <v>139723.98199999999</v>
      </c>
      <c r="M139" s="31">
        <f t="shared" si="198"/>
        <v>0</v>
      </c>
      <c r="N139" s="9">
        <f t="shared" si="198"/>
        <v>139723.98199999999</v>
      </c>
      <c r="O139" s="31">
        <f t="shared" si="198"/>
        <v>-44395.9</v>
      </c>
      <c r="P139" s="9">
        <f t="shared" si="198"/>
        <v>95328.081999999995</v>
      </c>
      <c r="Q139" s="31">
        <f t="shared" ref="Q139:R139" si="199">Q115+Q119</f>
        <v>0</v>
      </c>
      <c r="R139" s="9">
        <f t="shared" si="199"/>
        <v>95328.081999999995</v>
      </c>
      <c r="S139" s="31">
        <f t="shared" ref="S139:T139" si="200">S115+S119</f>
        <v>0</v>
      </c>
      <c r="T139" s="9">
        <f t="shared" si="200"/>
        <v>95328.081999999995</v>
      </c>
      <c r="U139" s="31">
        <f t="shared" ref="U139:V139" si="201">U115+U119</f>
        <v>0</v>
      </c>
      <c r="V139" s="9">
        <f t="shared" si="201"/>
        <v>95328.081999999995</v>
      </c>
      <c r="W139" s="31">
        <f t="shared" ref="W139:X139" si="202">W115+W119</f>
        <v>0</v>
      </c>
      <c r="X139" s="9">
        <f t="shared" si="202"/>
        <v>95328.081999999995</v>
      </c>
      <c r="Y139" s="31">
        <f t="shared" ref="Y139:Z139" si="203">Y115+Y119</f>
        <v>0</v>
      </c>
      <c r="Z139" s="9">
        <f t="shared" si="203"/>
        <v>95328.081999999995</v>
      </c>
      <c r="AA139" s="24">
        <f t="shared" ref="AA139:AB139" si="204">AA115+AA119</f>
        <v>0</v>
      </c>
      <c r="AB139" s="9">
        <f t="shared" si="204"/>
        <v>95328.081999999995</v>
      </c>
    </row>
    <row r="140" spans="1:30" x14ac:dyDescent="0.3">
      <c r="A140" s="7"/>
      <c r="B140" s="86" t="s">
        <v>17</v>
      </c>
      <c r="C140" s="87"/>
      <c r="D140" s="9">
        <f>D79+D80+D81+D82+D83</f>
        <v>8907.4</v>
      </c>
      <c r="E140" s="9">
        <f>E79+E80+E81+E82+E83</f>
        <v>0</v>
      </c>
      <c r="F140" s="9">
        <f>F79+F80+F81+F82+F83</f>
        <v>8907.4</v>
      </c>
      <c r="G140" s="9">
        <f>G79+G80+G81+G82+G83</f>
        <v>0</v>
      </c>
      <c r="H140" s="9">
        <f>H79+H80+H81+H82+H83</f>
        <v>8907.4</v>
      </c>
      <c r="I140" s="31">
        <f>I79+I80+I81+I82+I83+I107</f>
        <v>0</v>
      </c>
      <c r="J140" s="9">
        <f>J79+J80+J81+J82+J83+J107</f>
        <v>8907.4</v>
      </c>
      <c r="K140" s="31">
        <f t="shared" ref="K140:P140" si="205">K79+K80+K81+K82+K83+K107+K109</f>
        <v>-1988.1759999999999</v>
      </c>
      <c r="L140" s="9">
        <f t="shared" si="205"/>
        <v>6919.2239999999993</v>
      </c>
      <c r="M140" s="31">
        <f t="shared" si="205"/>
        <v>0</v>
      </c>
      <c r="N140" s="9">
        <f t="shared" si="205"/>
        <v>6919.2239999999993</v>
      </c>
      <c r="O140" s="31">
        <f t="shared" si="205"/>
        <v>0</v>
      </c>
      <c r="P140" s="9">
        <f t="shared" si="205"/>
        <v>6919.2239999999993</v>
      </c>
      <c r="Q140" s="31">
        <f t="shared" ref="Q140:R140" si="206">Q79+Q80+Q81+Q82+Q83+Q107+Q109</f>
        <v>0</v>
      </c>
      <c r="R140" s="9">
        <f t="shared" si="206"/>
        <v>6919.2239999999993</v>
      </c>
      <c r="S140" s="31">
        <f t="shared" ref="S140:T140" si="207">S79+S80+S81+S82+S83+S107+S109</f>
        <v>0</v>
      </c>
      <c r="T140" s="9">
        <f t="shared" si="207"/>
        <v>6919.2239999999993</v>
      </c>
      <c r="U140" s="31">
        <f t="shared" ref="U140:V140" si="208">U79+U80+U81+U82+U83+U107+U109</f>
        <v>-1.0429999999999999</v>
      </c>
      <c r="V140" s="9">
        <f t="shared" si="208"/>
        <v>6918.1809999999987</v>
      </c>
      <c r="W140" s="31">
        <f t="shared" ref="W140:X140" si="209">W79+W80+W81+W82+W83+W107+W109</f>
        <v>0</v>
      </c>
      <c r="X140" s="9">
        <f t="shared" si="209"/>
        <v>6918.1809999999987</v>
      </c>
      <c r="Y140" s="31">
        <f t="shared" ref="Y140:Z140" si="210">Y79+Y80+Y81+Y82+Y83+Y107+Y109</f>
        <v>0</v>
      </c>
      <c r="Z140" s="9">
        <f t="shared" si="210"/>
        <v>6918.1809999999987</v>
      </c>
      <c r="AA140" s="24">
        <f t="shared" ref="AA140:AB140" si="211">AA79+AA80+AA81+AA82+AA83+AA107+AA109</f>
        <v>0</v>
      </c>
      <c r="AB140" s="9">
        <f t="shared" si="211"/>
        <v>6918.1809999999987</v>
      </c>
    </row>
    <row r="141" spans="1:30" x14ac:dyDescent="0.3">
      <c r="A141" s="19"/>
      <c r="B141" s="86" t="s">
        <v>55</v>
      </c>
      <c r="C141" s="87"/>
      <c r="D141" s="9">
        <f>D16+D18+D120+D122+D124</f>
        <v>466502</v>
      </c>
      <c r="E141" s="9">
        <f>E16+E18+E120+E122+E124</f>
        <v>100000</v>
      </c>
      <c r="F141" s="9">
        <f>F16+F18+F120+F122+F124</f>
        <v>566502</v>
      </c>
      <c r="G141" s="9">
        <f>G16+G18+G120+G122+G124+G125</f>
        <v>-129999.94799999999</v>
      </c>
      <c r="H141" s="9">
        <f>H16+H18+H120+H122+H124+H125</f>
        <v>436502.05200000003</v>
      </c>
      <c r="I141" s="31">
        <f>I16+I18+I120+I122+I124+I125</f>
        <v>0</v>
      </c>
      <c r="J141" s="9">
        <f>J16+J18+J120+J122+J124+J125</f>
        <v>436502.05200000003</v>
      </c>
      <c r="K141" s="31">
        <f>K16+K17+K18+K120+K122+K124+K125</f>
        <v>-195500</v>
      </c>
      <c r="L141" s="9">
        <f>L16+L17+L18+L120+L122+L124+L125</f>
        <v>241002.052</v>
      </c>
      <c r="M141" s="31">
        <f>M16+M17+M18+M120+M122+M124+M125</f>
        <v>0</v>
      </c>
      <c r="N141" s="9">
        <f>N16+N17+N18+N120+N122+N124+N125</f>
        <v>241002.052</v>
      </c>
      <c r="O141" s="31">
        <f t="shared" ref="O141:T141" si="212">O16+O17+O18+O120+O122+O124+O125+O123</f>
        <v>-63000</v>
      </c>
      <c r="P141" s="9">
        <f t="shared" si="212"/>
        <v>178002.052</v>
      </c>
      <c r="Q141" s="31">
        <f t="shared" si="212"/>
        <v>0</v>
      </c>
      <c r="R141" s="9">
        <f t="shared" si="212"/>
        <v>178002.052</v>
      </c>
      <c r="S141" s="31">
        <f t="shared" si="212"/>
        <v>0</v>
      </c>
      <c r="T141" s="9">
        <f t="shared" si="212"/>
        <v>178002.052</v>
      </c>
      <c r="U141" s="31">
        <f t="shared" ref="U141:V141" si="213">U16+U17+U18+U120+U122+U124+U125+U123</f>
        <v>-862.2</v>
      </c>
      <c r="V141" s="9">
        <f t="shared" si="213"/>
        <v>177139.85199999998</v>
      </c>
      <c r="W141" s="31">
        <f t="shared" ref="W141:X141" si="214">W16+W17+W18+W120+W122+W124+W125+W123</f>
        <v>0</v>
      </c>
      <c r="X141" s="9">
        <f t="shared" si="214"/>
        <v>177139.85199999998</v>
      </c>
      <c r="Y141" s="31">
        <f t="shared" ref="Y141:Z141" si="215">Y16+Y17+Y18+Y120+Y122+Y124+Y125+Y123</f>
        <v>0</v>
      </c>
      <c r="Z141" s="9">
        <f t="shared" si="215"/>
        <v>177139.85199999998</v>
      </c>
      <c r="AA141" s="24">
        <f t="shared" ref="AA141:AB141" si="216">AA16+AA17+AA18+AA120+AA122+AA124+AA125+AA123</f>
        <v>0</v>
      </c>
      <c r="AB141" s="9">
        <f t="shared" si="216"/>
        <v>177139.85199999998</v>
      </c>
    </row>
    <row r="142" spans="1:30" x14ac:dyDescent="0.3">
      <c r="A142" s="19"/>
      <c r="B142" s="86" t="s">
        <v>33</v>
      </c>
      <c r="C142" s="87"/>
      <c r="D142" s="9">
        <f t="shared" ref="D142:P142" si="217">D54+D59+D104</f>
        <v>1041534.9999999999</v>
      </c>
      <c r="E142" s="9">
        <f t="shared" si="217"/>
        <v>-67584.2</v>
      </c>
      <c r="F142" s="9">
        <f t="shared" si="217"/>
        <v>973950.79999999981</v>
      </c>
      <c r="G142" s="9">
        <f t="shared" si="217"/>
        <v>0</v>
      </c>
      <c r="H142" s="9">
        <f t="shared" si="217"/>
        <v>973950.79999999981</v>
      </c>
      <c r="I142" s="31">
        <f t="shared" si="217"/>
        <v>-19607.77</v>
      </c>
      <c r="J142" s="9">
        <f t="shared" si="217"/>
        <v>954343.0299999998</v>
      </c>
      <c r="K142" s="31">
        <f t="shared" si="217"/>
        <v>-13793.295999999998</v>
      </c>
      <c r="L142" s="9">
        <f t="shared" si="217"/>
        <v>940549.73399999982</v>
      </c>
      <c r="M142" s="31">
        <f t="shared" si="217"/>
        <v>0</v>
      </c>
      <c r="N142" s="9">
        <f t="shared" si="217"/>
        <v>940549.73399999982</v>
      </c>
      <c r="O142" s="31">
        <f>O54+O59+O104</f>
        <v>101097.349</v>
      </c>
      <c r="P142" s="9">
        <f t="shared" si="217"/>
        <v>1041647.0829999998</v>
      </c>
      <c r="Q142" s="31">
        <f>Q54+Q59+Q104</f>
        <v>0</v>
      </c>
      <c r="R142" s="9">
        <f t="shared" ref="R142" si="218">R54+R59+R104</f>
        <v>1041647.0829999998</v>
      </c>
      <c r="S142" s="31">
        <f t="shared" ref="S142:V142" si="219">S54+S59+S104+S61</f>
        <v>-3477.6710000000012</v>
      </c>
      <c r="T142" s="9">
        <f t="shared" si="219"/>
        <v>1038169.4119999998</v>
      </c>
      <c r="U142" s="31">
        <f t="shared" si="219"/>
        <v>-11670.932000000001</v>
      </c>
      <c r="V142" s="9">
        <f t="shared" si="219"/>
        <v>1026498.4799999997</v>
      </c>
      <c r="W142" s="31">
        <f t="shared" ref="W142:AB142" si="220">W54+W59+W104+W61+W62</f>
        <v>17746.873999999996</v>
      </c>
      <c r="X142" s="9">
        <f t="shared" si="220"/>
        <v>1044245.3539999998</v>
      </c>
      <c r="Y142" s="31">
        <f t="shared" si="220"/>
        <v>-37968.468000000001</v>
      </c>
      <c r="Z142" s="9">
        <f t="shared" si="220"/>
        <v>1006276.8859999997</v>
      </c>
      <c r="AA142" s="24">
        <f t="shared" si="220"/>
        <v>-1234.9000000000001</v>
      </c>
      <c r="AB142" s="9">
        <f t="shared" si="220"/>
        <v>1005041.9859999996</v>
      </c>
    </row>
    <row r="143" spans="1:30" hidden="1" x14ac:dyDescent="0.3">
      <c r="A143" s="19"/>
      <c r="B143" s="86" t="s">
        <v>79</v>
      </c>
      <c r="C143" s="87"/>
      <c r="D143" s="9">
        <f>D127</f>
        <v>50000</v>
      </c>
      <c r="E143" s="9">
        <f t="shared" ref="E143:F143" si="221">E127</f>
        <v>-50000</v>
      </c>
      <c r="F143" s="9">
        <f t="shared" si="221"/>
        <v>0</v>
      </c>
      <c r="G143" s="9">
        <f t="shared" ref="G143:H143" si="222">G127</f>
        <v>0</v>
      </c>
      <c r="H143" s="9">
        <f t="shared" si="222"/>
        <v>0</v>
      </c>
      <c r="I143" s="31">
        <f t="shared" ref="I143:J143" si="223">I127</f>
        <v>0</v>
      </c>
      <c r="J143" s="9">
        <f t="shared" si="223"/>
        <v>0</v>
      </c>
      <c r="K143" s="31">
        <f t="shared" ref="K143:L144" si="224">K127</f>
        <v>0</v>
      </c>
      <c r="L143" s="9">
        <f t="shared" si="224"/>
        <v>0</v>
      </c>
      <c r="M143" s="31">
        <f t="shared" ref="M143:N143" si="225">M127</f>
        <v>0</v>
      </c>
      <c r="N143" s="9">
        <f t="shared" si="225"/>
        <v>0</v>
      </c>
      <c r="O143" s="31">
        <f t="shared" ref="O143:P143" si="226">O127</f>
        <v>0</v>
      </c>
      <c r="P143" s="9">
        <f t="shared" si="226"/>
        <v>0</v>
      </c>
      <c r="Q143" s="31">
        <f t="shared" ref="Q143:R143" si="227">Q127</f>
        <v>0</v>
      </c>
      <c r="R143" s="9">
        <f t="shared" si="227"/>
        <v>0</v>
      </c>
      <c r="S143" s="31">
        <f t="shared" ref="S143:T143" si="228">S127</f>
        <v>0</v>
      </c>
      <c r="T143" s="9">
        <f t="shared" si="228"/>
        <v>0</v>
      </c>
      <c r="U143" s="31">
        <f t="shared" ref="U143:V143" si="229">U127</f>
        <v>0</v>
      </c>
      <c r="V143" s="9">
        <f t="shared" si="229"/>
        <v>0</v>
      </c>
      <c r="W143" s="31">
        <f t="shared" ref="W143:X143" si="230">W127</f>
        <v>0</v>
      </c>
      <c r="X143" s="9">
        <f t="shared" si="230"/>
        <v>0</v>
      </c>
      <c r="Y143" s="31">
        <f t="shared" ref="Y143:Z143" si="231">Y127</f>
        <v>0</v>
      </c>
      <c r="Z143" s="9">
        <f t="shared" si="231"/>
        <v>0</v>
      </c>
      <c r="AA143" s="24">
        <f t="shared" ref="AA143:AB143" si="232">AA127</f>
        <v>0</v>
      </c>
      <c r="AB143" s="9">
        <f t="shared" si="232"/>
        <v>0</v>
      </c>
      <c r="AD143" s="1">
        <v>0</v>
      </c>
    </row>
    <row r="144" spans="1:30" x14ac:dyDescent="0.3">
      <c r="A144" s="19"/>
      <c r="B144" s="85" t="s">
        <v>159</v>
      </c>
      <c r="C144" s="85"/>
      <c r="D144" s="29"/>
      <c r="E144" s="29"/>
      <c r="F144" s="29"/>
      <c r="G144" s="29"/>
      <c r="H144" s="29"/>
      <c r="I144" s="31">
        <f>I129+I130</f>
        <v>3973.5</v>
      </c>
      <c r="J144" s="9">
        <f>I144+H144</f>
        <v>3973.5</v>
      </c>
      <c r="K144" s="31">
        <f t="shared" si="224"/>
        <v>250</v>
      </c>
      <c r="L144" s="9">
        <f t="shared" si="224"/>
        <v>4223.5</v>
      </c>
      <c r="M144" s="31">
        <f t="shared" ref="M144:N144" si="233">M128</f>
        <v>0</v>
      </c>
      <c r="N144" s="9">
        <f t="shared" si="233"/>
        <v>4223.5</v>
      </c>
      <c r="O144" s="31">
        <f t="shared" ref="O144:P144" si="234">O128</f>
        <v>252.697</v>
      </c>
      <c r="P144" s="9">
        <f t="shared" si="234"/>
        <v>4476.1970000000001</v>
      </c>
      <c r="Q144" s="31">
        <f t="shared" ref="Q144:R144" si="235">Q128</f>
        <v>0</v>
      </c>
      <c r="R144" s="9">
        <f t="shared" si="235"/>
        <v>4476.1970000000001</v>
      </c>
      <c r="S144" s="31">
        <f t="shared" ref="S144:T144" si="236">S128</f>
        <v>-252.697</v>
      </c>
      <c r="T144" s="9">
        <f t="shared" si="236"/>
        <v>4223.5</v>
      </c>
      <c r="U144" s="31">
        <f t="shared" ref="U144:V144" si="237">U128</f>
        <v>5.5</v>
      </c>
      <c r="V144" s="9">
        <f t="shared" si="237"/>
        <v>4229</v>
      </c>
      <c r="W144" s="31">
        <f t="shared" ref="W144:X144" si="238">W128</f>
        <v>0</v>
      </c>
      <c r="X144" s="9">
        <f t="shared" si="238"/>
        <v>4229</v>
      </c>
      <c r="Y144" s="31">
        <f t="shared" ref="Y144:Z144" si="239">Y128</f>
        <v>-73.296000000000006</v>
      </c>
      <c r="Z144" s="9">
        <f t="shared" si="239"/>
        <v>4155.7039999999997</v>
      </c>
      <c r="AA144" s="24">
        <f t="shared" ref="AA144:AB144" si="240">AA128</f>
        <v>0</v>
      </c>
      <c r="AB144" s="9">
        <f t="shared" si="240"/>
        <v>4155.7039999999997</v>
      </c>
    </row>
    <row r="145" spans="1:28" x14ac:dyDescent="0.3">
      <c r="A145" s="19"/>
      <c r="B145" s="85" t="s">
        <v>162</v>
      </c>
      <c r="C145" s="85"/>
      <c r="D145" s="29"/>
      <c r="E145" s="29"/>
      <c r="F145" s="29"/>
      <c r="G145" s="29"/>
      <c r="H145" s="29"/>
      <c r="I145" s="31">
        <f t="shared" ref="I145:N145" si="241">I21+I23+I25+I28+I30</f>
        <v>180057.1</v>
      </c>
      <c r="J145" s="31">
        <f t="shared" si="241"/>
        <v>180057.1</v>
      </c>
      <c r="K145" s="31">
        <f t="shared" si="241"/>
        <v>-141324.69899999999</v>
      </c>
      <c r="L145" s="31">
        <f t="shared" si="241"/>
        <v>38732.400999999998</v>
      </c>
      <c r="M145" s="31">
        <f t="shared" si="241"/>
        <v>0</v>
      </c>
      <c r="N145" s="31">
        <f t="shared" si="241"/>
        <v>38732.400999999998</v>
      </c>
      <c r="O145" s="31">
        <f t="shared" ref="O145:T145" si="242">O21+O23+O25+O28+O30+O49</f>
        <v>6988.1</v>
      </c>
      <c r="P145" s="31">
        <f t="shared" si="242"/>
        <v>45720.500999999997</v>
      </c>
      <c r="Q145" s="31">
        <f t="shared" si="242"/>
        <v>0</v>
      </c>
      <c r="R145" s="31">
        <f t="shared" si="242"/>
        <v>45720.500999999997</v>
      </c>
      <c r="S145" s="31">
        <f t="shared" si="242"/>
        <v>0</v>
      </c>
      <c r="T145" s="31">
        <f t="shared" si="242"/>
        <v>45720.500999999997</v>
      </c>
      <c r="U145" s="31">
        <f t="shared" ref="U145:V145" si="243">U21+U23+U25+U28+U30+U49</f>
        <v>0</v>
      </c>
      <c r="V145" s="9">
        <f t="shared" si="243"/>
        <v>45720.500999999997</v>
      </c>
      <c r="W145" s="31">
        <f t="shared" ref="W145:X145" si="244">W21+W23+W25+W28+W30+W49</f>
        <v>0</v>
      </c>
      <c r="X145" s="9">
        <f t="shared" si="244"/>
        <v>45720.500999999997</v>
      </c>
      <c r="Y145" s="31">
        <f t="shared" ref="Y145:Z145" si="245">Y21+Y23+Y25+Y28+Y30+Y49</f>
        <v>-3846.5569999999998</v>
      </c>
      <c r="Z145" s="9">
        <f t="shared" si="245"/>
        <v>41873.943999999996</v>
      </c>
      <c r="AA145" s="24">
        <f t="shared" ref="AA145:AB145" si="246">AA21+AA23+AA25+AA28+AA30+AA49</f>
        <v>0</v>
      </c>
      <c r="AB145" s="9">
        <f t="shared" si="246"/>
        <v>41873.943999999996</v>
      </c>
    </row>
  </sheetData>
  <autoFilter ref="A14:AD145">
    <filterColumn colId="29">
      <filters blank="1"/>
    </filterColumn>
  </autoFilter>
  <mergeCells count="43">
    <mergeCell ref="T13:T14"/>
    <mergeCell ref="A9:D11"/>
    <mergeCell ref="A13:A14"/>
    <mergeCell ref="B13:B14"/>
    <mergeCell ref="C13:C14"/>
    <mergeCell ref="D13:D14"/>
    <mergeCell ref="AC13:AC14"/>
    <mergeCell ref="B137:C137"/>
    <mergeCell ref="B138:C138"/>
    <mergeCell ref="B136:C136"/>
    <mergeCell ref="E13:E14"/>
    <mergeCell ref="F13:F14"/>
    <mergeCell ref="G13:G14"/>
    <mergeCell ref="H13:H14"/>
    <mergeCell ref="I13:I14"/>
    <mergeCell ref="J13:J14"/>
    <mergeCell ref="B132:C132"/>
    <mergeCell ref="M13:M14"/>
    <mergeCell ref="N13:N14"/>
    <mergeCell ref="K13:K14"/>
    <mergeCell ref="L13:L14"/>
    <mergeCell ref="B133:C133"/>
    <mergeCell ref="W13:W14"/>
    <mergeCell ref="B145:C145"/>
    <mergeCell ref="B144:C144"/>
    <mergeCell ref="B143:C143"/>
    <mergeCell ref="B141:C141"/>
    <mergeCell ref="B142:C142"/>
    <mergeCell ref="B140:C140"/>
    <mergeCell ref="B135:C135"/>
    <mergeCell ref="B139:C139"/>
    <mergeCell ref="U13:U14"/>
    <mergeCell ref="V13:V14"/>
    <mergeCell ref="Q13:Q14"/>
    <mergeCell ref="R13:R14"/>
    <mergeCell ref="O13:O14"/>
    <mergeCell ref="P13:P14"/>
    <mergeCell ref="S13:S14"/>
    <mergeCell ref="AA13:AA14"/>
    <mergeCell ref="AB13:AB14"/>
    <mergeCell ref="Y13:Y14"/>
    <mergeCell ref="Z13:Z14"/>
    <mergeCell ref="X13:X14"/>
  </mergeCells>
  <pageMargins left="0.7" right="0.7" top="0.75" bottom="0.75" header="0.3" footer="0.3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 год</vt:lpstr>
      <vt:lpstr>'2015 год'!Заголовки_для_печати</vt:lpstr>
      <vt:lpstr>'2015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2015-12-01T05:59:39Z</cp:lastPrinted>
  <dcterms:created xsi:type="dcterms:W3CDTF">2013-10-12T06:09:22Z</dcterms:created>
  <dcterms:modified xsi:type="dcterms:W3CDTF">2015-12-01T06:20:33Z</dcterms:modified>
</cp:coreProperties>
</file>