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Приложение № 8" sheetId="1" r:id="rId1"/>
  </sheets>
  <definedNames>
    <definedName name="_xlnm._FilterDatabase" localSheetId="0" hidden="1">'Приложение № 8'!$A$17:$X$227</definedName>
    <definedName name="_xlnm.Print_Titles" localSheetId="0">'Приложение № 8'!$16:$17</definedName>
    <definedName name="_xlnm.Print_Area" localSheetId="0">'Приложение № 8'!$A$2:$V$227</definedName>
  </definedNames>
  <calcPr calcId="145621"/>
</workbook>
</file>

<file path=xl/calcChain.xml><?xml version="1.0" encoding="utf-8"?>
<calcChain xmlns="http://schemas.openxmlformats.org/spreadsheetml/2006/main">
  <c r="U149" i="1" l="1"/>
  <c r="U25" i="1"/>
  <c r="U146" i="1"/>
  <c r="U167" i="1"/>
  <c r="U134" i="1"/>
  <c r="U100" i="1"/>
  <c r="U133" i="1"/>
  <c r="U58" i="1"/>
  <c r="U55" i="1"/>
  <c r="U53" i="1" s="1"/>
  <c r="U179" i="1"/>
  <c r="U52" i="1"/>
  <c r="U118" i="1"/>
  <c r="U49" i="1"/>
  <c r="U47" i="1" s="1"/>
  <c r="U43" i="1"/>
  <c r="U40" i="1"/>
  <c r="U37" i="1"/>
  <c r="U218" i="1"/>
  <c r="U216" i="1" s="1"/>
  <c r="U192" i="1"/>
  <c r="U190" i="1" s="1"/>
  <c r="U224" i="1"/>
  <c r="U213" i="1"/>
  <c r="U194" i="1"/>
  <c r="U177" i="1"/>
  <c r="U173" i="1"/>
  <c r="U170" i="1"/>
  <c r="U143" i="1"/>
  <c r="U137" i="1"/>
  <c r="U131" i="1"/>
  <c r="U128" i="1"/>
  <c r="U125" i="1"/>
  <c r="U122" i="1"/>
  <c r="U116" i="1"/>
  <c r="U110" i="1"/>
  <c r="U107" i="1"/>
  <c r="U103" i="1"/>
  <c r="U96" i="1"/>
  <c r="U93" i="1"/>
  <c r="U90" i="1"/>
  <c r="U87" i="1"/>
  <c r="U77" i="1"/>
  <c r="U71" i="1"/>
  <c r="U62" i="1"/>
  <c r="U59" i="1"/>
  <c r="U56" i="1"/>
  <c r="U50" i="1"/>
  <c r="U44" i="1"/>
  <c r="U41" i="1"/>
  <c r="U38" i="1"/>
  <c r="U35" i="1"/>
  <c r="U32" i="1"/>
  <c r="U29" i="1"/>
  <c r="U23" i="1"/>
  <c r="U19" i="1"/>
  <c r="T132" i="1"/>
  <c r="S224" i="1"/>
  <c r="S216" i="1"/>
  <c r="S213" i="1"/>
  <c r="S194" i="1"/>
  <c r="S190" i="1"/>
  <c r="S177" i="1"/>
  <c r="S173" i="1"/>
  <c r="S170" i="1"/>
  <c r="S143" i="1"/>
  <c r="S137" i="1"/>
  <c r="S131" i="1"/>
  <c r="S128" i="1"/>
  <c r="S125" i="1"/>
  <c r="S122" i="1"/>
  <c r="S116" i="1"/>
  <c r="S110" i="1"/>
  <c r="S107" i="1"/>
  <c r="S103" i="1"/>
  <c r="S96" i="1"/>
  <c r="S93" i="1"/>
  <c r="S90" i="1"/>
  <c r="S87" i="1"/>
  <c r="S77" i="1"/>
  <c r="S71" i="1"/>
  <c r="S62" i="1"/>
  <c r="S59" i="1"/>
  <c r="S56" i="1"/>
  <c r="S53" i="1"/>
  <c r="S50" i="1"/>
  <c r="S47" i="1"/>
  <c r="S44" i="1"/>
  <c r="S41" i="1"/>
  <c r="S38" i="1"/>
  <c r="S35" i="1"/>
  <c r="S32" i="1"/>
  <c r="S29" i="1"/>
  <c r="S23" i="1"/>
  <c r="S19" i="1"/>
  <c r="Q105" i="1"/>
  <c r="R106" i="1"/>
  <c r="T106" i="1" s="1"/>
  <c r="V106" i="1" s="1"/>
  <c r="Q103" i="1"/>
  <c r="Q192" i="1"/>
  <c r="Q190" i="1" s="1"/>
  <c r="R193" i="1"/>
  <c r="T193" i="1" s="1"/>
  <c r="V193" i="1" s="1"/>
  <c r="R80" i="1"/>
  <c r="T80" i="1" s="1"/>
  <c r="V80" i="1" s="1"/>
  <c r="Q77" i="1"/>
  <c r="Q64" i="1"/>
  <c r="Q62" i="1" s="1"/>
  <c r="Q226" i="1"/>
  <c r="R226" i="1" s="1"/>
  <c r="T226" i="1" s="1"/>
  <c r="V226" i="1" s="1"/>
  <c r="Q224" i="1"/>
  <c r="R224" i="1" s="1"/>
  <c r="T224" i="1" s="1"/>
  <c r="U176" i="1" l="1"/>
  <c r="V224" i="1"/>
  <c r="U18" i="1"/>
  <c r="S176" i="1"/>
  <c r="S18" i="1"/>
  <c r="Q34" i="1"/>
  <c r="Q32" i="1" s="1"/>
  <c r="Q25" i="1"/>
  <c r="Q122" i="1"/>
  <c r="Q89" i="1"/>
  <c r="Q87" i="1" s="1"/>
  <c r="Q107" i="1"/>
  <c r="Q23" i="1"/>
  <c r="Q55" i="1"/>
  <c r="Q40" i="1"/>
  <c r="Q43" i="1"/>
  <c r="Q179" i="1"/>
  <c r="Q116" i="1"/>
  <c r="Q61" i="1"/>
  <c r="Q59" i="1" s="1"/>
  <c r="Q98" i="1"/>
  <c r="R99" i="1"/>
  <c r="T99" i="1" s="1"/>
  <c r="V99" i="1" s="1"/>
  <c r="Q96" i="1"/>
  <c r="Q145" i="1"/>
  <c r="Q143" i="1" s="1"/>
  <c r="Q194" i="1"/>
  <c r="Q90" i="1"/>
  <c r="Q133" i="1"/>
  <c r="Q131" i="1" s="1"/>
  <c r="Q93" i="1"/>
  <c r="Q170" i="1"/>
  <c r="Q213" i="1"/>
  <c r="R213" i="1" s="1"/>
  <c r="T213" i="1" s="1"/>
  <c r="V213" i="1" s="1"/>
  <c r="R215" i="1"/>
  <c r="T215" i="1" s="1"/>
  <c r="V215" i="1" s="1"/>
  <c r="Q216" i="1"/>
  <c r="Q29" i="1"/>
  <c r="Q139" i="1"/>
  <c r="Q137" i="1" s="1"/>
  <c r="Q128" i="1"/>
  <c r="Q110" i="1"/>
  <c r="Q37" i="1"/>
  <c r="Q35" i="1" s="1"/>
  <c r="Q71" i="1"/>
  <c r="Q19" i="1"/>
  <c r="Q173" i="1"/>
  <c r="R175" i="1"/>
  <c r="T175" i="1" s="1"/>
  <c r="V175" i="1" s="1"/>
  <c r="R173" i="1"/>
  <c r="T173" i="1" s="1"/>
  <c r="V173" i="1" s="1"/>
  <c r="Q177" i="1"/>
  <c r="Q176" i="1" s="1"/>
  <c r="Q125" i="1"/>
  <c r="Q56" i="1"/>
  <c r="Q53" i="1"/>
  <c r="Q50" i="1"/>
  <c r="Q47" i="1"/>
  <c r="Q44" i="1"/>
  <c r="Q41" i="1"/>
  <c r="Q38" i="1"/>
  <c r="O105" i="1"/>
  <c r="O43" i="1"/>
  <c r="O41" i="1" s="1"/>
  <c r="O179" i="1"/>
  <c r="O177" i="1" s="1"/>
  <c r="O176" i="1" s="1"/>
  <c r="O127" i="1"/>
  <c r="O125" i="1" s="1"/>
  <c r="O103" i="1"/>
  <c r="O56" i="1"/>
  <c r="O53" i="1"/>
  <c r="O50" i="1"/>
  <c r="O47" i="1"/>
  <c r="O44" i="1"/>
  <c r="O38" i="1"/>
  <c r="O35" i="1"/>
  <c r="C204" i="1"/>
  <c r="E204" i="1"/>
  <c r="F204" i="1"/>
  <c r="H204" i="1"/>
  <c r="I204" i="1"/>
  <c r="J204" i="1"/>
  <c r="L204" i="1" s="1"/>
  <c r="M204" i="1"/>
  <c r="D206" i="1"/>
  <c r="G206" i="1"/>
  <c r="L206" i="1"/>
  <c r="K206" i="1" s="1"/>
  <c r="U227" i="1" l="1"/>
  <c r="S227" i="1"/>
  <c r="Q18" i="1"/>
  <c r="Q227" i="1" s="1"/>
  <c r="K204" i="1"/>
  <c r="G204" i="1"/>
  <c r="D204" i="1"/>
  <c r="O18" i="1"/>
  <c r="O227" i="1" s="1"/>
  <c r="N204" i="1"/>
  <c r="N206" i="1"/>
  <c r="N99" i="1"/>
  <c r="M96" i="1"/>
  <c r="N197" i="1"/>
  <c r="P197" i="1" s="1"/>
  <c r="R197" i="1" s="1"/>
  <c r="T197" i="1" s="1"/>
  <c r="V197" i="1" s="1"/>
  <c r="M194" i="1"/>
  <c r="M221" i="1"/>
  <c r="M216" i="1"/>
  <c r="M207" i="1"/>
  <c r="M201" i="1"/>
  <c r="M198" i="1"/>
  <c r="M190" i="1"/>
  <c r="M187" i="1"/>
  <c r="M184" i="1"/>
  <c r="M180" i="1"/>
  <c r="M177" i="1"/>
  <c r="M170" i="1"/>
  <c r="M167" i="1"/>
  <c r="M164" i="1"/>
  <c r="M161" i="1"/>
  <c r="M158" i="1"/>
  <c r="M155" i="1"/>
  <c r="M149" i="1"/>
  <c r="M146" i="1"/>
  <c r="M143" i="1"/>
  <c r="M140" i="1"/>
  <c r="M137" i="1"/>
  <c r="M134" i="1"/>
  <c r="M131" i="1"/>
  <c r="M128" i="1"/>
  <c r="M125" i="1"/>
  <c r="M122" i="1"/>
  <c r="M119" i="1"/>
  <c r="M116" i="1"/>
  <c r="M113" i="1"/>
  <c r="M110" i="1"/>
  <c r="M107" i="1"/>
  <c r="M103" i="1"/>
  <c r="M100" i="1"/>
  <c r="M93" i="1"/>
  <c r="M90" i="1"/>
  <c r="M87" i="1"/>
  <c r="M84" i="1"/>
  <c r="M74" i="1"/>
  <c r="M71" i="1"/>
  <c r="M68" i="1"/>
  <c r="M65" i="1"/>
  <c r="M59" i="1"/>
  <c r="M56" i="1"/>
  <c r="M53" i="1"/>
  <c r="M50" i="1"/>
  <c r="M47" i="1"/>
  <c r="M44" i="1"/>
  <c r="M41" i="1"/>
  <c r="M38" i="1"/>
  <c r="M35" i="1"/>
  <c r="M32" i="1"/>
  <c r="M29" i="1"/>
  <c r="M23" i="1"/>
  <c r="M19" i="1"/>
  <c r="C196" i="1"/>
  <c r="J133" i="1"/>
  <c r="J121" i="1"/>
  <c r="L121" i="1" s="1"/>
  <c r="K121" i="1" s="1"/>
  <c r="J209" i="1"/>
  <c r="J37" i="1"/>
  <c r="J172" i="1"/>
  <c r="L172" i="1" s="1"/>
  <c r="K172" i="1" s="1"/>
  <c r="J192" i="1"/>
  <c r="L192" i="1" s="1"/>
  <c r="K192" i="1" s="1"/>
  <c r="J49" i="1"/>
  <c r="J182" i="1"/>
  <c r="J58" i="1"/>
  <c r="J55" i="1"/>
  <c r="L55" i="1" s="1"/>
  <c r="K55" i="1" s="1"/>
  <c r="J52" i="1"/>
  <c r="L52" i="1" s="1"/>
  <c r="K52" i="1" s="1"/>
  <c r="J46" i="1"/>
  <c r="J124" i="1"/>
  <c r="J179" i="1"/>
  <c r="J177" i="1" s="1"/>
  <c r="J112" i="1"/>
  <c r="J40" i="1"/>
  <c r="J43" i="1"/>
  <c r="J21" i="1"/>
  <c r="L21" i="1" s="1"/>
  <c r="K21" i="1" s="1"/>
  <c r="L22" i="1"/>
  <c r="K22" i="1" s="1"/>
  <c r="L25" i="1"/>
  <c r="K25" i="1" s="1"/>
  <c r="L28" i="1"/>
  <c r="K28" i="1" s="1"/>
  <c r="L31" i="1"/>
  <c r="K31" i="1" s="1"/>
  <c r="L34" i="1"/>
  <c r="K34" i="1" s="1"/>
  <c r="L37" i="1"/>
  <c r="K37" i="1" s="1"/>
  <c r="L40" i="1"/>
  <c r="K40" i="1" s="1"/>
  <c r="L43" i="1"/>
  <c r="K43" i="1" s="1"/>
  <c r="L46" i="1"/>
  <c r="K46" i="1" s="1"/>
  <c r="L49" i="1"/>
  <c r="K49" i="1" s="1"/>
  <c r="L58" i="1"/>
  <c r="K58" i="1" s="1"/>
  <c r="L61" i="1"/>
  <c r="K61" i="1" s="1"/>
  <c r="L64" i="1"/>
  <c r="K64" i="1" s="1"/>
  <c r="L67" i="1"/>
  <c r="K67" i="1" s="1"/>
  <c r="L70" i="1"/>
  <c r="K70" i="1" s="1"/>
  <c r="L73" i="1"/>
  <c r="K73" i="1" s="1"/>
  <c r="L76" i="1"/>
  <c r="K76" i="1" s="1"/>
  <c r="L79" i="1"/>
  <c r="K79" i="1" s="1"/>
  <c r="L83" i="1"/>
  <c r="K83" i="1" s="1"/>
  <c r="L86" i="1"/>
  <c r="K86" i="1" s="1"/>
  <c r="L89" i="1"/>
  <c r="K89" i="1" s="1"/>
  <c r="L92" i="1"/>
  <c r="K92" i="1" s="1"/>
  <c r="L95" i="1"/>
  <c r="K95" i="1" s="1"/>
  <c r="L98" i="1"/>
  <c r="K98" i="1" s="1"/>
  <c r="L102" i="1"/>
  <c r="K102" i="1" s="1"/>
  <c r="L105" i="1"/>
  <c r="K105" i="1" s="1"/>
  <c r="L109" i="1"/>
  <c r="K109" i="1" s="1"/>
  <c r="L112" i="1"/>
  <c r="K112" i="1" s="1"/>
  <c r="L115" i="1"/>
  <c r="K115" i="1" s="1"/>
  <c r="L118" i="1"/>
  <c r="K118" i="1" s="1"/>
  <c r="L124" i="1"/>
  <c r="K124" i="1" s="1"/>
  <c r="L127" i="1"/>
  <c r="K127" i="1" s="1"/>
  <c r="L130" i="1"/>
  <c r="K130" i="1" s="1"/>
  <c r="L133" i="1"/>
  <c r="K133" i="1" s="1"/>
  <c r="L136" i="1"/>
  <c r="K136" i="1" s="1"/>
  <c r="L139" i="1"/>
  <c r="K139" i="1" s="1"/>
  <c r="L142" i="1"/>
  <c r="K142" i="1" s="1"/>
  <c r="L145" i="1"/>
  <c r="K145" i="1" s="1"/>
  <c r="L148" i="1"/>
  <c r="K148" i="1" s="1"/>
  <c r="L151" i="1"/>
  <c r="K151" i="1" s="1"/>
  <c r="L154" i="1"/>
  <c r="K154" i="1" s="1"/>
  <c r="L157" i="1"/>
  <c r="K157" i="1" s="1"/>
  <c r="L160" i="1"/>
  <c r="K160" i="1" s="1"/>
  <c r="L163" i="1"/>
  <c r="K163" i="1" s="1"/>
  <c r="L166" i="1"/>
  <c r="K166" i="1" s="1"/>
  <c r="L169" i="1"/>
  <c r="K169" i="1" s="1"/>
  <c r="L179" i="1"/>
  <c r="K179" i="1" s="1"/>
  <c r="L182" i="1"/>
  <c r="K182" i="1" s="1"/>
  <c r="L183" i="1"/>
  <c r="K183" i="1" s="1"/>
  <c r="L186" i="1"/>
  <c r="K186" i="1" s="1"/>
  <c r="L189" i="1"/>
  <c r="K189" i="1" s="1"/>
  <c r="L196" i="1"/>
  <c r="K196" i="1" s="1"/>
  <c r="L200" i="1"/>
  <c r="K200" i="1" s="1"/>
  <c r="L203" i="1"/>
  <c r="K203" i="1" s="1"/>
  <c r="L209" i="1"/>
  <c r="K209" i="1" s="1"/>
  <c r="L212" i="1"/>
  <c r="K212" i="1" s="1"/>
  <c r="L218" i="1"/>
  <c r="K218" i="1" s="1"/>
  <c r="L220" i="1"/>
  <c r="K220" i="1" s="1"/>
  <c r="L223" i="1"/>
  <c r="K223" i="1" s="1"/>
  <c r="J221" i="1"/>
  <c r="J219" i="1"/>
  <c r="J216" i="1"/>
  <c r="J210" i="1"/>
  <c r="J207" i="1"/>
  <c r="J201" i="1"/>
  <c r="J198" i="1"/>
  <c r="J194" i="1"/>
  <c r="J187" i="1"/>
  <c r="J184" i="1"/>
  <c r="J180" i="1"/>
  <c r="J167" i="1"/>
  <c r="J164" i="1"/>
  <c r="J161" i="1"/>
  <c r="J158" i="1"/>
  <c r="J155" i="1"/>
  <c r="J152" i="1"/>
  <c r="J149" i="1"/>
  <c r="J146" i="1"/>
  <c r="J143" i="1"/>
  <c r="J140" i="1"/>
  <c r="J137" i="1"/>
  <c r="J134" i="1"/>
  <c r="J131" i="1"/>
  <c r="J128" i="1"/>
  <c r="J125" i="1"/>
  <c r="J122" i="1"/>
  <c r="J116" i="1"/>
  <c r="J113" i="1"/>
  <c r="J110" i="1"/>
  <c r="J107" i="1"/>
  <c r="J103" i="1"/>
  <c r="J100" i="1"/>
  <c r="J96" i="1"/>
  <c r="J93" i="1"/>
  <c r="J90" i="1"/>
  <c r="J87" i="1"/>
  <c r="J84" i="1"/>
  <c r="J81" i="1"/>
  <c r="J77" i="1"/>
  <c r="J74" i="1"/>
  <c r="J71" i="1"/>
  <c r="J68" i="1"/>
  <c r="J65" i="1"/>
  <c r="J62" i="1"/>
  <c r="J59" i="1"/>
  <c r="J56" i="1"/>
  <c r="J53" i="1"/>
  <c r="J50" i="1"/>
  <c r="J47" i="1"/>
  <c r="J44" i="1"/>
  <c r="J41" i="1"/>
  <c r="J38" i="1"/>
  <c r="J35" i="1"/>
  <c r="J32" i="1"/>
  <c r="J29" i="1"/>
  <c r="J26" i="1"/>
  <c r="J23" i="1"/>
  <c r="J19" i="1"/>
  <c r="G223" i="1"/>
  <c r="D223" i="1"/>
  <c r="I221" i="1"/>
  <c r="H221" i="1"/>
  <c r="F221" i="1"/>
  <c r="E221" i="1"/>
  <c r="L221" i="1" s="1"/>
  <c r="N221" i="1" s="1"/>
  <c r="P221" i="1" s="1"/>
  <c r="R221" i="1" s="1"/>
  <c r="T221" i="1" s="1"/>
  <c r="V221" i="1" s="1"/>
  <c r="C221" i="1"/>
  <c r="G220" i="1"/>
  <c r="D220" i="1"/>
  <c r="I219" i="1"/>
  <c r="H219" i="1"/>
  <c r="F219" i="1"/>
  <c r="E219" i="1"/>
  <c r="C219" i="1"/>
  <c r="G218" i="1"/>
  <c r="D218" i="1"/>
  <c r="I216" i="1"/>
  <c r="H216" i="1"/>
  <c r="F216" i="1"/>
  <c r="E216" i="1"/>
  <c r="C216" i="1"/>
  <c r="G212" i="1"/>
  <c r="M210" i="1" s="1"/>
  <c r="D212" i="1"/>
  <c r="I210" i="1"/>
  <c r="H210" i="1"/>
  <c r="F210" i="1"/>
  <c r="E210" i="1"/>
  <c r="C210" i="1"/>
  <c r="J170" i="1" l="1"/>
  <c r="L170" i="1" s="1"/>
  <c r="K170" i="1" s="1"/>
  <c r="J190" i="1"/>
  <c r="L216" i="1"/>
  <c r="N216" i="1" s="1"/>
  <c r="P216" i="1" s="1"/>
  <c r="R216" i="1" s="1"/>
  <c r="T216" i="1" s="1"/>
  <c r="V216" i="1" s="1"/>
  <c r="J119" i="1"/>
  <c r="G219" i="1"/>
  <c r="M176" i="1"/>
  <c r="N21" i="1"/>
  <c r="P21" i="1" s="1"/>
  <c r="R21" i="1" s="1"/>
  <c r="T21" i="1" s="1"/>
  <c r="V21" i="1" s="1"/>
  <c r="N25" i="1"/>
  <c r="P25" i="1" s="1"/>
  <c r="R25" i="1" s="1"/>
  <c r="T25" i="1" s="1"/>
  <c r="V25" i="1" s="1"/>
  <c r="N34" i="1"/>
  <c r="P34" i="1" s="1"/>
  <c r="R34" i="1" s="1"/>
  <c r="T34" i="1" s="1"/>
  <c r="V34" i="1" s="1"/>
  <c r="N40" i="1"/>
  <c r="P40" i="1" s="1"/>
  <c r="R40" i="1" s="1"/>
  <c r="T40" i="1" s="1"/>
  <c r="V40" i="1" s="1"/>
  <c r="N46" i="1"/>
  <c r="P46" i="1" s="1"/>
  <c r="R46" i="1" s="1"/>
  <c r="T46" i="1" s="1"/>
  <c r="V46" i="1" s="1"/>
  <c r="N52" i="1"/>
  <c r="P52" i="1" s="1"/>
  <c r="R52" i="1" s="1"/>
  <c r="T52" i="1" s="1"/>
  <c r="V52" i="1" s="1"/>
  <c r="N58" i="1"/>
  <c r="P58" i="1" s="1"/>
  <c r="R58" i="1" s="1"/>
  <c r="T58" i="1" s="1"/>
  <c r="V58" i="1" s="1"/>
  <c r="N70" i="1"/>
  <c r="P70" i="1" s="1"/>
  <c r="R70" i="1" s="1"/>
  <c r="T70" i="1" s="1"/>
  <c r="V70" i="1" s="1"/>
  <c r="N76" i="1"/>
  <c r="P76" i="1" s="1"/>
  <c r="R76" i="1" s="1"/>
  <c r="T76" i="1" s="1"/>
  <c r="V76" i="1" s="1"/>
  <c r="N89" i="1"/>
  <c r="P89" i="1" s="1"/>
  <c r="R89" i="1" s="1"/>
  <c r="T89" i="1" s="1"/>
  <c r="V89" i="1" s="1"/>
  <c r="N95" i="1"/>
  <c r="P95" i="1" s="1"/>
  <c r="R95" i="1" s="1"/>
  <c r="T95" i="1" s="1"/>
  <c r="V95" i="1" s="1"/>
  <c r="N102" i="1"/>
  <c r="P102" i="1" s="1"/>
  <c r="R102" i="1" s="1"/>
  <c r="T102" i="1" s="1"/>
  <c r="V102" i="1" s="1"/>
  <c r="N109" i="1"/>
  <c r="P109" i="1" s="1"/>
  <c r="R109" i="1" s="1"/>
  <c r="T109" i="1" s="1"/>
  <c r="V109" i="1" s="1"/>
  <c r="N115" i="1"/>
  <c r="P115" i="1" s="1"/>
  <c r="R115" i="1" s="1"/>
  <c r="T115" i="1" s="1"/>
  <c r="V115" i="1" s="1"/>
  <c r="N124" i="1"/>
  <c r="P124" i="1" s="1"/>
  <c r="R124" i="1" s="1"/>
  <c r="T124" i="1" s="1"/>
  <c r="V124" i="1" s="1"/>
  <c r="N130" i="1"/>
  <c r="P130" i="1" s="1"/>
  <c r="R130" i="1" s="1"/>
  <c r="T130" i="1" s="1"/>
  <c r="V130" i="1" s="1"/>
  <c r="N136" i="1"/>
  <c r="P136" i="1" s="1"/>
  <c r="R136" i="1" s="1"/>
  <c r="T136" i="1" s="1"/>
  <c r="V136" i="1" s="1"/>
  <c r="N142" i="1"/>
  <c r="P142" i="1" s="1"/>
  <c r="R142" i="1" s="1"/>
  <c r="T142" i="1" s="1"/>
  <c r="V142" i="1" s="1"/>
  <c r="N148" i="1"/>
  <c r="P148" i="1" s="1"/>
  <c r="R148" i="1" s="1"/>
  <c r="T148" i="1" s="1"/>
  <c r="V148" i="1" s="1"/>
  <c r="N157" i="1"/>
  <c r="P157" i="1" s="1"/>
  <c r="R157" i="1" s="1"/>
  <c r="T157" i="1" s="1"/>
  <c r="V157" i="1" s="1"/>
  <c r="N163" i="1"/>
  <c r="P163" i="1" s="1"/>
  <c r="R163" i="1" s="1"/>
  <c r="T163" i="1" s="1"/>
  <c r="V163" i="1" s="1"/>
  <c r="N169" i="1"/>
  <c r="P169" i="1" s="1"/>
  <c r="R169" i="1" s="1"/>
  <c r="T169" i="1" s="1"/>
  <c r="V169" i="1" s="1"/>
  <c r="N179" i="1"/>
  <c r="P179" i="1" s="1"/>
  <c r="R179" i="1" s="1"/>
  <c r="T179" i="1" s="1"/>
  <c r="V179" i="1" s="1"/>
  <c r="N183" i="1"/>
  <c r="P183" i="1" s="1"/>
  <c r="R183" i="1" s="1"/>
  <c r="T183" i="1" s="1"/>
  <c r="V183" i="1" s="1"/>
  <c r="N189" i="1"/>
  <c r="P189" i="1" s="1"/>
  <c r="R189" i="1" s="1"/>
  <c r="T189" i="1" s="1"/>
  <c r="V189" i="1" s="1"/>
  <c r="N192" i="1"/>
  <c r="P192" i="1" s="1"/>
  <c r="R192" i="1" s="1"/>
  <c r="T192" i="1" s="1"/>
  <c r="V192" i="1" s="1"/>
  <c r="N203" i="1"/>
  <c r="P203" i="1" s="1"/>
  <c r="R203" i="1" s="1"/>
  <c r="T203" i="1" s="1"/>
  <c r="V203" i="1" s="1"/>
  <c r="N209" i="1"/>
  <c r="P209" i="1" s="1"/>
  <c r="R209" i="1" s="1"/>
  <c r="T209" i="1" s="1"/>
  <c r="V209" i="1" s="1"/>
  <c r="N218" i="1"/>
  <c r="P218" i="1" s="1"/>
  <c r="R218" i="1" s="1"/>
  <c r="T218" i="1" s="1"/>
  <c r="V218" i="1" s="1"/>
  <c r="N22" i="1"/>
  <c r="P22" i="1" s="1"/>
  <c r="R22" i="1" s="1"/>
  <c r="T22" i="1" s="1"/>
  <c r="V22" i="1" s="1"/>
  <c r="N31" i="1"/>
  <c r="P31" i="1" s="1"/>
  <c r="R31" i="1" s="1"/>
  <c r="T31" i="1" s="1"/>
  <c r="V31" i="1" s="1"/>
  <c r="N37" i="1"/>
  <c r="P37" i="1" s="1"/>
  <c r="R37" i="1" s="1"/>
  <c r="T37" i="1" s="1"/>
  <c r="V37" i="1" s="1"/>
  <c r="N43" i="1"/>
  <c r="P43" i="1" s="1"/>
  <c r="R43" i="1" s="1"/>
  <c r="T43" i="1" s="1"/>
  <c r="V43" i="1" s="1"/>
  <c r="N49" i="1"/>
  <c r="P49" i="1" s="1"/>
  <c r="R49" i="1" s="1"/>
  <c r="T49" i="1" s="1"/>
  <c r="V49" i="1" s="1"/>
  <c r="N55" i="1"/>
  <c r="P55" i="1" s="1"/>
  <c r="R55" i="1" s="1"/>
  <c r="T55" i="1" s="1"/>
  <c r="V55" i="1" s="1"/>
  <c r="N61" i="1"/>
  <c r="P61" i="1" s="1"/>
  <c r="R61" i="1" s="1"/>
  <c r="T61" i="1" s="1"/>
  <c r="V61" i="1" s="1"/>
  <c r="N67" i="1"/>
  <c r="P67" i="1" s="1"/>
  <c r="R67" i="1" s="1"/>
  <c r="T67" i="1" s="1"/>
  <c r="V67" i="1" s="1"/>
  <c r="N73" i="1"/>
  <c r="P73" i="1" s="1"/>
  <c r="R73" i="1" s="1"/>
  <c r="T73" i="1" s="1"/>
  <c r="V73" i="1" s="1"/>
  <c r="N86" i="1"/>
  <c r="P86" i="1" s="1"/>
  <c r="R86" i="1" s="1"/>
  <c r="T86" i="1" s="1"/>
  <c r="V86" i="1" s="1"/>
  <c r="N92" i="1"/>
  <c r="P92" i="1" s="1"/>
  <c r="R92" i="1" s="1"/>
  <c r="T92" i="1" s="1"/>
  <c r="V92" i="1" s="1"/>
  <c r="N98" i="1"/>
  <c r="P98" i="1" s="1"/>
  <c r="R98" i="1" s="1"/>
  <c r="T98" i="1" s="1"/>
  <c r="V98" i="1" s="1"/>
  <c r="N105" i="1"/>
  <c r="P105" i="1" s="1"/>
  <c r="R105" i="1" s="1"/>
  <c r="T105" i="1" s="1"/>
  <c r="V105" i="1" s="1"/>
  <c r="N112" i="1"/>
  <c r="P112" i="1" s="1"/>
  <c r="R112" i="1" s="1"/>
  <c r="T112" i="1" s="1"/>
  <c r="V112" i="1" s="1"/>
  <c r="N118" i="1"/>
  <c r="P118" i="1" s="1"/>
  <c r="R118" i="1" s="1"/>
  <c r="T118" i="1" s="1"/>
  <c r="V118" i="1" s="1"/>
  <c r="N121" i="1"/>
  <c r="P121" i="1" s="1"/>
  <c r="R121" i="1" s="1"/>
  <c r="T121" i="1" s="1"/>
  <c r="V121" i="1" s="1"/>
  <c r="N127" i="1"/>
  <c r="P127" i="1" s="1"/>
  <c r="R127" i="1" s="1"/>
  <c r="T127" i="1" s="1"/>
  <c r="V127" i="1" s="1"/>
  <c r="N133" i="1"/>
  <c r="P133" i="1" s="1"/>
  <c r="R133" i="1" s="1"/>
  <c r="T133" i="1" s="1"/>
  <c r="V133" i="1" s="1"/>
  <c r="N139" i="1"/>
  <c r="P139" i="1" s="1"/>
  <c r="R139" i="1" s="1"/>
  <c r="T139" i="1" s="1"/>
  <c r="V139" i="1" s="1"/>
  <c r="N145" i="1"/>
  <c r="P145" i="1" s="1"/>
  <c r="R145" i="1" s="1"/>
  <c r="T145" i="1" s="1"/>
  <c r="V145" i="1" s="1"/>
  <c r="N151" i="1"/>
  <c r="P151" i="1" s="1"/>
  <c r="R151" i="1" s="1"/>
  <c r="T151" i="1" s="1"/>
  <c r="V151" i="1" s="1"/>
  <c r="N160" i="1"/>
  <c r="P160" i="1" s="1"/>
  <c r="R160" i="1" s="1"/>
  <c r="T160" i="1" s="1"/>
  <c r="V160" i="1" s="1"/>
  <c r="N166" i="1"/>
  <c r="P166" i="1" s="1"/>
  <c r="R166" i="1" s="1"/>
  <c r="T166" i="1" s="1"/>
  <c r="V166" i="1" s="1"/>
  <c r="N170" i="1"/>
  <c r="P170" i="1" s="1"/>
  <c r="R170" i="1" s="1"/>
  <c r="T170" i="1" s="1"/>
  <c r="V170" i="1" s="1"/>
  <c r="N172" i="1"/>
  <c r="P172" i="1" s="1"/>
  <c r="R172" i="1" s="1"/>
  <c r="T172" i="1" s="1"/>
  <c r="V172" i="1" s="1"/>
  <c r="N182" i="1"/>
  <c r="P182" i="1" s="1"/>
  <c r="R182" i="1" s="1"/>
  <c r="T182" i="1" s="1"/>
  <c r="V182" i="1" s="1"/>
  <c r="N186" i="1"/>
  <c r="P186" i="1" s="1"/>
  <c r="R186" i="1" s="1"/>
  <c r="T186" i="1" s="1"/>
  <c r="V186" i="1" s="1"/>
  <c r="N196" i="1"/>
  <c r="N200" i="1"/>
  <c r="P200" i="1" s="1"/>
  <c r="R200" i="1" s="1"/>
  <c r="T200" i="1" s="1"/>
  <c r="V200" i="1" s="1"/>
  <c r="N212" i="1"/>
  <c r="P212" i="1" s="1"/>
  <c r="R212" i="1" s="1"/>
  <c r="T212" i="1" s="1"/>
  <c r="V212" i="1" s="1"/>
  <c r="N223" i="1"/>
  <c r="P223" i="1" s="1"/>
  <c r="R223" i="1" s="1"/>
  <c r="T223" i="1" s="1"/>
  <c r="V223" i="1" s="1"/>
  <c r="K221" i="1"/>
  <c r="L210" i="1"/>
  <c r="N210" i="1" s="1"/>
  <c r="P210" i="1" s="1"/>
  <c r="R210" i="1" s="1"/>
  <c r="T210" i="1" s="1"/>
  <c r="V210" i="1" s="1"/>
  <c r="L219" i="1"/>
  <c r="N219" i="1" s="1"/>
  <c r="M219" i="1" s="1"/>
  <c r="K210" i="1"/>
  <c r="J18" i="1"/>
  <c r="G210" i="1"/>
  <c r="J176" i="1"/>
  <c r="G216" i="1"/>
  <c r="D216" i="1"/>
  <c r="D221" i="1"/>
  <c r="D219" i="1"/>
  <c r="G221" i="1"/>
  <c r="D210" i="1"/>
  <c r="K216" i="1" l="1"/>
  <c r="N194" i="1"/>
  <c r="P194" i="1" s="1"/>
  <c r="R194" i="1" s="1"/>
  <c r="T194" i="1" s="1"/>
  <c r="V194" i="1" s="1"/>
  <c r="P196" i="1"/>
  <c r="R196" i="1" s="1"/>
  <c r="T196" i="1" s="1"/>
  <c r="V196" i="1" s="1"/>
  <c r="K219" i="1"/>
  <c r="J227" i="1"/>
  <c r="G169" i="1"/>
  <c r="D169" i="1"/>
  <c r="I167" i="1"/>
  <c r="H167" i="1"/>
  <c r="F167" i="1"/>
  <c r="E167" i="1"/>
  <c r="L167" i="1" s="1"/>
  <c r="N167" i="1" s="1"/>
  <c r="P167" i="1" s="1"/>
  <c r="R167" i="1" s="1"/>
  <c r="T167" i="1" s="1"/>
  <c r="V167" i="1" s="1"/>
  <c r="C167" i="1"/>
  <c r="G167" i="1" l="1"/>
  <c r="K167" i="1"/>
  <c r="D167" i="1"/>
  <c r="G166" i="1"/>
  <c r="D166" i="1"/>
  <c r="I164" i="1"/>
  <c r="H164" i="1"/>
  <c r="F164" i="1"/>
  <c r="E164" i="1"/>
  <c r="L164" i="1" s="1"/>
  <c r="N164" i="1" s="1"/>
  <c r="P164" i="1" s="1"/>
  <c r="R164" i="1" s="1"/>
  <c r="T164" i="1" s="1"/>
  <c r="V164" i="1" s="1"/>
  <c r="C164" i="1"/>
  <c r="G163" i="1"/>
  <c r="D163" i="1"/>
  <c r="I161" i="1"/>
  <c r="H161" i="1"/>
  <c r="F161" i="1"/>
  <c r="E161" i="1"/>
  <c r="L161" i="1" s="1"/>
  <c r="N161" i="1" s="1"/>
  <c r="P161" i="1" s="1"/>
  <c r="R161" i="1" s="1"/>
  <c r="T161" i="1" s="1"/>
  <c r="V161" i="1" s="1"/>
  <c r="C161" i="1"/>
  <c r="G160" i="1"/>
  <c r="D160" i="1"/>
  <c r="I158" i="1"/>
  <c r="H158" i="1"/>
  <c r="F158" i="1"/>
  <c r="E158" i="1"/>
  <c r="L158" i="1" s="1"/>
  <c r="N158" i="1" s="1"/>
  <c r="P158" i="1" s="1"/>
  <c r="R158" i="1" s="1"/>
  <c r="T158" i="1" s="1"/>
  <c r="V158" i="1" s="1"/>
  <c r="C158" i="1"/>
  <c r="G157" i="1"/>
  <c r="D157" i="1"/>
  <c r="I155" i="1"/>
  <c r="H155" i="1"/>
  <c r="F155" i="1"/>
  <c r="E155" i="1"/>
  <c r="L155" i="1" s="1"/>
  <c r="N155" i="1" s="1"/>
  <c r="P155" i="1" s="1"/>
  <c r="R155" i="1" s="1"/>
  <c r="T155" i="1" s="1"/>
  <c r="V155" i="1" s="1"/>
  <c r="C155" i="1"/>
  <c r="G154" i="1"/>
  <c r="N154" i="1" s="1"/>
  <c r="M154" i="1" s="1"/>
  <c r="D154" i="1"/>
  <c r="I152" i="1"/>
  <c r="H152" i="1"/>
  <c r="F152" i="1"/>
  <c r="E152" i="1"/>
  <c r="L152" i="1" s="1"/>
  <c r="C152" i="1"/>
  <c r="G151" i="1"/>
  <c r="D151" i="1"/>
  <c r="I149" i="1"/>
  <c r="H149" i="1"/>
  <c r="F149" i="1"/>
  <c r="E149" i="1"/>
  <c r="L149" i="1" s="1"/>
  <c r="N149" i="1" s="1"/>
  <c r="P149" i="1" s="1"/>
  <c r="R149" i="1" s="1"/>
  <c r="T149" i="1" s="1"/>
  <c r="V149" i="1" s="1"/>
  <c r="C149" i="1"/>
  <c r="G148" i="1"/>
  <c r="D148" i="1"/>
  <c r="I146" i="1"/>
  <c r="H146" i="1"/>
  <c r="F146" i="1"/>
  <c r="E146" i="1"/>
  <c r="L146" i="1" s="1"/>
  <c r="N146" i="1" s="1"/>
  <c r="P146" i="1" s="1"/>
  <c r="R146" i="1" s="1"/>
  <c r="T146" i="1" s="1"/>
  <c r="V146" i="1" s="1"/>
  <c r="C146" i="1"/>
  <c r="G145" i="1"/>
  <c r="D145" i="1"/>
  <c r="I143" i="1"/>
  <c r="H143" i="1"/>
  <c r="F143" i="1"/>
  <c r="E143" i="1"/>
  <c r="L143" i="1" s="1"/>
  <c r="N143" i="1" s="1"/>
  <c r="P143" i="1" s="1"/>
  <c r="R143" i="1" s="1"/>
  <c r="T143" i="1" s="1"/>
  <c r="V143" i="1" s="1"/>
  <c r="C143" i="1"/>
  <c r="G142" i="1"/>
  <c r="D142" i="1"/>
  <c r="I140" i="1"/>
  <c r="H140" i="1"/>
  <c r="F140" i="1"/>
  <c r="E140" i="1"/>
  <c r="L140" i="1" s="1"/>
  <c r="N140" i="1" s="1"/>
  <c r="P140" i="1" s="1"/>
  <c r="R140" i="1" s="1"/>
  <c r="T140" i="1" s="1"/>
  <c r="V140" i="1" s="1"/>
  <c r="C140" i="1"/>
  <c r="G139" i="1"/>
  <c r="D139" i="1"/>
  <c r="I137" i="1"/>
  <c r="H137" i="1"/>
  <c r="F137" i="1"/>
  <c r="E137" i="1"/>
  <c r="C137" i="1"/>
  <c r="G136" i="1"/>
  <c r="D136" i="1"/>
  <c r="I134" i="1"/>
  <c r="H134" i="1"/>
  <c r="F134" i="1"/>
  <c r="E134" i="1"/>
  <c r="L134" i="1" s="1"/>
  <c r="N134" i="1" s="1"/>
  <c r="P134" i="1" s="1"/>
  <c r="R134" i="1" s="1"/>
  <c r="T134" i="1" s="1"/>
  <c r="V134" i="1" s="1"/>
  <c r="C134" i="1"/>
  <c r="K164" i="1" l="1"/>
  <c r="G164" i="1"/>
  <c r="G134" i="1"/>
  <c r="G137" i="1"/>
  <c r="G140" i="1"/>
  <c r="K143" i="1"/>
  <c r="G146" i="1"/>
  <c r="G152" i="1"/>
  <c r="N152" i="1" s="1"/>
  <c r="M152" i="1" s="1"/>
  <c r="G158" i="1"/>
  <c r="D137" i="1"/>
  <c r="L137" i="1"/>
  <c r="K149" i="1"/>
  <c r="K155" i="1"/>
  <c r="K161" i="1"/>
  <c r="K134" i="1"/>
  <c r="K140" i="1"/>
  <c r="K146" i="1"/>
  <c r="K152" i="1"/>
  <c r="K158" i="1"/>
  <c r="G149" i="1"/>
  <c r="G155" i="1"/>
  <c r="G161" i="1"/>
  <c r="D164" i="1"/>
  <c r="D134" i="1"/>
  <c r="D149" i="1"/>
  <c r="D155" i="1"/>
  <c r="D161" i="1"/>
  <c r="G143" i="1"/>
  <c r="D146" i="1"/>
  <c r="D152" i="1"/>
  <c r="D158" i="1"/>
  <c r="D143" i="1"/>
  <c r="D140" i="1"/>
  <c r="G133" i="1"/>
  <c r="D133" i="1"/>
  <c r="I131" i="1"/>
  <c r="H131" i="1"/>
  <c r="F131" i="1"/>
  <c r="E131" i="1"/>
  <c r="L131" i="1" s="1"/>
  <c r="N131" i="1" s="1"/>
  <c r="P131" i="1" s="1"/>
  <c r="R131" i="1" s="1"/>
  <c r="T131" i="1" s="1"/>
  <c r="V131" i="1" s="1"/>
  <c r="C131" i="1"/>
  <c r="G130" i="1"/>
  <c r="D130" i="1"/>
  <c r="I128" i="1"/>
  <c r="H128" i="1"/>
  <c r="F128" i="1"/>
  <c r="E128" i="1"/>
  <c r="L128" i="1" s="1"/>
  <c r="N128" i="1" s="1"/>
  <c r="P128" i="1" s="1"/>
  <c r="R128" i="1" s="1"/>
  <c r="T128" i="1" s="1"/>
  <c r="V128" i="1" s="1"/>
  <c r="C128" i="1"/>
  <c r="G127" i="1"/>
  <c r="D127" i="1"/>
  <c r="I125" i="1"/>
  <c r="H125" i="1"/>
  <c r="F125" i="1"/>
  <c r="E125" i="1"/>
  <c r="L125" i="1" s="1"/>
  <c r="N125" i="1" s="1"/>
  <c r="P125" i="1" s="1"/>
  <c r="R125" i="1" s="1"/>
  <c r="T125" i="1" s="1"/>
  <c r="V125" i="1" s="1"/>
  <c r="C125" i="1"/>
  <c r="G124" i="1"/>
  <c r="D124" i="1"/>
  <c r="I122" i="1"/>
  <c r="H122" i="1"/>
  <c r="F122" i="1"/>
  <c r="E122" i="1"/>
  <c r="L122" i="1" s="1"/>
  <c r="N122" i="1" s="1"/>
  <c r="P122" i="1" s="1"/>
  <c r="R122" i="1" s="1"/>
  <c r="T122" i="1" s="1"/>
  <c r="V122" i="1" s="1"/>
  <c r="C122" i="1"/>
  <c r="G121" i="1"/>
  <c r="D121" i="1"/>
  <c r="I119" i="1"/>
  <c r="H119" i="1"/>
  <c r="F119" i="1"/>
  <c r="E119" i="1"/>
  <c r="L119" i="1" s="1"/>
  <c r="N119" i="1" s="1"/>
  <c r="P119" i="1" s="1"/>
  <c r="R119" i="1" s="1"/>
  <c r="T119" i="1" s="1"/>
  <c r="V119" i="1" s="1"/>
  <c r="C119" i="1"/>
  <c r="G118" i="1"/>
  <c r="D118" i="1"/>
  <c r="I116" i="1"/>
  <c r="H116" i="1"/>
  <c r="F116" i="1"/>
  <c r="E116" i="1"/>
  <c r="L116" i="1" s="1"/>
  <c r="N116" i="1" s="1"/>
  <c r="P116" i="1" s="1"/>
  <c r="R116" i="1" s="1"/>
  <c r="T116" i="1" s="1"/>
  <c r="V116" i="1" s="1"/>
  <c r="C116" i="1"/>
  <c r="G115" i="1"/>
  <c r="D115" i="1"/>
  <c r="I113" i="1"/>
  <c r="H113" i="1"/>
  <c r="F113" i="1"/>
  <c r="E113" i="1"/>
  <c r="L113" i="1" s="1"/>
  <c r="N113" i="1" s="1"/>
  <c r="P113" i="1" s="1"/>
  <c r="R113" i="1" s="1"/>
  <c r="T113" i="1" s="1"/>
  <c r="V113" i="1" s="1"/>
  <c r="C113" i="1"/>
  <c r="G112" i="1"/>
  <c r="D112" i="1"/>
  <c r="I110" i="1"/>
  <c r="H110" i="1"/>
  <c r="F110" i="1"/>
  <c r="E110" i="1"/>
  <c r="L110" i="1" s="1"/>
  <c r="N110" i="1" s="1"/>
  <c r="P110" i="1" s="1"/>
  <c r="R110" i="1" s="1"/>
  <c r="T110" i="1" s="1"/>
  <c r="V110" i="1" s="1"/>
  <c r="C110" i="1"/>
  <c r="G109" i="1"/>
  <c r="D109" i="1"/>
  <c r="I107" i="1"/>
  <c r="H107" i="1"/>
  <c r="F107" i="1"/>
  <c r="E107" i="1"/>
  <c r="L107" i="1" s="1"/>
  <c r="N107" i="1" s="1"/>
  <c r="P107" i="1" s="1"/>
  <c r="R107" i="1" s="1"/>
  <c r="T107" i="1" s="1"/>
  <c r="V107" i="1" s="1"/>
  <c r="C107" i="1"/>
  <c r="G21" i="1"/>
  <c r="G22" i="1"/>
  <c r="G25" i="1"/>
  <c r="G28" i="1"/>
  <c r="G31" i="1"/>
  <c r="G34" i="1"/>
  <c r="G37" i="1"/>
  <c r="G40" i="1"/>
  <c r="G43" i="1"/>
  <c r="G46" i="1"/>
  <c r="G49" i="1"/>
  <c r="G52" i="1"/>
  <c r="G55" i="1"/>
  <c r="G58" i="1"/>
  <c r="G61" i="1"/>
  <c r="G64" i="1"/>
  <c r="G67" i="1"/>
  <c r="G70" i="1"/>
  <c r="G73" i="1"/>
  <c r="G76" i="1"/>
  <c r="G79" i="1"/>
  <c r="G83" i="1"/>
  <c r="G86" i="1"/>
  <c r="G89" i="1"/>
  <c r="G92" i="1"/>
  <c r="G95" i="1"/>
  <c r="G98" i="1"/>
  <c r="G102" i="1"/>
  <c r="G105" i="1"/>
  <c r="G179" i="1"/>
  <c r="G182" i="1"/>
  <c r="G183" i="1"/>
  <c r="G186" i="1"/>
  <c r="G189" i="1"/>
  <c r="G192" i="1"/>
  <c r="G196" i="1"/>
  <c r="G200" i="1"/>
  <c r="G203" i="1"/>
  <c r="G209" i="1"/>
  <c r="D21" i="1"/>
  <c r="D22" i="1"/>
  <c r="D25" i="1"/>
  <c r="D28" i="1"/>
  <c r="D31" i="1"/>
  <c r="D34" i="1"/>
  <c r="D37" i="1"/>
  <c r="D40" i="1"/>
  <c r="D43" i="1"/>
  <c r="D46" i="1"/>
  <c r="D49" i="1"/>
  <c r="D52" i="1"/>
  <c r="D55" i="1"/>
  <c r="D58" i="1"/>
  <c r="D61" i="1"/>
  <c r="D64" i="1"/>
  <c r="D67" i="1"/>
  <c r="D70" i="1"/>
  <c r="D73" i="1"/>
  <c r="D76" i="1"/>
  <c r="D79" i="1"/>
  <c r="D83" i="1"/>
  <c r="D86" i="1"/>
  <c r="D89" i="1"/>
  <c r="D92" i="1"/>
  <c r="D95" i="1"/>
  <c r="D98" i="1"/>
  <c r="D102" i="1"/>
  <c r="D105" i="1"/>
  <c r="D179" i="1"/>
  <c r="D182" i="1"/>
  <c r="D183" i="1"/>
  <c r="D186" i="1"/>
  <c r="D189" i="1"/>
  <c r="D192" i="1"/>
  <c r="D196" i="1"/>
  <c r="D200" i="1"/>
  <c r="D203" i="1"/>
  <c r="D209" i="1"/>
  <c r="H207" i="1"/>
  <c r="H201" i="1"/>
  <c r="H198" i="1"/>
  <c r="H194" i="1"/>
  <c r="H190" i="1"/>
  <c r="H187" i="1"/>
  <c r="H184" i="1"/>
  <c r="H180" i="1"/>
  <c r="H177" i="1"/>
  <c r="H103" i="1"/>
  <c r="H100" i="1"/>
  <c r="H96" i="1"/>
  <c r="H93" i="1"/>
  <c r="H90" i="1"/>
  <c r="H87" i="1"/>
  <c r="H84" i="1"/>
  <c r="H81" i="1"/>
  <c r="H77" i="1"/>
  <c r="H74" i="1"/>
  <c r="H71" i="1"/>
  <c r="H68" i="1"/>
  <c r="H65" i="1"/>
  <c r="H62" i="1"/>
  <c r="H59" i="1"/>
  <c r="H56" i="1"/>
  <c r="H53" i="1"/>
  <c r="H50" i="1"/>
  <c r="H47" i="1"/>
  <c r="H44" i="1"/>
  <c r="H41" i="1"/>
  <c r="H38" i="1"/>
  <c r="H35" i="1"/>
  <c r="H32" i="1"/>
  <c r="H29" i="1"/>
  <c r="H26" i="1"/>
  <c r="H23" i="1"/>
  <c r="H19" i="1"/>
  <c r="E207" i="1"/>
  <c r="L207" i="1" s="1"/>
  <c r="N207" i="1" s="1"/>
  <c r="P207" i="1" s="1"/>
  <c r="R207" i="1" s="1"/>
  <c r="T207" i="1" s="1"/>
  <c r="V207" i="1" s="1"/>
  <c r="E201" i="1"/>
  <c r="L201" i="1" s="1"/>
  <c r="N201" i="1" s="1"/>
  <c r="P201" i="1" s="1"/>
  <c r="R201" i="1" s="1"/>
  <c r="T201" i="1" s="1"/>
  <c r="V201" i="1" s="1"/>
  <c r="E198" i="1"/>
  <c r="L198" i="1" s="1"/>
  <c r="N198" i="1" s="1"/>
  <c r="P198" i="1" s="1"/>
  <c r="R198" i="1" s="1"/>
  <c r="T198" i="1" s="1"/>
  <c r="V198" i="1" s="1"/>
  <c r="E194" i="1"/>
  <c r="L194" i="1" s="1"/>
  <c r="E190" i="1"/>
  <c r="L190" i="1" s="1"/>
  <c r="N190" i="1" s="1"/>
  <c r="P190" i="1" s="1"/>
  <c r="R190" i="1" s="1"/>
  <c r="T190" i="1" s="1"/>
  <c r="V190" i="1" s="1"/>
  <c r="E187" i="1"/>
  <c r="L187" i="1" s="1"/>
  <c r="N187" i="1" s="1"/>
  <c r="P187" i="1" s="1"/>
  <c r="R187" i="1" s="1"/>
  <c r="T187" i="1" s="1"/>
  <c r="V187" i="1" s="1"/>
  <c r="E184" i="1"/>
  <c r="L184" i="1" s="1"/>
  <c r="N184" i="1" s="1"/>
  <c r="P184" i="1" s="1"/>
  <c r="R184" i="1" s="1"/>
  <c r="T184" i="1" s="1"/>
  <c r="V184" i="1" s="1"/>
  <c r="E180" i="1"/>
  <c r="L180" i="1" s="1"/>
  <c r="N180" i="1" s="1"/>
  <c r="P180" i="1" s="1"/>
  <c r="R180" i="1" s="1"/>
  <c r="T180" i="1" s="1"/>
  <c r="V180" i="1" s="1"/>
  <c r="E177" i="1"/>
  <c r="L177" i="1" s="1"/>
  <c r="N177" i="1" s="1"/>
  <c r="P177" i="1" s="1"/>
  <c r="R177" i="1" s="1"/>
  <c r="T177" i="1" s="1"/>
  <c r="V177" i="1" s="1"/>
  <c r="E103" i="1"/>
  <c r="L103" i="1" s="1"/>
  <c r="N103" i="1" s="1"/>
  <c r="P103" i="1" s="1"/>
  <c r="R103" i="1" s="1"/>
  <c r="T103" i="1" s="1"/>
  <c r="V103" i="1" s="1"/>
  <c r="E100" i="1"/>
  <c r="L100" i="1" s="1"/>
  <c r="N100" i="1" s="1"/>
  <c r="P100" i="1" s="1"/>
  <c r="R100" i="1" s="1"/>
  <c r="T100" i="1" s="1"/>
  <c r="V100" i="1" s="1"/>
  <c r="E96" i="1"/>
  <c r="L96" i="1" s="1"/>
  <c r="N96" i="1" s="1"/>
  <c r="P96" i="1" s="1"/>
  <c r="R96" i="1" s="1"/>
  <c r="T96" i="1" s="1"/>
  <c r="V96" i="1" s="1"/>
  <c r="E93" i="1"/>
  <c r="L93" i="1" s="1"/>
  <c r="N93" i="1" s="1"/>
  <c r="P93" i="1" s="1"/>
  <c r="R93" i="1" s="1"/>
  <c r="T93" i="1" s="1"/>
  <c r="V93" i="1" s="1"/>
  <c r="E90" i="1"/>
  <c r="L90" i="1" s="1"/>
  <c r="N90" i="1" s="1"/>
  <c r="P90" i="1" s="1"/>
  <c r="R90" i="1" s="1"/>
  <c r="T90" i="1" s="1"/>
  <c r="V90" i="1" s="1"/>
  <c r="E87" i="1"/>
  <c r="L87" i="1" s="1"/>
  <c r="N87" i="1" s="1"/>
  <c r="P87" i="1" s="1"/>
  <c r="R87" i="1" s="1"/>
  <c r="T87" i="1" s="1"/>
  <c r="V87" i="1" s="1"/>
  <c r="E84" i="1"/>
  <c r="L84" i="1" s="1"/>
  <c r="N84" i="1" s="1"/>
  <c r="P84" i="1" s="1"/>
  <c r="R84" i="1" s="1"/>
  <c r="T84" i="1" s="1"/>
  <c r="V84" i="1" s="1"/>
  <c r="E81" i="1"/>
  <c r="L81" i="1" s="1"/>
  <c r="E77" i="1"/>
  <c r="L77" i="1" s="1"/>
  <c r="E74" i="1"/>
  <c r="L74" i="1" s="1"/>
  <c r="N74" i="1" s="1"/>
  <c r="P74" i="1" s="1"/>
  <c r="R74" i="1" s="1"/>
  <c r="T74" i="1" s="1"/>
  <c r="V74" i="1" s="1"/>
  <c r="E71" i="1"/>
  <c r="L71" i="1" s="1"/>
  <c r="N71" i="1" s="1"/>
  <c r="P71" i="1" s="1"/>
  <c r="R71" i="1" s="1"/>
  <c r="T71" i="1" s="1"/>
  <c r="V71" i="1" s="1"/>
  <c r="E68" i="1"/>
  <c r="L68" i="1" s="1"/>
  <c r="N68" i="1" s="1"/>
  <c r="P68" i="1" s="1"/>
  <c r="R68" i="1" s="1"/>
  <c r="T68" i="1" s="1"/>
  <c r="V68" i="1" s="1"/>
  <c r="E65" i="1"/>
  <c r="L65" i="1" s="1"/>
  <c r="N65" i="1" s="1"/>
  <c r="P65" i="1" s="1"/>
  <c r="R65" i="1" s="1"/>
  <c r="T65" i="1" s="1"/>
  <c r="V65" i="1" s="1"/>
  <c r="E62" i="1"/>
  <c r="L62" i="1" s="1"/>
  <c r="E59" i="1"/>
  <c r="L59" i="1" s="1"/>
  <c r="N59" i="1" s="1"/>
  <c r="P59" i="1" s="1"/>
  <c r="R59" i="1" s="1"/>
  <c r="T59" i="1" s="1"/>
  <c r="V59" i="1" s="1"/>
  <c r="E56" i="1"/>
  <c r="L56" i="1" s="1"/>
  <c r="N56" i="1" s="1"/>
  <c r="P56" i="1" s="1"/>
  <c r="R56" i="1" s="1"/>
  <c r="T56" i="1" s="1"/>
  <c r="V56" i="1" s="1"/>
  <c r="E53" i="1"/>
  <c r="L53" i="1" s="1"/>
  <c r="N53" i="1" s="1"/>
  <c r="P53" i="1" s="1"/>
  <c r="R53" i="1" s="1"/>
  <c r="T53" i="1" s="1"/>
  <c r="V53" i="1" s="1"/>
  <c r="E50" i="1"/>
  <c r="L50" i="1" s="1"/>
  <c r="N50" i="1" s="1"/>
  <c r="P50" i="1" s="1"/>
  <c r="R50" i="1" s="1"/>
  <c r="T50" i="1" s="1"/>
  <c r="V50" i="1" s="1"/>
  <c r="E47" i="1"/>
  <c r="L47" i="1" s="1"/>
  <c r="N47" i="1" s="1"/>
  <c r="P47" i="1" s="1"/>
  <c r="R47" i="1" s="1"/>
  <c r="T47" i="1" s="1"/>
  <c r="V47" i="1" s="1"/>
  <c r="E44" i="1"/>
  <c r="L44" i="1" s="1"/>
  <c r="N44" i="1" s="1"/>
  <c r="P44" i="1" s="1"/>
  <c r="R44" i="1" s="1"/>
  <c r="T44" i="1" s="1"/>
  <c r="V44" i="1" s="1"/>
  <c r="E41" i="1"/>
  <c r="L41" i="1" s="1"/>
  <c r="N41" i="1" s="1"/>
  <c r="P41" i="1" s="1"/>
  <c r="R41" i="1" s="1"/>
  <c r="T41" i="1" s="1"/>
  <c r="V41" i="1" s="1"/>
  <c r="E38" i="1"/>
  <c r="L38" i="1" s="1"/>
  <c r="N38" i="1" s="1"/>
  <c r="P38" i="1" s="1"/>
  <c r="R38" i="1" s="1"/>
  <c r="T38" i="1" s="1"/>
  <c r="V38" i="1" s="1"/>
  <c r="E35" i="1"/>
  <c r="L35" i="1" s="1"/>
  <c r="N35" i="1" s="1"/>
  <c r="P35" i="1" s="1"/>
  <c r="R35" i="1" s="1"/>
  <c r="T35" i="1" s="1"/>
  <c r="V35" i="1" s="1"/>
  <c r="E32" i="1"/>
  <c r="L32" i="1" s="1"/>
  <c r="N32" i="1" s="1"/>
  <c r="P32" i="1" s="1"/>
  <c r="R32" i="1" s="1"/>
  <c r="T32" i="1" s="1"/>
  <c r="V32" i="1" s="1"/>
  <c r="E29" i="1"/>
  <c r="L29" i="1" s="1"/>
  <c r="N29" i="1" s="1"/>
  <c r="P29" i="1" s="1"/>
  <c r="R29" i="1" s="1"/>
  <c r="T29" i="1" s="1"/>
  <c r="V29" i="1" s="1"/>
  <c r="E26" i="1"/>
  <c r="L26" i="1" s="1"/>
  <c r="E23" i="1"/>
  <c r="L23" i="1" s="1"/>
  <c r="N23" i="1" s="1"/>
  <c r="P23" i="1" s="1"/>
  <c r="R23" i="1" s="1"/>
  <c r="T23" i="1" s="1"/>
  <c r="V23" i="1" s="1"/>
  <c r="E19" i="1"/>
  <c r="I207" i="1"/>
  <c r="I201" i="1"/>
  <c r="I198" i="1"/>
  <c r="I194" i="1"/>
  <c r="I190" i="1"/>
  <c r="I187" i="1"/>
  <c r="I184" i="1"/>
  <c r="I180" i="1"/>
  <c r="I177" i="1"/>
  <c r="I103" i="1"/>
  <c r="I100" i="1"/>
  <c r="I96" i="1"/>
  <c r="I93" i="1"/>
  <c r="I90" i="1"/>
  <c r="I87" i="1"/>
  <c r="I84" i="1"/>
  <c r="I81" i="1"/>
  <c r="I77" i="1"/>
  <c r="I74" i="1"/>
  <c r="I71" i="1"/>
  <c r="I68" i="1"/>
  <c r="I65" i="1"/>
  <c r="I62" i="1"/>
  <c r="I59" i="1"/>
  <c r="I56" i="1"/>
  <c r="I53" i="1"/>
  <c r="I50" i="1"/>
  <c r="I47" i="1"/>
  <c r="I44" i="1"/>
  <c r="I41" i="1"/>
  <c r="I38" i="1"/>
  <c r="I35" i="1"/>
  <c r="I32" i="1"/>
  <c r="I29" i="1"/>
  <c r="I26" i="1"/>
  <c r="I23" i="1"/>
  <c r="I19" i="1"/>
  <c r="F207" i="1"/>
  <c r="C207" i="1"/>
  <c r="F201" i="1"/>
  <c r="C201" i="1"/>
  <c r="F198" i="1"/>
  <c r="C198" i="1"/>
  <c r="F194" i="1"/>
  <c r="C194" i="1"/>
  <c r="F190" i="1"/>
  <c r="C190" i="1"/>
  <c r="F187" i="1"/>
  <c r="C187" i="1"/>
  <c r="F184" i="1"/>
  <c r="C184" i="1"/>
  <c r="F180" i="1"/>
  <c r="C180" i="1"/>
  <c r="F177" i="1"/>
  <c r="F176" i="1" s="1"/>
  <c r="C177" i="1"/>
  <c r="F103" i="1"/>
  <c r="C103" i="1"/>
  <c r="F100" i="1"/>
  <c r="C100" i="1"/>
  <c r="F96" i="1"/>
  <c r="C96" i="1"/>
  <c r="F93" i="1"/>
  <c r="C93" i="1"/>
  <c r="F90" i="1"/>
  <c r="C90" i="1"/>
  <c r="F87" i="1"/>
  <c r="C87" i="1"/>
  <c r="F84" i="1"/>
  <c r="C84" i="1"/>
  <c r="F81" i="1"/>
  <c r="C81" i="1"/>
  <c r="F77" i="1"/>
  <c r="C77" i="1"/>
  <c r="F74" i="1"/>
  <c r="C74" i="1"/>
  <c r="F71" i="1"/>
  <c r="C71" i="1"/>
  <c r="F68" i="1"/>
  <c r="C68" i="1"/>
  <c r="F65" i="1"/>
  <c r="C65" i="1"/>
  <c r="F62" i="1"/>
  <c r="C62" i="1"/>
  <c r="F59" i="1"/>
  <c r="C59" i="1"/>
  <c r="F56" i="1"/>
  <c r="C56" i="1"/>
  <c r="F53" i="1"/>
  <c r="C53" i="1"/>
  <c r="F50" i="1"/>
  <c r="C50" i="1"/>
  <c r="F47" i="1"/>
  <c r="C47" i="1"/>
  <c r="F44" i="1"/>
  <c r="C44" i="1"/>
  <c r="F41" i="1"/>
  <c r="C41" i="1"/>
  <c r="F38" i="1"/>
  <c r="C38" i="1"/>
  <c r="F35" i="1"/>
  <c r="C35" i="1"/>
  <c r="F32" i="1"/>
  <c r="C32" i="1"/>
  <c r="F29" i="1"/>
  <c r="C29" i="1"/>
  <c r="F26" i="1"/>
  <c r="C26" i="1"/>
  <c r="F23" i="1"/>
  <c r="C23" i="1"/>
  <c r="F19" i="1"/>
  <c r="F18" i="1" s="1"/>
  <c r="F227" i="1" s="1"/>
  <c r="C19" i="1"/>
  <c r="C18" i="1" s="1"/>
  <c r="K137" i="1" l="1"/>
  <c r="N137" i="1"/>
  <c r="P137" i="1" s="1"/>
  <c r="R137" i="1" s="1"/>
  <c r="T137" i="1" s="1"/>
  <c r="V137" i="1" s="1"/>
  <c r="K131" i="1"/>
  <c r="K110" i="1"/>
  <c r="I18" i="1"/>
  <c r="H18" i="1"/>
  <c r="G113" i="1"/>
  <c r="C176" i="1"/>
  <c r="C227" i="1" s="1"/>
  <c r="K119" i="1"/>
  <c r="K125" i="1"/>
  <c r="E18" i="1"/>
  <c r="L18" i="1" s="1"/>
  <c r="K18" i="1" s="1"/>
  <c r="L19" i="1"/>
  <c r="K26" i="1"/>
  <c r="K32" i="1"/>
  <c r="K38" i="1"/>
  <c r="K44" i="1"/>
  <c r="K50" i="1"/>
  <c r="K56" i="1"/>
  <c r="K62" i="1"/>
  <c r="K68" i="1"/>
  <c r="K74" i="1"/>
  <c r="K81" i="1"/>
  <c r="K87" i="1"/>
  <c r="K93" i="1"/>
  <c r="K100" i="1"/>
  <c r="K177" i="1"/>
  <c r="K184" i="1"/>
  <c r="K190" i="1"/>
  <c r="K198" i="1"/>
  <c r="K116" i="1"/>
  <c r="K122" i="1"/>
  <c r="K128" i="1"/>
  <c r="K23" i="1"/>
  <c r="K29" i="1"/>
  <c r="K35" i="1"/>
  <c r="K41" i="1"/>
  <c r="K47" i="1"/>
  <c r="K53" i="1"/>
  <c r="K59" i="1"/>
  <c r="K65" i="1"/>
  <c r="K71" i="1"/>
  <c r="K77" i="1"/>
  <c r="K84" i="1"/>
  <c r="K90" i="1"/>
  <c r="K96" i="1"/>
  <c r="K103" i="1"/>
  <c r="K180" i="1"/>
  <c r="K187" i="1"/>
  <c r="K194" i="1"/>
  <c r="K201" i="1"/>
  <c r="K207" i="1"/>
  <c r="K107" i="1"/>
  <c r="K113" i="1"/>
  <c r="G107" i="1"/>
  <c r="G110" i="1"/>
  <c r="D119" i="1"/>
  <c r="G122" i="1"/>
  <c r="G128" i="1"/>
  <c r="H176" i="1"/>
  <c r="G176" i="1" s="1"/>
  <c r="G116" i="1"/>
  <c r="G119" i="1"/>
  <c r="G125" i="1"/>
  <c r="D128" i="1"/>
  <c r="G131" i="1"/>
  <c r="D113" i="1"/>
  <c r="I176" i="1"/>
  <c r="E176" i="1"/>
  <c r="D131" i="1"/>
  <c r="D125" i="1"/>
  <c r="D122" i="1"/>
  <c r="D116" i="1"/>
  <c r="D110" i="1"/>
  <c r="D107" i="1"/>
  <c r="D19" i="1"/>
  <c r="D26" i="1"/>
  <c r="D32" i="1"/>
  <c r="D38" i="1"/>
  <c r="D44" i="1"/>
  <c r="D50" i="1"/>
  <c r="D56" i="1"/>
  <c r="D62" i="1"/>
  <c r="D68" i="1"/>
  <c r="D74" i="1"/>
  <c r="D81" i="1"/>
  <c r="D87" i="1"/>
  <c r="D93" i="1"/>
  <c r="D100" i="1"/>
  <c r="D180" i="1"/>
  <c r="D187" i="1"/>
  <c r="D194" i="1"/>
  <c r="D201" i="1"/>
  <c r="D207" i="1"/>
  <c r="G23" i="1"/>
  <c r="G29" i="1"/>
  <c r="G35" i="1"/>
  <c r="G41" i="1"/>
  <c r="G47" i="1"/>
  <c r="G53" i="1"/>
  <c r="G59" i="1"/>
  <c r="G65" i="1"/>
  <c r="G71" i="1"/>
  <c r="G77" i="1"/>
  <c r="G84" i="1"/>
  <c r="G90" i="1"/>
  <c r="G96" i="1"/>
  <c r="G103" i="1"/>
  <c r="G180" i="1"/>
  <c r="G187" i="1"/>
  <c r="G194" i="1"/>
  <c r="G201" i="1"/>
  <c r="G207" i="1"/>
  <c r="D23" i="1"/>
  <c r="D29" i="1"/>
  <c r="D35" i="1"/>
  <c r="D41" i="1"/>
  <c r="D47" i="1"/>
  <c r="D53" i="1"/>
  <c r="D59" i="1"/>
  <c r="D65" i="1"/>
  <c r="D71" i="1"/>
  <c r="D77" i="1"/>
  <c r="D84" i="1"/>
  <c r="D90" i="1"/>
  <c r="D96" i="1"/>
  <c r="D103" i="1"/>
  <c r="D177" i="1"/>
  <c r="D184" i="1"/>
  <c r="D190" i="1"/>
  <c r="D198" i="1"/>
  <c r="G19" i="1"/>
  <c r="G26" i="1"/>
  <c r="G32" i="1"/>
  <c r="G38" i="1"/>
  <c r="G44" i="1"/>
  <c r="G50" i="1"/>
  <c r="G56" i="1"/>
  <c r="G62" i="1"/>
  <c r="G68" i="1"/>
  <c r="G74" i="1"/>
  <c r="G81" i="1"/>
  <c r="G87" i="1"/>
  <c r="G93" i="1"/>
  <c r="G100" i="1"/>
  <c r="G184" i="1"/>
  <c r="G190" i="1"/>
  <c r="G198" i="1"/>
  <c r="G18" i="1"/>
  <c r="G177" i="1"/>
  <c r="I227" i="1"/>
  <c r="K19" i="1" l="1"/>
  <c r="N19" i="1"/>
  <c r="P19" i="1" s="1"/>
  <c r="R19" i="1" s="1"/>
  <c r="T19" i="1" s="1"/>
  <c r="V19" i="1" s="1"/>
  <c r="D176" i="1"/>
  <c r="L176" i="1"/>
  <c r="H227" i="1"/>
  <c r="G227" i="1" s="1"/>
  <c r="E227" i="1"/>
  <c r="D18" i="1"/>
  <c r="K176" i="1" l="1"/>
  <c r="N176" i="1"/>
  <c r="P176" i="1" s="1"/>
  <c r="R176" i="1" s="1"/>
  <c r="T176" i="1" s="1"/>
  <c r="V176" i="1" s="1"/>
  <c r="D227" i="1"/>
  <c r="L227" i="1"/>
  <c r="K227" i="1" s="1"/>
  <c r="M62" i="1"/>
  <c r="N62" i="1" s="1"/>
  <c r="P62" i="1" s="1"/>
  <c r="R62" i="1" s="1"/>
  <c r="T62" i="1" s="1"/>
  <c r="V62" i="1" s="1"/>
  <c r="N64" i="1"/>
  <c r="P64" i="1" s="1"/>
  <c r="R64" i="1" s="1"/>
  <c r="T64" i="1" s="1"/>
  <c r="V64" i="1" s="1"/>
  <c r="N28" i="1"/>
  <c r="M26" i="1"/>
  <c r="N26" i="1" s="1"/>
  <c r="M81" i="1"/>
  <c r="N81" i="1" s="1"/>
  <c r="P81" i="1" s="1"/>
  <c r="R81" i="1" s="1"/>
  <c r="T81" i="1" s="1"/>
  <c r="V81" i="1" s="1"/>
  <c r="N83" i="1"/>
  <c r="P83" i="1" s="1"/>
  <c r="R83" i="1" s="1"/>
  <c r="T83" i="1" s="1"/>
  <c r="V83" i="1" s="1"/>
  <c r="M77" i="1"/>
  <c r="N77" i="1" s="1"/>
  <c r="P77" i="1" s="1"/>
  <c r="R77" i="1" s="1"/>
  <c r="T77" i="1" s="1"/>
  <c r="V77" i="1" s="1"/>
  <c r="N79" i="1"/>
  <c r="P79" i="1" s="1"/>
  <c r="R79" i="1" s="1"/>
  <c r="T79" i="1" s="1"/>
  <c r="V79" i="1" s="1"/>
  <c r="M18" i="1" l="1"/>
  <c r="N18" i="1" s="1"/>
  <c r="M227" i="1" l="1"/>
  <c r="N227" i="1"/>
  <c r="P227" i="1" s="1"/>
  <c r="R227" i="1" s="1"/>
  <c r="T227" i="1" s="1"/>
  <c r="V227" i="1" s="1"/>
  <c r="P18" i="1"/>
  <c r="R18" i="1" s="1"/>
  <c r="T18" i="1" s="1"/>
  <c r="V18" i="1" s="1"/>
</calcChain>
</file>

<file path=xl/sharedStrings.xml><?xml version="1.0" encoding="utf-8"?>
<sst xmlns="http://schemas.openxmlformats.org/spreadsheetml/2006/main" count="295" uniqueCount="141">
  <si>
    <t xml:space="preserve">Перечень </t>
  </si>
  <si>
    <t>№ п/п</t>
  </si>
  <si>
    <t>Название программы</t>
  </si>
  <si>
    <t>2013 год</t>
  </si>
  <si>
    <t>2014 год</t>
  </si>
  <si>
    <t>изменения</t>
  </si>
  <si>
    <t>Ведомственные целевые программы - всего, в том числе:</t>
  </si>
  <si>
    <t>"Лицензирование образовательных учреждений города Перми"</t>
  </si>
  <si>
    <t>в том числе:</t>
  </si>
  <si>
    <t>местный бюджет</t>
  </si>
  <si>
    <t>краевой бюджет</t>
  </si>
  <si>
    <t>"Организация дорожного движения в городе Перми"</t>
  </si>
  <si>
    <t>"Развитие Ленинского района города Перми"</t>
  </si>
  <si>
    <t>"Развитие Свердловского района города Перми"</t>
  </si>
  <si>
    <t>"Развитие Мотовилихинского района города Перми"</t>
  </si>
  <si>
    <t>"Развитие Дзержинского района города Перми"</t>
  </si>
  <si>
    <t>"Развитие Индустриального района города Перми"</t>
  </si>
  <si>
    <t>"Развитие Кировского района города Перми"</t>
  </si>
  <si>
    <t>"Развитие Орджоникидзевского района города Перми"</t>
  </si>
  <si>
    <t>"Развитие поселка Новые Ляды"</t>
  </si>
  <si>
    <t>"Светлый город"</t>
  </si>
  <si>
    <t>"Обеспечение жильем молодых семей в городе Перми на 2011-2015 годы"</t>
  </si>
  <si>
    <t>"Пермский трамвай"</t>
  </si>
  <si>
    <t>"Переход на электронный документооборот в сфере управления финансами города Перми"</t>
  </si>
  <si>
    <t>"Развитие муниципальной службы в администрации города в 2012-2014 годах"</t>
  </si>
  <si>
    <t>"Приведение в нормативное состояние спортивных объектов города Перми"</t>
  </si>
  <si>
    <t>"Развитие системы образования города  Перми"</t>
  </si>
  <si>
    <t>"Дети - будущее культурной столицы"</t>
  </si>
  <si>
    <t>"Приведение в нормативное состояние учреждений в сфере культуры"</t>
  </si>
  <si>
    <t>Долгосрочные целевые  программы - всего, в том числе:</t>
  </si>
  <si>
    <t>"Организация и обустройство мест массового отдыха жителей города Перми"</t>
  </si>
  <si>
    <t>"Организация оздоровления, отдыха и занятости детей города Перми"</t>
  </si>
  <si>
    <t>"Социальная поддержка населения города Перми"</t>
  </si>
  <si>
    <t>"Молодежь города Перми"</t>
  </si>
  <si>
    <t>"Развитие физической культуры и спорта в городе Перми"</t>
  </si>
  <si>
    <t>"Сокращение очередности в детские сады"</t>
  </si>
  <si>
    <t>"Планировка территорий и благоустройство центральных улиц города Перми на 2010-2015 годы"</t>
  </si>
  <si>
    <t>Итого по  программам</t>
  </si>
  <si>
    <t>«Сопровождение автоматизированной информационной системы обеспечения градостроительной деятельности»</t>
  </si>
  <si>
    <t>"Газификация в микрорайонах индивидуальной застройки города Перми на 2012 - 2017 годы"</t>
  </si>
  <si>
    <t>"Развитие физической культуры и массового спорта в городе Перми"</t>
  </si>
  <si>
    <t>"Преобразование территории набережной реки Камы"</t>
  </si>
  <si>
    <t>"Обеспечение платности и законности использования земли на территории города Перми"</t>
  </si>
  <si>
    <t>"Наполнение автоматизированной информационной системы обеспечения градостроительной деятельности"</t>
  </si>
  <si>
    <t>«Восстановление автомобильных дорог общего пользования местного значения города Перми»</t>
  </si>
  <si>
    <t>2015 год (I чтение)</t>
  </si>
  <si>
    <t>проект</t>
  </si>
  <si>
    <t>2014 год (I чтение)</t>
  </si>
  <si>
    <t>"Управление муниципальным жилищным фондом города Перми"</t>
  </si>
  <si>
    <t>"Повышение эффективности управления имущественным комплексом административных зданий (помещений) города Перми в 2013-2015 годах"</t>
  </si>
  <si>
    <t>"Развитие архивного дела в городе Перми в 2013-2015 годах"</t>
  </si>
  <si>
    <t>"Обустройство пешеходных зон в городе Перми"</t>
  </si>
  <si>
    <t>"Обеспечение и развитие театрально-концертной деятельности муниципальных учреждений культуры города Перми"</t>
  </si>
  <si>
    <t>"Сохранение, использование и популяризация объектов культурного наследия (памятников истории и культуры) города Перми"</t>
  </si>
  <si>
    <t>"Городские культурно-массовые мероприятия"</t>
  </si>
  <si>
    <t>"Регулирование численности безнадзорных собак и кошек на территории города Перми"</t>
  </si>
  <si>
    <t>"Управление и распоряжение муниципальным имуществом города Перми"</t>
  </si>
  <si>
    <t>"Реализация природоохранных мероприятий на территории города Перми на 2013-2015 годы"</t>
  </si>
  <si>
    <t>"Охрана, защита, воспроизводство городских лесов и обустройство мест отдыха на 2013-2015 годы"</t>
  </si>
  <si>
    <t>"Капитальный ремонт общего имущества в многоквартирных домах в городе Перми"</t>
  </si>
  <si>
    <t>Организация ритуальных услуг и содержание мест захоронения в городе Перми на 2013-2015 годы"</t>
  </si>
  <si>
    <t>"Формирование рыночных механизмов и института собственников в сфере управления многоквартирными домами в городе Перми на 2013-2015 годы"</t>
  </si>
  <si>
    <t>"Обеспечение условий для развития систем коммунальной инфраструктуры"</t>
  </si>
  <si>
    <t>"Капитальный ремонт фасадов многоквартирных домов центральных улиц в городе Перми"</t>
  </si>
  <si>
    <t>"Профилактика правонарушений на территории города Перми на 2013-2015 годы"</t>
  </si>
  <si>
    <t>"Создание эффективной системы обращения с твердыми бытовыми отходами на период 2012-2020 годы"</t>
  </si>
  <si>
    <t>"Энергосбережение и повышение энергетической эффективности города Перми на период 2011-2015 годы"</t>
  </si>
  <si>
    <t>"Эффективное управление муниципальной долей собственности в многоквартирных домах в городе Перми"</t>
  </si>
  <si>
    <t>Долгосрочная целевая программа по развитию взаимодействия органов городского самоуправления и некоммерческих организаций в городе Перми "Общественное участие на 2010-2013 годы"</t>
  </si>
  <si>
    <t>"Обустройство подходов к объектам социальной сферы"</t>
  </si>
  <si>
    <t>"Развитие малого и среднего предпринимательства в городе Перми на 2009-2015 годы"</t>
  </si>
  <si>
    <t>"Обеспечение первичных мер пожарной безопасности на территории города Перми на 2010-2016 годы"</t>
  </si>
  <si>
    <t xml:space="preserve">   ведомственных и долгосрочных целевых программ на 2013 год</t>
  </si>
  <si>
    <t>с учетом изменений</t>
  </si>
  <si>
    <t>Поправки ко II чтению 2013 год</t>
  </si>
  <si>
    <t>"Создание условий и реализация услуги дополнительного образования детей инженерно-технической направленности в МАОУ "СОШ № 16" г.Перми</t>
  </si>
  <si>
    <t>"Создание условий и реализация услуги дополнительного образования детей по направлению "Информационно-коммуникационные технологии" в МАОУ "СОШ № 10" г.Перми</t>
  </si>
  <si>
    <t>"Создание условий и реализация услуги дополнительного образования детей дизайнерской направленности в МАОУ "СОШ № 43" г.Перми</t>
  </si>
  <si>
    <t>"Создание условий и реализация услуги дополнительного образования культурно-эстетической направленности детей спортсменов, занимающихся киокусинкай в МАОУ "СОШ № 32" им.Г.А.Сборщикова" г.Перми</t>
  </si>
  <si>
    <t>тыс. руб.</t>
  </si>
  <si>
    <t>796 50 00</t>
  </si>
  <si>
    <t>796 55 00</t>
  </si>
  <si>
    <t>796 56 00</t>
  </si>
  <si>
    <t>от 18.12.2012 № 300</t>
  </si>
  <si>
    <t>тыс.руб.</t>
  </si>
  <si>
    <t>796 05 01</t>
  </si>
  <si>
    <t>796 52 00</t>
  </si>
  <si>
    <t>"Разработка документации по планировке территории города Перми"</t>
  </si>
  <si>
    <t>«Капитальный ремонт территорий Пермского планетария и видовой площадки в Мотовилихинском районе города Перми»</t>
  </si>
  <si>
    <t>796 67 00</t>
  </si>
  <si>
    <t>796 28 00</t>
  </si>
  <si>
    <t>796 34 00</t>
  </si>
  <si>
    <t>796 35 00</t>
  </si>
  <si>
    <t>796 36 00</t>
  </si>
  <si>
    <t>796 31 00</t>
  </si>
  <si>
    <t>796 33 00</t>
  </si>
  <si>
    <t>796 37 00</t>
  </si>
  <si>
    <t>796 32 00</t>
  </si>
  <si>
    <t>796 38 00</t>
  </si>
  <si>
    <t>797 04 00</t>
  </si>
  <si>
    <t>796 10 00</t>
  </si>
  <si>
    <t>"Создание условий для повышения эффективности деятельности администрации города Перми за счет применения информационных технологий на 2012-2015 годы"</t>
  </si>
  <si>
    <t>796 03 00</t>
  </si>
  <si>
    <t>796 16 00</t>
  </si>
  <si>
    <t>796 53 00</t>
  </si>
  <si>
    <t>796 11 00</t>
  </si>
  <si>
    <t>797 14 00</t>
  </si>
  <si>
    <t>«Безопасный город»</t>
  </si>
  <si>
    <t>797 05 00</t>
  </si>
  <si>
    <t>796 20 00</t>
  </si>
  <si>
    <t>796 47 00</t>
  </si>
  <si>
    <t>796 54 00</t>
  </si>
  <si>
    <t>796 09 00</t>
  </si>
  <si>
    <t>797 03 00</t>
  </si>
  <si>
    <t>796 58 00</t>
  </si>
  <si>
    <t>796 49 00</t>
  </si>
  <si>
    <t>522 20 00</t>
  </si>
  <si>
    <t>796 05 02</t>
  </si>
  <si>
    <t>796 07 00</t>
  </si>
  <si>
    <t>796 19 00</t>
  </si>
  <si>
    <t>797 06 00</t>
  </si>
  <si>
    <t>796 06 00</t>
  </si>
  <si>
    <t>796 14 00</t>
  </si>
  <si>
    <t>796 46 00</t>
  </si>
  <si>
    <t>796 51 00</t>
  </si>
  <si>
    <t>796 08 00</t>
  </si>
  <si>
    <t>"Снос и реконструкция многоквартирных домов в целях развития застроенных территорий города Перми на 2009-2015 годы"</t>
  </si>
  <si>
    <t>797 08 00</t>
  </si>
  <si>
    <t>796 43 00</t>
  </si>
  <si>
    <t>2013 год (решение комитета № 19 от 18.042013)</t>
  </si>
  <si>
    <t>2013 год (с учетом решения комитета)</t>
  </si>
  <si>
    <t>"Переселение граждан города Перми из  аварийного жилищного фонда"</t>
  </si>
  <si>
    <t>796 15 00</t>
  </si>
  <si>
    <t>796 66 00</t>
  </si>
  <si>
    <t>796 59 00</t>
  </si>
  <si>
    <t>796 60 00</t>
  </si>
  <si>
    <t>ПРИЛОЖЕНИЕ № 8</t>
  </si>
  <si>
    <t>Пермской городской Думы</t>
  </si>
  <si>
    <t>к решению</t>
  </si>
  <si>
    <t>ПРИЛОЖЕНИЕ № 15</t>
  </si>
  <si>
    <t>от 28.05.2013 № 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</si>
</sst>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164" fontId="1" fillId="0" borderId="1" xfId="0" applyNumberFormat="1" applyFont="1" applyFill="1" applyBorder="1" applyAlignment="1">
      <alignment horizontal="center"/>
    </xf>
    <xf numFmtId="164" fontId="1" fillId="0" borderId="4" xfId="0" applyNumberFormat="1" applyFont="1" applyFill="1" applyBorder="1" applyAlignment="1">
      <alignment horizontal="center"/>
    </xf>
    <xf numFmtId="164" fontId="1" fillId="0" borderId="1" xfId="0" applyNumberFormat="1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0" xfId="0" applyFont="1" applyFill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/>
    <xf numFmtId="164" fontId="1" fillId="2" borderId="1" xfId="0" applyNumberFormat="1" applyFont="1" applyFill="1" applyBorder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/>
    </xf>
    <xf numFmtId="164" fontId="1" fillId="2" borderId="4" xfId="0" applyNumberFormat="1" applyFont="1" applyFill="1" applyBorder="1" applyAlignment="1">
      <alignment horizontal="center"/>
    </xf>
    <xf numFmtId="164" fontId="1" fillId="3" borderId="1" xfId="0" applyNumberFormat="1" applyFont="1" applyFill="1" applyBorder="1"/>
    <xf numFmtId="164" fontId="1" fillId="3" borderId="1" xfId="0" applyNumberFormat="1" applyFont="1" applyFill="1" applyBorder="1" applyAlignment="1">
      <alignment horizontal="center"/>
    </xf>
    <xf numFmtId="164" fontId="1" fillId="3" borderId="4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164" fontId="3" fillId="3" borderId="1" xfId="0" applyNumberFormat="1" applyFont="1" applyFill="1" applyBorder="1"/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Y227"/>
  <sheetViews>
    <sheetView tabSelected="1" topLeftCell="A2" zoomScaleNormal="100" workbookViewId="0">
      <selection activeCell="V14" sqref="V14"/>
    </sheetView>
  </sheetViews>
  <sheetFormatPr defaultColWidth="9.109375" defaultRowHeight="15.6" x14ac:dyDescent="0.3"/>
  <cols>
    <col min="1" max="1" width="7.109375" style="15" customWidth="1"/>
    <col min="2" max="2" width="58.109375" style="15" customWidth="1"/>
    <col min="3" max="3" width="14.109375" style="1" hidden="1" customWidth="1"/>
    <col min="4" max="4" width="14.88671875" style="1" hidden="1" customWidth="1"/>
    <col min="5" max="5" width="14.109375" style="1" hidden="1" customWidth="1"/>
    <col min="6" max="6" width="14.44140625" style="1" hidden="1" customWidth="1"/>
    <col min="7" max="7" width="15.109375" style="1" hidden="1" customWidth="1"/>
    <col min="8" max="9" width="14.44140625" style="1" hidden="1" customWidth="1"/>
    <col min="10" max="10" width="16" style="1" hidden="1" customWidth="1"/>
    <col min="11" max="12" width="15" style="1" hidden="1" customWidth="1"/>
    <col min="13" max="18" width="15" style="15" hidden="1" customWidth="1"/>
    <col min="19" max="19" width="18.5546875" style="15" hidden="1" customWidth="1"/>
    <col min="20" max="21" width="15" style="15" hidden="1" customWidth="1"/>
    <col min="22" max="22" width="15" style="15" customWidth="1"/>
    <col min="23" max="23" width="15" style="15" hidden="1" customWidth="1"/>
    <col min="24" max="25" width="9.109375" style="15" hidden="1" customWidth="1"/>
    <col min="26" max="27" width="9.109375" style="15" customWidth="1"/>
    <col min="28" max="16384" width="9.109375" style="15"/>
  </cols>
  <sheetData>
    <row r="1" spans="1:23" ht="15.75" hidden="1" x14ac:dyDescent="0.25">
      <c r="C1" s="15"/>
      <c r="D1" s="15"/>
      <c r="E1" s="15"/>
      <c r="F1" s="15"/>
      <c r="G1" s="15"/>
      <c r="H1" s="15"/>
      <c r="I1" s="15"/>
      <c r="J1" s="15"/>
      <c r="K1" s="15"/>
      <c r="L1" s="15"/>
      <c r="N1" s="20"/>
      <c r="O1" s="20"/>
      <c r="Q1" s="20"/>
      <c r="R1" s="20"/>
      <c r="S1" s="20"/>
      <c r="T1" s="20"/>
      <c r="U1" s="20"/>
      <c r="V1" s="20"/>
    </row>
    <row r="2" spans="1:23" x14ac:dyDescent="0.3">
      <c r="C2" s="15"/>
      <c r="D2" s="15"/>
      <c r="E2" s="15"/>
      <c r="F2" s="15"/>
      <c r="G2" s="15"/>
      <c r="H2" s="15"/>
      <c r="I2" s="15"/>
      <c r="J2" s="15"/>
      <c r="K2" s="15"/>
      <c r="L2" s="15"/>
      <c r="N2" s="20"/>
      <c r="O2" s="20"/>
      <c r="Q2" s="20"/>
      <c r="R2" s="20"/>
      <c r="S2" s="20"/>
      <c r="T2" s="20"/>
      <c r="U2" s="20"/>
      <c r="V2" s="20" t="s">
        <v>136</v>
      </c>
    </row>
    <row r="3" spans="1:23" x14ac:dyDescent="0.3">
      <c r="C3" s="15"/>
      <c r="D3" s="15"/>
      <c r="E3" s="15"/>
      <c r="F3" s="15"/>
      <c r="G3" s="15"/>
      <c r="H3" s="15"/>
      <c r="I3" s="15"/>
      <c r="J3" s="15"/>
      <c r="K3" s="15"/>
      <c r="L3" s="15"/>
      <c r="N3" s="20"/>
      <c r="O3" s="20"/>
      <c r="Q3" s="20"/>
      <c r="R3" s="20"/>
      <c r="S3" s="20"/>
      <c r="T3" s="20"/>
      <c r="U3" s="20"/>
      <c r="V3" s="20" t="s">
        <v>138</v>
      </c>
    </row>
    <row r="4" spans="1:23" x14ac:dyDescent="0.3">
      <c r="C4" s="15"/>
      <c r="D4" s="15"/>
      <c r="E4" s="15"/>
      <c r="F4" s="15"/>
      <c r="G4" s="15"/>
      <c r="H4" s="15"/>
      <c r="I4" s="15"/>
      <c r="J4" s="15"/>
      <c r="K4" s="15"/>
      <c r="L4" s="15"/>
      <c r="N4" s="20"/>
      <c r="O4" s="20"/>
      <c r="Q4" s="20"/>
      <c r="S4" s="20"/>
      <c r="T4" s="20"/>
      <c r="U4" s="20"/>
      <c r="V4" s="20" t="s">
        <v>137</v>
      </c>
    </row>
    <row r="5" spans="1:23" x14ac:dyDescent="0.3">
      <c r="B5" s="45" t="s">
        <v>140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5"/>
    </row>
    <row r="6" spans="1:23" ht="15.75" x14ac:dyDescent="0.25">
      <c r="C6" s="15"/>
      <c r="D6" s="15"/>
      <c r="E6" s="15"/>
      <c r="F6" s="15"/>
      <c r="G6" s="15"/>
      <c r="H6" s="15"/>
      <c r="I6" s="15"/>
      <c r="J6" s="15"/>
      <c r="K6" s="15"/>
      <c r="L6" s="15"/>
    </row>
    <row r="7" spans="1:23" ht="15.75" customHeight="1" x14ac:dyDescent="0.3"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0"/>
      <c r="N7" s="20"/>
      <c r="O7" s="20"/>
      <c r="Q7" s="20"/>
      <c r="S7" s="20"/>
      <c r="T7" s="20"/>
      <c r="U7" s="20"/>
      <c r="V7" s="20" t="s">
        <v>139</v>
      </c>
      <c r="W7" s="20"/>
    </row>
    <row r="8" spans="1:23" ht="15.75" customHeight="1" x14ac:dyDescent="0.3"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0"/>
      <c r="N8" s="20"/>
      <c r="O8" s="20"/>
      <c r="Q8" s="20"/>
      <c r="S8" s="20"/>
      <c r="T8" s="20"/>
      <c r="U8" s="20"/>
      <c r="V8" s="20" t="s">
        <v>138</v>
      </c>
      <c r="W8" s="20"/>
    </row>
    <row r="9" spans="1:23" ht="15.75" customHeight="1" x14ac:dyDescent="0.3"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0"/>
      <c r="N9" s="20"/>
      <c r="O9" s="20"/>
      <c r="Q9" s="20"/>
      <c r="S9" s="20"/>
      <c r="T9" s="20"/>
      <c r="U9" s="20"/>
      <c r="V9" s="20" t="s">
        <v>137</v>
      </c>
      <c r="W9" s="20"/>
    </row>
    <row r="10" spans="1:23" ht="15.75" customHeight="1" x14ac:dyDescent="0.3"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0"/>
      <c r="N10" s="20"/>
      <c r="O10" s="20"/>
      <c r="Q10" s="20"/>
      <c r="S10" s="20"/>
      <c r="T10" s="20"/>
      <c r="U10" s="20"/>
      <c r="V10" s="20" t="s">
        <v>83</v>
      </c>
      <c r="W10" s="20"/>
    </row>
    <row r="11" spans="1:23" ht="15.75" customHeight="1" x14ac:dyDescent="0.25"/>
    <row r="12" spans="1:23" ht="15.75" customHeight="1" x14ac:dyDescent="0.3">
      <c r="A12" s="51" t="s">
        <v>0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33"/>
    </row>
    <row r="13" spans="1:23" ht="15.75" customHeight="1" x14ac:dyDescent="0.3">
      <c r="A13" s="51" t="s">
        <v>72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33"/>
    </row>
    <row r="14" spans="1:23" ht="15" customHeight="1" x14ac:dyDescent="0.25">
      <c r="A14" s="3"/>
      <c r="B14" s="3"/>
    </row>
    <row r="15" spans="1:23" x14ac:dyDescent="0.3">
      <c r="B15" s="4"/>
      <c r="L15" s="2" t="s">
        <v>79</v>
      </c>
      <c r="M15" s="20"/>
      <c r="N15" s="20"/>
      <c r="O15" s="20"/>
      <c r="Q15" s="20"/>
      <c r="S15" s="20"/>
      <c r="T15" s="20"/>
      <c r="U15" s="20"/>
      <c r="V15" s="20" t="s">
        <v>84</v>
      </c>
      <c r="W15" s="20"/>
    </row>
    <row r="16" spans="1:23" ht="38.25" customHeight="1" x14ac:dyDescent="0.3">
      <c r="A16" s="39" t="s">
        <v>1</v>
      </c>
      <c r="B16" s="39" t="s">
        <v>2</v>
      </c>
      <c r="C16" s="40" t="s">
        <v>3</v>
      </c>
      <c r="D16" s="42" t="s">
        <v>3</v>
      </c>
      <c r="E16" s="42"/>
      <c r="F16" s="40" t="s">
        <v>4</v>
      </c>
      <c r="G16" s="42" t="s">
        <v>47</v>
      </c>
      <c r="H16" s="42"/>
      <c r="I16" s="43" t="s">
        <v>45</v>
      </c>
      <c r="J16" s="43" t="s">
        <v>74</v>
      </c>
      <c r="K16" s="42" t="s">
        <v>3</v>
      </c>
      <c r="L16" s="42"/>
      <c r="M16" s="42" t="s">
        <v>3</v>
      </c>
      <c r="N16" s="42"/>
      <c r="O16" s="42" t="s">
        <v>3</v>
      </c>
      <c r="P16" s="42"/>
      <c r="Q16" s="42" t="s">
        <v>3</v>
      </c>
      <c r="R16" s="42"/>
      <c r="S16" s="39" t="s">
        <v>129</v>
      </c>
      <c r="T16" s="43" t="s">
        <v>130</v>
      </c>
      <c r="U16" s="47" t="s">
        <v>3</v>
      </c>
      <c r="V16" s="48"/>
      <c r="W16" s="16"/>
    </row>
    <row r="17" spans="1:24" ht="31.5" hidden="1" x14ac:dyDescent="0.25">
      <c r="A17" s="39"/>
      <c r="B17" s="39"/>
      <c r="C17" s="41"/>
      <c r="D17" s="12" t="s">
        <v>5</v>
      </c>
      <c r="E17" s="13" t="s">
        <v>73</v>
      </c>
      <c r="F17" s="41"/>
      <c r="G17" s="12" t="s">
        <v>5</v>
      </c>
      <c r="H17" s="12" t="s">
        <v>46</v>
      </c>
      <c r="I17" s="44"/>
      <c r="J17" s="44"/>
      <c r="K17" s="12" t="s">
        <v>5</v>
      </c>
      <c r="L17" s="13" t="s">
        <v>73</v>
      </c>
      <c r="M17" s="24" t="s">
        <v>5</v>
      </c>
      <c r="N17" s="25" t="s">
        <v>73</v>
      </c>
      <c r="O17" s="26" t="s">
        <v>5</v>
      </c>
      <c r="P17" s="27" t="s">
        <v>73</v>
      </c>
      <c r="Q17" s="26" t="s">
        <v>5</v>
      </c>
      <c r="R17" s="27" t="s">
        <v>73</v>
      </c>
      <c r="S17" s="39"/>
      <c r="T17" s="44"/>
      <c r="U17" s="49"/>
      <c r="V17" s="50"/>
      <c r="W17" s="17"/>
    </row>
    <row r="18" spans="1:24" x14ac:dyDescent="0.3">
      <c r="A18" s="5"/>
      <c r="B18" s="37" t="s">
        <v>6</v>
      </c>
      <c r="C18" s="8">
        <f>C19+C23+C26+C29+C32+C35+C38+C41+C44+C47+C50+C53+C56+C59+C62+C65+C68+C71+C74+C77+C81+C84+C87+C90+C93+C96+C100+C103</f>
        <v>3075075.2309999997</v>
      </c>
      <c r="D18" s="8">
        <f t="shared" ref="D18:D81" si="0">E18-C18</f>
        <v>1559624.6690000007</v>
      </c>
      <c r="E18" s="8">
        <f>E19+E23+E26+E29+E32+E35+E38+E41+E44+E47+E50+E53+E56+E59+E62+E65+E68+E71+E74+E77+E81+E84+E87+E90+E93+E96+E100+E103+E107+E110+E113+E116+E119+E122+E125+E128+E131+E134+E137+E140+E143+E146+E149+E152+E155+E158+E161+E164+E167</f>
        <v>4634699.9000000004</v>
      </c>
      <c r="F18" s="8">
        <f>F19+F23+F26+F29+F32+F35+F38+F41+F44+F47+F50+F53+F56+F59+F62+F65+F68+F71+F74+F77+F81+F84+F87+F90+F93+F96+F100+F103</f>
        <v>3121847.666999999</v>
      </c>
      <c r="G18" s="8">
        <f t="shared" ref="G18:G81" si="1">H18-F18</f>
        <v>847711.03300000168</v>
      </c>
      <c r="H18" s="8">
        <f>H19+H23+H26+H29+H32+H35+H38+H41+H44+H47+H50+H53+H56+H59+H62+H65+H68+H71+H74+H77+H81+H84+H87+H90+H93+H96+H100+H103+H107+H110+H113+H116+H119+H122+H125+H128+H131+H134+H137+H140+H143+H146+H149+H152+H155+H158+H161+H164+H167</f>
        <v>3969558.7000000007</v>
      </c>
      <c r="I18" s="8">
        <f>I19+I23+I26+I29+I32+I35+I38+I41+I44+I47+I50+I53+I56+I59+I62+I65+I68+I71+I74+I77+I81+I84+I87+I90+I93+I96+I100+I103+I107+I110+I113+I116+I119+I122+I125+I128+I131+I134+I137+I140+I143+I146+I149+I152+I155+I158+I161+I164+I167</f>
        <v>3939635.6999999993</v>
      </c>
      <c r="J18" s="8">
        <f>J19+J23+J26+J29+J32+J35+J38+J41+J44+J47+J50+J53+J56+J59+J62+J65+J68+J71+J74+J77+J81+J84+J87+J90+J93+J96+J100+J103+J107+J110+J113+J116+J119+J122+J125+J128+J131+J134+J137+J140+J143+J146+J149+J152+J155+J158+J161+J164+J167+J170</f>
        <v>146775.19999999998</v>
      </c>
      <c r="K18" s="10">
        <f>L18-C18</f>
        <v>1706399.8690000009</v>
      </c>
      <c r="L18" s="10">
        <f>E18+J18</f>
        <v>4781475.1000000006</v>
      </c>
      <c r="M18" s="10">
        <f>M19+M23+M26+M29+M32+M35+M38+M41+M44+M47+M50+M53+M56+M59+M62+M65+M68+M71+M74+M77+M81+M84+M87+M90+M93+M96+M100+M103+M107+M110+M113+M116+M119+M122+M125+M128+M131+M134+M137+M140+M143+M146+M149+M155+M158+M161+M164+M167+M170</f>
        <v>-245500</v>
      </c>
      <c r="N18" s="10">
        <f>L18+M18</f>
        <v>4535975.1000000006</v>
      </c>
      <c r="O18" s="10">
        <f>O19+O23+O26+O29+O32+O35+O38+O41+O44+O47+O50+O53+O56+O59+O62+O65+O68+O71+O74+O77+O81+O84+O87+O90+O93+O96+O100+O103+O107+O110+O113+O116+O119+O122+O125+O128+O131+O134+O137+O140+O143+O146+O149+O155+O158+O161+O164+O167+O170</f>
        <v>25302.898000000016</v>
      </c>
      <c r="P18" s="10">
        <f>N18+O18</f>
        <v>4561277.9980000006</v>
      </c>
      <c r="Q18" s="10">
        <f>Q19+Q23+Q26+Q29+Q32+Q35+Q38+Q41+Q44+Q47+Q50+Q53+Q56+Q59+Q62+Q65+Q68+Q71+Q74+Q77+Q81+Q84+Q87+Q90+Q93+Q96+Q100+Q103+Q107+Q110+Q113+Q116+Q119+Q122+Q125+Q128+Q131+Q134+Q137+Q140+Q143+Q146+Q149+Q155+Q158+Q161+Q164+Q167+Q170+Q173</f>
        <v>651130.94199999992</v>
      </c>
      <c r="R18" s="10">
        <f>P18+Q18</f>
        <v>5212408.9400000004</v>
      </c>
      <c r="S18" s="10">
        <f>S19+S23+S26+S29+S32+S35+S38+S41+S44+S47+S50+S53+S56+S59+S62+S65+S68+S71+S74+S77+S81+S84+S87+S90+S93+S96+S100+S103+S107+S110+S113+S116+S119+S122+S125+S128+S131+S134+S137+S140+S143+S146+S149+S155+S158+S161+S164+S167+S170+S173</f>
        <v>-22078.334000000003</v>
      </c>
      <c r="T18" s="10">
        <f t="shared" ref="T18:T25" si="2">R18+S18</f>
        <v>5190330.6060000006</v>
      </c>
      <c r="U18" s="10">
        <f>U19+U23+U26+U29+U32+U35+U38+U41+U44+U47+U50+U53+U56+U59+U62+U65+U68+U71+U74+U77+U81+U84+U87+U90+U93+U96+U100+U103+U107+U110+U113+U116+U119+U122+U125+U128+U131+U134+U137+U140+U143+U146+U149+U155+U158+U161+U164+U167+U170+U173</f>
        <v>-47126.294999999991</v>
      </c>
      <c r="V18" s="10">
        <f t="shared" ref="V18:V19" si="3">T18+U18</f>
        <v>5143204.3110000007</v>
      </c>
      <c r="W18" s="18"/>
    </row>
    <row r="19" spans="1:24" ht="31.2" x14ac:dyDescent="0.3">
      <c r="A19" s="37">
        <v>1</v>
      </c>
      <c r="B19" s="36" t="s">
        <v>7</v>
      </c>
      <c r="C19" s="8">
        <f>C21+C22</f>
        <v>90000</v>
      </c>
      <c r="D19" s="8">
        <f t="shared" si="0"/>
        <v>434500</v>
      </c>
      <c r="E19" s="8">
        <f>E21+E22</f>
        <v>524500</v>
      </c>
      <c r="F19" s="8">
        <f>F21+F22</f>
        <v>251158.39999999999</v>
      </c>
      <c r="G19" s="8">
        <f t="shared" si="1"/>
        <v>-84000</v>
      </c>
      <c r="H19" s="8">
        <f>H21+H22</f>
        <v>167158.39999999999</v>
      </c>
      <c r="I19" s="8">
        <f>I21+I22</f>
        <v>100002.2</v>
      </c>
      <c r="J19" s="8">
        <f>J21+J22</f>
        <v>70000</v>
      </c>
      <c r="K19" s="19">
        <f t="shared" ref="K19:K83" si="4">L19-C19</f>
        <v>504500</v>
      </c>
      <c r="L19" s="19">
        <f t="shared" ref="L19:L83" si="5">E19+J19</f>
        <v>594500</v>
      </c>
      <c r="M19" s="10">
        <f>M21+M22</f>
        <v>-244500</v>
      </c>
      <c r="N19" s="10">
        <f t="shared" ref="N19:N83" si="6">L19+M19</f>
        <v>350000</v>
      </c>
      <c r="O19" s="10"/>
      <c r="P19" s="10">
        <f t="shared" ref="P19:P25" si="7">N19+O19</f>
        <v>350000</v>
      </c>
      <c r="Q19" s="30">
        <f>Q21+Q22</f>
        <v>26416.561000000002</v>
      </c>
      <c r="R19" s="30">
        <f t="shared" ref="R19" si="8">P19+Q19</f>
        <v>376416.56099999999</v>
      </c>
      <c r="S19" s="30">
        <f>S21+S22</f>
        <v>0</v>
      </c>
      <c r="T19" s="10">
        <f t="shared" si="2"/>
        <v>376416.56099999999</v>
      </c>
      <c r="U19" s="10">
        <f>U21+U22</f>
        <v>0</v>
      </c>
      <c r="V19" s="10">
        <f t="shared" si="3"/>
        <v>376416.56099999999</v>
      </c>
      <c r="W19" s="18" t="s">
        <v>90</v>
      </c>
    </row>
    <row r="20" spans="1:24" x14ac:dyDescent="0.3">
      <c r="A20" s="37"/>
      <c r="B20" s="6" t="s">
        <v>8</v>
      </c>
      <c r="C20" s="8"/>
      <c r="D20" s="8"/>
      <c r="E20" s="8"/>
      <c r="F20" s="8"/>
      <c r="G20" s="8"/>
      <c r="H20" s="8"/>
      <c r="I20" s="8"/>
      <c r="J20" s="8"/>
      <c r="K20" s="19"/>
      <c r="L20" s="19"/>
      <c r="M20" s="10"/>
      <c r="N20" s="10"/>
      <c r="O20" s="10"/>
      <c r="P20" s="10"/>
      <c r="Q20" s="30"/>
      <c r="R20" s="30"/>
      <c r="S20" s="30"/>
      <c r="T20" s="10"/>
      <c r="U20" s="10"/>
      <c r="V20" s="10"/>
      <c r="W20" s="18"/>
    </row>
    <row r="21" spans="1:24" x14ac:dyDescent="0.3">
      <c r="A21" s="37"/>
      <c r="B21" s="6" t="s">
        <v>9</v>
      </c>
      <c r="C21" s="8">
        <v>90000</v>
      </c>
      <c r="D21" s="8">
        <f t="shared" si="0"/>
        <v>31626.399999999994</v>
      </c>
      <c r="E21" s="8">
        <v>121626.4</v>
      </c>
      <c r="F21" s="8">
        <v>251158.39999999999</v>
      </c>
      <c r="G21" s="8">
        <f t="shared" si="1"/>
        <v>-84000</v>
      </c>
      <c r="H21" s="8">
        <v>167158.39999999999</v>
      </c>
      <c r="I21" s="8">
        <v>100002.2</v>
      </c>
      <c r="J21" s="8">
        <f>70000</f>
        <v>70000</v>
      </c>
      <c r="K21" s="19">
        <f t="shared" si="4"/>
        <v>101626.4</v>
      </c>
      <c r="L21" s="19">
        <f t="shared" si="5"/>
        <v>191626.4</v>
      </c>
      <c r="M21" s="10"/>
      <c r="N21" s="10">
        <f t="shared" si="6"/>
        <v>191626.4</v>
      </c>
      <c r="O21" s="10"/>
      <c r="P21" s="10">
        <f t="shared" si="7"/>
        <v>191626.4</v>
      </c>
      <c r="Q21" s="30">
        <v>216.56100000000001</v>
      </c>
      <c r="R21" s="30">
        <f t="shared" ref="R21:R23" si="9">P21+Q21</f>
        <v>191842.96099999998</v>
      </c>
      <c r="S21" s="30">
        <v>26200</v>
      </c>
      <c r="T21" s="10">
        <f t="shared" si="2"/>
        <v>218042.96099999998</v>
      </c>
      <c r="U21" s="10"/>
      <c r="V21" s="10">
        <f t="shared" ref="V21:V23" si="10">T21+U21</f>
        <v>218042.96099999998</v>
      </c>
      <c r="W21" s="18"/>
    </row>
    <row r="22" spans="1:24" x14ac:dyDescent="0.3">
      <c r="A22" s="37"/>
      <c r="B22" s="6" t="s">
        <v>10</v>
      </c>
      <c r="C22" s="8"/>
      <c r="D22" s="8">
        <f t="shared" si="0"/>
        <v>402873.59999999998</v>
      </c>
      <c r="E22" s="8">
        <v>402873.59999999998</v>
      </c>
      <c r="F22" s="8"/>
      <c r="G22" s="8">
        <f t="shared" si="1"/>
        <v>0</v>
      </c>
      <c r="H22" s="8"/>
      <c r="I22" s="8"/>
      <c r="J22" s="8"/>
      <c r="K22" s="19">
        <f t="shared" si="4"/>
        <v>402873.59999999998</v>
      </c>
      <c r="L22" s="19">
        <f t="shared" si="5"/>
        <v>402873.59999999998</v>
      </c>
      <c r="M22" s="10">
        <v>-244500</v>
      </c>
      <c r="N22" s="10">
        <f t="shared" si="6"/>
        <v>158373.59999999998</v>
      </c>
      <c r="O22" s="10"/>
      <c r="P22" s="10">
        <f t="shared" si="7"/>
        <v>158373.59999999998</v>
      </c>
      <c r="Q22" s="30">
        <v>26200</v>
      </c>
      <c r="R22" s="30">
        <f t="shared" si="9"/>
        <v>184573.59999999998</v>
      </c>
      <c r="S22" s="30">
        <v>-26200</v>
      </c>
      <c r="T22" s="10">
        <f t="shared" si="2"/>
        <v>158373.59999999998</v>
      </c>
      <c r="U22" s="10"/>
      <c r="V22" s="10">
        <f t="shared" si="10"/>
        <v>158373.59999999998</v>
      </c>
      <c r="W22" s="18"/>
    </row>
    <row r="23" spans="1:24" x14ac:dyDescent="0.3">
      <c r="A23" s="37">
        <v>2</v>
      </c>
      <c r="B23" s="36" t="s">
        <v>11</v>
      </c>
      <c r="C23" s="8">
        <f>C25</f>
        <v>51019.3</v>
      </c>
      <c r="D23" s="8">
        <f t="shared" si="0"/>
        <v>57932.2</v>
      </c>
      <c r="E23" s="8">
        <f>E25</f>
        <v>108951.5</v>
      </c>
      <c r="F23" s="8">
        <f>F25</f>
        <v>50496.7</v>
      </c>
      <c r="G23" s="8">
        <f t="shared" si="1"/>
        <v>59469</v>
      </c>
      <c r="H23" s="8">
        <f>H25</f>
        <v>109965.7</v>
      </c>
      <c r="I23" s="8">
        <f>I25</f>
        <v>110504.4</v>
      </c>
      <c r="J23" s="8">
        <f>J25</f>
        <v>0</v>
      </c>
      <c r="K23" s="10">
        <f t="shared" si="4"/>
        <v>57932.2</v>
      </c>
      <c r="L23" s="10">
        <f t="shared" si="5"/>
        <v>108951.5</v>
      </c>
      <c r="M23" s="10">
        <f>M25</f>
        <v>0</v>
      </c>
      <c r="N23" s="10">
        <f t="shared" si="6"/>
        <v>108951.5</v>
      </c>
      <c r="O23" s="10"/>
      <c r="P23" s="10">
        <f t="shared" si="7"/>
        <v>108951.5</v>
      </c>
      <c r="Q23" s="30">
        <f>Q25</f>
        <v>20758.809000000001</v>
      </c>
      <c r="R23" s="30">
        <f t="shared" si="9"/>
        <v>129710.30900000001</v>
      </c>
      <c r="S23" s="30">
        <f>S25</f>
        <v>-6042.6</v>
      </c>
      <c r="T23" s="10">
        <f t="shared" si="2"/>
        <v>123667.709</v>
      </c>
      <c r="U23" s="10">
        <f>U25</f>
        <v>-811.73400000000004</v>
      </c>
      <c r="V23" s="10">
        <f t="shared" si="10"/>
        <v>122855.97500000001</v>
      </c>
      <c r="W23" s="18" t="s">
        <v>121</v>
      </c>
    </row>
    <row r="24" spans="1:24" x14ac:dyDescent="0.3">
      <c r="A24" s="37"/>
      <c r="B24" s="6" t="s">
        <v>8</v>
      </c>
      <c r="C24" s="8"/>
      <c r="D24" s="8"/>
      <c r="E24" s="8"/>
      <c r="F24" s="8"/>
      <c r="G24" s="8"/>
      <c r="H24" s="8"/>
      <c r="I24" s="8"/>
      <c r="J24" s="8"/>
      <c r="K24" s="10"/>
      <c r="L24" s="10"/>
      <c r="M24" s="10"/>
      <c r="N24" s="10"/>
      <c r="O24" s="10"/>
      <c r="P24" s="10"/>
      <c r="Q24" s="30"/>
      <c r="R24" s="30"/>
      <c r="S24" s="30"/>
      <c r="T24" s="10"/>
      <c r="U24" s="10"/>
      <c r="V24" s="10"/>
      <c r="W24" s="18"/>
    </row>
    <row r="25" spans="1:24" x14ac:dyDescent="0.3">
      <c r="A25" s="37"/>
      <c r="B25" s="6" t="s">
        <v>9</v>
      </c>
      <c r="C25" s="8">
        <v>51019.3</v>
      </c>
      <c r="D25" s="8">
        <f t="shared" si="0"/>
        <v>57932.2</v>
      </c>
      <c r="E25" s="8">
        <v>108951.5</v>
      </c>
      <c r="F25" s="8">
        <v>50496.7</v>
      </c>
      <c r="G25" s="8">
        <f t="shared" si="1"/>
        <v>59469</v>
      </c>
      <c r="H25" s="8">
        <v>109965.7</v>
      </c>
      <c r="I25" s="8">
        <v>110504.4</v>
      </c>
      <c r="J25" s="8"/>
      <c r="K25" s="10">
        <f t="shared" si="4"/>
        <v>57932.2</v>
      </c>
      <c r="L25" s="10">
        <f t="shared" si="5"/>
        <v>108951.5</v>
      </c>
      <c r="M25" s="10"/>
      <c r="N25" s="10">
        <f t="shared" si="6"/>
        <v>108951.5</v>
      </c>
      <c r="O25" s="10"/>
      <c r="P25" s="10">
        <f t="shared" si="7"/>
        <v>108951.5</v>
      </c>
      <c r="Q25" s="30">
        <f>14059.97+1333.947+2.161+2562.731+2800</f>
        <v>20758.809000000001</v>
      </c>
      <c r="R25" s="30">
        <f t="shared" ref="R25" si="11">P25+Q25</f>
        <v>129710.30900000001</v>
      </c>
      <c r="S25" s="30">
        <v>-6042.6</v>
      </c>
      <c r="T25" s="10">
        <f t="shared" si="2"/>
        <v>123667.709</v>
      </c>
      <c r="U25" s="10">
        <f>-811.734</f>
        <v>-811.73400000000004</v>
      </c>
      <c r="V25" s="10">
        <f t="shared" ref="V25" si="12">T25+U25</f>
        <v>122855.97500000001</v>
      </c>
      <c r="W25" s="18"/>
    </row>
    <row r="26" spans="1:24" ht="15.75" hidden="1" x14ac:dyDescent="0.25">
      <c r="A26" s="22">
        <v>3</v>
      </c>
      <c r="B26" s="21" t="s">
        <v>69</v>
      </c>
      <c r="C26" s="8">
        <f>C28</f>
        <v>157499</v>
      </c>
      <c r="D26" s="8">
        <f t="shared" si="0"/>
        <v>-157499</v>
      </c>
      <c r="E26" s="8">
        <f>E28</f>
        <v>0</v>
      </c>
      <c r="F26" s="8">
        <f>F28</f>
        <v>0</v>
      </c>
      <c r="G26" s="8">
        <f t="shared" si="1"/>
        <v>0</v>
      </c>
      <c r="H26" s="8">
        <f>H28</f>
        <v>0</v>
      </c>
      <c r="I26" s="8">
        <f>I28</f>
        <v>0</v>
      </c>
      <c r="J26" s="8">
        <f>J28</f>
        <v>0</v>
      </c>
      <c r="K26" s="10">
        <f t="shared" si="4"/>
        <v>-157499</v>
      </c>
      <c r="L26" s="10">
        <f t="shared" si="5"/>
        <v>0</v>
      </c>
      <c r="M26" s="10">
        <f>M28</f>
        <v>0</v>
      </c>
      <c r="N26" s="10">
        <f t="shared" si="6"/>
        <v>0</v>
      </c>
      <c r="O26" s="10"/>
      <c r="P26" s="10"/>
      <c r="Q26" s="10"/>
      <c r="R26" s="10"/>
      <c r="S26" s="10"/>
      <c r="T26" s="18"/>
      <c r="U26" s="10"/>
      <c r="V26" s="18"/>
      <c r="W26" s="18"/>
      <c r="X26" s="1">
        <v>0</v>
      </c>
    </row>
    <row r="27" spans="1:24" ht="15.75" hidden="1" x14ac:dyDescent="0.25">
      <c r="A27" s="22"/>
      <c r="B27" s="6" t="s">
        <v>8</v>
      </c>
      <c r="C27" s="8"/>
      <c r="D27" s="8"/>
      <c r="E27" s="8"/>
      <c r="F27" s="8"/>
      <c r="G27" s="8"/>
      <c r="H27" s="8"/>
      <c r="I27" s="8"/>
      <c r="J27" s="8"/>
      <c r="K27" s="10"/>
      <c r="L27" s="10"/>
      <c r="M27" s="10"/>
      <c r="N27" s="10"/>
      <c r="O27" s="10"/>
      <c r="P27" s="10"/>
      <c r="Q27" s="10"/>
      <c r="R27" s="10"/>
      <c r="S27" s="10"/>
      <c r="T27" s="18"/>
      <c r="U27" s="10"/>
      <c r="V27" s="18"/>
      <c r="W27" s="18"/>
      <c r="X27" s="1">
        <v>0</v>
      </c>
    </row>
    <row r="28" spans="1:24" ht="15.75" hidden="1" x14ac:dyDescent="0.25">
      <c r="A28" s="22"/>
      <c r="B28" s="6" t="s">
        <v>9</v>
      </c>
      <c r="C28" s="8">
        <v>157499</v>
      </c>
      <c r="D28" s="8">
        <f t="shared" si="0"/>
        <v>-157499</v>
      </c>
      <c r="E28" s="8">
        <v>0</v>
      </c>
      <c r="F28" s="8">
        <v>0</v>
      </c>
      <c r="G28" s="8">
        <f t="shared" si="1"/>
        <v>0</v>
      </c>
      <c r="H28" s="8">
        <v>0</v>
      </c>
      <c r="I28" s="8">
        <v>0</v>
      </c>
      <c r="J28" s="8"/>
      <c r="K28" s="10">
        <f t="shared" si="4"/>
        <v>-157499</v>
      </c>
      <c r="L28" s="10">
        <f t="shared" si="5"/>
        <v>0</v>
      </c>
      <c r="M28" s="10">
        <v>0</v>
      </c>
      <c r="N28" s="10">
        <f t="shared" si="6"/>
        <v>0</v>
      </c>
      <c r="O28" s="10"/>
      <c r="P28" s="10"/>
      <c r="Q28" s="10"/>
      <c r="R28" s="10"/>
      <c r="S28" s="10"/>
      <c r="T28" s="18"/>
      <c r="U28" s="10"/>
      <c r="V28" s="18"/>
      <c r="W28" s="18"/>
      <c r="X28" s="1">
        <v>0</v>
      </c>
    </row>
    <row r="29" spans="1:24" ht="31.2" x14ac:dyDescent="0.3">
      <c r="A29" s="37">
        <v>3</v>
      </c>
      <c r="B29" s="36" t="s">
        <v>70</v>
      </c>
      <c r="C29" s="8">
        <f>C31</f>
        <v>4071.2</v>
      </c>
      <c r="D29" s="8">
        <f t="shared" si="0"/>
        <v>3853.6000000000004</v>
      </c>
      <c r="E29" s="8">
        <f>E31</f>
        <v>7924.8</v>
      </c>
      <c r="F29" s="8">
        <f>F31</f>
        <v>4210.7</v>
      </c>
      <c r="G29" s="8">
        <f t="shared" si="1"/>
        <v>-139.19999999999982</v>
      </c>
      <c r="H29" s="8">
        <f>H31</f>
        <v>4071.5</v>
      </c>
      <c r="I29" s="8">
        <f>I31</f>
        <v>3091.9</v>
      </c>
      <c r="J29" s="8">
        <f>J31</f>
        <v>0</v>
      </c>
      <c r="K29" s="10">
        <f t="shared" si="4"/>
        <v>3853.6000000000004</v>
      </c>
      <c r="L29" s="10">
        <f t="shared" si="5"/>
        <v>7924.8</v>
      </c>
      <c r="M29" s="10">
        <f>M31</f>
        <v>0</v>
      </c>
      <c r="N29" s="10">
        <f t="shared" si="6"/>
        <v>7924.8</v>
      </c>
      <c r="O29" s="10"/>
      <c r="P29" s="10">
        <f t="shared" ref="P29:P93" si="13">N29+O29</f>
        <v>7924.8</v>
      </c>
      <c r="Q29" s="30">
        <f>Q31</f>
        <v>2033.2</v>
      </c>
      <c r="R29" s="30">
        <f t="shared" ref="R29" si="14">P29+Q29</f>
        <v>9958</v>
      </c>
      <c r="S29" s="30">
        <f>S31</f>
        <v>-2033.2</v>
      </c>
      <c r="T29" s="10">
        <f t="shared" ref="T29:T92" si="15">R29+S29</f>
        <v>7924.8</v>
      </c>
      <c r="U29" s="10">
        <f>U31</f>
        <v>0</v>
      </c>
      <c r="V29" s="10">
        <f t="shared" ref="V29" si="16">T29+U29</f>
        <v>7924.8</v>
      </c>
      <c r="W29" s="18" t="s">
        <v>105</v>
      </c>
    </row>
    <row r="30" spans="1:24" x14ac:dyDescent="0.3">
      <c r="A30" s="37"/>
      <c r="B30" s="6" t="s">
        <v>8</v>
      </c>
      <c r="C30" s="8"/>
      <c r="D30" s="8"/>
      <c r="E30" s="8"/>
      <c r="F30" s="8"/>
      <c r="G30" s="8"/>
      <c r="H30" s="8"/>
      <c r="I30" s="8"/>
      <c r="J30" s="8"/>
      <c r="K30" s="10"/>
      <c r="L30" s="10"/>
      <c r="M30" s="10"/>
      <c r="N30" s="10"/>
      <c r="O30" s="10"/>
      <c r="P30" s="10"/>
      <c r="Q30" s="30"/>
      <c r="R30" s="30"/>
      <c r="S30" s="30"/>
      <c r="T30" s="10"/>
      <c r="U30" s="10"/>
      <c r="V30" s="10"/>
      <c r="W30" s="18"/>
    </row>
    <row r="31" spans="1:24" x14ac:dyDescent="0.3">
      <c r="A31" s="37"/>
      <c r="B31" s="6" t="s">
        <v>9</v>
      </c>
      <c r="C31" s="8">
        <v>4071.2</v>
      </c>
      <c r="D31" s="8">
        <f t="shared" si="0"/>
        <v>3853.6000000000004</v>
      </c>
      <c r="E31" s="8">
        <v>7924.8</v>
      </c>
      <c r="F31" s="8">
        <v>4210.7</v>
      </c>
      <c r="G31" s="8">
        <f t="shared" si="1"/>
        <v>-139.19999999999982</v>
      </c>
      <c r="H31" s="8">
        <v>4071.5</v>
      </c>
      <c r="I31" s="8">
        <v>3091.9</v>
      </c>
      <c r="J31" s="8"/>
      <c r="K31" s="10">
        <f t="shared" si="4"/>
        <v>3853.6000000000004</v>
      </c>
      <c r="L31" s="10">
        <f t="shared" si="5"/>
        <v>7924.8</v>
      </c>
      <c r="M31" s="10"/>
      <c r="N31" s="10">
        <f t="shared" si="6"/>
        <v>7924.8</v>
      </c>
      <c r="O31" s="10"/>
      <c r="P31" s="10">
        <f t="shared" si="13"/>
        <v>7924.8</v>
      </c>
      <c r="Q31" s="30">
        <v>2033.2</v>
      </c>
      <c r="R31" s="30">
        <f t="shared" ref="R31:R32" si="17">P31+Q31</f>
        <v>9958</v>
      </c>
      <c r="S31" s="30">
        <v>-2033.2</v>
      </c>
      <c r="T31" s="10">
        <f t="shared" si="15"/>
        <v>7924.8</v>
      </c>
      <c r="U31" s="10"/>
      <c r="V31" s="10">
        <f t="shared" ref="V31:V32" si="18">T31+U31</f>
        <v>7924.8</v>
      </c>
      <c r="W31" s="18"/>
    </row>
    <row r="32" spans="1:24" ht="31.2" x14ac:dyDescent="0.3">
      <c r="A32" s="37">
        <v>4</v>
      </c>
      <c r="B32" s="36" t="s">
        <v>131</v>
      </c>
      <c r="C32" s="8">
        <f>C34</f>
        <v>125000</v>
      </c>
      <c r="D32" s="8">
        <f t="shared" si="0"/>
        <v>-3500</v>
      </c>
      <c r="E32" s="8">
        <f>E34</f>
        <v>121500</v>
      </c>
      <c r="F32" s="8">
        <f>F34</f>
        <v>45384.5</v>
      </c>
      <c r="G32" s="8">
        <f t="shared" si="1"/>
        <v>99818.5</v>
      </c>
      <c r="H32" s="8">
        <f>H34</f>
        <v>145203</v>
      </c>
      <c r="I32" s="8">
        <f>I34</f>
        <v>145203</v>
      </c>
      <c r="J32" s="8">
        <f>J34</f>
        <v>50000</v>
      </c>
      <c r="K32" s="10">
        <f t="shared" si="4"/>
        <v>46500</v>
      </c>
      <c r="L32" s="10">
        <f t="shared" si="5"/>
        <v>171500</v>
      </c>
      <c r="M32" s="10">
        <f>M34</f>
        <v>0</v>
      </c>
      <c r="N32" s="10">
        <f t="shared" si="6"/>
        <v>171500</v>
      </c>
      <c r="O32" s="10"/>
      <c r="P32" s="10">
        <f t="shared" si="13"/>
        <v>171500</v>
      </c>
      <c r="Q32" s="30">
        <f>Q34</f>
        <v>100769.38900000001</v>
      </c>
      <c r="R32" s="30">
        <f t="shared" si="17"/>
        <v>272269.38900000002</v>
      </c>
      <c r="S32" s="30">
        <f>S34</f>
        <v>0</v>
      </c>
      <c r="T32" s="10">
        <f t="shared" si="15"/>
        <v>272269.38900000002</v>
      </c>
      <c r="U32" s="10">
        <f>U34</f>
        <v>0</v>
      </c>
      <c r="V32" s="10">
        <f t="shared" si="18"/>
        <v>272269.38900000002</v>
      </c>
      <c r="W32" s="18" t="s">
        <v>125</v>
      </c>
    </row>
    <row r="33" spans="1:23" x14ac:dyDescent="0.3">
      <c r="A33" s="37"/>
      <c r="B33" s="6" t="s">
        <v>8</v>
      </c>
      <c r="C33" s="8"/>
      <c r="D33" s="8"/>
      <c r="E33" s="8"/>
      <c r="F33" s="8"/>
      <c r="G33" s="8"/>
      <c r="H33" s="8"/>
      <c r="I33" s="8"/>
      <c r="J33" s="8"/>
      <c r="K33" s="10"/>
      <c r="L33" s="10"/>
      <c r="M33" s="10"/>
      <c r="N33" s="10"/>
      <c r="O33" s="10"/>
      <c r="P33" s="10"/>
      <c r="Q33" s="30"/>
      <c r="R33" s="30"/>
      <c r="S33" s="30"/>
      <c r="T33" s="10"/>
      <c r="U33" s="10"/>
      <c r="V33" s="10"/>
      <c r="W33" s="18"/>
    </row>
    <row r="34" spans="1:23" x14ac:dyDescent="0.3">
      <c r="A34" s="37"/>
      <c r="B34" s="6" t="s">
        <v>9</v>
      </c>
      <c r="C34" s="8">
        <v>125000</v>
      </c>
      <c r="D34" s="8">
        <f t="shared" si="0"/>
        <v>-3500</v>
      </c>
      <c r="E34" s="8">
        <v>121500</v>
      </c>
      <c r="F34" s="8">
        <v>45384.5</v>
      </c>
      <c r="G34" s="8">
        <f t="shared" si="1"/>
        <v>99818.5</v>
      </c>
      <c r="H34" s="8">
        <v>145203</v>
      </c>
      <c r="I34" s="8">
        <v>145203</v>
      </c>
      <c r="J34" s="8">
        <v>50000</v>
      </c>
      <c r="K34" s="10">
        <f t="shared" si="4"/>
        <v>46500</v>
      </c>
      <c r="L34" s="10">
        <f t="shared" si="5"/>
        <v>171500</v>
      </c>
      <c r="M34" s="10"/>
      <c r="N34" s="10">
        <f t="shared" si="6"/>
        <v>171500</v>
      </c>
      <c r="O34" s="10"/>
      <c r="P34" s="10">
        <f t="shared" si="13"/>
        <v>171500</v>
      </c>
      <c r="Q34" s="30">
        <f>10433.298+13423.458+594.822+50000+26317.811</f>
        <v>100769.38900000001</v>
      </c>
      <c r="R34" s="30">
        <f t="shared" ref="R34:R35" si="19">P34+Q34</f>
        <v>272269.38900000002</v>
      </c>
      <c r="S34" s="30"/>
      <c r="T34" s="10">
        <f t="shared" si="15"/>
        <v>272269.38900000002</v>
      </c>
      <c r="U34" s="10"/>
      <c r="V34" s="10">
        <f t="shared" ref="V34:V35" si="20">T34+U34</f>
        <v>272269.38900000002</v>
      </c>
      <c r="W34" s="18"/>
    </row>
    <row r="35" spans="1:23" x14ac:dyDescent="0.3">
      <c r="A35" s="37">
        <v>5</v>
      </c>
      <c r="B35" s="36" t="s">
        <v>12</v>
      </c>
      <c r="C35" s="8">
        <f>C37</f>
        <v>249486.48899999997</v>
      </c>
      <c r="D35" s="8">
        <f t="shared" si="0"/>
        <v>40379.111000000004</v>
      </c>
      <c r="E35" s="8">
        <f>E37</f>
        <v>289865.59999999998</v>
      </c>
      <c r="F35" s="8">
        <f>F37</f>
        <v>271814.70099999994</v>
      </c>
      <c r="G35" s="8">
        <f t="shared" si="1"/>
        <v>6938.899000000034</v>
      </c>
      <c r="H35" s="8">
        <f>H37</f>
        <v>278753.59999999998</v>
      </c>
      <c r="I35" s="8">
        <f>I37</f>
        <v>283297.59999999998</v>
      </c>
      <c r="J35" s="8">
        <f>J37</f>
        <v>-4879.5999999999995</v>
      </c>
      <c r="K35" s="10">
        <f t="shared" si="4"/>
        <v>35499.511000000028</v>
      </c>
      <c r="L35" s="10">
        <f t="shared" si="5"/>
        <v>284986</v>
      </c>
      <c r="M35" s="19">
        <f>M37</f>
        <v>0</v>
      </c>
      <c r="N35" s="19">
        <f t="shared" si="6"/>
        <v>284986</v>
      </c>
      <c r="O35" s="10">
        <f>O37</f>
        <v>-18628.477999999999</v>
      </c>
      <c r="P35" s="10">
        <f t="shared" si="13"/>
        <v>266357.522</v>
      </c>
      <c r="Q35" s="30">
        <f>Q37</f>
        <v>552.51300000000003</v>
      </c>
      <c r="R35" s="30">
        <f t="shared" si="19"/>
        <v>266910.03499999997</v>
      </c>
      <c r="S35" s="30">
        <f>S37</f>
        <v>0</v>
      </c>
      <c r="T35" s="10">
        <f t="shared" si="15"/>
        <v>266910.03499999997</v>
      </c>
      <c r="U35" s="10">
        <f>U37</f>
        <v>-1445.547</v>
      </c>
      <c r="V35" s="10">
        <f t="shared" si="20"/>
        <v>265464.48799999995</v>
      </c>
      <c r="W35" s="18" t="s">
        <v>94</v>
      </c>
    </row>
    <row r="36" spans="1:23" x14ac:dyDescent="0.3">
      <c r="A36" s="37"/>
      <c r="B36" s="6" t="s">
        <v>8</v>
      </c>
      <c r="C36" s="8"/>
      <c r="D36" s="8"/>
      <c r="E36" s="8"/>
      <c r="F36" s="8"/>
      <c r="G36" s="8"/>
      <c r="H36" s="8"/>
      <c r="I36" s="8"/>
      <c r="J36" s="8"/>
      <c r="K36" s="10"/>
      <c r="L36" s="10"/>
      <c r="M36" s="19"/>
      <c r="N36" s="19"/>
      <c r="O36" s="10"/>
      <c r="P36" s="10"/>
      <c r="Q36" s="30"/>
      <c r="R36" s="30"/>
      <c r="S36" s="30"/>
      <c r="T36" s="10"/>
      <c r="U36" s="10"/>
      <c r="V36" s="10"/>
      <c r="W36" s="18"/>
    </row>
    <row r="37" spans="1:23" x14ac:dyDescent="0.3">
      <c r="A37" s="37"/>
      <c r="B37" s="6" t="s">
        <v>9</v>
      </c>
      <c r="C37" s="8">
        <v>249486.48899999997</v>
      </c>
      <c r="D37" s="8">
        <f t="shared" si="0"/>
        <v>40379.111000000004</v>
      </c>
      <c r="E37" s="8">
        <v>289865.59999999998</v>
      </c>
      <c r="F37" s="8">
        <v>271814.70099999994</v>
      </c>
      <c r="G37" s="8">
        <f t="shared" si="1"/>
        <v>6938.899000000034</v>
      </c>
      <c r="H37" s="8">
        <v>278753.59999999998</v>
      </c>
      <c r="I37" s="8">
        <v>283297.59999999998</v>
      </c>
      <c r="J37" s="8">
        <f>-187.2-43-1.5-4647.9</f>
        <v>-4879.5999999999995</v>
      </c>
      <c r="K37" s="10">
        <f t="shared" si="4"/>
        <v>35499.511000000028</v>
      </c>
      <c r="L37" s="10">
        <f t="shared" si="5"/>
        <v>284986</v>
      </c>
      <c r="M37" s="19"/>
      <c r="N37" s="19">
        <f t="shared" si="6"/>
        <v>284986</v>
      </c>
      <c r="O37" s="10">
        <v>-18628.477999999999</v>
      </c>
      <c r="P37" s="10">
        <f t="shared" si="13"/>
        <v>266357.522</v>
      </c>
      <c r="Q37" s="30">
        <f>475.3+77.213</f>
        <v>552.51300000000003</v>
      </c>
      <c r="R37" s="30">
        <f t="shared" ref="R37:R38" si="21">P37+Q37</f>
        <v>266910.03499999997</v>
      </c>
      <c r="S37" s="30"/>
      <c r="T37" s="10">
        <f t="shared" si="15"/>
        <v>266910.03499999997</v>
      </c>
      <c r="U37" s="10">
        <f>-1445.547</f>
        <v>-1445.547</v>
      </c>
      <c r="V37" s="10">
        <f t="shared" ref="V37:V38" si="22">T37+U37</f>
        <v>265464.48799999995</v>
      </c>
      <c r="W37" s="18"/>
    </row>
    <row r="38" spans="1:23" x14ac:dyDescent="0.3">
      <c r="A38" s="37">
        <v>6</v>
      </c>
      <c r="B38" s="36" t="s">
        <v>13</v>
      </c>
      <c r="C38" s="8">
        <f>C40</f>
        <v>356481.4</v>
      </c>
      <c r="D38" s="8">
        <f t="shared" si="0"/>
        <v>18763.699999999953</v>
      </c>
      <c r="E38" s="8">
        <f>E40</f>
        <v>375245.1</v>
      </c>
      <c r="F38" s="8">
        <f>F40</f>
        <v>393658.9</v>
      </c>
      <c r="G38" s="8">
        <f t="shared" si="1"/>
        <v>-52929.600000000035</v>
      </c>
      <c r="H38" s="8">
        <f>H40</f>
        <v>340729.3</v>
      </c>
      <c r="I38" s="8">
        <f>I40</f>
        <v>348300.3</v>
      </c>
      <c r="J38" s="8">
        <f>J40</f>
        <v>-891.5</v>
      </c>
      <c r="K38" s="10">
        <f t="shared" si="4"/>
        <v>17872.199999999953</v>
      </c>
      <c r="L38" s="10">
        <f t="shared" si="5"/>
        <v>374353.6</v>
      </c>
      <c r="M38" s="19">
        <f>M40</f>
        <v>0</v>
      </c>
      <c r="N38" s="19">
        <f t="shared" si="6"/>
        <v>374353.6</v>
      </c>
      <c r="O38" s="10">
        <f>O40</f>
        <v>-27861.745999999999</v>
      </c>
      <c r="P38" s="10">
        <f t="shared" si="13"/>
        <v>346491.85399999999</v>
      </c>
      <c r="Q38" s="30">
        <f>Q40</f>
        <v>4417.1429999999991</v>
      </c>
      <c r="R38" s="30">
        <f t="shared" si="21"/>
        <v>350908.99699999997</v>
      </c>
      <c r="S38" s="30">
        <f>S40</f>
        <v>0</v>
      </c>
      <c r="T38" s="10">
        <f t="shared" si="15"/>
        <v>350908.99699999997</v>
      </c>
      <c r="U38" s="10">
        <f>U40</f>
        <v>-3684.654</v>
      </c>
      <c r="V38" s="10">
        <f t="shared" si="22"/>
        <v>347224.34299999999</v>
      </c>
      <c r="W38" s="18" t="s">
        <v>97</v>
      </c>
    </row>
    <row r="39" spans="1:23" x14ac:dyDescent="0.3">
      <c r="A39" s="37"/>
      <c r="B39" s="6" t="s">
        <v>8</v>
      </c>
      <c r="C39" s="8"/>
      <c r="D39" s="8"/>
      <c r="E39" s="8"/>
      <c r="F39" s="8"/>
      <c r="G39" s="8"/>
      <c r="H39" s="8"/>
      <c r="I39" s="8"/>
      <c r="J39" s="8"/>
      <c r="K39" s="10"/>
      <c r="L39" s="10"/>
      <c r="M39" s="19"/>
      <c r="N39" s="19"/>
      <c r="O39" s="10"/>
      <c r="P39" s="10"/>
      <c r="Q39" s="30"/>
      <c r="R39" s="30"/>
      <c r="S39" s="30"/>
      <c r="T39" s="10"/>
      <c r="U39" s="10"/>
      <c r="V39" s="10"/>
      <c r="W39" s="18"/>
    </row>
    <row r="40" spans="1:23" x14ac:dyDescent="0.3">
      <c r="A40" s="37"/>
      <c r="B40" s="6" t="s">
        <v>9</v>
      </c>
      <c r="C40" s="8">
        <v>356481.4</v>
      </c>
      <c r="D40" s="8">
        <f t="shared" si="0"/>
        <v>18763.699999999953</v>
      </c>
      <c r="E40" s="8">
        <v>375245.1</v>
      </c>
      <c r="F40" s="8">
        <v>393658.9</v>
      </c>
      <c r="G40" s="8">
        <f t="shared" si="1"/>
        <v>-52929.600000000035</v>
      </c>
      <c r="H40" s="8">
        <v>340729.3</v>
      </c>
      <c r="I40" s="8">
        <v>348300.3</v>
      </c>
      <c r="J40" s="8">
        <f>-280.7-44.5-546.5-19.8</f>
        <v>-891.5</v>
      </c>
      <c r="K40" s="10">
        <f t="shared" si="4"/>
        <v>17872.199999999953</v>
      </c>
      <c r="L40" s="10">
        <f t="shared" si="5"/>
        <v>374353.6</v>
      </c>
      <c r="M40" s="19"/>
      <c r="N40" s="19">
        <f t="shared" si="6"/>
        <v>374353.6</v>
      </c>
      <c r="O40" s="10">
        <v>-27861.745999999999</v>
      </c>
      <c r="P40" s="10">
        <f t="shared" si="13"/>
        <v>346491.85399999999</v>
      </c>
      <c r="Q40" s="30">
        <f>568.9+16+3674.477+157.766</f>
        <v>4417.1429999999991</v>
      </c>
      <c r="R40" s="30">
        <f t="shared" ref="R40:R41" si="23">P40+Q40</f>
        <v>350908.99699999997</v>
      </c>
      <c r="S40" s="30"/>
      <c r="T40" s="10">
        <f t="shared" si="15"/>
        <v>350908.99699999997</v>
      </c>
      <c r="U40" s="10">
        <f>-548.742-239.082-2896.83</f>
        <v>-3684.654</v>
      </c>
      <c r="V40" s="10">
        <f t="shared" ref="V40:V41" si="24">T40+U40</f>
        <v>347224.34299999999</v>
      </c>
      <c r="W40" s="18"/>
    </row>
    <row r="41" spans="1:23" x14ac:dyDescent="0.3">
      <c r="A41" s="37">
        <v>7</v>
      </c>
      <c r="B41" s="36" t="s">
        <v>14</v>
      </c>
      <c r="C41" s="8">
        <f>C43</f>
        <v>399089.6</v>
      </c>
      <c r="D41" s="8">
        <f t="shared" si="0"/>
        <v>-34661.099999999977</v>
      </c>
      <c r="E41" s="8">
        <f>E43</f>
        <v>364428.5</v>
      </c>
      <c r="F41" s="8">
        <f>F43</f>
        <v>474206.5</v>
      </c>
      <c r="G41" s="8">
        <f t="shared" si="1"/>
        <v>-119772.09999999998</v>
      </c>
      <c r="H41" s="8">
        <f>H43</f>
        <v>354434.4</v>
      </c>
      <c r="I41" s="8">
        <f>I43</f>
        <v>361412.9</v>
      </c>
      <c r="J41" s="8">
        <f>J43</f>
        <v>-3955.2999999999997</v>
      </c>
      <c r="K41" s="10">
        <f t="shared" si="4"/>
        <v>-38616.399999999965</v>
      </c>
      <c r="L41" s="10">
        <f t="shared" si="5"/>
        <v>360473.2</v>
      </c>
      <c r="M41" s="19">
        <f>M43</f>
        <v>0</v>
      </c>
      <c r="N41" s="19">
        <f t="shared" si="6"/>
        <v>360473.2</v>
      </c>
      <c r="O41" s="10">
        <f>O43</f>
        <v>0</v>
      </c>
      <c r="P41" s="10">
        <f t="shared" si="13"/>
        <v>360473.2</v>
      </c>
      <c r="Q41" s="30">
        <f>Q43</f>
        <v>22584.366999999998</v>
      </c>
      <c r="R41" s="30">
        <f t="shared" si="23"/>
        <v>383057.56700000004</v>
      </c>
      <c r="S41" s="30">
        <f>S43</f>
        <v>0</v>
      </c>
      <c r="T41" s="10">
        <f t="shared" si="15"/>
        <v>383057.56700000004</v>
      </c>
      <c r="U41" s="10">
        <f>U43</f>
        <v>-6317.4549999999999</v>
      </c>
      <c r="V41" s="10">
        <f t="shared" si="24"/>
        <v>376740.11200000002</v>
      </c>
      <c r="W41" s="18" t="s">
        <v>95</v>
      </c>
    </row>
    <row r="42" spans="1:23" x14ac:dyDescent="0.3">
      <c r="A42" s="37"/>
      <c r="B42" s="6" t="s">
        <v>8</v>
      </c>
      <c r="C42" s="8"/>
      <c r="D42" s="8"/>
      <c r="E42" s="8"/>
      <c r="F42" s="8"/>
      <c r="G42" s="8"/>
      <c r="H42" s="8"/>
      <c r="I42" s="8"/>
      <c r="J42" s="8"/>
      <c r="K42" s="10"/>
      <c r="L42" s="10"/>
      <c r="M42" s="19"/>
      <c r="N42" s="19"/>
      <c r="O42" s="10"/>
      <c r="P42" s="10"/>
      <c r="Q42" s="30"/>
      <c r="R42" s="30"/>
      <c r="S42" s="30"/>
      <c r="T42" s="10"/>
      <c r="U42" s="10"/>
      <c r="V42" s="10"/>
      <c r="W42" s="18"/>
    </row>
    <row r="43" spans="1:23" x14ac:dyDescent="0.3">
      <c r="A43" s="37"/>
      <c r="B43" s="6" t="s">
        <v>9</v>
      </c>
      <c r="C43" s="8">
        <v>399089.6</v>
      </c>
      <c r="D43" s="8">
        <f t="shared" si="0"/>
        <v>-34661.099999999977</v>
      </c>
      <c r="E43" s="8">
        <v>364428.5</v>
      </c>
      <c r="F43" s="8">
        <v>474206.5</v>
      </c>
      <c r="G43" s="8">
        <f t="shared" si="1"/>
        <v>-119772.09999999998</v>
      </c>
      <c r="H43" s="8">
        <v>354434.4</v>
      </c>
      <c r="I43" s="8">
        <v>361412.9</v>
      </c>
      <c r="J43" s="8">
        <f>-1523.7-30-2357.5-44.1</f>
        <v>-3955.2999999999997</v>
      </c>
      <c r="K43" s="10">
        <f t="shared" si="4"/>
        <v>-38616.399999999965</v>
      </c>
      <c r="L43" s="10">
        <f t="shared" si="5"/>
        <v>360473.2</v>
      </c>
      <c r="M43" s="19"/>
      <c r="N43" s="19">
        <f t="shared" si="6"/>
        <v>360473.2</v>
      </c>
      <c r="O43" s="10">
        <f>15612.994-15612.994</f>
        <v>0</v>
      </c>
      <c r="P43" s="10">
        <f t="shared" si="13"/>
        <v>360473.2</v>
      </c>
      <c r="Q43" s="30">
        <f>628.5+8129.581+13826.286</f>
        <v>22584.366999999998</v>
      </c>
      <c r="R43" s="30">
        <f t="shared" ref="R43:R44" si="25">P43+Q43</f>
        <v>383057.56700000004</v>
      </c>
      <c r="S43" s="30"/>
      <c r="T43" s="10">
        <f t="shared" si="15"/>
        <v>383057.56700000004</v>
      </c>
      <c r="U43" s="10">
        <f>-6317.455</f>
        <v>-6317.4549999999999</v>
      </c>
      <c r="V43" s="10">
        <f t="shared" ref="V43:V44" si="26">T43+U43</f>
        <v>376740.11200000002</v>
      </c>
      <c r="W43" s="18"/>
    </row>
    <row r="44" spans="1:23" x14ac:dyDescent="0.3">
      <c r="A44" s="37">
        <v>8</v>
      </c>
      <c r="B44" s="36" t="s">
        <v>15</v>
      </c>
      <c r="C44" s="8">
        <f>C46</f>
        <v>220057.397</v>
      </c>
      <c r="D44" s="8">
        <f t="shared" si="0"/>
        <v>17687.303000000014</v>
      </c>
      <c r="E44" s="8">
        <f>E46</f>
        <v>237744.7</v>
      </c>
      <c r="F44" s="8">
        <f>F46</f>
        <v>261215.77100000004</v>
      </c>
      <c r="G44" s="8">
        <f t="shared" si="1"/>
        <v>-40611.471000000049</v>
      </c>
      <c r="H44" s="8">
        <f>H46</f>
        <v>220604.3</v>
      </c>
      <c r="I44" s="8">
        <f>I46</f>
        <v>221739.1</v>
      </c>
      <c r="J44" s="8">
        <f>J46</f>
        <v>-307.59999999999997</v>
      </c>
      <c r="K44" s="10">
        <f t="shared" si="4"/>
        <v>17379.703000000009</v>
      </c>
      <c r="L44" s="10">
        <f t="shared" si="5"/>
        <v>237437.1</v>
      </c>
      <c r="M44" s="19">
        <f>M46</f>
        <v>0</v>
      </c>
      <c r="N44" s="19">
        <f t="shared" si="6"/>
        <v>237437.1</v>
      </c>
      <c r="O44" s="10">
        <f>O46</f>
        <v>-12425.460999999999</v>
      </c>
      <c r="P44" s="10">
        <f t="shared" si="13"/>
        <v>225011.639</v>
      </c>
      <c r="Q44" s="30">
        <f>Q46</f>
        <v>576.79999999999995</v>
      </c>
      <c r="R44" s="30">
        <f t="shared" si="25"/>
        <v>225588.43899999998</v>
      </c>
      <c r="S44" s="30">
        <f>S46</f>
        <v>0</v>
      </c>
      <c r="T44" s="10">
        <f t="shared" si="15"/>
        <v>225588.43899999998</v>
      </c>
      <c r="U44" s="10">
        <f>U46</f>
        <v>0</v>
      </c>
      <c r="V44" s="10">
        <f t="shared" si="26"/>
        <v>225588.43899999998</v>
      </c>
      <c r="W44" s="18" t="s">
        <v>91</v>
      </c>
    </row>
    <row r="45" spans="1:23" x14ac:dyDescent="0.3">
      <c r="A45" s="37"/>
      <c r="B45" s="6" t="s">
        <v>8</v>
      </c>
      <c r="C45" s="8"/>
      <c r="D45" s="8"/>
      <c r="E45" s="8"/>
      <c r="F45" s="8"/>
      <c r="G45" s="8"/>
      <c r="H45" s="8"/>
      <c r="I45" s="8"/>
      <c r="J45" s="8"/>
      <c r="K45" s="10"/>
      <c r="L45" s="10"/>
      <c r="M45" s="19"/>
      <c r="N45" s="19"/>
      <c r="O45" s="10"/>
      <c r="P45" s="10"/>
      <c r="Q45" s="30"/>
      <c r="R45" s="30"/>
      <c r="S45" s="30"/>
      <c r="T45" s="10"/>
      <c r="U45" s="10"/>
      <c r="V45" s="10"/>
      <c r="W45" s="18"/>
    </row>
    <row r="46" spans="1:23" x14ac:dyDescent="0.3">
      <c r="A46" s="37"/>
      <c r="B46" s="6" t="s">
        <v>9</v>
      </c>
      <c r="C46" s="8">
        <v>220057.397</v>
      </c>
      <c r="D46" s="8">
        <f t="shared" si="0"/>
        <v>17687.303000000014</v>
      </c>
      <c r="E46" s="8">
        <v>237744.7</v>
      </c>
      <c r="F46" s="8">
        <v>261215.77100000004</v>
      </c>
      <c r="G46" s="8">
        <f t="shared" si="1"/>
        <v>-40611.471000000049</v>
      </c>
      <c r="H46" s="8">
        <v>220604.3</v>
      </c>
      <c r="I46" s="8">
        <v>221739.1</v>
      </c>
      <c r="J46" s="8">
        <f>-280.7-14.5-30+17.6</f>
        <v>-307.59999999999997</v>
      </c>
      <c r="K46" s="10">
        <f t="shared" si="4"/>
        <v>17379.703000000009</v>
      </c>
      <c r="L46" s="10">
        <f t="shared" si="5"/>
        <v>237437.1</v>
      </c>
      <c r="M46" s="19"/>
      <c r="N46" s="19">
        <f t="shared" si="6"/>
        <v>237437.1</v>
      </c>
      <c r="O46" s="10">
        <v>-12425.460999999999</v>
      </c>
      <c r="P46" s="10">
        <f t="shared" si="13"/>
        <v>225011.639</v>
      </c>
      <c r="Q46" s="30">
        <v>576.79999999999995</v>
      </c>
      <c r="R46" s="30">
        <f t="shared" ref="R46:R47" si="27">P46+Q46</f>
        <v>225588.43899999998</v>
      </c>
      <c r="S46" s="30"/>
      <c r="T46" s="10">
        <f t="shared" si="15"/>
        <v>225588.43899999998</v>
      </c>
      <c r="U46" s="10"/>
      <c r="V46" s="10">
        <f t="shared" ref="V46:V47" si="28">T46+U46</f>
        <v>225588.43899999998</v>
      </c>
      <c r="W46" s="18"/>
    </row>
    <row r="47" spans="1:23" x14ac:dyDescent="0.3">
      <c r="A47" s="37">
        <v>9</v>
      </c>
      <c r="B47" s="36" t="s">
        <v>16</v>
      </c>
      <c r="C47" s="8">
        <f>C49</f>
        <v>202070.7</v>
      </c>
      <c r="D47" s="8">
        <f t="shared" si="0"/>
        <v>16500.299999999988</v>
      </c>
      <c r="E47" s="8">
        <f>E49</f>
        <v>218571</v>
      </c>
      <c r="F47" s="8">
        <f>F49</f>
        <v>252164</v>
      </c>
      <c r="G47" s="8">
        <f t="shared" si="1"/>
        <v>-21349.600000000006</v>
      </c>
      <c r="H47" s="8">
        <f>H49</f>
        <v>230814.4</v>
      </c>
      <c r="I47" s="8">
        <f>I49</f>
        <v>229108.1</v>
      </c>
      <c r="J47" s="8">
        <f>J49</f>
        <v>-4353.7999999999993</v>
      </c>
      <c r="K47" s="10">
        <f t="shared" si="4"/>
        <v>12146.5</v>
      </c>
      <c r="L47" s="10">
        <f t="shared" si="5"/>
        <v>214217.2</v>
      </c>
      <c r="M47" s="19">
        <f>M49</f>
        <v>0</v>
      </c>
      <c r="N47" s="19">
        <f t="shared" si="6"/>
        <v>214217.2</v>
      </c>
      <c r="O47" s="10">
        <f>O49</f>
        <v>-725.91399999999999</v>
      </c>
      <c r="P47" s="10">
        <f t="shared" si="13"/>
        <v>213491.28600000002</v>
      </c>
      <c r="Q47" s="30">
        <f>Q49</f>
        <v>586.6</v>
      </c>
      <c r="R47" s="30">
        <f t="shared" si="27"/>
        <v>214077.88600000003</v>
      </c>
      <c r="S47" s="30">
        <f>S49</f>
        <v>0</v>
      </c>
      <c r="T47" s="10">
        <f t="shared" si="15"/>
        <v>214077.88600000003</v>
      </c>
      <c r="U47" s="10">
        <f>U49</f>
        <v>-861.54</v>
      </c>
      <c r="V47" s="10">
        <f t="shared" si="28"/>
        <v>213216.34600000002</v>
      </c>
      <c r="W47" s="18" t="s">
        <v>92</v>
      </c>
    </row>
    <row r="48" spans="1:23" x14ac:dyDescent="0.3">
      <c r="A48" s="37"/>
      <c r="B48" s="6" t="s">
        <v>8</v>
      </c>
      <c r="C48" s="8"/>
      <c r="D48" s="8"/>
      <c r="E48" s="8"/>
      <c r="F48" s="8"/>
      <c r="G48" s="8"/>
      <c r="H48" s="8"/>
      <c r="I48" s="8"/>
      <c r="J48" s="8"/>
      <c r="K48" s="10"/>
      <c r="L48" s="10"/>
      <c r="M48" s="19"/>
      <c r="N48" s="19"/>
      <c r="O48" s="10"/>
      <c r="P48" s="10"/>
      <c r="Q48" s="30"/>
      <c r="R48" s="30"/>
      <c r="S48" s="30"/>
      <c r="T48" s="10"/>
      <c r="U48" s="10"/>
      <c r="V48" s="10"/>
      <c r="W48" s="18"/>
    </row>
    <row r="49" spans="1:23" x14ac:dyDescent="0.3">
      <c r="A49" s="37"/>
      <c r="B49" s="6" t="s">
        <v>9</v>
      </c>
      <c r="C49" s="8">
        <v>202070.7</v>
      </c>
      <c r="D49" s="8">
        <f t="shared" si="0"/>
        <v>16500.299999999988</v>
      </c>
      <c r="E49" s="8">
        <v>218571</v>
      </c>
      <c r="F49" s="8">
        <v>252164</v>
      </c>
      <c r="G49" s="8">
        <f t="shared" si="1"/>
        <v>-21349.600000000006</v>
      </c>
      <c r="H49" s="8">
        <v>230814.4</v>
      </c>
      <c r="I49" s="8">
        <v>229108.1</v>
      </c>
      <c r="J49" s="8">
        <f>-515.4-267.9-3283.9-854.2+567.6</f>
        <v>-4353.7999999999993</v>
      </c>
      <c r="K49" s="10">
        <f t="shared" si="4"/>
        <v>12146.5</v>
      </c>
      <c r="L49" s="10">
        <f t="shared" si="5"/>
        <v>214217.2</v>
      </c>
      <c r="M49" s="19"/>
      <c r="N49" s="19">
        <f t="shared" si="6"/>
        <v>214217.2</v>
      </c>
      <c r="O49" s="10">
        <v>-725.91399999999999</v>
      </c>
      <c r="P49" s="10">
        <f t="shared" si="13"/>
        <v>213491.28600000002</v>
      </c>
      <c r="Q49" s="30">
        <v>586.6</v>
      </c>
      <c r="R49" s="30">
        <f t="shared" ref="R49:R50" si="29">P49+Q49</f>
        <v>214077.88600000003</v>
      </c>
      <c r="S49" s="30"/>
      <c r="T49" s="10">
        <f t="shared" si="15"/>
        <v>214077.88600000003</v>
      </c>
      <c r="U49" s="10">
        <f>-861.54</f>
        <v>-861.54</v>
      </c>
      <c r="V49" s="10">
        <f t="shared" ref="V49:V50" si="30">T49+U49</f>
        <v>213216.34600000002</v>
      </c>
      <c r="W49" s="18"/>
    </row>
    <row r="50" spans="1:23" x14ac:dyDescent="0.3">
      <c r="A50" s="37">
        <v>10</v>
      </c>
      <c r="B50" s="36" t="s">
        <v>17</v>
      </c>
      <c r="C50" s="8">
        <f>C52</f>
        <v>260083.185</v>
      </c>
      <c r="D50" s="8">
        <f t="shared" si="0"/>
        <v>-6709.2850000000035</v>
      </c>
      <c r="E50" s="8">
        <f>E52</f>
        <v>253373.9</v>
      </c>
      <c r="F50" s="8">
        <f>F52</f>
        <v>273792.71299999999</v>
      </c>
      <c r="G50" s="8">
        <f t="shared" si="1"/>
        <v>-47658.012999999977</v>
      </c>
      <c r="H50" s="8">
        <f>H52</f>
        <v>226134.7</v>
      </c>
      <c r="I50" s="8">
        <f>I52</f>
        <v>230828.6</v>
      </c>
      <c r="J50" s="8">
        <f>J52</f>
        <v>-1841.1000000000001</v>
      </c>
      <c r="K50" s="10">
        <f t="shared" si="4"/>
        <v>-8550.3850000000093</v>
      </c>
      <c r="L50" s="10">
        <f t="shared" si="5"/>
        <v>251532.79999999999</v>
      </c>
      <c r="M50" s="19">
        <f>M52</f>
        <v>0</v>
      </c>
      <c r="N50" s="19">
        <f t="shared" si="6"/>
        <v>251532.79999999999</v>
      </c>
      <c r="O50" s="10">
        <f>O52</f>
        <v>-8660.7199999999993</v>
      </c>
      <c r="P50" s="10">
        <f t="shared" si="13"/>
        <v>242872.08</v>
      </c>
      <c r="Q50" s="30">
        <f>Q52</f>
        <v>531.4</v>
      </c>
      <c r="R50" s="30">
        <f t="shared" si="29"/>
        <v>243403.47999999998</v>
      </c>
      <c r="S50" s="30">
        <f>S52</f>
        <v>0</v>
      </c>
      <c r="T50" s="10">
        <f t="shared" si="15"/>
        <v>243403.47999999998</v>
      </c>
      <c r="U50" s="10">
        <f>U52</f>
        <v>-3487.42</v>
      </c>
      <c r="V50" s="10">
        <f t="shared" si="30"/>
        <v>239916.05999999997</v>
      </c>
      <c r="W50" s="18" t="s">
        <v>93</v>
      </c>
    </row>
    <row r="51" spans="1:23" x14ac:dyDescent="0.3">
      <c r="A51" s="37"/>
      <c r="B51" s="6" t="s">
        <v>8</v>
      </c>
      <c r="C51" s="8"/>
      <c r="D51" s="8"/>
      <c r="E51" s="8"/>
      <c r="F51" s="8"/>
      <c r="G51" s="8"/>
      <c r="H51" s="8"/>
      <c r="I51" s="8"/>
      <c r="J51" s="8"/>
      <c r="K51" s="10"/>
      <c r="L51" s="10"/>
      <c r="M51" s="19"/>
      <c r="N51" s="19"/>
      <c r="O51" s="10"/>
      <c r="P51" s="10"/>
      <c r="Q51" s="30"/>
      <c r="R51" s="30"/>
      <c r="S51" s="30"/>
      <c r="T51" s="10"/>
      <c r="U51" s="10"/>
      <c r="V51" s="10"/>
      <c r="W51" s="18"/>
    </row>
    <row r="52" spans="1:23" x14ac:dyDescent="0.3">
      <c r="A52" s="37"/>
      <c r="B52" s="6" t="s">
        <v>9</v>
      </c>
      <c r="C52" s="8">
        <v>260083.185</v>
      </c>
      <c r="D52" s="8">
        <f t="shared" si="0"/>
        <v>-6709.2850000000035</v>
      </c>
      <c r="E52" s="8">
        <v>253373.9</v>
      </c>
      <c r="F52" s="8">
        <v>273792.71299999999</v>
      </c>
      <c r="G52" s="8">
        <f t="shared" si="1"/>
        <v>-47658.012999999977</v>
      </c>
      <c r="H52" s="8">
        <v>226134.7</v>
      </c>
      <c r="I52" s="8">
        <v>230828.6</v>
      </c>
      <c r="J52" s="8">
        <f>-687.3-1181.9-10.7+38.8</f>
        <v>-1841.1000000000001</v>
      </c>
      <c r="K52" s="10">
        <f t="shared" si="4"/>
        <v>-8550.3850000000093</v>
      </c>
      <c r="L52" s="10">
        <f t="shared" si="5"/>
        <v>251532.79999999999</v>
      </c>
      <c r="M52" s="19"/>
      <c r="N52" s="19">
        <f t="shared" si="6"/>
        <v>251532.79999999999</v>
      </c>
      <c r="O52" s="10">
        <v>-8660.7199999999993</v>
      </c>
      <c r="P52" s="10">
        <f t="shared" si="13"/>
        <v>242872.08</v>
      </c>
      <c r="Q52" s="30">
        <v>531.4</v>
      </c>
      <c r="R52" s="30">
        <f t="shared" ref="R52:R53" si="31">P52+Q52</f>
        <v>243403.47999999998</v>
      </c>
      <c r="S52" s="30"/>
      <c r="T52" s="10">
        <f t="shared" si="15"/>
        <v>243403.47999999998</v>
      </c>
      <c r="U52" s="10">
        <f>-1374.036-2113.384</f>
        <v>-3487.42</v>
      </c>
      <c r="V52" s="10">
        <f t="shared" ref="V52:V53" si="32">T52+U52</f>
        <v>239916.05999999997</v>
      </c>
      <c r="W52" s="18"/>
    </row>
    <row r="53" spans="1:23" x14ac:dyDescent="0.3">
      <c r="A53" s="37">
        <v>11</v>
      </c>
      <c r="B53" s="36" t="s">
        <v>18</v>
      </c>
      <c r="C53" s="8">
        <f>C55</f>
        <v>284328.09999999998</v>
      </c>
      <c r="D53" s="8">
        <f t="shared" si="0"/>
        <v>-16371</v>
      </c>
      <c r="E53" s="8">
        <f>E55</f>
        <v>267957.09999999998</v>
      </c>
      <c r="F53" s="8">
        <f>F55</f>
        <v>292142.40000000002</v>
      </c>
      <c r="G53" s="8">
        <f t="shared" si="1"/>
        <v>-46053.900000000023</v>
      </c>
      <c r="H53" s="8">
        <f>H55</f>
        <v>246088.5</v>
      </c>
      <c r="I53" s="8">
        <f>I55</f>
        <v>248881.8</v>
      </c>
      <c r="J53" s="8">
        <f>J55</f>
        <v>-2118.5</v>
      </c>
      <c r="K53" s="10">
        <f t="shared" si="4"/>
        <v>-18489.5</v>
      </c>
      <c r="L53" s="10">
        <f t="shared" si="5"/>
        <v>265838.59999999998</v>
      </c>
      <c r="M53" s="19">
        <f>M55</f>
        <v>0</v>
      </c>
      <c r="N53" s="19">
        <f t="shared" si="6"/>
        <v>265838.59999999998</v>
      </c>
      <c r="O53" s="10">
        <f>O55</f>
        <v>-2736.683</v>
      </c>
      <c r="P53" s="10">
        <f t="shared" si="13"/>
        <v>263101.91699999996</v>
      </c>
      <c r="Q53" s="30">
        <f>Q55</f>
        <v>38952.464999999997</v>
      </c>
      <c r="R53" s="30">
        <f t="shared" si="31"/>
        <v>302054.38199999998</v>
      </c>
      <c r="S53" s="30">
        <f>S55</f>
        <v>0</v>
      </c>
      <c r="T53" s="10">
        <f t="shared" si="15"/>
        <v>302054.38199999998</v>
      </c>
      <c r="U53" s="10">
        <f>U55</f>
        <v>-1743.636</v>
      </c>
      <c r="V53" s="10">
        <f t="shared" si="32"/>
        <v>300310.74599999998</v>
      </c>
      <c r="W53" s="18" t="s">
        <v>96</v>
      </c>
    </row>
    <row r="54" spans="1:23" x14ac:dyDescent="0.3">
      <c r="A54" s="37"/>
      <c r="B54" s="6" t="s">
        <v>8</v>
      </c>
      <c r="C54" s="8"/>
      <c r="D54" s="8"/>
      <c r="E54" s="8"/>
      <c r="F54" s="8"/>
      <c r="G54" s="8"/>
      <c r="H54" s="8"/>
      <c r="I54" s="8"/>
      <c r="J54" s="8"/>
      <c r="K54" s="10"/>
      <c r="L54" s="10"/>
      <c r="M54" s="19"/>
      <c r="N54" s="19"/>
      <c r="O54" s="10"/>
      <c r="P54" s="10"/>
      <c r="Q54" s="30"/>
      <c r="R54" s="30"/>
      <c r="S54" s="30"/>
      <c r="T54" s="10"/>
      <c r="U54" s="10"/>
      <c r="V54" s="10"/>
      <c r="W54" s="18"/>
    </row>
    <row r="55" spans="1:23" x14ac:dyDescent="0.3">
      <c r="A55" s="37"/>
      <c r="B55" s="6" t="s">
        <v>9</v>
      </c>
      <c r="C55" s="8">
        <v>284328.09999999998</v>
      </c>
      <c r="D55" s="8">
        <f t="shared" si="0"/>
        <v>-16371</v>
      </c>
      <c r="E55" s="8">
        <v>267957.09999999998</v>
      </c>
      <c r="F55" s="8">
        <v>292142.40000000002</v>
      </c>
      <c r="G55" s="8">
        <f t="shared" si="1"/>
        <v>-46053.900000000023</v>
      </c>
      <c r="H55" s="8">
        <v>246088.5</v>
      </c>
      <c r="I55" s="8">
        <v>248881.8</v>
      </c>
      <c r="J55" s="8">
        <f>-451.8-45.2-1480.4-274.1+53.9+79.1</f>
        <v>-2118.5</v>
      </c>
      <c r="K55" s="10">
        <f t="shared" si="4"/>
        <v>-18489.5</v>
      </c>
      <c r="L55" s="10">
        <f t="shared" si="5"/>
        <v>265838.59999999998</v>
      </c>
      <c r="M55" s="19"/>
      <c r="N55" s="19">
        <f t="shared" si="6"/>
        <v>265838.59999999998</v>
      </c>
      <c r="O55" s="10">
        <v>-2736.683</v>
      </c>
      <c r="P55" s="10">
        <f t="shared" si="13"/>
        <v>263101.91699999996</v>
      </c>
      <c r="Q55" s="30">
        <f>580.3+30000+8372.165</f>
        <v>38952.464999999997</v>
      </c>
      <c r="R55" s="30">
        <f t="shared" ref="R55:R56" si="33">P55+Q55</f>
        <v>302054.38199999998</v>
      </c>
      <c r="S55" s="30"/>
      <c r="T55" s="10">
        <f t="shared" si="15"/>
        <v>302054.38199999998</v>
      </c>
      <c r="U55" s="10">
        <f>-1147.812-595.824</f>
        <v>-1743.636</v>
      </c>
      <c r="V55" s="10">
        <f t="shared" ref="V55:V56" si="34">T55+U55</f>
        <v>300310.74599999998</v>
      </c>
      <c r="W55" s="18"/>
    </row>
    <row r="56" spans="1:23" x14ac:dyDescent="0.3">
      <c r="A56" s="37">
        <v>12</v>
      </c>
      <c r="B56" s="36" t="s">
        <v>19</v>
      </c>
      <c r="C56" s="8">
        <f>C58</f>
        <v>53591.9</v>
      </c>
      <c r="D56" s="8">
        <f t="shared" si="0"/>
        <v>-8048.0999999999985</v>
      </c>
      <c r="E56" s="8">
        <f>E58</f>
        <v>45543.8</v>
      </c>
      <c r="F56" s="8">
        <f>F58</f>
        <v>58403.9</v>
      </c>
      <c r="G56" s="8">
        <f t="shared" si="1"/>
        <v>-10048.599999999999</v>
      </c>
      <c r="H56" s="8">
        <f>H58</f>
        <v>48355.3</v>
      </c>
      <c r="I56" s="8">
        <f>I58</f>
        <v>48909.9</v>
      </c>
      <c r="J56" s="8">
        <f>J58</f>
        <v>-879</v>
      </c>
      <c r="K56" s="10">
        <f t="shared" si="4"/>
        <v>-8927.0999999999985</v>
      </c>
      <c r="L56" s="10">
        <f t="shared" si="5"/>
        <v>44664.800000000003</v>
      </c>
      <c r="M56" s="19">
        <f>M58</f>
        <v>0</v>
      </c>
      <c r="N56" s="19">
        <f t="shared" si="6"/>
        <v>44664.800000000003</v>
      </c>
      <c r="O56" s="10">
        <f>O58</f>
        <v>-29.760999999999999</v>
      </c>
      <c r="P56" s="10">
        <f t="shared" si="13"/>
        <v>44635.039000000004</v>
      </c>
      <c r="Q56" s="30">
        <f>Q58</f>
        <v>463.8</v>
      </c>
      <c r="R56" s="30">
        <f t="shared" si="33"/>
        <v>45098.839000000007</v>
      </c>
      <c r="S56" s="30">
        <f>S58</f>
        <v>0</v>
      </c>
      <c r="T56" s="10">
        <f t="shared" si="15"/>
        <v>45098.839000000007</v>
      </c>
      <c r="U56" s="10">
        <f>U58</f>
        <v>-2232.0909999999999</v>
      </c>
      <c r="V56" s="10">
        <f t="shared" si="34"/>
        <v>42866.748000000007</v>
      </c>
      <c r="W56" s="18" t="s">
        <v>98</v>
      </c>
    </row>
    <row r="57" spans="1:23" x14ac:dyDescent="0.3">
      <c r="A57" s="37"/>
      <c r="B57" s="6" t="s">
        <v>8</v>
      </c>
      <c r="C57" s="8"/>
      <c r="D57" s="8"/>
      <c r="E57" s="8"/>
      <c r="F57" s="8"/>
      <c r="G57" s="8"/>
      <c r="H57" s="8"/>
      <c r="I57" s="8"/>
      <c r="J57" s="8"/>
      <c r="K57" s="10"/>
      <c r="L57" s="10"/>
      <c r="M57" s="19"/>
      <c r="N57" s="19"/>
      <c r="O57" s="10"/>
      <c r="P57" s="10"/>
      <c r="Q57" s="30"/>
      <c r="R57" s="30"/>
      <c r="S57" s="30"/>
      <c r="T57" s="10"/>
      <c r="U57" s="10"/>
      <c r="V57" s="10"/>
      <c r="W57" s="18"/>
    </row>
    <row r="58" spans="1:23" x14ac:dyDescent="0.3">
      <c r="A58" s="37"/>
      <c r="B58" s="6" t="s">
        <v>9</v>
      </c>
      <c r="C58" s="8">
        <v>53591.9</v>
      </c>
      <c r="D58" s="8">
        <f t="shared" si="0"/>
        <v>-8048.0999999999985</v>
      </c>
      <c r="E58" s="8">
        <v>45543.8</v>
      </c>
      <c r="F58" s="8">
        <v>58403.9</v>
      </c>
      <c r="G58" s="8">
        <f t="shared" si="1"/>
        <v>-10048.599999999999</v>
      </c>
      <c r="H58" s="8">
        <v>48355.3</v>
      </c>
      <c r="I58" s="8">
        <v>48909.9</v>
      </c>
      <c r="J58" s="8">
        <f>-214-554.8-126.6+16.4</f>
        <v>-879</v>
      </c>
      <c r="K58" s="10">
        <f t="shared" si="4"/>
        <v>-8927.0999999999985</v>
      </c>
      <c r="L58" s="10">
        <f t="shared" si="5"/>
        <v>44664.800000000003</v>
      </c>
      <c r="M58" s="19"/>
      <c r="N58" s="19">
        <f t="shared" si="6"/>
        <v>44664.800000000003</v>
      </c>
      <c r="O58" s="10">
        <v>-29.760999999999999</v>
      </c>
      <c r="P58" s="10">
        <f t="shared" si="13"/>
        <v>44635.039000000004</v>
      </c>
      <c r="Q58" s="30">
        <v>463.8</v>
      </c>
      <c r="R58" s="30">
        <f t="shared" ref="R58:R59" si="35">P58+Q58</f>
        <v>45098.839000000007</v>
      </c>
      <c r="S58" s="30"/>
      <c r="T58" s="10">
        <f t="shared" si="15"/>
        <v>45098.839000000007</v>
      </c>
      <c r="U58" s="10">
        <f>-2232.091</f>
        <v>-2232.0909999999999</v>
      </c>
      <c r="V58" s="10">
        <f t="shared" ref="V58:V59" si="36">T58+U58</f>
        <v>42866.748000000007</v>
      </c>
      <c r="W58" s="18"/>
    </row>
    <row r="59" spans="1:23" x14ac:dyDescent="0.3">
      <c r="A59" s="37">
        <v>13</v>
      </c>
      <c r="B59" s="36" t="s">
        <v>20</v>
      </c>
      <c r="C59" s="31">
        <f>C61</f>
        <v>153880</v>
      </c>
      <c r="D59" s="31">
        <f t="shared" si="0"/>
        <v>0</v>
      </c>
      <c r="E59" s="31">
        <f>E61</f>
        <v>153880</v>
      </c>
      <c r="F59" s="31">
        <f>F61</f>
        <v>0</v>
      </c>
      <c r="G59" s="31">
        <f t="shared" si="1"/>
        <v>50000</v>
      </c>
      <c r="H59" s="31">
        <f>H61</f>
        <v>50000</v>
      </c>
      <c r="I59" s="31">
        <f>I61</f>
        <v>50000</v>
      </c>
      <c r="J59" s="31">
        <f>J61</f>
        <v>0</v>
      </c>
      <c r="K59" s="30">
        <f t="shared" si="4"/>
        <v>0</v>
      </c>
      <c r="L59" s="30">
        <f t="shared" si="5"/>
        <v>153880</v>
      </c>
      <c r="M59" s="30">
        <f>M61</f>
        <v>0</v>
      </c>
      <c r="N59" s="30">
        <f t="shared" si="6"/>
        <v>153880</v>
      </c>
      <c r="O59" s="30"/>
      <c r="P59" s="30">
        <f t="shared" si="13"/>
        <v>153880</v>
      </c>
      <c r="Q59" s="30">
        <f>Q61</f>
        <v>36226.870000000003</v>
      </c>
      <c r="R59" s="30">
        <f t="shared" si="35"/>
        <v>190106.87</v>
      </c>
      <c r="S59" s="30">
        <f>S61</f>
        <v>0</v>
      </c>
      <c r="T59" s="10">
        <f t="shared" si="15"/>
        <v>190106.87</v>
      </c>
      <c r="U59" s="10">
        <f>U61</f>
        <v>0</v>
      </c>
      <c r="V59" s="10">
        <f t="shared" si="36"/>
        <v>190106.87</v>
      </c>
      <c r="W59" s="18" t="s">
        <v>118</v>
      </c>
    </row>
    <row r="60" spans="1:23" x14ac:dyDescent="0.3">
      <c r="A60" s="37"/>
      <c r="B60" s="6" t="s">
        <v>8</v>
      </c>
      <c r="C60" s="31"/>
      <c r="D60" s="31"/>
      <c r="E60" s="31"/>
      <c r="F60" s="31"/>
      <c r="G60" s="31"/>
      <c r="H60" s="31"/>
      <c r="I60" s="31"/>
      <c r="J60" s="31"/>
      <c r="K60" s="30"/>
      <c r="L60" s="30"/>
      <c r="M60" s="30"/>
      <c r="N60" s="30"/>
      <c r="O60" s="30"/>
      <c r="P60" s="30"/>
      <c r="Q60" s="30"/>
      <c r="R60" s="30"/>
      <c r="S60" s="30"/>
      <c r="T60" s="10"/>
      <c r="U60" s="10"/>
      <c r="V60" s="10"/>
      <c r="W60" s="18"/>
    </row>
    <row r="61" spans="1:23" x14ac:dyDescent="0.3">
      <c r="A61" s="37"/>
      <c r="B61" s="6" t="s">
        <v>9</v>
      </c>
      <c r="C61" s="31">
        <v>153880</v>
      </c>
      <c r="D61" s="31">
        <f t="shared" si="0"/>
        <v>0</v>
      </c>
      <c r="E61" s="31">
        <v>153880</v>
      </c>
      <c r="F61" s="31">
        <v>0</v>
      </c>
      <c r="G61" s="31">
        <f t="shared" si="1"/>
        <v>50000</v>
      </c>
      <c r="H61" s="31">
        <v>50000</v>
      </c>
      <c r="I61" s="31">
        <v>50000</v>
      </c>
      <c r="J61" s="31"/>
      <c r="K61" s="30">
        <f t="shared" si="4"/>
        <v>0</v>
      </c>
      <c r="L61" s="30">
        <f t="shared" si="5"/>
        <v>153880</v>
      </c>
      <c r="M61" s="30"/>
      <c r="N61" s="30">
        <f t="shared" si="6"/>
        <v>153880</v>
      </c>
      <c r="O61" s="30"/>
      <c r="P61" s="30">
        <f t="shared" si="13"/>
        <v>153880</v>
      </c>
      <c r="Q61" s="30">
        <f>14511.749+18710.653+3004.468</f>
        <v>36226.870000000003</v>
      </c>
      <c r="R61" s="30">
        <f t="shared" ref="R61:R62" si="37">P61+Q61</f>
        <v>190106.87</v>
      </c>
      <c r="S61" s="30"/>
      <c r="T61" s="10">
        <f t="shared" si="15"/>
        <v>190106.87</v>
      </c>
      <c r="U61" s="10"/>
      <c r="V61" s="10">
        <f t="shared" ref="V61:V62" si="38">T61+U61</f>
        <v>190106.87</v>
      </c>
      <c r="W61" s="18"/>
    </row>
    <row r="62" spans="1:23" ht="31.2" x14ac:dyDescent="0.3">
      <c r="A62" s="37">
        <v>14</v>
      </c>
      <c r="B62" s="36" t="s">
        <v>21</v>
      </c>
      <c r="C62" s="8">
        <f>C64</f>
        <v>22000</v>
      </c>
      <c r="D62" s="8">
        <f t="shared" si="0"/>
        <v>0</v>
      </c>
      <c r="E62" s="8">
        <f>E64</f>
        <v>22000</v>
      </c>
      <c r="F62" s="8">
        <f>F64</f>
        <v>22000</v>
      </c>
      <c r="G62" s="8">
        <f t="shared" si="1"/>
        <v>0</v>
      </c>
      <c r="H62" s="8">
        <f>H64</f>
        <v>22000</v>
      </c>
      <c r="I62" s="8">
        <f>I64</f>
        <v>22000</v>
      </c>
      <c r="J62" s="8">
        <f>J64</f>
        <v>0</v>
      </c>
      <c r="K62" s="10">
        <f t="shared" si="4"/>
        <v>0</v>
      </c>
      <c r="L62" s="10">
        <f t="shared" si="5"/>
        <v>22000</v>
      </c>
      <c r="M62" s="10">
        <f>M64</f>
        <v>0</v>
      </c>
      <c r="N62" s="10">
        <f t="shared" si="6"/>
        <v>22000</v>
      </c>
      <c r="O62" s="10"/>
      <c r="P62" s="10">
        <f t="shared" si="13"/>
        <v>22000</v>
      </c>
      <c r="Q62" s="30">
        <f>Q64</f>
        <v>28670.989999999998</v>
      </c>
      <c r="R62" s="30">
        <f t="shared" si="37"/>
        <v>50670.99</v>
      </c>
      <c r="S62" s="30">
        <f>S64</f>
        <v>0</v>
      </c>
      <c r="T62" s="10">
        <f t="shared" si="15"/>
        <v>50670.99</v>
      </c>
      <c r="U62" s="10">
        <f>U64</f>
        <v>0</v>
      </c>
      <c r="V62" s="10">
        <f t="shared" si="38"/>
        <v>50670.99</v>
      </c>
      <c r="W62" s="18" t="s">
        <v>128</v>
      </c>
    </row>
    <row r="63" spans="1:23" x14ac:dyDescent="0.3">
      <c r="A63" s="37"/>
      <c r="B63" s="6" t="s">
        <v>8</v>
      </c>
      <c r="C63" s="8"/>
      <c r="D63" s="8"/>
      <c r="E63" s="8"/>
      <c r="F63" s="8"/>
      <c r="G63" s="8"/>
      <c r="H63" s="8"/>
      <c r="I63" s="8"/>
      <c r="J63" s="8"/>
      <c r="K63" s="10"/>
      <c r="L63" s="10"/>
      <c r="M63" s="10"/>
      <c r="N63" s="10"/>
      <c r="O63" s="10"/>
      <c r="P63" s="10"/>
      <c r="Q63" s="30"/>
      <c r="R63" s="30"/>
      <c r="S63" s="30"/>
      <c r="T63" s="10"/>
      <c r="U63" s="10"/>
      <c r="V63" s="10"/>
      <c r="W63" s="18"/>
    </row>
    <row r="64" spans="1:23" x14ac:dyDescent="0.3">
      <c r="A64" s="37"/>
      <c r="B64" s="6" t="s">
        <v>9</v>
      </c>
      <c r="C64" s="8">
        <v>22000</v>
      </c>
      <c r="D64" s="8">
        <f t="shared" si="0"/>
        <v>0</v>
      </c>
      <c r="E64" s="9">
        <v>22000</v>
      </c>
      <c r="F64" s="8">
        <v>22000</v>
      </c>
      <c r="G64" s="8">
        <f t="shared" si="1"/>
        <v>0</v>
      </c>
      <c r="H64" s="9">
        <v>22000</v>
      </c>
      <c r="I64" s="9">
        <v>22000</v>
      </c>
      <c r="J64" s="9"/>
      <c r="K64" s="10">
        <f t="shared" si="4"/>
        <v>0</v>
      </c>
      <c r="L64" s="10">
        <f t="shared" si="5"/>
        <v>22000</v>
      </c>
      <c r="M64" s="10">
        <v>0</v>
      </c>
      <c r="N64" s="10">
        <f t="shared" si="6"/>
        <v>22000</v>
      </c>
      <c r="O64" s="10"/>
      <c r="P64" s="10">
        <f t="shared" si="13"/>
        <v>22000</v>
      </c>
      <c r="Q64" s="30">
        <f>20219.782+8451.208</f>
        <v>28670.989999999998</v>
      </c>
      <c r="R64" s="30">
        <f t="shared" ref="R64:R65" si="39">P64+Q64</f>
        <v>50670.99</v>
      </c>
      <c r="S64" s="30"/>
      <c r="T64" s="10">
        <f t="shared" si="15"/>
        <v>50670.99</v>
      </c>
      <c r="U64" s="10"/>
      <c r="V64" s="10">
        <f t="shared" ref="V64:V65" si="40">T64+U64</f>
        <v>50670.99</v>
      </c>
      <c r="W64" s="18"/>
    </row>
    <row r="65" spans="1:23" x14ac:dyDescent="0.3">
      <c r="A65" s="37">
        <v>15</v>
      </c>
      <c r="B65" s="6" t="s">
        <v>22</v>
      </c>
      <c r="C65" s="8">
        <f>C67</f>
        <v>118916.3</v>
      </c>
      <c r="D65" s="8">
        <f t="shared" si="0"/>
        <v>-23.5</v>
      </c>
      <c r="E65" s="8">
        <f>E67</f>
        <v>118892.8</v>
      </c>
      <c r="F65" s="8">
        <f>F67</f>
        <v>149399.4</v>
      </c>
      <c r="G65" s="8">
        <f t="shared" si="1"/>
        <v>-2.7999999999883585</v>
      </c>
      <c r="H65" s="8">
        <f>H67</f>
        <v>149396.6</v>
      </c>
      <c r="I65" s="8">
        <f>I67</f>
        <v>148699.4</v>
      </c>
      <c r="J65" s="8">
        <f>J67</f>
        <v>0</v>
      </c>
      <c r="K65" s="10">
        <f t="shared" si="4"/>
        <v>-23.5</v>
      </c>
      <c r="L65" s="10">
        <f t="shared" si="5"/>
        <v>118892.8</v>
      </c>
      <c r="M65" s="10">
        <f>M67</f>
        <v>0</v>
      </c>
      <c r="N65" s="10">
        <f t="shared" si="6"/>
        <v>118892.8</v>
      </c>
      <c r="O65" s="10"/>
      <c r="P65" s="10">
        <f t="shared" si="13"/>
        <v>118892.8</v>
      </c>
      <c r="Q65" s="10"/>
      <c r="R65" s="10">
        <f t="shared" si="39"/>
        <v>118892.8</v>
      </c>
      <c r="S65" s="10"/>
      <c r="T65" s="10">
        <f t="shared" si="15"/>
        <v>118892.8</v>
      </c>
      <c r="U65" s="10"/>
      <c r="V65" s="10">
        <f t="shared" si="40"/>
        <v>118892.8</v>
      </c>
      <c r="W65" s="18"/>
    </row>
    <row r="66" spans="1:23" x14ac:dyDescent="0.3">
      <c r="A66" s="37"/>
      <c r="B66" s="6" t="s">
        <v>8</v>
      </c>
      <c r="C66" s="8"/>
      <c r="D66" s="8"/>
      <c r="E66" s="8"/>
      <c r="F66" s="8"/>
      <c r="G66" s="8"/>
      <c r="H66" s="8"/>
      <c r="I66" s="8"/>
      <c r="J66" s="8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8"/>
    </row>
    <row r="67" spans="1:23" x14ac:dyDescent="0.3">
      <c r="A67" s="37"/>
      <c r="B67" s="6" t="s">
        <v>9</v>
      </c>
      <c r="C67" s="8">
        <v>118916.3</v>
      </c>
      <c r="D67" s="8">
        <f t="shared" si="0"/>
        <v>-23.5</v>
      </c>
      <c r="E67" s="8">
        <v>118892.8</v>
      </c>
      <c r="F67" s="8">
        <v>149399.4</v>
      </c>
      <c r="G67" s="8">
        <f t="shared" si="1"/>
        <v>-2.7999999999883585</v>
      </c>
      <c r="H67" s="8">
        <v>149396.6</v>
      </c>
      <c r="I67" s="8">
        <v>148699.4</v>
      </c>
      <c r="J67" s="8"/>
      <c r="K67" s="10">
        <f t="shared" si="4"/>
        <v>-23.5</v>
      </c>
      <c r="L67" s="10">
        <f t="shared" si="5"/>
        <v>118892.8</v>
      </c>
      <c r="M67" s="10"/>
      <c r="N67" s="10">
        <f t="shared" si="6"/>
        <v>118892.8</v>
      </c>
      <c r="O67" s="10"/>
      <c r="P67" s="10">
        <f t="shared" si="13"/>
        <v>118892.8</v>
      </c>
      <c r="Q67" s="10"/>
      <c r="R67" s="10">
        <f t="shared" ref="R67:R68" si="41">P67+Q67</f>
        <v>118892.8</v>
      </c>
      <c r="S67" s="10"/>
      <c r="T67" s="10">
        <f t="shared" si="15"/>
        <v>118892.8</v>
      </c>
      <c r="U67" s="10"/>
      <c r="V67" s="10">
        <f t="shared" ref="V67:V68" si="42">T67+U67</f>
        <v>118892.8</v>
      </c>
      <c r="W67" s="18"/>
    </row>
    <row r="68" spans="1:23" ht="31.2" x14ac:dyDescent="0.3">
      <c r="A68" s="37">
        <v>16</v>
      </c>
      <c r="B68" s="6" t="s">
        <v>23</v>
      </c>
      <c r="C68" s="8">
        <f>C70</f>
        <v>8717.2000000000007</v>
      </c>
      <c r="D68" s="8">
        <f t="shared" si="0"/>
        <v>-244.10000000000036</v>
      </c>
      <c r="E68" s="8">
        <f>E70</f>
        <v>8473.1</v>
      </c>
      <c r="F68" s="8">
        <f>F70</f>
        <v>3125</v>
      </c>
      <c r="G68" s="8">
        <f t="shared" si="1"/>
        <v>-12.5</v>
      </c>
      <c r="H68" s="8">
        <f>H70</f>
        <v>3112.5</v>
      </c>
      <c r="I68" s="8">
        <f>I70</f>
        <v>3174.8</v>
      </c>
      <c r="J68" s="8">
        <f>J70</f>
        <v>0</v>
      </c>
      <c r="K68" s="10">
        <f t="shared" si="4"/>
        <v>-244.10000000000036</v>
      </c>
      <c r="L68" s="10">
        <f t="shared" si="5"/>
        <v>8473.1</v>
      </c>
      <c r="M68" s="10">
        <f>M70</f>
        <v>0</v>
      </c>
      <c r="N68" s="10">
        <f t="shared" si="6"/>
        <v>8473.1</v>
      </c>
      <c r="O68" s="10"/>
      <c r="P68" s="10">
        <f t="shared" si="13"/>
        <v>8473.1</v>
      </c>
      <c r="Q68" s="10"/>
      <c r="R68" s="10">
        <f t="shared" si="41"/>
        <v>8473.1</v>
      </c>
      <c r="S68" s="10"/>
      <c r="T68" s="10">
        <f t="shared" si="15"/>
        <v>8473.1</v>
      </c>
      <c r="U68" s="10"/>
      <c r="V68" s="10">
        <f t="shared" si="42"/>
        <v>8473.1</v>
      </c>
      <c r="W68" s="18"/>
    </row>
    <row r="69" spans="1:23" x14ac:dyDescent="0.3">
      <c r="A69" s="37"/>
      <c r="B69" s="6" t="s">
        <v>8</v>
      </c>
      <c r="C69" s="8"/>
      <c r="D69" s="8"/>
      <c r="E69" s="8"/>
      <c r="F69" s="8"/>
      <c r="G69" s="8"/>
      <c r="H69" s="8"/>
      <c r="I69" s="8"/>
      <c r="J69" s="8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8"/>
    </row>
    <row r="70" spans="1:23" x14ac:dyDescent="0.3">
      <c r="A70" s="37"/>
      <c r="B70" s="6" t="s">
        <v>9</v>
      </c>
      <c r="C70" s="8">
        <v>8717.2000000000007</v>
      </c>
      <c r="D70" s="8">
        <f t="shared" si="0"/>
        <v>-244.10000000000036</v>
      </c>
      <c r="E70" s="8">
        <v>8473.1</v>
      </c>
      <c r="F70" s="8">
        <v>3125</v>
      </c>
      <c r="G70" s="8">
        <f t="shared" si="1"/>
        <v>-12.5</v>
      </c>
      <c r="H70" s="9">
        <v>3112.5</v>
      </c>
      <c r="I70" s="9">
        <v>3174.8</v>
      </c>
      <c r="J70" s="8"/>
      <c r="K70" s="10">
        <f t="shared" si="4"/>
        <v>-244.10000000000036</v>
      </c>
      <c r="L70" s="10">
        <f t="shared" si="5"/>
        <v>8473.1</v>
      </c>
      <c r="M70" s="10"/>
      <c r="N70" s="10">
        <f t="shared" si="6"/>
        <v>8473.1</v>
      </c>
      <c r="O70" s="10"/>
      <c r="P70" s="10">
        <f t="shared" si="13"/>
        <v>8473.1</v>
      </c>
      <c r="Q70" s="10"/>
      <c r="R70" s="10">
        <f t="shared" ref="R70:R71" si="43">P70+Q70</f>
        <v>8473.1</v>
      </c>
      <c r="S70" s="10"/>
      <c r="T70" s="10">
        <f t="shared" si="15"/>
        <v>8473.1</v>
      </c>
      <c r="U70" s="10"/>
      <c r="V70" s="10">
        <f t="shared" ref="V70:V71" si="44">T70+U70</f>
        <v>8473.1</v>
      </c>
      <c r="W70" s="18"/>
    </row>
    <row r="71" spans="1:23" ht="62.4" x14ac:dyDescent="0.3">
      <c r="A71" s="37">
        <v>17</v>
      </c>
      <c r="B71" s="6" t="s">
        <v>101</v>
      </c>
      <c r="C71" s="8">
        <f>C73</f>
        <v>29757.200000000001</v>
      </c>
      <c r="D71" s="8">
        <f t="shared" si="0"/>
        <v>50593.3</v>
      </c>
      <c r="E71" s="8">
        <f>E73</f>
        <v>80350.5</v>
      </c>
      <c r="F71" s="8">
        <f>F73</f>
        <v>22844.2</v>
      </c>
      <c r="G71" s="8">
        <f t="shared" si="1"/>
        <v>4468</v>
      </c>
      <c r="H71" s="8">
        <f>H73</f>
        <v>27312.2</v>
      </c>
      <c r="I71" s="8">
        <f>I73</f>
        <v>22666.3</v>
      </c>
      <c r="J71" s="8">
        <f>J73</f>
        <v>0</v>
      </c>
      <c r="K71" s="10">
        <f t="shared" si="4"/>
        <v>50593.3</v>
      </c>
      <c r="L71" s="10">
        <f t="shared" si="5"/>
        <v>80350.5</v>
      </c>
      <c r="M71" s="10">
        <f>M73</f>
        <v>0</v>
      </c>
      <c r="N71" s="10">
        <f t="shared" si="6"/>
        <v>80350.5</v>
      </c>
      <c r="O71" s="10"/>
      <c r="P71" s="10">
        <f t="shared" si="13"/>
        <v>80350.5</v>
      </c>
      <c r="Q71" s="30">
        <f>Q73</f>
        <v>1667.348</v>
      </c>
      <c r="R71" s="30">
        <f t="shared" si="43"/>
        <v>82017.847999999998</v>
      </c>
      <c r="S71" s="30">
        <f>S73</f>
        <v>0</v>
      </c>
      <c r="T71" s="10">
        <f t="shared" si="15"/>
        <v>82017.847999999998</v>
      </c>
      <c r="U71" s="10">
        <f>U73</f>
        <v>0</v>
      </c>
      <c r="V71" s="10">
        <f t="shared" si="44"/>
        <v>82017.847999999998</v>
      </c>
      <c r="W71" s="18" t="s">
        <v>102</v>
      </c>
    </row>
    <row r="72" spans="1:23" x14ac:dyDescent="0.3">
      <c r="A72" s="37"/>
      <c r="B72" s="6" t="s">
        <v>8</v>
      </c>
      <c r="C72" s="8"/>
      <c r="D72" s="8"/>
      <c r="E72" s="8"/>
      <c r="F72" s="8"/>
      <c r="G72" s="8"/>
      <c r="H72" s="8"/>
      <c r="I72" s="8"/>
      <c r="J72" s="8"/>
      <c r="K72" s="10"/>
      <c r="L72" s="10"/>
      <c r="M72" s="10"/>
      <c r="N72" s="10"/>
      <c r="O72" s="10"/>
      <c r="P72" s="10"/>
      <c r="Q72" s="30"/>
      <c r="R72" s="30"/>
      <c r="S72" s="30"/>
      <c r="T72" s="10"/>
      <c r="U72" s="10"/>
      <c r="V72" s="10"/>
      <c r="W72" s="18"/>
    </row>
    <row r="73" spans="1:23" x14ac:dyDescent="0.3">
      <c r="A73" s="37"/>
      <c r="B73" s="6" t="s">
        <v>9</v>
      </c>
      <c r="C73" s="8">
        <v>29757.200000000001</v>
      </c>
      <c r="D73" s="8">
        <f t="shared" si="0"/>
        <v>50593.3</v>
      </c>
      <c r="E73" s="9">
        <v>80350.5</v>
      </c>
      <c r="F73" s="8">
        <v>22844.2</v>
      </c>
      <c r="G73" s="8">
        <f t="shared" si="1"/>
        <v>4468</v>
      </c>
      <c r="H73" s="9">
        <v>27312.2</v>
      </c>
      <c r="I73" s="9">
        <v>22666.3</v>
      </c>
      <c r="J73" s="9"/>
      <c r="K73" s="10">
        <f t="shared" si="4"/>
        <v>50593.3</v>
      </c>
      <c r="L73" s="10">
        <f t="shared" si="5"/>
        <v>80350.5</v>
      </c>
      <c r="M73" s="10"/>
      <c r="N73" s="10">
        <f t="shared" si="6"/>
        <v>80350.5</v>
      </c>
      <c r="O73" s="10"/>
      <c r="P73" s="10">
        <f t="shared" si="13"/>
        <v>80350.5</v>
      </c>
      <c r="Q73" s="30">
        <v>1667.348</v>
      </c>
      <c r="R73" s="30">
        <f t="shared" ref="R73:R74" si="45">P73+Q73</f>
        <v>82017.847999999998</v>
      </c>
      <c r="S73" s="30"/>
      <c r="T73" s="10">
        <f t="shared" si="15"/>
        <v>82017.847999999998</v>
      </c>
      <c r="U73" s="10"/>
      <c r="V73" s="10">
        <f t="shared" ref="V73:V74" si="46">T73+U73</f>
        <v>82017.847999999998</v>
      </c>
      <c r="W73" s="18"/>
    </row>
    <row r="74" spans="1:23" ht="31.2" x14ac:dyDescent="0.3">
      <c r="A74" s="37">
        <v>18</v>
      </c>
      <c r="B74" s="6" t="s">
        <v>24</v>
      </c>
      <c r="C74" s="8">
        <f>C76</f>
        <v>3293.2</v>
      </c>
      <c r="D74" s="8">
        <f t="shared" si="0"/>
        <v>-207.19999999999982</v>
      </c>
      <c r="E74" s="8">
        <f>E76</f>
        <v>3086</v>
      </c>
      <c r="F74" s="8">
        <f>F76</f>
        <v>4501.6000000000004</v>
      </c>
      <c r="G74" s="8">
        <f t="shared" si="1"/>
        <v>-741.60000000000036</v>
      </c>
      <c r="H74" s="8">
        <f>H76</f>
        <v>3760</v>
      </c>
      <c r="I74" s="8">
        <f>I76</f>
        <v>0</v>
      </c>
      <c r="J74" s="8">
        <f>J76</f>
        <v>0</v>
      </c>
      <c r="K74" s="10">
        <f t="shared" si="4"/>
        <v>-207.19999999999982</v>
      </c>
      <c r="L74" s="10">
        <f t="shared" si="5"/>
        <v>3086</v>
      </c>
      <c r="M74" s="10">
        <f>M76</f>
        <v>0</v>
      </c>
      <c r="N74" s="10">
        <f t="shared" si="6"/>
        <v>3086</v>
      </c>
      <c r="O74" s="10"/>
      <c r="P74" s="10">
        <f t="shared" si="13"/>
        <v>3086</v>
      </c>
      <c r="Q74" s="10"/>
      <c r="R74" s="10">
        <f t="shared" si="45"/>
        <v>3086</v>
      </c>
      <c r="S74" s="10"/>
      <c r="T74" s="10">
        <f t="shared" si="15"/>
        <v>3086</v>
      </c>
      <c r="U74" s="10"/>
      <c r="V74" s="10">
        <f t="shared" si="46"/>
        <v>3086</v>
      </c>
      <c r="W74" s="18"/>
    </row>
    <row r="75" spans="1:23" x14ac:dyDescent="0.3">
      <c r="A75" s="37"/>
      <c r="B75" s="6" t="s">
        <v>8</v>
      </c>
      <c r="C75" s="8"/>
      <c r="D75" s="8"/>
      <c r="E75" s="8"/>
      <c r="F75" s="8"/>
      <c r="G75" s="8"/>
      <c r="H75" s="8"/>
      <c r="I75" s="8"/>
      <c r="J75" s="8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8"/>
    </row>
    <row r="76" spans="1:23" x14ac:dyDescent="0.3">
      <c r="A76" s="37"/>
      <c r="B76" s="6" t="s">
        <v>9</v>
      </c>
      <c r="C76" s="8">
        <v>3293.2</v>
      </c>
      <c r="D76" s="8">
        <f t="shared" si="0"/>
        <v>-207.19999999999982</v>
      </c>
      <c r="E76" s="9">
        <v>3086</v>
      </c>
      <c r="F76" s="8">
        <v>4501.6000000000004</v>
      </c>
      <c r="G76" s="8">
        <f t="shared" si="1"/>
        <v>-741.60000000000036</v>
      </c>
      <c r="H76" s="9">
        <v>3760</v>
      </c>
      <c r="I76" s="9">
        <v>0</v>
      </c>
      <c r="J76" s="9"/>
      <c r="K76" s="10">
        <f t="shared" si="4"/>
        <v>-207.19999999999982</v>
      </c>
      <c r="L76" s="10">
        <f t="shared" si="5"/>
        <v>3086</v>
      </c>
      <c r="M76" s="10"/>
      <c r="N76" s="10">
        <f t="shared" si="6"/>
        <v>3086</v>
      </c>
      <c r="O76" s="10"/>
      <c r="P76" s="10">
        <f t="shared" si="13"/>
        <v>3086</v>
      </c>
      <c r="Q76" s="10"/>
      <c r="R76" s="10">
        <f t="shared" ref="R76:R77" si="47">P76+Q76</f>
        <v>3086</v>
      </c>
      <c r="S76" s="10"/>
      <c r="T76" s="10">
        <f t="shared" si="15"/>
        <v>3086</v>
      </c>
      <c r="U76" s="10"/>
      <c r="V76" s="10">
        <f t="shared" ref="V76:V77" si="48">T76+U76</f>
        <v>3086</v>
      </c>
      <c r="W76" s="18"/>
    </row>
    <row r="77" spans="1:23" ht="31.2" x14ac:dyDescent="0.3">
      <c r="A77" s="37">
        <v>19</v>
      </c>
      <c r="B77" s="35" t="s">
        <v>25</v>
      </c>
      <c r="C77" s="8">
        <f>C79</f>
        <v>57388.1</v>
      </c>
      <c r="D77" s="8">
        <f t="shared" si="0"/>
        <v>0</v>
      </c>
      <c r="E77" s="8">
        <f>E79</f>
        <v>57388.1</v>
      </c>
      <c r="F77" s="8">
        <f>F79</f>
        <v>4125</v>
      </c>
      <c r="G77" s="8">
        <f t="shared" si="1"/>
        <v>0</v>
      </c>
      <c r="H77" s="8">
        <f>H79</f>
        <v>4125</v>
      </c>
      <c r="I77" s="8">
        <f>I79</f>
        <v>46333.1</v>
      </c>
      <c r="J77" s="8">
        <f>J79</f>
        <v>0</v>
      </c>
      <c r="K77" s="10">
        <f t="shared" si="4"/>
        <v>0</v>
      </c>
      <c r="L77" s="10">
        <f t="shared" si="5"/>
        <v>57388.1</v>
      </c>
      <c r="M77" s="10">
        <f>M79</f>
        <v>0</v>
      </c>
      <c r="N77" s="10">
        <f t="shared" si="6"/>
        <v>57388.1</v>
      </c>
      <c r="O77" s="10"/>
      <c r="P77" s="10">
        <f t="shared" si="13"/>
        <v>57388.1</v>
      </c>
      <c r="Q77" s="30">
        <f>Q79+Q80</f>
        <v>5719.3720000000003</v>
      </c>
      <c r="R77" s="30">
        <f t="shared" si="47"/>
        <v>63107.472000000002</v>
      </c>
      <c r="S77" s="30">
        <f>S79+S80</f>
        <v>0</v>
      </c>
      <c r="T77" s="10">
        <f t="shared" si="15"/>
        <v>63107.472000000002</v>
      </c>
      <c r="U77" s="10">
        <f>U79+U80</f>
        <v>0</v>
      </c>
      <c r="V77" s="10">
        <f t="shared" si="48"/>
        <v>63107.472000000002</v>
      </c>
      <c r="W77" s="18" t="s">
        <v>100</v>
      </c>
    </row>
    <row r="78" spans="1:23" x14ac:dyDescent="0.3">
      <c r="A78" s="37"/>
      <c r="B78" s="6" t="s">
        <v>8</v>
      </c>
      <c r="C78" s="8"/>
      <c r="D78" s="8"/>
      <c r="E78" s="8"/>
      <c r="F78" s="8"/>
      <c r="G78" s="8"/>
      <c r="H78" s="8"/>
      <c r="I78" s="8"/>
      <c r="J78" s="8"/>
      <c r="K78" s="10"/>
      <c r="L78" s="10"/>
      <c r="M78" s="10"/>
      <c r="N78" s="10"/>
      <c r="O78" s="10"/>
      <c r="P78" s="10"/>
      <c r="Q78" s="30"/>
      <c r="R78" s="30"/>
      <c r="S78" s="30"/>
      <c r="T78" s="10"/>
      <c r="U78" s="10"/>
      <c r="V78" s="10"/>
      <c r="W78" s="18"/>
    </row>
    <row r="79" spans="1:23" x14ac:dyDescent="0.3">
      <c r="A79" s="37"/>
      <c r="B79" s="6" t="s">
        <v>9</v>
      </c>
      <c r="C79" s="8">
        <v>57388.1</v>
      </c>
      <c r="D79" s="8">
        <f t="shared" si="0"/>
        <v>0</v>
      </c>
      <c r="E79" s="8">
        <v>57388.1</v>
      </c>
      <c r="F79" s="8">
        <v>4125</v>
      </c>
      <c r="G79" s="8">
        <f t="shared" si="1"/>
        <v>0</v>
      </c>
      <c r="H79" s="8">
        <v>4125</v>
      </c>
      <c r="I79" s="8">
        <v>46333.1</v>
      </c>
      <c r="J79" s="8"/>
      <c r="K79" s="10">
        <f t="shared" si="4"/>
        <v>0</v>
      </c>
      <c r="L79" s="10">
        <f t="shared" si="5"/>
        <v>57388.1</v>
      </c>
      <c r="M79" s="10">
        <v>0</v>
      </c>
      <c r="N79" s="10">
        <f t="shared" si="6"/>
        <v>57388.1</v>
      </c>
      <c r="O79" s="10"/>
      <c r="P79" s="10">
        <f t="shared" si="13"/>
        <v>57388.1</v>
      </c>
      <c r="Q79" s="30">
        <v>1659.6220000000001</v>
      </c>
      <c r="R79" s="30">
        <f t="shared" ref="R79:R81" si="49">P79+Q79</f>
        <v>59047.722000000002</v>
      </c>
      <c r="S79" s="30"/>
      <c r="T79" s="10">
        <f t="shared" si="15"/>
        <v>59047.722000000002</v>
      </c>
      <c r="U79" s="10"/>
      <c r="V79" s="10">
        <f t="shared" ref="V79:V81" si="50">T79+U79</f>
        <v>59047.722000000002</v>
      </c>
      <c r="W79" s="18"/>
    </row>
    <row r="80" spans="1:23" x14ac:dyDescent="0.3">
      <c r="A80" s="37"/>
      <c r="B80" s="6" t="s">
        <v>10</v>
      </c>
      <c r="C80" s="8"/>
      <c r="D80" s="8"/>
      <c r="E80" s="8"/>
      <c r="F80" s="8"/>
      <c r="G80" s="8"/>
      <c r="H80" s="8"/>
      <c r="I80" s="8"/>
      <c r="J80" s="8"/>
      <c r="K80" s="10"/>
      <c r="L80" s="10"/>
      <c r="M80" s="10"/>
      <c r="N80" s="10"/>
      <c r="O80" s="10"/>
      <c r="P80" s="10"/>
      <c r="Q80" s="30">
        <v>4059.75</v>
      </c>
      <c r="R80" s="30">
        <f t="shared" si="49"/>
        <v>4059.75</v>
      </c>
      <c r="S80" s="30"/>
      <c r="T80" s="10">
        <f t="shared" si="15"/>
        <v>4059.75</v>
      </c>
      <c r="U80" s="10"/>
      <c r="V80" s="10">
        <f t="shared" si="50"/>
        <v>4059.75</v>
      </c>
      <c r="W80" s="18"/>
    </row>
    <row r="81" spans="1:23" x14ac:dyDescent="0.3">
      <c r="A81" s="37">
        <v>20</v>
      </c>
      <c r="B81" s="6" t="s">
        <v>26</v>
      </c>
      <c r="C81" s="8">
        <f>C83</f>
        <v>10000</v>
      </c>
      <c r="D81" s="8">
        <f t="shared" si="0"/>
        <v>-280</v>
      </c>
      <c r="E81" s="8">
        <f>E83</f>
        <v>9720</v>
      </c>
      <c r="F81" s="8">
        <f>F83</f>
        <v>0</v>
      </c>
      <c r="G81" s="8">
        <f t="shared" si="1"/>
        <v>0</v>
      </c>
      <c r="H81" s="8">
        <f>H83</f>
        <v>0</v>
      </c>
      <c r="I81" s="8">
        <f>I83</f>
        <v>0</v>
      </c>
      <c r="J81" s="8">
        <f>J83</f>
        <v>0</v>
      </c>
      <c r="K81" s="10">
        <f t="shared" si="4"/>
        <v>-280</v>
      </c>
      <c r="L81" s="10">
        <f t="shared" si="5"/>
        <v>9720</v>
      </c>
      <c r="M81" s="10">
        <f>M83</f>
        <v>0</v>
      </c>
      <c r="N81" s="10">
        <f t="shared" si="6"/>
        <v>9720</v>
      </c>
      <c r="O81" s="10"/>
      <c r="P81" s="10">
        <f t="shared" si="13"/>
        <v>9720</v>
      </c>
      <c r="Q81" s="10"/>
      <c r="R81" s="10">
        <f t="shared" si="49"/>
        <v>9720</v>
      </c>
      <c r="S81" s="10"/>
      <c r="T81" s="10">
        <f t="shared" si="15"/>
        <v>9720</v>
      </c>
      <c r="U81" s="10"/>
      <c r="V81" s="10">
        <f t="shared" si="50"/>
        <v>9720</v>
      </c>
      <c r="W81" s="18"/>
    </row>
    <row r="82" spans="1:23" x14ac:dyDescent="0.3">
      <c r="A82" s="37"/>
      <c r="B82" s="6" t="s">
        <v>8</v>
      </c>
      <c r="C82" s="8"/>
      <c r="D82" s="8"/>
      <c r="E82" s="8"/>
      <c r="F82" s="8"/>
      <c r="G82" s="8"/>
      <c r="H82" s="8"/>
      <c r="I82" s="8"/>
      <c r="J82" s="8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8"/>
    </row>
    <row r="83" spans="1:23" x14ac:dyDescent="0.3">
      <c r="A83" s="37"/>
      <c r="B83" s="6" t="s">
        <v>9</v>
      </c>
      <c r="C83" s="8">
        <v>10000</v>
      </c>
      <c r="D83" s="8">
        <f t="shared" ref="D83:D209" si="51">E83-C83</f>
        <v>-280</v>
      </c>
      <c r="E83" s="9">
        <v>9720</v>
      </c>
      <c r="F83" s="8">
        <v>0</v>
      </c>
      <c r="G83" s="8">
        <f t="shared" ref="G83:G209" si="52">H83-F83</f>
        <v>0</v>
      </c>
      <c r="H83" s="8">
        <v>0</v>
      </c>
      <c r="I83" s="8">
        <v>0</v>
      </c>
      <c r="J83" s="9"/>
      <c r="K83" s="10">
        <f t="shared" si="4"/>
        <v>-280</v>
      </c>
      <c r="L83" s="10">
        <f t="shared" si="5"/>
        <v>9720</v>
      </c>
      <c r="M83" s="10">
        <v>0</v>
      </c>
      <c r="N83" s="10">
        <f t="shared" si="6"/>
        <v>9720</v>
      </c>
      <c r="O83" s="10"/>
      <c r="P83" s="10">
        <f t="shared" si="13"/>
        <v>9720</v>
      </c>
      <c r="Q83" s="10"/>
      <c r="R83" s="10">
        <f t="shared" ref="R83:R84" si="53">P83+Q83</f>
        <v>9720</v>
      </c>
      <c r="S83" s="10"/>
      <c r="T83" s="10">
        <f t="shared" si="15"/>
        <v>9720</v>
      </c>
      <c r="U83" s="10"/>
      <c r="V83" s="10">
        <f t="shared" ref="V83:V84" si="54">T83+U83</f>
        <v>9720</v>
      </c>
      <c r="W83" s="18"/>
    </row>
    <row r="84" spans="1:23" x14ac:dyDescent="0.3">
      <c r="A84" s="37">
        <v>21</v>
      </c>
      <c r="B84" s="6" t="s">
        <v>27</v>
      </c>
      <c r="C84" s="8">
        <f>C86</f>
        <v>1521.9</v>
      </c>
      <c r="D84" s="8">
        <f t="shared" si="51"/>
        <v>437.39999999999986</v>
      </c>
      <c r="E84" s="8">
        <f>E86</f>
        <v>1959.3</v>
      </c>
      <c r="F84" s="8">
        <f>F86</f>
        <v>1593.4</v>
      </c>
      <c r="G84" s="8">
        <f t="shared" si="52"/>
        <v>473.59999999999991</v>
      </c>
      <c r="H84" s="8">
        <f>H86</f>
        <v>2067</v>
      </c>
      <c r="I84" s="8">
        <f>I86</f>
        <v>2815</v>
      </c>
      <c r="J84" s="8">
        <f>J86</f>
        <v>0</v>
      </c>
      <c r="K84" s="10">
        <f t="shared" ref="K84:K149" si="55">L84-C84</f>
        <v>437.39999999999986</v>
      </c>
      <c r="L84" s="10">
        <f t="shared" ref="L84:L149" si="56">E84+J84</f>
        <v>1959.3</v>
      </c>
      <c r="M84" s="10">
        <f>M86</f>
        <v>0</v>
      </c>
      <c r="N84" s="10">
        <f t="shared" ref="N84:N149" si="57">L84+M84</f>
        <v>1959.3</v>
      </c>
      <c r="O84" s="10"/>
      <c r="P84" s="10">
        <f t="shared" si="13"/>
        <v>1959.3</v>
      </c>
      <c r="Q84" s="10"/>
      <c r="R84" s="10">
        <f t="shared" si="53"/>
        <v>1959.3</v>
      </c>
      <c r="S84" s="10"/>
      <c r="T84" s="10">
        <f t="shared" si="15"/>
        <v>1959.3</v>
      </c>
      <c r="U84" s="10"/>
      <c r="V84" s="10">
        <f t="shared" si="54"/>
        <v>1959.3</v>
      </c>
      <c r="W84" s="18"/>
    </row>
    <row r="85" spans="1:23" x14ac:dyDescent="0.3">
      <c r="A85" s="37"/>
      <c r="B85" s="6" t="s">
        <v>8</v>
      </c>
      <c r="C85" s="8"/>
      <c r="D85" s="8"/>
      <c r="E85" s="8"/>
      <c r="F85" s="8"/>
      <c r="G85" s="8"/>
      <c r="H85" s="8"/>
      <c r="I85" s="8"/>
      <c r="J85" s="8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8"/>
    </row>
    <row r="86" spans="1:23" x14ac:dyDescent="0.3">
      <c r="A86" s="37"/>
      <c r="B86" s="6" t="s">
        <v>9</v>
      </c>
      <c r="C86" s="8">
        <v>1521.9</v>
      </c>
      <c r="D86" s="8">
        <f t="shared" si="51"/>
        <v>437.39999999999986</v>
      </c>
      <c r="E86" s="8">
        <v>1959.3</v>
      </c>
      <c r="F86" s="8">
        <v>1593.4</v>
      </c>
      <c r="G86" s="8">
        <f t="shared" si="52"/>
        <v>473.59999999999991</v>
      </c>
      <c r="H86" s="8">
        <v>2067</v>
      </c>
      <c r="I86" s="8">
        <v>2815</v>
      </c>
      <c r="J86" s="8"/>
      <c r="K86" s="10">
        <f t="shared" si="55"/>
        <v>437.39999999999986</v>
      </c>
      <c r="L86" s="10">
        <f t="shared" si="56"/>
        <v>1959.3</v>
      </c>
      <c r="M86" s="10"/>
      <c r="N86" s="10">
        <f t="shared" si="57"/>
        <v>1959.3</v>
      </c>
      <c r="O86" s="10"/>
      <c r="P86" s="10">
        <f t="shared" si="13"/>
        <v>1959.3</v>
      </c>
      <c r="Q86" s="10"/>
      <c r="R86" s="10">
        <f t="shared" ref="R86:R87" si="58">P86+Q86</f>
        <v>1959.3</v>
      </c>
      <c r="S86" s="10"/>
      <c r="T86" s="10">
        <f t="shared" si="15"/>
        <v>1959.3</v>
      </c>
      <c r="U86" s="10"/>
      <c r="V86" s="10">
        <f t="shared" ref="V86:V87" si="59">T86+U86</f>
        <v>1959.3</v>
      </c>
      <c r="W86" s="18"/>
    </row>
    <row r="87" spans="1:23" ht="31.2" x14ac:dyDescent="0.3">
      <c r="A87" s="37">
        <v>22</v>
      </c>
      <c r="B87" s="6" t="s">
        <v>28</v>
      </c>
      <c r="C87" s="8">
        <f>C89</f>
        <v>15339.7</v>
      </c>
      <c r="D87" s="8">
        <f t="shared" si="51"/>
        <v>32972.800000000003</v>
      </c>
      <c r="E87" s="8">
        <f>E89</f>
        <v>48312.5</v>
      </c>
      <c r="F87" s="8">
        <f>F89</f>
        <v>2812.8</v>
      </c>
      <c r="G87" s="8">
        <f t="shared" si="52"/>
        <v>22837.7</v>
      </c>
      <c r="H87" s="8">
        <f>H89</f>
        <v>25650.5</v>
      </c>
      <c r="I87" s="8">
        <f>I89</f>
        <v>21319.4</v>
      </c>
      <c r="J87" s="8">
        <f>J89</f>
        <v>0</v>
      </c>
      <c r="K87" s="10">
        <f t="shared" si="55"/>
        <v>32972.800000000003</v>
      </c>
      <c r="L87" s="10">
        <f t="shared" si="56"/>
        <v>48312.5</v>
      </c>
      <c r="M87" s="10">
        <f>M89</f>
        <v>0</v>
      </c>
      <c r="N87" s="10">
        <f t="shared" si="57"/>
        <v>48312.5</v>
      </c>
      <c r="O87" s="10"/>
      <c r="P87" s="10">
        <f t="shared" si="13"/>
        <v>48312.5</v>
      </c>
      <c r="Q87" s="30">
        <f>Q89</f>
        <v>1515.4</v>
      </c>
      <c r="R87" s="30">
        <f t="shared" si="58"/>
        <v>49827.9</v>
      </c>
      <c r="S87" s="30">
        <f>S89</f>
        <v>-1515.4</v>
      </c>
      <c r="T87" s="10">
        <f t="shared" si="15"/>
        <v>48312.5</v>
      </c>
      <c r="U87" s="10">
        <f>U89</f>
        <v>0</v>
      </c>
      <c r="V87" s="10">
        <f t="shared" si="59"/>
        <v>48312.5</v>
      </c>
      <c r="W87" s="18" t="s">
        <v>123</v>
      </c>
    </row>
    <row r="88" spans="1:23" x14ac:dyDescent="0.3">
      <c r="A88" s="37"/>
      <c r="B88" s="6" t="s">
        <v>8</v>
      </c>
      <c r="C88" s="8"/>
      <c r="D88" s="8"/>
      <c r="E88" s="8"/>
      <c r="F88" s="8"/>
      <c r="G88" s="8"/>
      <c r="H88" s="8"/>
      <c r="I88" s="8"/>
      <c r="J88" s="8"/>
      <c r="K88" s="10"/>
      <c r="L88" s="10"/>
      <c r="M88" s="10"/>
      <c r="N88" s="10"/>
      <c r="O88" s="10"/>
      <c r="P88" s="10"/>
      <c r="Q88" s="30"/>
      <c r="R88" s="30"/>
      <c r="S88" s="30"/>
      <c r="T88" s="10"/>
      <c r="U88" s="10"/>
      <c r="V88" s="10"/>
      <c r="W88" s="18"/>
    </row>
    <row r="89" spans="1:23" x14ac:dyDescent="0.3">
      <c r="A89" s="37"/>
      <c r="B89" s="6" t="s">
        <v>9</v>
      </c>
      <c r="C89" s="8">
        <v>15339.7</v>
      </c>
      <c r="D89" s="8">
        <f t="shared" si="51"/>
        <v>32972.800000000003</v>
      </c>
      <c r="E89" s="8">
        <v>48312.5</v>
      </c>
      <c r="F89" s="8">
        <v>2812.8</v>
      </c>
      <c r="G89" s="8">
        <f t="shared" si="52"/>
        <v>22837.7</v>
      </c>
      <c r="H89" s="8">
        <v>25650.5</v>
      </c>
      <c r="I89" s="8">
        <v>21319.4</v>
      </c>
      <c r="J89" s="8"/>
      <c r="K89" s="10">
        <f t="shared" si="55"/>
        <v>32972.800000000003</v>
      </c>
      <c r="L89" s="10">
        <f t="shared" si="56"/>
        <v>48312.5</v>
      </c>
      <c r="M89" s="10"/>
      <c r="N89" s="10">
        <f t="shared" si="57"/>
        <v>48312.5</v>
      </c>
      <c r="O89" s="10"/>
      <c r="P89" s="10">
        <f t="shared" si="13"/>
        <v>48312.5</v>
      </c>
      <c r="Q89" s="30">
        <f>515.4+1000</f>
        <v>1515.4</v>
      </c>
      <c r="R89" s="30">
        <f t="shared" ref="R89:R90" si="60">P89+Q89</f>
        <v>49827.9</v>
      </c>
      <c r="S89" s="30">
        <v>-1515.4</v>
      </c>
      <c r="T89" s="10">
        <f t="shared" si="15"/>
        <v>48312.5</v>
      </c>
      <c r="U89" s="10"/>
      <c r="V89" s="10">
        <f t="shared" ref="V89:V90" si="61">T89+U89</f>
        <v>48312.5</v>
      </c>
      <c r="W89" s="18"/>
    </row>
    <row r="90" spans="1:23" ht="31.2" x14ac:dyDescent="0.3">
      <c r="A90" s="37">
        <v>23</v>
      </c>
      <c r="B90" s="6" t="s">
        <v>42</v>
      </c>
      <c r="C90" s="8">
        <f>C92</f>
        <v>4626.8</v>
      </c>
      <c r="D90" s="8">
        <f t="shared" si="51"/>
        <v>3137.0999999999995</v>
      </c>
      <c r="E90" s="8">
        <f>E92</f>
        <v>7763.9</v>
      </c>
      <c r="F90" s="8">
        <f>F92</f>
        <v>4818.8</v>
      </c>
      <c r="G90" s="8">
        <f t="shared" si="52"/>
        <v>2594.3999999999996</v>
      </c>
      <c r="H90" s="8">
        <f>H92</f>
        <v>7413.2</v>
      </c>
      <c r="I90" s="8">
        <f>I92</f>
        <v>7413.1</v>
      </c>
      <c r="J90" s="8">
        <f>J92</f>
        <v>0</v>
      </c>
      <c r="K90" s="10">
        <f t="shared" si="55"/>
        <v>3137.0999999999995</v>
      </c>
      <c r="L90" s="10">
        <f t="shared" si="56"/>
        <v>7763.9</v>
      </c>
      <c r="M90" s="10">
        <f>M92</f>
        <v>0</v>
      </c>
      <c r="N90" s="10">
        <f t="shared" si="57"/>
        <v>7763.9</v>
      </c>
      <c r="O90" s="10"/>
      <c r="P90" s="10">
        <f t="shared" si="13"/>
        <v>7763.9</v>
      </c>
      <c r="Q90" s="30">
        <f>Q92</f>
        <v>459.1</v>
      </c>
      <c r="R90" s="30">
        <f t="shared" si="60"/>
        <v>8223</v>
      </c>
      <c r="S90" s="30">
        <f>S92</f>
        <v>0</v>
      </c>
      <c r="T90" s="10">
        <f t="shared" si="15"/>
        <v>8223</v>
      </c>
      <c r="U90" s="10">
        <f>U92</f>
        <v>0</v>
      </c>
      <c r="V90" s="10">
        <f t="shared" si="61"/>
        <v>8223</v>
      </c>
      <c r="W90" s="18" t="s">
        <v>112</v>
      </c>
    </row>
    <row r="91" spans="1:23" x14ac:dyDescent="0.3">
      <c r="A91" s="37"/>
      <c r="B91" s="6" t="s">
        <v>8</v>
      </c>
      <c r="C91" s="8"/>
      <c r="D91" s="8"/>
      <c r="E91" s="8"/>
      <c r="F91" s="8"/>
      <c r="G91" s="8"/>
      <c r="H91" s="8"/>
      <c r="I91" s="8"/>
      <c r="J91" s="8"/>
      <c r="K91" s="10"/>
      <c r="L91" s="10"/>
      <c r="M91" s="10"/>
      <c r="N91" s="10"/>
      <c r="O91" s="10"/>
      <c r="P91" s="10"/>
      <c r="Q91" s="30"/>
      <c r="R91" s="30"/>
      <c r="S91" s="30"/>
      <c r="T91" s="10"/>
      <c r="U91" s="10"/>
      <c r="V91" s="10"/>
      <c r="W91" s="18"/>
    </row>
    <row r="92" spans="1:23" x14ac:dyDescent="0.3">
      <c r="A92" s="37"/>
      <c r="B92" s="6" t="s">
        <v>9</v>
      </c>
      <c r="C92" s="8">
        <v>4626.8</v>
      </c>
      <c r="D92" s="8">
        <f t="shared" si="51"/>
        <v>3137.0999999999995</v>
      </c>
      <c r="E92" s="8">
        <v>7763.9</v>
      </c>
      <c r="F92" s="8">
        <v>4818.8</v>
      </c>
      <c r="G92" s="8">
        <f t="shared" si="52"/>
        <v>2594.3999999999996</v>
      </c>
      <c r="H92" s="8">
        <v>7413.2</v>
      </c>
      <c r="I92" s="8">
        <v>7413.1</v>
      </c>
      <c r="J92" s="8"/>
      <c r="K92" s="10">
        <f t="shared" si="55"/>
        <v>3137.0999999999995</v>
      </c>
      <c r="L92" s="10">
        <f t="shared" si="56"/>
        <v>7763.9</v>
      </c>
      <c r="M92" s="10"/>
      <c r="N92" s="10">
        <f t="shared" si="57"/>
        <v>7763.9</v>
      </c>
      <c r="O92" s="10"/>
      <c r="P92" s="10">
        <f t="shared" si="13"/>
        <v>7763.9</v>
      </c>
      <c r="Q92" s="30">
        <v>459.1</v>
      </c>
      <c r="R92" s="30">
        <f t="shared" ref="R92:R93" si="62">P92+Q92</f>
        <v>8223</v>
      </c>
      <c r="S92" s="30"/>
      <c r="T92" s="10">
        <f t="shared" si="15"/>
        <v>8223</v>
      </c>
      <c r="U92" s="10"/>
      <c r="V92" s="10">
        <f t="shared" ref="V92:V93" si="63">T92+U92</f>
        <v>8223</v>
      </c>
      <c r="W92" s="18"/>
    </row>
    <row r="93" spans="1:23" ht="31.2" x14ac:dyDescent="0.3">
      <c r="A93" s="37">
        <v>24</v>
      </c>
      <c r="B93" s="6" t="s">
        <v>38</v>
      </c>
      <c r="C93" s="8">
        <f>C95</f>
        <v>16630</v>
      </c>
      <c r="D93" s="8">
        <f t="shared" si="51"/>
        <v>-465.60000000000036</v>
      </c>
      <c r="E93" s="8">
        <f>E95</f>
        <v>16164.4</v>
      </c>
      <c r="F93" s="8">
        <f>F95</f>
        <v>16630</v>
      </c>
      <c r="G93" s="8">
        <f t="shared" si="52"/>
        <v>-66.5</v>
      </c>
      <c r="H93" s="8">
        <f>H95</f>
        <v>16563.5</v>
      </c>
      <c r="I93" s="8">
        <f>I95</f>
        <v>16563.5</v>
      </c>
      <c r="J93" s="8">
        <f>J95</f>
        <v>0</v>
      </c>
      <c r="K93" s="10">
        <f t="shared" si="55"/>
        <v>-465.60000000000036</v>
      </c>
      <c r="L93" s="10">
        <f t="shared" si="56"/>
        <v>16164.4</v>
      </c>
      <c r="M93" s="10">
        <f>M95</f>
        <v>0</v>
      </c>
      <c r="N93" s="10">
        <f t="shared" si="57"/>
        <v>16164.4</v>
      </c>
      <c r="O93" s="10"/>
      <c r="P93" s="10">
        <f t="shared" si="13"/>
        <v>16164.4</v>
      </c>
      <c r="Q93" s="30">
        <f>Q95</f>
        <v>283.5</v>
      </c>
      <c r="R93" s="30">
        <f t="shared" si="62"/>
        <v>16447.900000000001</v>
      </c>
      <c r="S93" s="30">
        <f>S95</f>
        <v>0</v>
      </c>
      <c r="T93" s="10">
        <f t="shared" ref="T93:T151" si="64">R93+S93</f>
        <v>16447.900000000001</v>
      </c>
      <c r="U93" s="10">
        <f>U95</f>
        <v>0</v>
      </c>
      <c r="V93" s="10">
        <f t="shared" si="63"/>
        <v>16447.900000000001</v>
      </c>
      <c r="W93" s="18" t="s">
        <v>110</v>
      </c>
    </row>
    <row r="94" spans="1:23" x14ac:dyDescent="0.3">
      <c r="A94" s="37"/>
      <c r="B94" s="6" t="s">
        <v>8</v>
      </c>
      <c r="C94" s="8"/>
      <c r="D94" s="8"/>
      <c r="E94" s="8"/>
      <c r="F94" s="8"/>
      <c r="G94" s="8"/>
      <c r="H94" s="8"/>
      <c r="I94" s="8"/>
      <c r="J94" s="8"/>
      <c r="K94" s="10"/>
      <c r="L94" s="10"/>
      <c r="M94" s="10"/>
      <c r="N94" s="10"/>
      <c r="O94" s="10"/>
      <c r="P94" s="10"/>
      <c r="Q94" s="30"/>
      <c r="R94" s="30"/>
      <c r="S94" s="30"/>
      <c r="T94" s="10"/>
      <c r="U94" s="10"/>
      <c r="V94" s="10"/>
      <c r="W94" s="18"/>
    </row>
    <row r="95" spans="1:23" x14ac:dyDescent="0.3">
      <c r="A95" s="37"/>
      <c r="B95" s="6" t="s">
        <v>9</v>
      </c>
      <c r="C95" s="8">
        <v>16630</v>
      </c>
      <c r="D95" s="8">
        <f t="shared" si="51"/>
        <v>-465.60000000000036</v>
      </c>
      <c r="E95" s="9">
        <v>16164.4</v>
      </c>
      <c r="F95" s="8">
        <v>16630</v>
      </c>
      <c r="G95" s="8">
        <f t="shared" si="52"/>
        <v>-66.5</v>
      </c>
      <c r="H95" s="9">
        <v>16563.5</v>
      </c>
      <c r="I95" s="9">
        <v>16563.5</v>
      </c>
      <c r="J95" s="9"/>
      <c r="K95" s="10">
        <f t="shared" si="55"/>
        <v>-465.60000000000036</v>
      </c>
      <c r="L95" s="10">
        <f t="shared" si="56"/>
        <v>16164.4</v>
      </c>
      <c r="M95" s="10"/>
      <c r="N95" s="10">
        <f t="shared" si="57"/>
        <v>16164.4</v>
      </c>
      <c r="O95" s="10"/>
      <c r="P95" s="10">
        <f t="shared" ref="P95:P98" si="65">N95+O95</f>
        <v>16164.4</v>
      </c>
      <c r="Q95" s="30">
        <v>283.5</v>
      </c>
      <c r="R95" s="30">
        <f t="shared" ref="R95:R96" si="66">P95+Q95</f>
        <v>16447.900000000001</v>
      </c>
      <c r="S95" s="30"/>
      <c r="T95" s="10">
        <f t="shared" si="64"/>
        <v>16447.900000000001</v>
      </c>
      <c r="U95" s="10"/>
      <c r="V95" s="10">
        <f t="shared" ref="V95:V96" si="67">T95+U95</f>
        <v>16447.900000000001</v>
      </c>
      <c r="W95" s="18"/>
    </row>
    <row r="96" spans="1:23" x14ac:dyDescent="0.3">
      <c r="A96" s="37">
        <v>25</v>
      </c>
      <c r="B96" s="6" t="s">
        <v>41</v>
      </c>
      <c r="C96" s="8">
        <f>C98</f>
        <v>114349.26</v>
      </c>
      <c r="D96" s="8">
        <f t="shared" si="51"/>
        <v>51453.539999999994</v>
      </c>
      <c r="E96" s="8">
        <f>E98</f>
        <v>165802.79999999999</v>
      </c>
      <c r="F96" s="8">
        <f>F98</f>
        <v>171511.57699999999</v>
      </c>
      <c r="G96" s="8">
        <f t="shared" si="52"/>
        <v>-51453.476999999984</v>
      </c>
      <c r="H96" s="8">
        <f>H98</f>
        <v>120058.1</v>
      </c>
      <c r="I96" s="8">
        <f>I98</f>
        <v>253222.39999999999</v>
      </c>
      <c r="J96" s="8">
        <f>J98</f>
        <v>-698</v>
      </c>
      <c r="K96" s="10">
        <f t="shared" si="55"/>
        <v>50755.539999999994</v>
      </c>
      <c r="L96" s="10">
        <f t="shared" si="56"/>
        <v>165104.79999999999</v>
      </c>
      <c r="M96" s="10">
        <f>M98+M99</f>
        <v>0</v>
      </c>
      <c r="N96" s="10">
        <f t="shared" si="57"/>
        <v>165104.79999999999</v>
      </c>
      <c r="O96" s="10"/>
      <c r="P96" s="10">
        <f t="shared" si="65"/>
        <v>165104.79999999999</v>
      </c>
      <c r="Q96" s="30">
        <f>Q98+Q99</f>
        <v>22187.254000000001</v>
      </c>
      <c r="R96" s="30">
        <f t="shared" si="66"/>
        <v>187292.054</v>
      </c>
      <c r="S96" s="30">
        <f>S98+S99</f>
        <v>-18929.254000000001</v>
      </c>
      <c r="T96" s="10">
        <f t="shared" si="64"/>
        <v>168362.8</v>
      </c>
      <c r="U96" s="10">
        <f>U98+U99</f>
        <v>0</v>
      </c>
      <c r="V96" s="10">
        <f t="shared" si="67"/>
        <v>168362.8</v>
      </c>
      <c r="W96" s="18" t="s">
        <v>115</v>
      </c>
    </row>
    <row r="97" spans="1:23" x14ac:dyDescent="0.3">
      <c r="A97" s="37"/>
      <c r="B97" s="6" t="s">
        <v>8</v>
      </c>
      <c r="C97" s="8"/>
      <c r="D97" s="8"/>
      <c r="E97" s="8"/>
      <c r="F97" s="8"/>
      <c r="G97" s="8"/>
      <c r="H97" s="8"/>
      <c r="I97" s="8"/>
      <c r="J97" s="8"/>
      <c r="K97" s="10"/>
      <c r="L97" s="10"/>
      <c r="M97" s="10"/>
      <c r="N97" s="10"/>
      <c r="O97" s="10"/>
      <c r="P97" s="10"/>
      <c r="Q97" s="30"/>
      <c r="R97" s="30"/>
      <c r="S97" s="30"/>
      <c r="T97" s="10"/>
      <c r="U97" s="10"/>
      <c r="V97" s="10"/>
      <c r="W97" s="18" t="s">
        <v>116</v>
      </c>
    </row>
    <row r="98" spans="1:23" x14ac:dyDescent="0.3">
      <c r="A98" s="37"/>
      <c r="B98" s="6" t="s">
        <v>9</v>
      </c>
      <c r="C98" s="8">
        <v>114349.26</v>
      </c>
      <c r="D98" s="8">
        <f t="shared" si="51"/>
        <v>51453.539999999994</v>
      </c>
      <c r="E98" s="9">
        <v>165802.79999999999</v>
      </c>
      <c r="F98" s="8">
        <v>171511.57699999999</v>
      </c>
      <c r="G98" s="8">
        <f t="shared" si="52"/>
        <v>-51453.476999999984</v>
      </c>
      <c r="H98" s="9">
        <v>120058.1</v>
      </c>
      <c r="I98" s="9">
        <v>253222.39999999999</v>
      </c>
      <c r="J98" s="9">
        <v>-698</v>
      </c>
      <c r="K98" s="10">
        <f t="shared" si="55"/>
        <v>50755.539999999994</v>
      </c>
      <c r="L98" s="10">
        <f t="shared" si="56"/>
        <v>165104.79999999999</v>
      </c>
      <c r="M98" s="10"/>
      <c r="N98" s="10">
        <f t="shared" si="57"/>
        <v>165104.79999999999</v>
      </c>
      <c r="O98" s="10"/>
      <c r="P98" s="10">
        <f t="shared" si="65"/>
        <v>165104.79999999999</v>
      </c>
      <c r="Q98" s="30">
        <f>18929.254</f>
        <v>18929.254000000001</v>
      </c>
      <c r="R98" s="30">
        <f t="shared" ref="R98:R99" si="68">P98+Q98</f>
        <v>184034.054</v>
      </c>
      <c r="S98" s="30">
        <v>-18929.254000000001</v>
      </c>
      <c r="T98" s="10">
        <f t="shared" si="64"/>
        <v>165104.79999999999</v>
      </c>
      <c r="U98" s="10"/>
      <c r="V98" s="10">
        <f t="shared" ref="V98:V100" si="69">T98+U98</f>
        <v>165104.79999999999</v>
      </c>
      <c r="W98" s="18"/>
    </row>
    <row r="99" spans="1:23" x14ac:dyDescent="0.3">
      <c r="A99" s="37"/>
      <c r="B99" s="6" t="s">
        <v>10</v>
      </c>
      <c r="C99" s="31"/>
      <c r="D99" s="31"/>
      <c r="E99" s="31"/>
      <c r="F99" s="31"/>
      <c r="G99" s="31"/>
      <c r="H99" s="31"/>
      <c r="I99" s="31"/>
      <c r="J99" s="31"/>
      <c r="K99" s="30"/>
      <c r="L99" s="30"/>
      <c r="M99" s="30"/>
      <c r="N99" s="30">
        <f>L99+M99</f>
        <v>0</v>
      </c>
      <c r="O99" s="30"/>
      <c r="P99" s="30"/>
      <c r="Q99" s="30">
        <v>3258</v>
      </c>
      <c r="R99" s="30">
        <f t="shared" si="68"/>
        <v>3258</v>
      </c>
      <c r="S99" s="30"/>
      <c r="T99" s="10">
        <f t="shared" si="64"/>
        <v>3258</v>
      </c>
      <c r="U99" s="10"/>
      <c r="V99" s="10">
        <f t="shared" si="69"/>
        <v>3258</v>
      </c>
      <c r="W99" s="18"/>
    </row>
    <row r="100" spans="1:23" ht="31.2" x14ac:dyDescent="0.3">
      <c r="A100" s="37">
        <v>26</v>
      </c>
      <c r="B100" s="6" t="s">
        <v>43</v>
      </c>
      <c r="C100" s="8">
        <f>C102</f>
        <v>14877.3</v>
      </c>
      <c r="D100" s="8">
        <f t="shared" si="51"/>
        <v>-416.59999999999854</v>
      </c>
      <c r="E100" s="8">
        <f>E102</f>
        <v>14460.7</v>
      </c>
      <c r="F100" s="8">
        <f>F102</f>
        <v>14877.3</v>
      </c>
      <c r="G100" s="8">
        <f t="shared" si="52"/>
        <v>-59.5</v>
      </c>
      <c r="H100" s="8">
        <f>H102</f>
        <v>14817.8</v>
      </c>
      <c r="I100" s="8">
        <f>I102</f>
        <v>0</v>
      </c>
      <c r="J100" s="8">
        <f>J102</f>
        <v>0</v>
      </c>
      <c r="K100" s="10">
        <f t="shared" si="55"/>
        <v>-416.59999999999854</v>
      </c>
      <c r="L100" s="10">
        <f t="shared" si="56"/>
        <v>14460.7</v>
      </c>
      <c r="M100" s="10">
        <f>M102</f>
        <v>0</v>
      </c>
      <c r="N100" s="10">
        <f t="shared" si="57"/>
        <v>14460.7</v>
      </c>
      <c r="O100" s="10"/>
      <c r="P100" s="10">
        <f t="shared" ref="P100:P151" si="70">N100+O100</f>
        <v>14460.7</v>
      </c>
      <c r="Q100" s="10"/>
      <c r="R100" s="10">
        <f t="shared" ref="R100" si="71">P100+Q100</f>
        <v>14460.7</v>
      </c>
      <c r="S100" s="10"/>
      <c r="T100" s="10">
        <f t="shared" si="64"/>
        <v>14460.7</v>
      </c>
      <c r="U100" s="10">
        <f>U102</f>
        <v>-6813.2830000000004</v>
      </c>
      <c r="V100" s="10">
        <f t="shared" si="69"/>
        <v>7647.4170000000004</v>
      </c>
      <c r="W100" s="18" t="s">
        <v>132</v>
      </c>
    </row>
    <row r="101" spans="1:23" x14ac:dyDescent="0.3">
      <c r="A101" s="37"/>
      <c r="B101" s="6" t="s">
        <v>8</v>
      </c>
      <c r="C101" s="8"/>
      <c r="D101" s="8"/>
      <c r="E101" s="8"/>
      <c r="F101" s="8"/>
      <c r="G101" s="8"/>
      <c r="H101" s="8"/>
      <c r="I101" s="8"/>
      <c r="J101" s="8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8"/>
    </row>
    <row r="102" spans="1:23" x14ac:dyDescent="0.3">
      <c r="A102" s="37"/>
      <c r="B102" s="6" t="s">
        <v>9</v>
      </c>
      <c r="C102" s="8">
        <v>14877.3</v>
      </c>
      <c r="D102" s="8">
        <f t="shared" si="51"/>
        <v>-416.59999999999854</v>
      </c>
      <c r="E102" s="9">
        <v>14460.7</v>
      </c>
      <c r="F102" s="8">
        <v>14877.3</v>
      </c>
      <c r="G102" s="8">
        <f t="shared" si="52"/>
        <v>-59.5</v>
      </c>
      <c r="H102" s="9">
        <v>14817.8</v>
      </c>
      <c r="I102" s="9">
        <v>0</v>
      </c>
      <c r="J102" s="9"/>
      <c r="K102" s="10">
        <f t="shared" si="55"/>
        <v>-416.59999999999854</v>
      </c>
      <c r="L102" s="10">
        <f t="shared" si="56"/>
        <v>14460.7</v>
      </c>
      <c r="M102" s="10"/>
      <c r="N102" s="10">
        <f t="shared" si="57"/>
        <v>14460.7</v>
      </c>
      <c r="O102" s="10"/>
      <c r="P102" s="10">
        <f t="shared" si="70"/>
        <v>14460.7</v>
      </c>
      <c r="Q102" s="10"/>
      <c r="R102" s="10">
        <f t="shared" ref="R102:R103" si="72">P102+Q102</f>
        <v>14460.7</v>
      </c>
      <c r="S102" s="10"/>
      <c r="T102" s="10">
        <f t="shared" si="64"/>
        <v>14460.7</v>
      </c>
      <c r="U102" s="10">
        <v>-6813.2830000000004</v>
      </c>
      <c r="V102" s="10">
        <f t="shared" ref="V102:V103" si="73">T102+U102</f>
        <v>7647.4170000000004</v>
      </c>
      <c r="W102" s="18"/>
    </row>
    <row r="103" spans="1:23" ht="31.2" x14ac:dyDescent="0.3">
      <c r="A103" s="37">
        <v>27</v>
      </c>
      <c r="B103" s="6" t="s">
        <v>44</v>
      </c>
      <c r="C103" s="31">
        <f>C105</f>
        <v>51000</v>
      </c>
      <c r="D103" s="31">
        <f t="shared" si="51"/>
        <v>100000</v>
      </c>
      <c r="E103" s="31">
        <f>E105</f>
        <v>151000</v>
      </c>
      <c r="F103" s="31">
        <f>F105</f>
        <v>74959.404999999999</v>
      </c>
      <c r="G103" s="31">
        <f t="shared" si="52"/>
        <v>130283.995</v>
      </c>
      <c r="H103" s="31">
        <f>H105</f>
        <v>205243.4</v>
      </c>
      <c r="I103" s="31">
        <f>I105</f>
        <v>150000</v>
      </c>
      <c r="J103" s="31">
        <f>J105</f>
        <v>0</v>
      </c>
      <c r="K103" s="30">
        <f t="shared" si="55"/>
        <v>100000</v>
      </c>
      <c r="L103" s="30">
        <f t="shared" si="56"/>
        <v>151000</v>
      </c>
      <c r="M103" s="30">
        <f>M105</f>
        <v>0</v>
      </c>
      <c r="N103" s="30">
        <f t="shared" si="57"/>
        <v>151000</v>
      </c>
      <c r="O103" s="30">
        <f>O105</f>
        <v>0</v>
      </c>
      <c r="P103" s="30">
        <f t="shared" si="70"/>
        <v>151000</v>
      </c>
      <c r="Q103" s="30">
        <f>Q105+Q106</f>
        <v>245983.745</v>
      </c>
      <c r="R103" s="30">
        <f t="shared" si="72"/>
        <v>396983.745</v>
      </c>
      <c r="S103" s="30">
        <f>S105+S106</f>
        <v>-4693.6729999999998</v>
      </c>
      <c r="T103" s="10">
        <f t="shared" si="64"/>
        <v>392290.07199999999</v>
      </c>
      <c r="U103" s="10">
        <f>U105+U106</f>
        <v>-6246.9939999999997</v>
      </c>
      <c r="V103" s="10">
        <f t="shared" si="73"/>
        <v>386043.07799999998</v>
      </c>
      <c r="W103" s="18" t="s">
        <v>85</v>
      </c>
    </row>
    <row r="104" spans="1:23" x14ac:dyDescent="0.3">
      <c r="A104" s="37"/>
      <c r="B104" s="6" t="s">
        <v>8</v>
      </c>
      <c r="C104" s="31"/>
      <c r="D104" s="31"/>
      <c r="E104" s="31"/>
      <c r="F104" s="31"/>
      <c r="G104" s="31"/>
      <c r="H104" s="31"/>
      <c r="I104" s="31"/>
      <c r="J104" s="31"/>
      <c r="K104" s="30"/>
      <c r="L104" s="30"/>
      <c r="M104" s="30"/>
      <c r="N104" s="30"/>
      <c r="O104" s="30"/>
      <c r="P104" s="30"/>
      <c r="Q104" s="30"/>
      <c r="R104" s="30"/>
      <c r="S104" s="30"/>
      <c r="T104" s="10"/>
      <c r="U104" s="10"/>
      <c r="V104" s="10"/>
      <c r="W104" s="18" t="s">
        <v>117</v>
      </c>
    </row>
    <row r="105" spans="1:23" x14ac:dyDescent="0.3">
      <c r="A105" s="37"/>
      <c r="B105" s="6" t="s">
        <v>9</v>
      </c>
      <c r="C105" s="31">
        <v>51000</v>
      </c>
      <c r="D105" s="31">
        <f t="shared" si="51"/>
        <v>100000</v>
      </c>
      <c r="E105" s="32">
        <v>151000</v>
      </c>
      <c r="F105" s="31">
        <v>74959.404999999999</v>
      </c>
      <c r="G105" s="31">
        <f t="shared" si="52"/>
        <v>130283.995</v>
      </c>
      <c r="H105" s="32">
        <v>205243.4</v>
      </c>
      <c r="I105" s="32">
        <v>150000</v>
      </c>
      <c r="J105" s="32"/>
      <c r="K105" s="30">
        <f t="shared" si="55"/>
        <v>100000</v>
      </c>
      <c r="L105" s="30">
        <f t="shared" si="56"/>
        <v>151000</v>
      </c>
      <c r="M105" s="30"/>
      <c r="N105" s="30">
        <f t="shared" si="57"/>
        <v>151000</v>
      </c>
      <c r="O105" s="30">
        <f>40538.047-40538.047</f>
        <v>0</v>
      </c>
      <c r="P105" s="30">
        <f t="shared" si="70"/>
        <v>151000</v>
      </c>
      <c r="Q105" s="30">
        <f>39405.554+36935.021+4693.673+29939.558+120.058</f>
        <v>111093.864</v>
      </c>
      <c r="R105" s="30">
        <f t="shared" ref="R105:R107" si="74">P105+Q105</f>
        <v>262093.864</v>
      </c>
      <c r="S105" s="30">
        <v>-4693.6729999999998</v>
      </c>
      <c r="T105" s="10">
        <f t="shared" si="64"/>
        <v>257400.19099999999</v>
      </c>
      <c r="U105" s="10">
        <v>-6246.9939999999997</v>
      </c>
      <c r="V105" s="10">
        <f t="shared" ref="V105:V107" si="75">T105+U105</f>
        <v>251153.19699999999</v>
      </c>
      <c r="W105" s="18"/>
    </row>
    <row r="106" spans="1:23" x14ac:dyDescent="0.3">
      <c r="A106" s="37"/>
      <c r="B106" s="6" t="s">
        <v>10</v>
      </c>
      <c r="C106" s="31"/>
      <c r="D106" s="31"/>
      <c r="E106" s="32"/>
      <c r="F106" s="31"/>
      <c r="G106" s="31"/>
      <c r="H106" s="32"/>
      <c r="I106" s="32"/>
      <c r="J106" s="32"/>
      <c r="K106" s="30"/>
      <c r="L106" s="30"/>
      <c r="M106" s="30"/>
      <c r="N106" s="30"/>
      <c r="O106" s="30"/>
      <c r="P106" s="30"/>
      <c r="Q106" s="30">
        <v>134889.88099999999</v>
      </c>
      <c r="R106" s="30">
        <f t="shared" si="74"/>
        <v>134889.88099999999</v>
      </c>
      <c r="S106" s="30"/>
      <c r="T106" s="10">
        <f t="shared" si="64"/>
        <v>134889.88099999999</v>
      </c>
      <c r="U106" s="10"/>
      <c r="V106" s="10">
        <f t="shared" si="75"/>
        <v>134889.88099999999</v>
      </c>
      <c r="W106" s="18"/>
    </row>
    <row r="107" spans="1:23" ht="31.2" x14ac:dyDescent="0.3">
      <c r="A107" s="37">
        <v>28</v>
      </c>
      <c r="B107" s="6" t="s">
        <v>48</v>
      </c>
      <c r="C107" s="8">
        <f>C109</f>
        <v>0</v>
      </c>
      <c r="D107" s="8">
        <f t="shared" ref="D107" si="76">E107-C107</f>
        <v>29309.8</v>
      </c>
      <c r="E107" s="9">
        <f>E109</f>
        <v>29309.8</v>
      </c>
      <c r="F107" s="8">
        <f>F109</f>
        <v>0</v>
      </c>
      <c r="G107" s="8">
        <f t="shared" ref="G107" si="77">H107-F107</f>
        <v>29247.5</v>
      </c>
      <c r="H107" s="9">
        <f>H109</f>
        <v>29247.5</v>
      </c>
      <c r="I107" s="9">
        <f>I109</f>
        <v>29448.3</v>
      </c>
      <c r="J107" s="9">
        <f>J109</f>
        <v>0</v>
      </c>
      <c r="K107" s="10">
        <f t="shared" si="55"/>
        <v>29309.8</v>
      </c>
      <c r="L107" s="10">
        <f t="shared" si="56"/>
        <v>29309.8</v>
      </c>
      <c r="M107" s="10">
        <f>M109</f>
        <v>0</v>
      </c>
      <c r="N107" s="10">
        <f t="shared" si="57"/>
        <v>29309.8</v>
      </c>
      <c r="O107" s="10"/>
      <c r="P107" s="10">
        <f t="shared" si="70"/>
        <v>29309.8</v>
      </c>
      <c r="Q107" s="30">
        <f>Q109</f>
        <v>471.3</v>
      </c>
      <c r="R107" s="30">
        <f t="shared" si="74"/>
        <v>29781.1</v>
      </c>
      <c r="S107" s="30">
        <f>S109</f>
        <v>-471.3</v>
      </c>
      <c r="T107" s="10">
        <f t="shared" si="64"/>
        <v>29309.8</v>
      </c>
      <c r="U107" s="10">
        <f>U109</f>
        <v>0</v>
      </c>
      <c r="V107" s="10">
        <f t="shared" si="75"/>
        <v>29309.8</v>
      </c>
      <c r="W107" s="18" t="s">
        <v>122</v>
      </c>
    </row>
    <row r="108" spans="1:23" x14ac:dyDescent="0.3">
      <c r="A108" s="37"/>
      <c r="B108" s="6" t="s">
        <v>8</v>
      </c>
      <c r="C108" s="8"/>
      <c r="D108" s="8"/>
      <c r="E108" s="9"/>
      <c r="F108" s="8"/>
      <c r="G108" s="8"/>
      <c r="H108" s="9"/>
      <c r="I108" s="9"/>
      <c r="J108" s="9"/>
      <c r="K108" s="10"/>
      <c r="L108" s="10"/>
      <c r="M108" s="10"/>
      <c r="N108" s="10"/>
      <c r="O108" s="10"/>
      <c r="P108" s="10"/>
      <c r="Q108" s="30"/>
      <c r="R108" s="30"/>
      <c r="S108" s="30"/>
      <c r="T108" s="10"/>
      <c r="U108" s="10"/>
      <c r="V108" s="10"/>
      <c r="W108" s="18"/>
    </row>
    <row r="109" spans="1:23" x14ac:dyDescent="0.3">
      <c r="A109" s="37"/>
      <c r="B109" s="6" t="s">
        <v>9</v>
      </c>
      <c r="C109" s="8"/>
      <c r="D109" s="8">
        <f t="shared" ref="D109:D110" si="78">E109-C109</f>
        <v>29309.8</v>
      </c>
      <c r="E109" s="9">
        <v>29309.8</v>
      </c>
      <c r="F109" s="8"/>
      <c r="G109" s="8">
        <f t="shared" ref="G109:G110" si="79">H109-F109</f>
        <v>29247.5</v>
      </c>
      <c r="H109" s="9">
        <v>29247.5</v>
      </c>
      <c r="I109" s="9">
        <v>29448.3</v>
      </c>
      <c r="J109" s="9"/>
      <c r="K109" s="10">
        <f t="shared" si="55"/>
        <v>29309.8</v>
      </c>
      <c r="L109" s="10">
        <f t="shared" si="56"/>
        <v>29309.8</v>
      </c>
      <c r="M109" s="10"/>
      <c r="N109" s="10">
        <f t="shared" si="57"/>
        <v>29309.8</v>
      </c>
      <c r="O109" s="10"/>
      <c r="P109" s="10">
        <f t="shared" si="70"/>
        <v>29309.8</v>
      </c>
      <c r="Q109" s="30">
        <v>471.3</v>
      </c>
      <c r="R109" s="30">
        <f t="shared" ref="R109:R110" si="80">P109+Q109</f>
        <v>29781.1</v>
      </c>
      <c r="S109" s="30">
        <v>-471.3</v>
      </c>
      <c r="T109" s="10">
        <f t="shared" si="64"/>
        <v>29309.8</v>
      </c>
      <c r="U109" s="10"/>
      <c r="V109" s="10">
        <f t="shared" ref="V109:V110" si="81">T109+U109</f>
        <v>29309.8</v>
      </c>
      <c r="W109" s="18"/>
    </row>
    <row r="110" spans="1:23" ht="46.8" x14ac:dyDescent="0.3">
      <c r="A110" s="37">
        <v>29</v>
      </c>
      <c r="B110" s="6" t="s">
        <v>49</v>
      </c>
      <c r="C110" s="8">
        <f>C112</f>
        <v>0</v>
      </c>
      <c r="D110" s="8">
        <f t="shared" si="78"/>
        <v>153826</v>
      </c>
      <c r="E110" s="9">
        <f>E112</f>
        <v>153826</v>
      </c>
      <c r="F110" s="8">
        <f>F112</f>
        <v>0</v>
      </c>
      <c r="G110" s="8">
        <f t="shared" si="79"/>
        <v>152002.70000000001</v>
      </c>
      <c r="H110" s="9">
        <f>H112</f>
        <v>152002.70000000001</v>
      </c>
      <c r="I110" s="9">
        <f>I112</f>
        <v>123652</v>
      </c>
      <c r="J110" s="9">
        <f>J112</f>
        <v>13627.800000000001</v>
      </c>
      <c r="K110" s="10">
        <f t="shared" si="55"/>
        <v>167453.79999999999</v>
      </c>
      <c r="L110" s="10">
        <f t="shared" si="56"/>
        <v>167453.79999999999</v>
      </c>
      <c r="M110" s="10">
        <f>M112</f>
        <v>0</v>
      </c>
      <c r="N110" s="10">
        <f t="shared" si="57"/>
        <v>167453.79999999999</v>
      </c>
      <c r="O110" s="10"/>
      <c r="P110" s="10">
        <f t="shared" si="70"/>
        <v>167453.79999999999</v>
      </c>
      <c r="Q110" s="30">
        <f>Q112</f>
        <v>28211.841</v>
      </c>
      <c r="R110" s="30">
        <f t="shared" si="80"/>
        <v>195665.641</v>
      </c>
      <c r="S110" s="30">
        <f>S112</f>
        <v>0</v>
      </c>
      <c r="T110" s="10">
        <f t="shared" si="64"/>
        <v>195665.641</v>
      </c>
      <c r="U110" s="10">
        <f>U112</f>
        <v>0</v>
      </c>
      <c r="V110" s="10">
        <f t="shared" si="81"/>
        <v>195665.641</v>
      </c>
      <c r="W110" s="18" t="s">
        <v>103</v>
      </c>
    </row>
    <row r="111" spans="1:23" x14ac:dyDescent="0.3">
      <c r="A111" s="37"/>
      <c r="B111" s="6" t="s">
        <v>8</v>
      </c>
      <c r="C111" s="8"/>
      <c r="D111" s="8"/>
      <c r="E111" s="9"/>
      <c r="F111" s="8"/>
      <c r="G111" s="8"/>
      <c r="H111" s="9"/>
      <c r="I111" s="9"/>
      <c r="J111" s="9"/>
      <c r="K111" s="10"/>
      <c r="L111" s="10"/>
      <c r="M111" s="10"/>
      <c r="N111" s="10"/>
      <c r="O111" s="10"/>
      <c r="P111" s="10"/>
      <c r="Q111" s="30"/>
      <c r="R111" s="30"/>
      <c r="S111" s="30"/>
      <c r="T111" s="10"/>
      <c r="U111" s="10"/>
      <c r="V111" s="10"/>
      <c r="W111" s="18"/>
    </row>
    <row r="112" spans="1:23" x14ac:dyDescent="0.3">
      <c r="A112" s="37"/>
      <c r="B112" s="6" t="s">
        <v>9</v>
      </c>
      <c r="C112" s="8"/>
      <c r="D112" s="8">
        <f t="shared" ref="D112:D113" si="82">E112-C112</f>
        <v>153826</v>
      </c>
      <c r="E112" s="9">
        <v>153826</v>
      </c>
      <c r="F112" s="8"/>
      <c r="G112" s="8">
        <f t="shared" ref="G112:G113" si="83">H112-F112</f>
        <v>152002.70000000001</v>
      </c>
      <c r="H112" s="9">
        <v>152002.70000000001</v>
      </c>
      <c r="I112" s="9">
        <v>123652</v>
      </c>
      <c r="J112" s="9">
        <f>2683.7+120.9+9493.7+1329.5</f>
        <v>13627.800000000001</v>
      </c>
      <c r="K112" s="10">
        <f t="shared" si="55"/>
        <v>167453.79999999999</v>
      </c>
      <c r="L112" s="10">
        <f t="shared" si="56"/>
        <v>167453.79999999999</v>
      </c>
      <c r="M112" s="10"/>
      <c r="N112" s="10">
        <f t="shared" si="57"/>
        <v>167453.79999999999</v>
      </c>
      <c r="O112" s="10"/>
      <c r="P112" s="10">
        <f t="shared" si="70"/>
        <v>167453.79999999999</v>
      </c>
      <c r="Q112" s="30">
        <v>28211.841</v>
      </c>
      <c r="R112" s="30">
        <f t="shared" ref="R112:R113" si="84">P112+Q112</f>
        <v>195665.641</v>
      </c>
      <c r="S112" s="30"/>
      <c r="T112" s="10">
        <f t="shared" si="64"/>
        <v>195665.641</v>
      </c>
      <c r="U112" s="10"/>
      <c r="V112" s="10">
        <f t="shared" ref="V112:V113" si="85">T112+U112</f>
        <v>195665.641</v>
      </c>
      <c r="W112" s="18"/>
    </row>
    <row r="113" spans="1:23" ht="31.2" x14ac:dyDescent="0.3">
      <c r="A113" s="37">
        <v>30</v>
      </c>
      <c r="B113" s="6" t="s">
        <v>50</v>
      </c>
      <c r="C113" s="8">
        <f>C115</f>
        <v>0</v>
      </c>
      <c r="D113" s="8">
        <f t="shared" si="82"/>
        <v>9233.2999999999993</v>
      </c>
      <c r="E113" s="9">
        <f>E115</f>
        <v>9233.2999999999993</v>
      </c>
      <c r="F113" s="8">
        <f>F115</f>
        <v>0</v>
      </c>
      <c r="G113" s="8">
        <f t="shared" si="83"/>
        <v>9221.4</v>
      </c>
      <c r="H113" s="9">
        <f>H115</f>
        <v>9221.4</v>
      </c>
      <c r="I113" s="9">
        <f>I115</f>
        <v>9259.5</v>
      </c>
      <c r="J113" s="9">
        <f>J115</f>
        <v>0</v>
      </c>
      <c r="K113" s="10">
        <f t="shared" si="55"/>
        <v>9233.2999999999993</v>
      </c>
      <c r="L113" s="10">
        <f t="shared" si="56"/>
        <v>9233.2999999999993</v>
      </c>
      <c r="M113" s="10">
        <f>M115</f>
        <v>0</v>
      </c>
      <c r="N113" s="10">
        <f t="shared" si="57"/>
        <v>9233.2999999999993</v>
      </c>
      <c r="O113" s="10"/>
      <c r="P113" s="10">
        <f t="shared" si="70"/>
        <v>9233.2999999999993</v>
      </c>
      <c r="Q113" s="10"/>
      <c r="R113" s="10">
        <f t="shared" si="84"/>
        <v>9233.2999999999993</v>
      </c>
      <c r="S113" s="10"/>
      <c r="T113" s="10">
        <f t="shared" si="64"/>
        <v>9233.2999999999993</v>
      </c>
      <c r="U113" s="10"/>
      <c r="V113" s="10">
        <f t="shared" si="85"/>
        <v>9233.2999999999993</v>
      </c>
      <c r="W113" s="18"/>
    </row>
    <row r="114" spans="1:23" x14ac:dyDescent="0.3">
      <c r="A114" s="37"/>
      <c r="B114" s="6" t="s">
        <v>8</v>
      </c>
      <c r="C114" s="8"/>
      <c r="D114" s="8"/>
      <c r="E114" s="9"/>
      <c r="F114" s="8"/>
      <c r="G114" s="8"/>
      <c r="H114" s="9"/>
      <c r="I114" s="9"/>
      <c r="J114" s="9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8"/>
    </row>
    <row r="115" spans="1:23" x14ac:dyDescent="0.3">
      <c r="A115" s="37"/>
      <c r="B115" s="6" t="s">
        <v>9</v>
      </c>
      <c r="C115" s="8"/>
      <c r="D115" s="8">
        <f t="shared" ref="D115:D116" si="86">E115-C115</f>
        <v>9233.2999999999993</v>
      </c>
      <c r="E115" s="9">
        <v>9233.2999999999993</v>
      </c>
      <c r="F115" s="8"/>
      <c r="G115" s="8">
        <f t="shared" ref="G115:G116" si="87">H115-F115</f>
        <v>9221.4</v>
      </c>
      <c r="H115" s="9">
        <v>9221.4</v>
      </c>
      <c r="I115" s="9">
        <v>9259.5</v>
      </c>
      <c r="J115" s="9"/>
      <c r="K115" s="10">
        <f t="shared" si="55"/>
        <v>9233.2999999999993</v>
      </c>
      <c r="L115" s="10">
        <f t="shared" si="56"/>
        <v>9233.2999999999993</v>
      </c>
      <c r="M115" s="10"/>
      <c r="N115" s="10">
        <f t="shared" si="57"/>
        <v>9233.2999999999993</v>
      </c>
      <c r="O115" s="10"/>
      <c r="P115" s="10">
        <f t="shared" si="70"/>
        <v>9233.2999999999993</v>
      </c>
      <c r="Q115" s="10"/>
      <c r="R115" s="10">
        <f t="shared" ref="R115:R116" si="88">P115+Q115</f>
        <v>9233.2999999999993</v>
      </c>
      <c r="S115" s="10"/>
      <c r="T115" s="10">
        <f t="shared" si="64"/>
        <v>9233.2999999999993</v>
      </c>
      <c r="U115" s="10"/>
      <c r="V115" s="10">
        <f t="shared" ref="V115:V116" si="89">T115+U115</f>
        <v>9233.2999999999993</v>
      </c>
      <c r="W115" s="18"/>
    </row>
    <row r="116" spans="1:23" x14ac:dyDescent="0.3">
      <c r="A116" s="37">
        <v>31</v>
      </c>
      <c r="B116" s="6" t="s">
        <v>51</v>
      </c>
      <c r="C116" s="31">
        <f>C118</f>
        <v>0</v>
      </c>
      <c r="D116" s="31">
        <f t="shared" si="86"/>
        <v>139474.6</v>
      </c>
      <c r="E116" s="32">
        <f>E118</f>
        <v>139474.6</v>
      </c>
      <c r="F116" s="31">
        <f>F118</f>
        <v>0</v>
      </c>
      <c r="G116" s="31">
        <f t="shared" si="87"/>
        <v>60711.4</v>
      </c>
      <c r="H116" s="32">
        <f>H118</f>
        <v>60711.4</v>
      </c>
      <c r="I116" s="32">
        <f>I118</f>
        <v>60711.4</v>
      </c>
      <c r="J116" s="32">
        <f>J118</f>
        <v>0</v>
      </c>
      <c r="K116" s="30">
        <f t="shared" si="55"/>
        <v>139474.6</v>
      </c>
      <c r="L116" s="30">
        <f t="shared" si="56"/>
        <v>139474.6</v>
      </c>
      <c r="M116" s="30">
        <f>M118</f>
        <v>0</v>
      </c>
      <c r="N116" s="30">
        <f t="shared" si="57"/>
        <v>139474.6</v>
      </c>
      <c r="O116" s="30"/>
      <c r="P116" s="30">
        <f t="shared" si="70"/>
        <v>139474.6</v>
      </c>
      <c r="Q116" s="30">
        <f>Q118</f>
        <v>495.01499999999999</v>
      </c>
      <c r="R116" s="30">
        <f t="shared" si="88"/>
        <v>139969.61500000002</v>
      </c>
      <c r="S116" s="30">
        <f>S118</f>
        <v>9607.1749999999993</v>
      </c>
      <c r="T116" s="10">
        <f t="shared" si="64"/>
        <v>149576.79</v>
      </c>
      <c r="U116" s="10">
        <f>U118</f>
        <v>-6877.8230000000003</v>
      </c>
      <c r="V116" s="10">
        <f t="shared" si="89"/>
        <v>142698.967</v>
      </c>
      <c r="W116" s="18" t="s">
        <v>119</v>
      </c>
    </row>
    <row r="117" spans="1:23" x14ac:dyDescent="0.3">
      <c r="A117" s="37"/>
      <c r="B117" s="6" t="s">
        <v>8</v>
      </c>
      <c r="C117" s="31"/>
      <c r="D117" s="31"/>
      <c r="E117" s="32"/>
      <c r="F117" s="31"/>
      <c r="G117" s="31"/>
      <c r="H117" s="32"/>
      <c r="I117" s="32"/>
      <c r="J117" s="32"/>
      <c r="K117" s="30"/>
      <c r="L117" s="30"/>
      <c r="M117" s="30"/>
      <c r="N117" s="30"/>
      <c r="O117" s="30"/>
      <c r="P117" s="30"/>
      <c r="Q117" s="30"/>
      <c r="R117" s="30"/>
      <c r="S117" s="30"/>
      <c r="T117" s="10"/>
      <c r="U117" s="10"/>
      <c r="V117" s="10"/>
      <c r="W117" s="18"/>
    </row>
    <row r="118" spans="1:23" x14ac:dyDescent="0.3">
      <c r="A118" s="37"/>
      <c r="B118" s="6" t="s">
        <v>9</v>
      </c>
      <c r="C118" s="31"/>
      <c r="D118" s="31">
        <f t="shared" ref="D118:D119" si="90">E118-C118</f>
        <v>139474.6</v>
      </c>
      <c r="E118" s="32">
        <v>139474.6</v>
      </c>
      <c r="F118" s="31"/>
      <c r="G118" s="31">
        <f t="shared" ref="G118:G119" si="91">H118-F118</f>
        <v>60711.4</v>
      </c>
      <c r="H118" s="32">
        <v>60711.4</v>
      </c>
      <c r="I118" s="32">
        <v>60711.4</v>
      </c>
      <c r="J118" s="32"/>
      <c r="K118" s="30">
        <f t="shared" si="55"/>
        <v>139474.6</v>
      </c>
      <c r="L118" s="30">
        <f t="shared" si="56"/>
        <v>139474.6</v>
      </c>
      <c r="M118" s="30"/>
      <c r="N118" s="30">
        <f t="shared" si="57"/>
        <v>139474.6</v>
      </c>
      <c r="O118" s="30"/>
      <c r="P118" s="30">
        <f t="shared" si="70"/>
        <v>139474.6</v>
      </c>
      <c r="Q118" s="30">
        <v>495.01499999999999</v>
      </c>
      <c r="R118" s="30">
        <f t="shared" ref="R118:R119" si="92">P118+Q118</f>
        <v>139969.61500000002</v>
      </c>
      <c r="S118" s="30">
        <v>9607.1749999999993</v>
      </c>
      <c r="T118" s="10">
        <f t="shared" si="64"/>
        <v>149576.79</v>
      </c>
      <c r="U118" s="10">
        <f>-6877.823</f>
        <v>-6877.8230000000003</v>
      </c>
      <c r="V118" s="10">
        <f t="shared" ref="V118:V119" si="93">T118+U118</f>
        <v>142698.967</v>
      </c>
      <c r="W118" s="18"/>
    </row>
    <row r="119" spans="1:23" ht="46.8" x14ac:dyDescent="0.3">
      <c r="A119" s="37">
        <v>32</v>
      </c>
      <c r="B119" s="6" t="s">
        <v>52</v>
      </c>
      <c r="C119" s="8">
        <f>C121</f>
        <v>0</v>
      </c>
      <c r="D119" s="8">
        <f t="shared" si="90"/>
        <v>133490.4</v>
      </c>
      <c r="E119" s="9">
        <f>E121</f>
        <v>133490.4</v>
      </c>
      <c r="F119" s="8">
        <f>F121</f>
        <v>0</v>
      </c>
      <c r="G119" s="8">
        <f t="shared" si="91"/>
        <v>133952.4</v>
      </c>
      <c r="H119" s="9">
        <f>H121</f>
        <v>133952.4</v>
      </c>
      <c r="I119" s="9">
        <f>I121</f>
        <v>134409.1</v>
      </c>
      <c r="J119" s="9">
        <f>J121</f>
        <v>10834.5</v>
      </c>
      <c r="K119" s="19">
        <f t="shared" si="55"/>
        <v>144324.9</v>
      </c>
      <c r="L119" s="19">
        <f t="shared" si="56"/>
        <v>144324.9</v>
      </c>
      <c r="M119" s="10">
        <f>M121</f>
        <v>-1000</v>
      </c>
      <c r="N119" s="10">
        <f t="shared" si="57"/>
        <v>143324.9</v>
      </c>
      <c r="O119" s="10"/>
      <c r="P119" s="10">
        <f t="shared" si="70"/>
        <v>143324.9</v>
      </c>
      <c r="Q119" s="10"/>
      <c r="R119" s="10">
        <f t="shared" si="92"/>
        <v>143324.9</v>
      </c>
      <c r="S119" s="10"/>
      <c r="T119" s="10">
        <f t="shared" si="64"/>
        <v>143324.9</v>
      </c>
      <c r="U119" s="10"/>
      <c r="V119" s="10">
        <f t="shared" si="93"/>
        <v>143324.9</v>
      </c>
      <c r="W119" s="18" t="s">
        <v>80</v>
      </c>
    </row>
    <row r="120" spans="1:23" x14ac:dyDescent="0.3">
      <c r="A120" s="37"/>
      <c r="B120" s="6" t="s">
        <v>8</v>
      </c>
      <c r="C120" s="8"/>
      <c r="D120" s="8"/>
      <c r="E120" s="9"/>
      <c r="F120" s="8"/>
      <c r="G120" s="8"/>
      <c r="H120" s="9"/>
      <c r="I120" s="9"/>
      <c r="J120" s="9"/>
      <c r="K120" s="19"/>
      <c r="L120" s="19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8"/>
    </row>
    <row r="121" spans="1:23" x14ac:dyDescent="0.3">
      <c r="A121" s="37"/>
      <c r="B121" s="6" t="s">
        <v>9</v>
      </c>
      <c r="C121" s="8"/>
      <c r="D121" s="8">
        <f t="shared" ref="D121:D122" si="94">E121-C121</f>
        <v>133490.4</v>
      </c>
      <c r="E121" s="9">
        <v>133490.4</v>
      </c>
      <c r="F121" s="8"/>
      <c r="G121" s="8">
        <f t="shared" ref="G121:G122" si="95">H121-F121</f>
        <v>133952.4</v>
      </c>
      <c r="H121" s="9">
        <v>133952.4</v>
      </c>
      <c r="I121" s="9">
        <v>134409.1</v>
      </c>
      <c r="J121" s="9">
        <f>1849.6+4150.4+2000+631+245.6+1000+957.9</f>
        <v>10834.5</v>
      </c>
      <c r="K121" s="19">
        <f t="shared" si="55"/>
        <v>144324.9</v>
      </c>
      <c r="L121" s="19">
        <f t="shared" si="56"/>
        <v>144324.9</v>
      </c>
      <c r="M121" s="10">
        <v>-1000</v>
      </c>
      <c r="N121" s="10">
        <f t="shared" si="57"/>
        <v>143324.9</v>
      </c>
      <c r="O121" s="10"/>
      <c r="P121" s="10">
        <f t="shared" si="70"/>
        <v>143324.9</v>
      </c>
      <c r="Q121" s="10"/>
      <c r="R121" s="10">
        <f t="shared" ref="R121:R122" si="96">P121+Q121</f>
        <v>143324.9</v>
      </c>
      <c r="S121" s="10"/>
      <c r="T121" s="10">
        <f t="shared" si="64"/>
        <v>143324.9</v>
      </c>
      <c r="U121" s="10"/>
      <c r="V121" s="10">
        <f t="shared" ref="V121:V122" si="97">T121+U121</f>
        <v>143324.9</v>
      </c>
      <c r="W121" s="18"/>
    </row>
    <row r="122" spans="1:23" ht="46.8" x14ac:dyDescent="0.3">
      <c r="A122" s="37">
        <v>33</v>
      </c>
      <c r="B122" s="6" t="s">
        <v>53</v>
      </c>
      <c r="C122" s="8">
        <f>C124</f>
        <v>0</v>
      </c>
      <c r="D122" s="8">
        <f t="shared" si="94"/>
        <v>2611.1</v>
      </c>
      <c r="E122" s="9">
        <f>E124</f>
        <v>2611.1</v>
      </c>
      <c r="F122" s="8">
        <f>F124</f>
        <v>0</v>
      </c>
      <c r="G122" s="8">
        <f t="shared" si="95"/>
        <v>3351.7</v>
      </c>
      <c r="H122" s="9">
        <f>H124</f>
        <v>3351.7</v>
      </c>
      <c r="I122" s="9">
        <f>I124</f>
        <v>3376</v>
      </c>
      <c r="J122" s="9">
        <f>J124</f>
        <v>4.2</v>
      </c>
      <c r="K122" s="10">
        <f t="shared" si="55"/>
        <v>2615.2999999999997</v>
      </c>
      <c r="L122" s="10">
        <f t="shared" si="56"/>
        <v>2615.2999999999997</v>
      </c>
      <c r="M122" s="10">
        <f>M124</f>
        <v>0</v>
      </c>
      <c r="N122" s="10">
        <f t="shared" si="57"/>
        <v>2615.2999999999997</v>
      </c>
      <c r="O122" s="10"/>
      <c r="P122" s="10">
        <f t="shared" si="70"/>
        <v>2615.2999999999997</v>
      </c>
      <c r="Q122" s="30">
        <f>Q124</f>
        <v>1263.2</v>
      </c>
      <c r="R122" s="30">
        <f t="shared" si="96"/>
        <v>3878.5</v>
      </c>
      <c r="S122" s="30">
        <f>S124</f>
        <v>0</v>
      </c>
      <c r="T122" s="10">
        <f t="shared" si="64"/>
        <v>3878.5</v>
      </c>
      <c r="U122" s="10">
        <f>U124</f>
        <v>0</v>
      </c>
      <c r="V122" s="10">
        <f t="shared" si="97"/>
        <v>3878.5</v>
      </c>
      <c r="W122" s="18" t="s">
        <v>124</v>
      </c>
    </row>
    <row r="123" spans="1:23" x14ac:dyDescent="0.3">
      <c r="A123" s="37"/>
      <c r="B123" s="6" t="s">
        <v>8</v>
      </c>
      <c r="C123" s="8"/>
      <c r="D123" s="8"/>
      <c r="E123" s="9"/>
      <c r="F123" s="8"/>
      <c r="G123" s="8"/>
      <c r="H123" s="9"/>
      <c r="I123" s="9"/>
      <c r="J123" s="9"/>
      <c r="K123" s="10"/>
      <c r="L123" s="10"/>
      <c r="M123" s="10"/>
      <c r="N123" s="10"/>
      <c r="O123" s="10"/>
      <c r="P123" s="10"/>
      <c r="Q123" s="30"/>
      <c r="R123" s="30"/>
      <c r="S123" s="30"/>
      <c r="T123" s="10"/>
      <c r="U123" s="10"/>
      <c r="V123" s="10"/>
      <c r="W123" s="18"/>
    </row>
    <row r="124" spans="1:23" x14ac:dyDescent="0.3">
      <c r="A124" s="37"/>
      <c r="B124" s="6" t="s">
        <v>9</v>
      </c>
      <c r="C124" s="8"/>
      <c r="D124" s="8">
        <f t="shared" ref="D124:D125" si="98">E124-C124</f>
        <v>2611.1</v>
      </c>
      <c r="E124" s="9">
        <v>2611.1</v>
      </c>
      <c r="F124" s="8"/>
      <c r="G124" s="8">
        <f t="shared" ref="G124:G125" si="99">H124-F124</f>
        <v>3351.7</v>
      </c>
      <c r="H124" s="9">
        <v>3351.7</v>
      </c>
      <c r="I124" s="9">
        <v>3376</v>
      </c>
      <c r="J124" s="9">
        <f>4.2</f>
        <v>4.2</v>
      </c>
      <c r="K124" s="10">
        <f t="shared" si="55"/>
        <v>2615.2999999999997</v>
      </c>
      <c r="L124" s="10">
        <f t="shared" si="56"/>
        <v>2615.2999999999997</v>
      </c>
      <c r="M124" s="10"/>
      <c r="N124" s="10">
        <f t="shared" si="57"/>
        <v>2615.2999999999997</v>
      </c>
      <c r="O124" s="10"/>
      <c r="P124" s="10">
        <f t="shared" si="70"/>
        <v>2615.2999999999997</v>
      </c>
      <c r="Q124" s="30">
        <v>1263.2</v>
      </c>
      <c r="R124" s="30">
        <f t="shared" ref="R124:R125" si="100">P124+Q124</f>
        <v>3878.5</v>
      </c>
      <c r="S124" s="30"/>
      <c r="T124" s="10">
        <f t="shared" si="64"/>
        <v>3878.5</v>
      </c>
      <c r="U124" s="10"/>
      <c r="V124" s="10">
        <f t="shared" ref="V124:V125" si="101">T124+U124</f>
        <v>3878.5</v>
      </c>
      <c r="W124" s="18"/>
    </row>
    <row r="125" spans="1:23" x14ac:dyDescent="0.3">
      <c r="A125" s="37">
        <v>34</v>
      </c>
      <c r="B125" s="6" t="s">
        <v>54</v>
      </c>
      <c r="C125" s="8">
        <f>C127</f>
        <v>0</v>
      </c>
      <c r="D125" s="8">
        <f t="shared" si="98"/>
        <v>82510.5</v>
      </c>
      <c r="E125" s="9">
        <f>E127</f>
        <v>82510.5</v>
      </c>
      <c r="F125" s="8">
        <f>F127</f>
        <v>0</v>
      </c>
      <c r="G125" s="8">
        <f t="shared" si="99"/>
        <v>73810</v>
      </c>
      <c r="H125" s="9">
        <f>H127</f>
        <v>73810</v>
      </c>
      <c r="I125" s="9">
        <f>I127</f>
        <v>112009.9</v>
      </c>
      <c r="J125" s="9">
        <f>J127</f>
        <v>0</v>
      </c>
      <c r="K125" s="10">
        <f t="shared" si="55"/>
        <v>82510.5</v>
      </c>
      <c r="L125" s="10">
        <f t="shared" si="56"/>
        <v>82510.5</v>
      </c>
      <c r="M125" s="10">
        <f>M127</f>
        <v>0</v>
      </c>
      <c r="N125" s="10">
        <f t="shared" si="57"/>
        <v>82510.5</v>
      </c>
      <c r="O125" s="10">
        <f>O127</f>
        <v>96371.661000000007</v>
      </c>
      <c r="P125" s="10">
        <f t="shared" si="70"/>
        <v>178882.16100000002</v>
      </c>
      <c r="Q125" s="10">
        <f>Q127</f>
        <v>0</v>
      </c>
      <c r="R125" s="10">
        <f t="shared" si="100"/>
        <v>178882.16100000002</v>
      </c>
      <c r="S125" s="10">
        <f>S127</f>
        <v>0</v>
      </c>
      <c r="T125" s="10">
        <f t="shared" si="64"/>
        <v>178882.16100000002</v>
      </c>
      <c r="U125" s="10">
        <f>U127</f>
        <v>0</v>
      </c>
      <c r="V125" s="10">
        <f t="shared" si="101"/>
        <v>178882.16100000002</v>
      </c>
      <c r="W125" s="18" t="s">
        <v>86</v>
      </c>
    </row>
    <row r="126" spans="1:23" x14ac:dyDescent="0.3">
      <c r="A126" s="37"/>
      <c r="B126" s="6" t="s">
        <v>8</v>
      </c>
      <c r="C126" s="8"/>
      <c r="D126" s="8"/>
      <c r="E126" s="9"/>
      <c r="F126" s="8"/>
      <c r="G126" s="8"/>
      <c r="H126" s="9"/>
      <c r="I126" s="9"/>
      <c r="J126" s="9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8"/>
    </row>
    <row r="127" spans="1:23" x14ac:dyDescent="0.3">
      <c r="A127" s="37"/>
      <c r="B127" s="6" t="s">
        <v>9</v>
      </c>
      <c r="C127" s="8"/>
      <c r="D127" s="8">
        <f t="shared" ref="D127:D128" si="102">E127-C127</f>
        <v>82510.5</v>
      </c>
      <c r="E127" s="9">
        <v>82510.5</v>
      </c>
      <c r="F127" s="8"/>
      <c r="G127" s="8">
        <f t="shared" ref="G127:G128" si="103">H127-F127</f>
        <v>73810</v>
      </c>
      <c r="H127" s="9">
        <v>73810</v>
      </c>
      <c r="I127" s="9">
        <v>112009.9</v>
      </c>
      <c r="J127" s="9"/>
      <c r="K127" s="10">
        <f t="shared" si="55"/>
        <v>82510.5</v>
      </c>
      <c r="L127" s="10">
        <f t="shared" si="56"/>
        <v>82510.5</v>
      </c>
      <c r="M127" s="10"/>
      <c r="N127" s="10">
        <f t="shared" si="57"/>
        <v>82510.5</v>
      </c>
      <c r="O127" s="10">
        <f>30449.292+62950.989+2971.38</f>
        <v>96371.661000000007</v>
      </c>
      <c r="P127" s="10">
        <f t="shared" si="70"/>
        <v>178882.16100000002</v>
      </c>
      <c r="Q127" s="10"/>
      <c r="R127" s="10">
        <f t="shared" ref="R127:R128" si="104">P127+Q127</f>
        <v>178882.16100000002</v>
      </c>
      <c r="S127" s="10"/>
      <c r="T127" s="10">
        <f t="shared" si="64"/>
        <v>178882.16100000002</v>
      </c>
      <c r="U127" s="10"/>
      <c r="V127" s="10">
        <f t="shared" ref="V127:V128" si="105">T127+U127</f>
        <v>178882.16100000002</v>
      </c>
      <c r="W127" s="18"/>
    </row>
    <row r="128" spans="1:23" ht="31.2" x14ac:dyDescent="0.3">
      <c r="A128" s="37">
        <v>35</v>
      </c>
      <c r="B128" s="6" t="s">
        <v>55</v>
      </c>
      <c r="C128" s="8">
        <f>C130</f>
        <v>0</v>
      </c>
      <c r="D128" s="8">
        <f t="shared" si="102"/>
        <v>17081.5</v>
      </c>
      <c r="E128" s="9">
        <f>E130</f>
        <v>17081.5</v>
      </c>
      <c r="F128" s="8">
        <f>F130</f>
        <v>0</v>
      </c>
      <c r="G128" s="8">
        <f t="shared" si="103"/>
        <v>16751.400000000001</v>
      </c>
      <c r="H128" s="9">
        <f>H130</f>
        <v>16751.400000000001</v>
      </c>
      <c r="I128" s="9">
        <f>I130</f>
        <v>16909</v>
      </c>
      <c r="J128" s="9">
        <f>J130</f>
        <v>0</v>
      </c>
      <c r="K128" s="10">
        <f t="shared" si="55"/>
        <v>17081.5</v>
      </c>
      <c r="L128" s="10">
        <f t="shared" si="56"/>
        <v>17081.5</v>
      </c>
      <c r="M128" s="10">
        <f>M130</f>
        <v>0</v>
      </c>
      <c r="N128" s="10">
        <f t="shared" si="57"/>
        <v>17081.5</v>
      </c>
      <c r="O128" s="10"/>
      <c r="P128" s="10">
        <f t="shared" si="70"/>
        <v>17081.5</v>
      </c>
      <c r="Q128" s="30">
        <f>Q130</f>
        <v>3902.8130000000001</v>
      </c>
      <c r="R128" s="30">
        <f t="shared" si="104"/>
        <v>20984.313000000002</v>
      </c>
      <c r="S128" s="30">
        <f>S130</f>
        <v>200</v>
      </c>
      <c r="T128" s="10">
        <f t="shared" si="64"/>
        <v>21184.313000000002</v>
      </c>
      <c r="U128" s="10">
        <f>U130</f>
        <v>-2444.2289999999998</v>
      </c>
      <c r="V128" s="10">
        <f t="shared" si="105"/>
        <v>18740.084000000003</v>
      </c>
      <c r="W128" s="18" t="s">
        <v>104</v>
      </c>
    </row>
    <row r="129" spans="1:23" x14ac:dyDescent="0.3">
      <c r="A129" s="37"/>
      <c r="B129" s="6" t="s">
        <v>8</v>
      </c>
      <c r="C129" s="8"/>
      <c r="D129" s="8"/>
      <c r="E129" s="9"/>
      <c r="F129" s="8"/>
      <c r="G129" s="8"/>
      <c r="H129" s="9"/>
      <c r="I129" s="9"/>
      <c r="J129" s="9"/>
      <c r="K129" s="10"/>
      <c r="L129" s="10"/>
      <c r="M129" s="10"/>
      <c r="N129" s="10"/>
      <c r="O129" s="10"/>
      <c r="P129" s="10"/>
      <c r="Q129" s="30"/>
      <c r="R129" s="30"/>
      <c r="S129" s="30"/>
      <c r="T129" s="10"/>
      <c r="U129" s="10"/>
      <c r="V129" s="10"/>
      <c r="W129" s="18"/>
    </row>
    <row r="130" spans="1:23" x14ac:dyDescent="0.3">
      <c r="A130" s="37"/>
      <c r="B130" s="6" t="s">
        <v>9</v>
      </c>
      <c r="C130" s="8"/>
      <c r="D130" s="8">
        <f t="shared" ref="D130:D131" si="106">E130-C130</f>
        <v>17081.5</v>
      </c>
      <c r="E130" s="9">
        <v>17081.5</v>
      </c>
      <c r="F130" s="8"/>
      <c r="G130" s="8">
        <f t="shared" ref="G130:G131" si="107">H130-F130</f>
        <v>16751.400000000001</v>
      </c>
      <c r="H130" s="9">
        <v>16751.400000000001</v>
      </c>
      <c r="I130" s="9">
        <v>16909</v>
      </c>
      <c r="J130" s="9"/>
      <c r="K130" s="10">
        <f t="shared" si="55"/>
        <v>17081.5</v>
      </c>
      <c r="L130" s="10">
        <f t="shared" si="56"/>
        <v>17081.5</v>
      </c>
      <c r="M130" s="10"/>
      <c r="N130" s="10">
        <f t="shared" si="57"/>
        <v>17081.5</v>
      </c>
      <c r="O130" s="10"/>
      <c r="P130" s="10">
        <f t="shared" si="70"/>
        <v>17081.5</v>
      </c>
      <c r="Q130" s="30">
        <v>3902.8130000000001</v>
      </c>
      <c r="R130" s="30">
        <f t="shared" ref="R130:R131" si="108">P130+Q130</f>
        <v>20984.313000000002</v>
      </c>
      <c r="S130" s="34">
        <v>200</v>
      </c>
      <c r="T130" s="10">
        <f t="shared" si="64"/>
        <v>21184.313000000002</v>
      </c>
      <c r="U130" s="10">
        <v>-2444.2289999999998</v>
      </c>
      <c r="V130" s="10">
        <f t="shared" ref="V130:V134" si="109">T130+U130</f>
        <v>18740.084000000003</v>
      </c>
      <c r="W130" s="18"/>
    </row>
    <row r="131" spans="1:23" ht="31.2" x14ac:dyDescent="0.3">
      <c r="A131" s="37">
        <v>36</v>
      </c>
      <c r="B131" s="6" t="s">
        <v>56</v>
      </c>
      <c r="C131" s="8">
        <f>C133</f>
        <v>0</v>
      </c>
      <c r="D131" s="8">
        <f t="shared" si="106"/>
        <v>96239.4</v>
      </c>
      <c r="E131" s="9">
        <f>E133</f>
        <v>96239.4</v>
      </c>
      <c r="F131" s="8">
        <f>F133</f>
        <v>0</v>
      </c>
      <c r="G131" s="8">
        <f t="shared" si="107"/>
        <v>93463.6</v>
      </c>
      <c r="H131" s="9">
        <f>H133</f>
        <v>93463.6</v>
      </c>
      <c r="I131" s="9">
        <f>I133</f>
        <v>89841.5</v>
      </c>
      <c r="J131" s="9">
        <f>J133</f>
        <v>-1134.5999999999999</v>
      </c>
      <c r="K131" s="10">
        <f t="shared" si="55"/>
        <v>95104.799999999988</v>
      </c>
      <c r="L131" s="10">
        <f t="shared" si="56"/>
        <v>95104.799999999988</v>
      </c>
      <c r="M131" s="10">
        <f>M133</f>
        <v>0</v>
      </c>
      <c r="N131" s="10">
        <f t="shared" si="57"/>
        <v>95104.799999999988</v>
      </c>
      <c r="O131" s="10"/>
      <c r="P131" s="10">
        <f t="shared" si="70"/>
        <v>95104.799999999988</v>
      </c>
      <c r="Q131" s="30">
        <f>Q133</f>
        <v>4822.4259999999995</v>
      </c>
      <c r="R131" s="30">
        <f t="shared" si="108"/>
        <v>99927.225999999995</v>
      </c>
      <c r="S131" s="30">
        <f>S133</f>
        <v>0</v>
      </c>
      <c r="T131" s="10">
        <f t="shared" si="64"/>
        <v>99927.225999999995</v>
      </c>
      <c r="U131" s="10">
        <f>U133</f>
        <v>-619.20799999999997</v>
      </c>
      <c r="V131" s="10">
        <f t="shared" si="109"/>
        <v>99308.017999999996</v>
      </c>
      <c r="W131" s="18" t="s">
        <v>111</v>
      </c>
    </row>
    <row r="132" spans="1:23" x14ac:dyDescent="0.3">
      <c r="A132" s="37"/>
      <c r="B132" s="6" t="s">
        <v>8</v>
      </c>
      <c r="C132" s="8"/>
      <c r="D132" s="8"/>
      <c r="E132" s="9"/>
      <c r="F132" s="8"/>
      <c r="G132" s="8"/>
      <c r="H132" s="9"/>
      <c r="I132" s="9"/>
      <c r="J132" s="9"/>
      <c r="K132" s="10"/>
      <c r="L132" s="10"/>
      <c r="M132" s="10"/>
      <c r="N132" s="10"/>
      <c r="O132" s="10"/>
      <c r="P132" s="10"/>
      <c r="Q132" s="30"/>
      <c r="R132" s="30"/>
      <c r="S132" s="30"/>
      <c r="T132" s="10">
        <f t="shared" si="64"/>
        <v>0</v>
      </c>
      <c r="U132" s="10"/>
      <c r="V132" s="10"/>
      <c r="W132" s="18"/>
    </row>
    <row r="133" spans="1:23" x14ac:dyDescent="0.3">
      <c r="A133" s="37"/>
      <c r="B133" s="6" t="s">
        <v>9</v>
      </c>
      <c r="C133" s="8"/>
      <c r="D133" s="8">
        <f t="shared" ref="D133:D134" si="110">E133-C133</f>
        <v>96239.4</v>
      </c>
      <c r="E133" s="9">
        <v>96239.4</v>
      </c>
      <c r="F133" s="8"/>
      <c r="G133" s="8">
        <f t="shared" ref="G133:G134" si="111">H133-F133</f>
        <v>93463.6</v>
      </c>
      <c r="H133" s="9">
        <v>93463.6</v>
      </c>
      <c r="I133" s="9">
        <v>89841.5</v>
      </c>
      <c r="J133" s="9">
        <f>-1134.6</f>
        <v>-1134.5999999999999</v>
      </c>
      <c r="K133" s="10">
        <f t="shared" si="55"/>
        <v>95104.799999999988</v>
      </c>
      <c r="L133" s="10">
        <f t="shared" si="56"/>
        <v>95104.799999999988</v>
      </c>
      <c r="M133" s="10"/>
      <c r="N133" s="10">
        <f t="shared" si="57"/>
        <v>95104.799999999988</v>
      </c>
      <c r="O133" s="10"/>
      <c r="P133" s="10">
        <f t="shared" si="70"/>
        <v>95104.799999999988</v>
      </c>
      <c r="Q133" s="30">
        <f>495.319+66.96+4260.147</f>
        <v>4822.4259999999995</v>
      </c>
      <c r="R133" s="30">
        <f t="shared" ref="R133:R134" si="112">P133+Q133</f>
        <v>99927.225999999995</v>
      </c>
      <c r="S133" s="30"/>
      <c r="T133" s="10">
        <f t="shared" si="64"/>
        <v>99927.225999999995</v>
      </c>
      <c r="U133" s="10">
        <f>-619.208</f>
        <v>-619.20799999999997</v>
      </c>
      <c r="V133" s="10">
        <f t="shared" si="109"/>
        <v>99308.017999999996</v>
      </c>
      <c r="W133" s="18"/>
    </row>
    <row r="134" spans="1:23" ht="31.2" x14ac:dyDescent="0.3">
      <c r="A134" s="37">
        <v>37</v>
      </c>
      <c r="B134" s="6" t="s">
        <v>57</v>
      </c>
      <c r="C134" s="8">
        <f>C136</f>
        <v>0</v>
      </c>
      <c r="D134" s="8">
        <f t="shared" si="110"/>
        <v>7864.2</v>
      </c>
      <c r="E134" s="9">
        <f>E136</f>
        <v>7864.2</v>
      </c>
      <c r="F134" s="8">
        <f>F136</f>
        <v>0</v>
      </c>
      <c r="G134" s="8">
        <f t="shared" si="111"/>
        <v>8684.2000000000007</v>
      </c>
      <c r="H134" s="9">
        <f>H136</f>
        <v>8684.2000000000007</v>
      </c>
      <c r="I134" s="9">
        <f>I136</f>
        <v>8810.6</v>
      </c>
      <c r="J134" s="9">
        <f>J136</f>
        <v>0</v>
      </c>
      <c r="K134" s="19">
        <f t="shared" si="55"/>
        <v>7864.2</v>
      </c>
      <c r="L134" s="19">
        <f t="shared" si="56"/>
        <v>7864.2</v>
      </c>
      <c r="M134" s="10">
        <f>M136</f>
        <v>396</v>
      </c>
      <c r="N134" s="10">
        <f t="shared" si="57"/>
        <v>8260.2000000000007</v>
      </c>
      <c r="O134" s="10"/>
      <c r="P134" s="10">
        <f t="shared" si="70"/>
        <v>8260.2000000000007</v>
      </c>
      <c r="Q134" s="10"/>
      <c r="R134" s="10">
        <f t="shared" si="112"/>
        <v>8260.2000000000007</v>
      </c>
      <c r="S134" s="10"/>
      <c r="T134" s="10">
        <f t="shared" si="64"/>
        <v>8260.2000000000007</v>
      </c>
      <c r="U134" s="10">
        <f>U136</f>
        <v>-209.38</v>
      </c>
      <c r="V134" s="10">
        <f t="shared" si="109"/>
        <v>8050.8200000000006</v>
      </c>
      <c r="W134" s="18" t="s">
        <v>81</v>
      </c>
    </row>
    <row r="135" spans="1:23" x14ac:dyDescent="0.3">
      <c r="A135" s="37"/>
      <c r="B135" s="6" t="s">
        <v>8</v>
      </c>
      <c r="C135" s="8"/>
      <c r="D135" s="8"/>
      <c r="E135" s="9"/>
      <c r="F135" s="8"/>
      <c r="G135" s="8"/>
      <c r="H135" s="9"/>
      <c r="I135" s="9"/>
      <c r="J135" s="9"/>
      <c r="K135" s="19"/>
      <c r="L135" s="19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8"/>
    </row>
    <row r="136" spans="1:23" x14ac:dyDescent="0.3">
      <c r="A136" s="37"/>
      <c r="B136" s="6" t="s">
        <v>9</v>
      </c>
      <c r="C136" s="8"/>
      <c r="D136" s="8">
        <f t="shared" ref="D136:D137" si="113">E136-C136</f>
        <v>7864.2</v>
      </c>
      <c r="E136" s="9">
        <v>7864.2</v>
      </c>
      <c r="F136" s="8"/>
      <c r="G136" s="8">
        <f t="shared" ref="G136:G137" si="114">H136-F136</f>
        <v>8684.2000000000007</v>
      </c>
      <c r="H136" s="9">
        <v>8684.2000000000007</v>
      </c>
      <c r="I136" s="9">
        <v>8810.6</v>
      </c>
      <c r="J136" s="9"/>
      <c r="K136" s="19">
        <f t="shared" si="55"/>
        <v>7864.2</v>
      </c>
      <c r="L136" s="19">
        <f t="shared" si="56"/>
        <v>7864.2</v>
      </c>
      <c r="M136" s="10">
        <v>396</v>
      </c>
      <c r="N136" s="10">
        <f t="shared" si="57"/>
        <v>8260.2000000000007</v>
      </c>
      <c r="O136" s="10"/>
      <c r="P136" s="10">
        <f t="shared" si="70"/>
        <v>8260.2000000000007</v>
      </c>
      <c r="Q136" s="10"/>
      <c r="R136" s="10">
        <f t="shared" ref="R136:R137" si="115">P136+Q136</f>
        <v>8260.2000000000007</v>
      </c>
      <c r="S136" s="10"/>
      <c r="T136" s="10">
        <f t="shared" si="64"/>
        <v>8260.2000000000007</v>
      </c>
      <c r="U136" s="10">
        <v>-209.38</v>
      </c>
      <c r="V136" s="10">
        <f t="shared" ref="V136:V137" si="116">T136+U136</f>
        <v>8050.8200000000006</v>
      </c>
      <c r="W136" s="18"/>
    </row>
    <row r="137" spans="1:23" ht="31.2" x14ac:dyDescent="0.3">
      <c r="A137" s="37">
        <v>38</v>
      </c>
      <c r="B137" s="6" t="s">
        <v>58</v>
      </c>
      <c r="C137" s="8">
        <f>C139</f>
        <v>0</v>
      </c>
      <c r="D137" s="8">
        <f t="shared" si="113"/>
        <v>35180.5</v>
      </c>
      <c r="E137" s="9">
        <f>E139</f>
        <v>35180.5</v>
      </c>
      <c r="F137" s="8">
        <f>F139</f>
        <v>0</v>
      </c>
      <c r="G137" s="8">
        <f t="shared" si="114"/>
        <v>33393.1</v>
      </c>
      <c r="H137" s="9">
        <f>H139</f>
        <v>33393.1</v>
      </c>
      <c r="I137" s="9">
        <f>I139</f>
        <v>32134.400000000001</v>
      </c>
      <c r="J137" s="9">
        <f>J139</f>
        <v>0</v>
      </c>
      <c r="K137" s="19">
        <f t="shared" si="55"/>
        <v>35180.5</v>
      </c>
      <c r="L137" s="19">
        <f t="shared" si="56"/>
        <v>35180.5</v>
      </c>
      <c r="M137" s="10">
        <f>M139</f>
        <v>-396</v>
      </c>
      <c r="N137" s="10">
        <f t="shared" si="57"/>
        <v>34784.5</v>
      </c>
      <c r="O137" s="10"/>
      <c r="P137" s="10">
        <f t="shared" si="70"/>
        <v>34784.5</v>
      </c>
      <c r="Q137" s="30">
        <f>Q139</f>
        <v>2670.5519999999997</v>
      </c>
      <c r="R137" s="30">
        <f t="shared" si="115"/>
        <v>37455.051999999996</v>
      </c>
      <c r="S137" s="30">
        <f>S139</f>
        <v>1799.9179999999999</v>
      </c>
      <c r="T137" s="10">
        <f t="shared" si="64"/>
        <v>39254.969999999994</v>
      </c>
      <c r="U137" s="10">
        <f>U139</f>
        <v>-1949.1959999999999</v>
      </c>
      <c r="V137" s="10">
        <f t="shared" si="116"/>
        <v>37305.77399999999</v>
      </c>
      <c r="W137" s="18" t="s">
        <v>82</v>
      </c>
    </row>
    <row r="138" spans="1:23" x14ac:dyDescent="0.3">
      <c r="A138" s="37"/>
      <c r="B138" s="6" t="s">
        <v>8</v>
      </c>
      <c r="C138" s="8"/>
      <c r="D138" s="8"/>
      <c r="E138" s="9"/>
      <c r="F138" s="8"/>
      <c r="G138" s="8"/>
      <c r="H138" s="9"/>
      <c r="I138" s="9"/>
      <c r="J138" s="9"/>
      <c r="K138" s="19"/>
      <c r="L138" s="19"/>
      <c r="M138" s="10"/>
      <c r="N138" s="10"/>
      <c r="O138" s="10"/>
      <c r="P138" s="10"/>
      <c r="Q138" s="30"/>
      <c r="R138" s="30"/>
      <c r="S138" s="30"/>
      <c r="T138" s="10"/>
      <c r="U138" s="10"/>
      <c r="V138" s="10"/>
      <c r="W138" s="18"/>
    </row>
    <row r="139" spans="1:23" x14ac:dyDescent="0.3">
      <c r="A139" s="37"/>
      <c r="B139" s="6" t="s">
        <v>9</v>
      </c>
      <c r="C139" s="8"/>
      <c r="D139" s="8">
        <f t="shared" ref="D139:D140" si="117">E139-C139</f>
        <v>35180.5</v>
      </c>
      <c r="E139" s="9">
        <v>35180.5</v>
      </c>
      <c r="F139" s="8"/>
      <c r="G139" s="8">
        <f t="shared" ref="G139:G140" si="118">H139-F139</f>
        <v>33393.1</v>
      </c>
      <c r="H139" s="9">
        <v>33393.1</v>
      </c>
      <c r="I139" s="9">
        <v>32134.400000000001</v>
      </c>
      <c r="J139" s="9"/>
      <c r="K139" s="19">
        <f t="shared" si="55"/>
        <v>35180.5</v>
      </c>
      <c r="L139" s="19">
        <f t="shared" si="56"/>
        <v>35180.5</v>
      </c>
      <c r="M139" s="10">
        <v>-396</v>
      </c>
      <c r="N139" s="10">
        <f t="shared" si="57"/>
        <v>34784.5</v>
      </c>
      <c r="O139" s="10"/>
      <c r="P139" s="10">
        <f t="shared" si="70"/>
        <v>34784.5</v>
      </c>
      <c r="Q139" s="30">
        <f>1442.682+1227.87</f>
        <v>2670.5519999999997</v>
      </c>
      <c r="R139" s="30">
        <f t="shared" ref="R139:R140" si="119">P139+Q139</f>
        <v>37455.051999999996</v>
      </c>
      <c r="S139" s="30">
        <v>1799.9179999999999</v>
      </c>
      <c r="T139" s="10">
        <f t="shared" si="64"/>
        <v>39254.969999999994</v>
      </c>
      <c r="U139" s="10">
        <v>-1949.1959999999999</v>
      </c>
      <c r="V139" s="10">
        <f t="shared" ref="V139:V140" si="120">T139+U139</f>
        <v>37305.77399999999</v>
      </c>
      <c r="W139" s="18"/>
    </row>
    <row r="140" spans="1:23" ht="31.2" x14ac:dyDescent="0.3">
      <c r="A140" s="37">
        <v>39</v>
      </c>
      <c r="B140" s="6" t="s">
        <v>59</v>
      </c>
      <c r="C140" s="8">
        <f>C142</f>
        <v>0</v>
      </c>
      <c r="D140" s="8">
        <f t="shared" si="117"/>
        <v>49550</v>
      </c>
      <c r="E140" s="9">
        <f>E142</f>
        <v>49550</v>
      </c>
      <c r="F140" s="8">
        <f>F142</f>
        <v>0</v>
      </c>
      <c r="G140" s="8">
        <f t="shared" si="118"/>
        <v>49550</v>
      </c>
      <c r="H140" s="9">
        <f>H142</f>
        <v>49550</v>
      </c>
      <c r="I140" s="9">
        <f>I142</f>
        <v>49550</v>
      </c>
      <c r="J140" s="9">
        <f>J142</f>
        <v>0</v>
      </c>
      <c r="K140" s="10">
        <f t="shared" si="55"/>
        <v>49550</v>
      </c>
      <c r="L140" s="10">
        <f t="shared" si="56"/>
        <v>49550</v>
      </c>
      <c r="M140" s="10">
        <f>M142</f>
        <v>0</v>
      </c>
      <c r="N140" s="10">
        <f t="shared" si="57"/>
        <v>49550</v>
      </c>
      <c r="O140" s="10"/>
      <c r="P140" s="10">
        <f t="shared" si="70"/>
        <v>49550</v>
      </c>
      <c r="Q140" s="10"/>
      <c r="R140" s="10">
        <f t="shared" si="119"/>
        <v>49550</v>
      </c>
      <c r="S140" s="10"/>
      <c r="T140" s="10">
        <f t="shared" si="64"/>
        <v>49550</v>
      </c>
      <c r="U140" s="10"/>
      <c r="V140" s="10">
        <f t="shared" si="120"/>
        <v>49550</v>
      </c>
      <c r="W140" s="18"/>
    </row>
    <row r="141" spans="1:23" x14ac:dyDescent="0.3">
      <c r="A141" s="37"/>
      <c r="B141" s="6" t="s">
        <v>8</v>
      </c>
      <c r="C141" s="8"/>
      <c r="D141" s="8"/>
      <c r="E141" s="9"/>
      <c r="F141" s="8"/>
      <c r="G141" s="8"/>
      <c r="H141" s="9"/>
      <c r="I141" s="9"/>
      <c r="J141" s="9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8"/>
    </row>
    <row r="142" spans="1:23" x14ac:dyDescent="0.3">
      <c r="A142" s="37"/>
      <c r="B142" s="6" t="s">
        <v>9</v>
      </c>
      <c r="C142" s="8"/>
      <c r="D142" s="8">
        <f t="shared" ref="D142:D143" si="121">E142-C142</f>
        <v>49550</v>
      </c>
      <c r="E142" s="9">
        <v>49550</v>
      </c>
      <c r="F142" s="8"/>
      <c r="G142" s="8">
        <f t="shared" ref="G142:G143" si="122">H142-F142</f>
        <v>49550</v>
      </c>
      <c r="H142" s="9">
        <v>49550</v>
      </c>
      <c r="I142" s="9">
        <v>49550</v>
      </c>
      <c r="J142" s="9"/>
      <c r="K142" s="10">
        <f t="shared" si="55"/>
        <v>49550</v>
      </c>
      <c r="L142" s="10">
        <f t="shared" si="56"/>
        <v>49550</v>
      </c>
      <c r="M142" s="10"/>
      <c r="N142" s="10">
        <f t="shared" si="57"/>
        <v>49550</v>
      </c>
      <c r="O142" s="10"/>
      <c r="P142" s="10">
        <f t="shared" si="70"/>
        <v>49550</v>
      </c>
      <c r="Q142" s="10"/>
      <c r="R142" s="10">
        <f t="shared" ref="R142:R143" si="123">P142+Q142</f>
        <v>49550</v>
      </c>
      <c r="S142" s="10"/>
      <c r="T142" s="10">
        <f t="shared" si="64"/>
        <v>49550</v>
      </c>
      <c r="U142" s="10"/>
      <c r="V142" s="10">
        <f t="shared" ref="V142:V143" si="124">T142+U142</f>
        <v>49550</v>
      </c>
      <c r="W142" s="18"/>
    </row>
    <row r="143" spans="1:23" ht="31.2" x14ac:dyDescent="0.3">
      <c r="A143" s="37">
        <v>40</v>
      </c>
      <c r="B143" s="6" t="s">
        <v>67</v>
      </c>
      <c r="C143" s="8">
        <f>C145</f>
        <v>0</v>
      </c>
      <c r="D143" s="8">
        <f t="shared" si="121"/>
        <v>21491.4</v>
      </c>
      <c r="E143" s="9">
        <f>E145</f>
        <v>21491.4</v>
      </c>
      <c r="F143" s="8">
        <f>F145</f>
        <v>0</v>
      </c>
      <c r="G143" s="8">
        <f t="shared" si="122"/>
        <v>21043.1</v>
      </c>
      <c r="H143" s="9">
        <f>H145</f>
        <v>21043.1</v>
      </c>
      <c r="I143" s="9">
        <f>I145</f>
        <v>20011.900000000001</v>
      </c>
      <c r="J143" s="9">
        <f>J145</f>
        <v>-267.89999999999998</v>
      </c>
      <c r="K143" s="10">
        <f t="shared" si="55"/>
        <v>21223.5</v>
      </c>
      <c r="L143" s="10">
        <f t="shared" si="56"/>
        <v>21223.5</v>
      </c>
      <c r="M143" s="10">
        <f>M145</f>
        <v>0</v>
      </c>
      <c r="N143" s="10">
        <f t="shared" si="57"/>
        <v>21223.5</v>
      </c>
      <c r="O143" s="10"/>
      <c r="P143" s="10">
        <f t="shared" si="70"/>
        <v>21223.5</v>
      </c>
      <c r="Q143" s="30">
        <f>Q145</f>
        <v>1079.7640000000001</v>
      </c>
      <c r="R143" s="30">
        <f t="shared" si="123"/>
        <v>22303.263999999999</v>
      </c>
      <c r="S143" s="30">
        <f>S145</f>
        <v>0</v>
      </c>
      <c r="T143" s="10">
        <f t="shared" si="64"/>
        <v>22303.263999999999</v>
      </c>
      <c r="U143" s="10">
        <f>U145</f>
        <v>0</v>
      </c>
      <c r="V143" s="10">
        <f t="shared" si="124"/>
        <v>22303.263999999999</v>
      </c>
      <c r="W143" s="18" t="s">
        <v>114</v>
      </c>
    </row>
    <row r="144" spans="1:23" x14ac:dyDescent="0.3">
      <c r="A144" s="37"/>
      <c r="B144" s="6" t="s">
        <v>8</v>
      </c>
      <c r="C144" s="8"/>
      <c r="D144" s="8"/>
      <c r="E144" s="9"/>
      <c r="F144" s="8"/>
      <c r="G144" s="8"/>
      <c r="H144" s="9"/>
      <c r="I144" s="9"/>
      <c r="J144" s="9"/>
      <c r="K144" s="10"/>
      <c r="L144" s="10"/>
      <c r="M144" s="10"/>
      <c r="N144" s="10"/>
      <c r="O144" s="10"/>
      <c r="P144" s="10"/>
      <c r="Q144" s="30"/>
      <c r="R144" s="30"/>
      <c r="S144" s="30"/>
      <c r="T144" s="10"/>
      <c r="U144" s="10"/>
      <c r="V144" s="10"/>
      <c r="W144" s="18"/>
    </row>
    <row r="145" spans="1:24" x14ac:dyDescent="0.3">
      <c r="A145" s="37"/>
      <c r="B145" s="6" t="s">
        <v>9</v>
      </c>
      <c r="C145" s="8"/>
      <c r="D145" s="8">
        <f t="shared" ref="D145:D146" si="125">E145-C145</f>
        <v>21491.4</v>
      </c>
      <c r="E145" s="9">
        <v>21491.4</v>
      </c>
      <c r="F145" s="8"/>
      <c r="G145" s="8">
        <f t="shared" ref="G145:G146" si="126">H145-F145</f>
        <v>21043.1</v>
      </c>
      <c r="H145" s="9">
        <v>21043.1</v>
      </c>
      <c r="I145" s="9">
        <v>20011.900000000001</v>
      </c>
      <c r="J145" s="9">
        <v>-267.89999999999998</v>
      </c>
      <c r="K145" s="10">
        <f t="shared" si="55"/>
        <v>21223.5</v>
      </c>
      <c r="L145" s="10">
        <f t="shared" si="56"/>
        <v>21223.5</v>
      </c>
      <c r="M145" s="10"/>
      <c r="N145" s="10">
        <f t="shared" si="57"/>
        <v>21223.5</v>
      </c>
      <c r="O145" s="10"/>
      <c r="P145" s="10">
        <f t="shared" si="70"/>
        <v>21223.5</v>
      </c>
      <c r="Q145" s="30">
        <f>97.606+982.158</f>
        <v>1079.7640000000001</v>
      </c>
      <c r="R145" s="30">
        <f t="shared" ref="R145:R146" si="127">P145+Q145</f>
        <v>22303.263999999999</v>
      </c>
      <c r="S145" s="30"/>
      <c r="T145" s="10">
        <f t="shared" si="64"/>
        <v>22303.263999999999</v>
      </c>
      <c r="U145" s="10"/>
      <c r="V145" s="10">
        <f t="shared" ref="V145:V146" si="128">T145+U145</f>
        <v>22303.263999999999</v>
      </c>
      <c r="W145" s="18"/>
    </row>
    <row r="146" spans="1:24" ht="31.2" x14ac:dyDescent="0.3">
      <c r="A146" s="37">
        <v>41</v>
      </c>
      <c r="B146" s="6" t="s">
        <v>60</v>
      </c>
      <c r="C146" s="8">
        <f>C148</f>
        <v>0</v>
      </c>
      <c r="D146" s="8">
        <f t="shared" si="125"/>
        <v>56832.9</v>
      </c>
      <c r="E146" s="9">
        <f>E148</f>
        <v>56832.9</v>
      </c>
      <c r="F146" s="8">
        <f>F148</f>
        <v>0</v>
      </c>
      <c r="G146" s="8">
        <f t="shared" si="126"/>
        <v>57080.1</v>
      </c>
      <c r="H146" s="9">
        <f>H148</f>
        <v>57080.1</v>
      </c>
      <c r="I146" s="9">
        <f>I148</f>
        <v>57863.7</v>
      </c>
      <c r="J146" s="9">
        <f>J148</f>
        <v>-3690</v>
      </c>
      <c r="K146" s="10">
        <f t="shared" si="55"/>
        <v>53142.9</v>
      </c>
      <c r="L146" s="10">
        <f t="shared" si="56"/>
        <v>53142.9</v>
      </c>
      <c r="M146" s="10">
        <f>M148</f>
        <v>0</v>
      </c>
      <c r="N146" s="10">
        <f t="shared" si="57"/>
        <v>53142.9</v>
      </c>
      <c r="O146" s="10"/>
      <c r="P146" s="10">
        <f t="shared" si="70"/>
        <v>53142.9</v>
      </c>
      <c r="Q146" s="10"/>
      <c r="R146" s="10">
        <f t="shared" si="127"/>
        <v>53142.9</v>
      </c>
      <c r="S146" s="10"/>
      <c r="T146" s="10">
        <f t="shared" si="64"/>
        <v>53142.9</v>
      </c>
      <c r="U146" s="10">
        <f>U148</f>
        <v>-1107.105</v>
      </c>
      <c r="V146" s="10">
        <f t="shared" si="128"/>
        <v>52035.794999999998</v>
      </c>
      <c r="W146" s="18" t="s">
        <v>134</v>
      </c>
    </row>
    <row r="147" spans="1:24" x14ac:dyDescent="0.3">
      <c r="A147" s="37"/>
      <c r="B147" s="6" t="s">
        <v>8</v>
      </c>
      <c r="C147" s="8"/>
      <c r="D147" s="8"/>
      <c r="E147" s="9"/>
      <c r="F147" s="8"/>
      <c r="G147" s="8"/>
      <c r="H147" s="9"/>
      <c r="I147" s="9"/>
      <c r="J147" s="9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8"/>
    </row>
    <row r="148" spans="1:24" x14ac:dyDescent="0.3">
      <c r="A148" s="37"/>
      <c r="B148" s="6" t="s">
        <v>9</v>
      </c>
      <c r="C148" s="8"/>
      <c r="D148" s="8">
        <f t="shared" ref="D148:D149" si="129">E148-C148</f>
        <v>56832.9</v>
      </c>
      <c r="E148" s="9">
        <v>56832.9</v>
      </c>
      <c r="F148" s="8"/>
      <c r="G148" s="8">
        <f t="shared" ref="G148:G149" si="130">H148-F148</f>
        <v>57080.1</v>
      </c>
      <c r="H148" s="9">
        <v>57080.1</v>
      </c>
      <c r="I148" s="9">
        <v>57863.7</v>
      </c>
      <c r="J148" s="9">
        <v>-3690</v>
      </c>
      <c r="K148" s="10">
        <f t="shared" si="55"/>
        <v>53142.9</v>
      </c>
      <c r="L148" s="10">
        <f t="shared" si="56"/>
        <v>53142.9</v>
      </c>
      <c r="M148" s="10"/>
      <c r="N148" s="10">
        <f t="shared" si="57"/>
        <v>53142.9</v>
      </c>
      <c r="O148" s="10"/>
      <c r="P148" s="10">
        <f t="shared" si="70"/>
        <v>53142.9</v>
      </c>
      <c r="Q148" s="10"/>
      <c r="R148" s="10">
        <f t="shared" ref="R148:R149" si="131">P148+Q148</f>
        <v>53142.9</v>
      </c>
      <c r="S148" s="10"/>
      <c r="T148" s="10">
        <f t="shared" si="64"/>
        <v>53142.9</v>
      </c>
      <c r="U148" s="10">
        <v>-1107.105</v>
      </c>
      <c r="V148" s="10">
        <f t="shared" ref="V148:V149" si="132">T148+U148</f>
        <v>52035.794999999998</v>
      </c>
      <c r="W148" s="18"/>
    </row>
    <row r="149" spans="1:24" ht="46.8" x14ac:dyDescent="0.3">
      <c r="A149" s="37">
        <v>42</v>
      </c>
      <c r="B149" s="6" t="s">
        <v>61</v>
      </c>
      <c r="C149" s="8">
        <f>C151</f>
        <v>0</v>
      </c>
      <c r="D149" s="8">
        <f t="shared" si="129"/>
        <v>6145</v>
      </c>
      <c r="E149" s="9">
        <f>E151</f>
        <v>6145</v>
      </c>
      <c r="F149" s="8">
        <f>F151</f>
        <v>0</v>
      </c>
      <c r="G149" s="8">
        <f t="shared" si="130"/>
        <v>6145</v>
      </c>
      <c r="H149" s="9">
        <f>H151</f>
        <v>6145</v>
      </c>
      <c r="I149" s="9">
        <f>I151</f>
        <v>6145</v>
      </c>
      <c r="J149" s="9">
        <f>J151</f>
        <v>0</v>
      </c>
      <c r="K149" s="10">
        <f t="shared" si="55"/>
        <v>6145</v>
      </c>
      <c r="L149" s="10">
        <f t="shared" si="56"/>
        <v>6145</v>
      </c>
      <c r="M149" s="10">
        <f>M151</f>
        <v>0</v>
      </c>
      <c r="N149" s="10">
        <f t="shared" si="57"/>
        <v>6145</v>
      </c>
      <c r="O149" s="10"/>
      <c r="P149" s="10">
        <f t="shared" si="70"/>
        <v>6145</v>
      </c>
      <c r="Q149" s="10"/>
      <c r="R149" s="10">
        <f t="shared" si="131"/>
        <v>6145</v>
      </c>
      <c r="S149" s="10"/>
      <c r="T149" s="10">
        <f t="shared" si="64"/>
        <v>6145</v>
      </c>
      <c r="U149" s="10">
        <f>U151</f>
        <v>-275</v>
      </c>
      <c r="V149" s="10">
        <f t="shared" si="132"/>
        <v>5870</v>
      </c>
      <c r="W149" s="18" t="s">
        <v>135</v>
      </c>
    </row>
    <row r="150" spans="1:24" x14ac:dyDescent="0.3">
      <c r="A150" s="37"/>
      <c r="B150" s="6" t="s">
        <v>8</v>
      </c>
      <c r="C150" s="8"/>
      <c r="D150" s="8"/>
      <c r="E150" s="9"/>
      <c r="F150" s="8"/>
      <c r="G150" s="8"/>
      <c r="H150" s="9"/>
      <c r="I150" s="9"/>
      <c r="J150" s="9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8"/>
    </row>
    <row r="151" spans="1:24" x14ac:dyDescent="0.3">
      <c r="A151" s="37"/>
      <c r="B151" s="6" t="s">
        <v>9</v>
      </c>
      <c r="C151" s="8"/>
      <c r="D151" s="8">
        <f t="shared" ref="D151:D152" si="133">E151-C151</f>
        <v>6145</v>
      </c>
      <c r="E151" s="9">
        <v>6145</v>
      </c>
      <c r="F151" s="8"/>
      <c r="G151" s="8">
        <f t="shared" ref="G151:G152" si="134">H151-F151</f>
        <v>6145</v>
      </c>
      <c r="H151" s="9">
        <v>6145</v>
      </c>
      <c r="I151" s="9">
        <v>6145</v>
      </c>
      <c r="J151" s="9"/>
      <c r="K151" s="10">
        <f t="shared" ref="K151:K223" si="135">L151-C151</f>
        <v>6145</v>
      </c>
      <c r="L151" s="10">
        <f t="shared" ref="L151:L223" si="136">E151+J151</f>
        <v>6145</v>
      </c>
      <c r="M151" s="10"/>
      <c r="N151" s="10">
        <f t="shared" ref="N151" si="137">L151+M151</f>
        <v>6145</v>
      </c>
      <c r="O151" s="10"/>
      <c r="P151" s="10">
        <f t="shared" si="70"/>
        <v>6145</v>
      </c>
      <c r="Q151" s="10"/>
      <c r="R151" s="10">
        <f t="shared" ref="R151" si="138">P151+Q151</f>
        <v>6145</v>
      </c>
      <c r="S151" s="10"/>
      <c r="T151" s="10">
        <f t="shared" si="64"/>
        <v>6145</v>
      </c>
      <c r="U151" s="10">
        <v>-275</v>
      </c>
      <c r="V151" s="10">
        <f t="shared" ref="V151" si="139">T151+U151</f>
        <v>5870</v>
      </c>
      <c r="W151" s="18"/>
    </row>
    <row r="152" spans="1:24" s="1" customFormat="1" ht="31.5" hidden="1" x14ac:dyDescent="0.25">
      <c r="A152" s="11">
        <v>44</v>
      </c>
      <c r="B152" s="6" t="s">
        <v>62</v>
      </c>
      <c r="C152" s="8">
        <f>C154</f>
        <v>0</v>
      </c>
      <c r="D152" s="8">
        <f t="shared" si="133"/>
        <v>0</v>
      </c>
      <c r="E152" s="9">
        <f>E154</f>
        <v>0</v>
      </c>
      <c r="F152" s="8">
        <f>F154</f>
        <v>0</v>
      </c>
      <c r="G152" s="8">
        <f t="shared" si="134"/>
        <v>40000</v>
      </c>
      <c r="H152" s="9">
        <f>H154</f>
        <v>40000</v>
      </c>
      <c r="I152" s="9">
        <f>I154</f>
        <v>40000</v>
      </c>
      <c r="J152" s="9">
        <f>J154</f>
        <v>0</v>
      </c>
      <c r="K152" s="10">
        <f t="shared" si="135"/>
        <v>0</v>
      </c>
      <c r="L152" s="10">
        <f t="shared" si="136"/>
        <v>0</v>
      </c>
      <c r="M152" s="18">
        <f t="shared" ref="M152" si="140">N152-E152</f>
        <v>40000</v>
      </c>
      <c r="N152" s="18">
        <f t="shared" ref="N152" si="141">G152+L152</f>
        <v>40000</v>
      </c>
      <c r="O152" s="18"/>
      <c r="P152" s="18"/>
      <c r="Q152" s="18"/>
      <c r="R152" s="18"/>
      <c r="S152" s="18"/>
      <c r="T152" s="18"/>
      <c r="U152" s="18"/>
      <c r="V152" s="18"/>
      <c r="W152" s="18"/>
      <c r="X152" s="1">
        <v>0</v>
      </c>
    </row>
    <row r="153" spans="1:24" s="1" customFormat="1" ht="15.75" hidden="1" x14ac:dyDescent="0.25">
      <c r="A153" s="11"/>
      <c r="B153" s="6" t="s">
        <v>8</v>
      </c>
      <c r="C153" s="8"/>
      <c r="D153" s="8"/>
      <c r="E153" s="9"/>
      <c r="F153" s="8"/>
      <c r="G153" s="8"/>
      <c r="H153" s="9"/>
      <c r="I153" s="9"/>
      <c r="J153" s="9"/>
      <c r="K153" s="10"/>
      <c r="L153" s="10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">
        <v>0</v>
      </c>
    </row>
    <row r="154" spans="1:24" s="1" customFormat="1" ht="15.75" hidden="1" x14ac:dyDescent="0.25">
      <c r="A154" s="11"/>
      <c r="B154" s="6" t="s">
        <v>9</v>
      </c>
      <c r="C154" s="8"/>
      <c r="D154" s="8">
        <f t="shared" ref="D154:D155" si="142">E154-C154</f>
        <v>0</v>
      </c>
      <c r="E154" s="9"/>
      <c r="F154" s="8"/>
      <c r="G154" s="8">
        <f t="shared" ref="G154:G155" si="143">H154-F154</f>
        <v>40000</v>
      </c>
      <c r="H154" s="9">
        <v>40000</v>
      </c>
      <c r="I154" s="9">
        <v>40000</v>
      </c>
      <c r="J154" s="9"/>
      <c r="K154" s="10">
        <f t="shared" si="135"/>
        <v>0</v>
      </c>
      <c r="L154" s="10">
        <f t="shared" si="136"/>
        <v>0</v>
      </c>
      <c r="M154" s="18">
        <f t="shared" ref="M154" si="144">N154-E154</f>
        <v>40000</v>
      </c>
      <c r="N154" s="18">
        <f t="shared" ref="N154" si="145">G154+L154</f>
        <v>40000</v>
      </c>
      <c r="O154" s="18"/>
      <c r="P154" s="18"/>
      <c r="Q154" s="18"/>
      <c r="R154" s="18"/>
      <c r="S154" s="18"/>
      <c r="T154" s="18"/>
      <c r="U154" s="18"/>
      <c r="V154" s="18"/>
      <c r="W154" s="18"/>
      <c r="X154" s="1">
        <v>0</v>
      </c>
    </row>
    <row r="155" spans="1:24" ht="62.4" x14ac:dyDescent="0.3">
      <c r="A155" s="37">
        <v>43</v>
      </c>
      <c r="B155" s="6" t="s">
        <v>78</v>
      </c>
      <c r="C155" s="8">
        <f>C157</f>
        <v>0</v>
      </c>
      <c r="D155" s="8">
        <f t="shared" si="142"/>
        <v>5022.7</v>
      </c>
      <c r="E155" s="9">
        <f>E157</f>
        <v>5022.7</v>
      </c>
      <c r="F155" s="8">
        <f>F157</f>
        <v>0</v>
      </c>
      <c r="G155" s="8">
        <f t="shared" si="143"/>
        <v>5006.6000000000004</v>
      </c>
      <c r="H155" s="9">
        <f>H157</f>
        <v>5006.6000000000004</v>
      </c>
      <c r="I155" s="9">
        <f>I157</f>
        <v>8720.4</v>
      </c>
      <c r="J155" s="9">
        <f>J157</f>
        <v>0</v>
      </c>
      <c r="K155" s="10">
        <f t="shared" si="135"/>
        <v>5022.7</v>
      </c>
      <c r="L155" s="10">
        <f t="shared" si="136"/>
        <v>5022.7</v>
      </c>
      <c r="M155" s="10">
        <f>M157</f>
        <v>0</v>
      </c>
      <c r="N155" s="10">
        <f t="shared" ref="N155:N218" si="146">L155+M155</f>
        <v>5022.7</v>
      </c>
      <c r="O155" s="10"/>
      <c r="P155" s="10">
        <f t="shared" ref="P155:P203" si="147">N155+O155</f>
        <v>5022.7</v>
      </c>
      <c r="Q155" s="10"/>
      <c r="R155" s="10">
        <f t="shared" ref="R155" si="148">P155+Q155</f>
        <v>5022.7</v>
      </c>
      <c r="S155" s="10"/>
      <c r="T155" s="10">
        <f t="shared" ref="T155:T203" si="149">R155+S155</f>
        <v>5022.7</v>
      </c>
      <c r="U155" s="10"/>
      <c r="V155" s="10">
        <f t="shared" ref="V155" si="150">T155+U155</f>
        <v>5022.7</v>
      </c>
      <c r="W155" s="18"/>
    </row>
    <row r="156" spans="1:24" x14ac:dyDescent="0.3">
      <c r="A156" s="37"/>
      <c r="B156" s="6" t="s">
        <v>8</v>
      </c>
      <c r="C156" s="8"/>
      <c r="D156" s="8"/>
      <c r="E156" s="9"/>
      <c r="F156" s="8"/>
      <c r="G156" s="8"/>
      <c r="H156" s="9"/>
      <c r="I156" s="9"/>
      <c r="J156" s="9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8"/>
    </row>
    <row r="157" spans="1:24" x14ac:dyDescent="0.3">
      <c r="A157" s="37"/>
      <c r="B157" s="6" t="s">
        <v>9</v>
      </c>
      <c r="C157" s="8"/>
      <c r="D157" s="8">
        <f t="shared" ref="D157:D158" si="151">E157-C157</f>
        <v>5022.7</v>
      </c>
      <c r="E157" s="9">
        <v>5022.7</v>
      </c>
      <c r="F157" s="8"/>
      <c r="G157" s="8">
        <f t="shared" ref="G157:G158" si="152">H157-F157</f>
        <v>5006.6000000000004</v>
      </c>
      <c r="H157" s="9">
        <v>5006.6000000000004</v>
      </c>
      <c r="I157" s="9">
        <v>8720.4</v>
      </c>
      <c r="J157" s="9"/>
      <c r="K157" s="10">
        <f t="shared" si="135"/>
        <v>5022.7</v>
      </c>
      <c r="L157" s="10">
        <f t="shared" si="136"/>
        <v>5022.7</v>
      </c>
      <c r="M157" s="10"/>
      <c r="N157" s="10">
        <f t="shared" si="146"/>
        <v>5022.7</v>
      </c>
      <c r="O157" s="10"/>
      <c r="P157" s="10">
        <f t="shared" si="147"/>
        <v>5022.7</v>
      </c>
      <c r="Q157" s="10"/>
      <c r="R157" s="10">
        <f t="shared" ref="R157:R158" si="153">P157+Q157</f>
        <v>5022.7</v>
      </c>
      <c r="S157" s="10"/>
      <c r="T157" s="10">
        <f t="shared" si="149"/>
        <v>5022.7</v>
      </c>
      <c r="U157" s="10"/>
      <c r="V157" s="10">
        <f t="shared" ref="V157:V158" si="154">T157+U157</f>
        <v>5022.7</v>
      </c>
      <c r="W157" s="18"/>
    </row>
    <row r="158" spans="1:24" ht="46.8" x14ac:dyDescent="0.3">
      <c r="A158" s="37">
        <v>44</v>
      </c>
      <c r="B158" s="6" t="s">
        <v>75</v>
      </c>
      <c r="C158" s="8">
        <f>C160</f>
        <v>0</v>
      </c>
      <c r="D158" s="8">
        <f t="shared" si="151"/>
        <v>1218</v>
      </c>
      <c r="E158" s="9">
        <f>E160</f>
        <v>1218</v>
      </c>
      <c r="F158" s="8">
        <f>F160</f>
        <v>0</v>
      </c>
      <c r="G158" s="8">
        <f t="shared" si="152"/>
        <v>18420.5</v>
      </c>
      <c r="H158" s="9">
        <f>H160</f>
        <v>18420.5</v>
      </c>
      <c r="I158" s="9">
        <f>I160</f>
        <v>22297.599999999999</v>
      </c>
      <c r="J158" s="9">
        <f>J160</f>
        <v>0</v>
      </c>
      <c r="K158" s="10">
        <f t="shared" si="135"/>
        <v>1218</v>
      </c>
      <c r="L158" s="10">
        <f t="shared" si="136"/>
        <v>1218</v>
      </c>
      <c r="M158" s="10">
        <f>M160</f>
        <v>0</v>
      </c>
      <c r="N158" s="10">
        <f t="shared" si="146"/>
        <v>1218</v>
      </c>
      <c r="O158" s="10"/>
      <c r="P158" s="10">
        <f t="shared" si="147"/>
        <v>1218</v>
      </c>
      <c r="Q158" s="10"/>
      <c r="R158" s="10">
        <f t="shared" si="153"/>
        <v>1218</v>
      </c>
      <c r="S158" s="10"/>
      <c r="T158" s="10">
        <f t="shared" si="149"/>
        <v>1218</v>
      </c>
      <c r="U158" s="10"/>
      <c r="V158" s="10">
        <f t="shared" si="154"/>
        <v>1218</v>
      </c>
      <c r="W158" s="18"/>
    </row>
    <row r="159" spans="1:24" x14ac:dyDescent="0.3">
      <c r="A159" s="37"/>
      <c r="B159" s="6" t="s">
        <v>8</v>
      </c>
      <c r="C159" s="8"/>
      <c r="D159" s="8"/>
      <c r="E159" s="9"/>
      <c r="F159" s="8"/>
      <c r="G159" s="8"/>
      <c r="H159" s="9"/>
      <c r="I159" s="9"/>
      <c r="J159" s="9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8"/>
    </row>
    <row r="160" spans="1:24" x14ac:dyDescent="0.3">
      <c r="A160" s="37"/>
      <c r="B160" s="6" t="s">
        <v>9</v>
      </c>
      <c r="C160" s="8"/>
      <c r="D160" s="8">
        <f t="shared" ref="D160:D161" si="155">E160-C160</f>
        <v>1218</v>
      </c>
      <c r="E160" s="9">
        <v>1218</v>
      </c>
      <c r="F160" s="8"/>
      <c r="G160" s="8">
        <f t="shared" ref="G160:G161" si="156">H160-F160</f>
        <v>18420.5</v>
      </c>
      <c r="H160" s="9">
        <v>18420.5</v>
      </c>
      <c r="I160" s="9">
        <v>22297.599999999999</v>
      </c>
      <c r="J160" s="9"/>
      <c r="K160" s="10">
        <f t="shared" si="135"/>
        <v>1218</v>
      </c>
      <c r="L160" s="10">
        <f t="shared" si="136"/>
        <v>1218</v>
      </c>
      <c r="M160" s="10"/>
      <c r="N160" s="10">
        <f t="shared" si="146"/>
        <v>1218</v>
      </c>
      <c r="O160" s="10"/>
      <c r="P160" s="10">
        <f t="shared" si="147"/>
        <v>1218</v>
      </c>
      <c r="Q160" s="10"/>
      <c r="R160" s="10">
        <f t="shared" ref="R160:R161" si="157">P160+Q160</f>
        <v>1218</v>
      </c>
      <c r="S160" s="10"/>
      <c r="T160" s="10">
        <f t="shared" si="149"/>
        <v>1218</v>
      </c>
      <c r="U160" s="10"/>
      <c r="V160" s="10">
        <f t="shared" ref="V160:V161" si="158">T160+U160</f>
        <v>1218</v>
      </c>
      <c r="W160" s="18"/>
    </row>
    <row r="161" spans="1:23" ht="46.8" x14ac:dyDescent="0.3">
      <c r="A161" s="37">
        <v>45</v>
      </c>
      <c r="B161" s="6" t="s">
        <v>77</v>
      </c>
      <c r="C161" s="8">
        <f>C163</f>
        <v>0</v>
      </c>
      <c r="D161" s="8">
        <f t="shared" si="155"/>
        <v>2165.6999999999998</v>
      </c>
      <c r="E161" s="9">
        <f>E163</f>
        <v>2165.6999999999998</v>
      </c>
      <c r="F161" s="8">
        <f>F163</f>
        <v>0</v>
      </c>
      <c r="G161" s="8">
        <f t="shared" si="156"/>
        <v>13687.6</v>
      </c>
      <c r="H161" s="9">
        <f>H163</f>
        <v>13687.6</v>
      </c>
      <c r="I161" s="9">
        <f>I163</f>
        <v>31364.1</v>
      </c>
      <c r="J161" s="9">
        <f>J163</f>
        <v>0</v>
      </c>
      <c r="K161" s="10">
        <f t="shared" si="135"/>
        <v>2165.6999999999998</v>
      </c>
      <c r="L161" s="10">
        <f t="shared" si="136"/>
        <v>2165.6999999999998</v>
      </c>
      <c r="M161" s="10">
        <f>M163</f>
        <v>0</v>
      </c>
      <c r="N161" s="10">
        <f t="shared" si="146"/>
        <v>2165.6999999999998</v>
      </c>
      <c r="O161" s="10"/>
      <c r="P161" s="10">
        <f t="shared" si="147"/>
        <v>2165.6999999999998</v>
      </c>
      <c r="Q161" s="10"/>
      <c r="R161" s="10">
        <f t="shared" si="157"/>
        <v>2165.6999999999998</v>
      </c>
      <c r="S161" s="10"/>
      <c r="T161" s="10">
        <f t="shared" si="149"/>
        <v>2165.6999999999998</v>
      </c>
      <c r="U161" s="10"/>
      <c r="V161" s="10">
        <f t="shared" si="158"/>
        <v>2165.6999999999998</v>
      </c>
      <c r="W161" s="18"/>
    </row>
    <row r="162" spans="1:23" x14ac:dyDescent="0.3">
      <c r="A162" s="37"/>
      <c r="B162" s="6" t="s">
        <v>8</v>
      </c>
      <c r="C162" s="8"/>
      <c r="D162" s="8"/>
      <c r="E162" s="9"/>
      <c r="F162" s="8"/>
      <c r="G162" s="8"/>
      <c r="H162" s="9"/>
      <c r="I162" s="9"/>
      <c r="J162" s="9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8"/>
    </row>
    <row r="163" spans="1:23" x14ac:dyDescent="0.3">
      <c r="A163" s="37"/>
      <c r="B163" s="6" t="s">
        <v>9</v>
      </c>
      <c r="C163" s="8"/>
      <c r="D163" s="8">
        <f t="shared" ref="D163:D164" si="159">E163-C163</f>
        <v>2165.6999999999998</v>
      </c>
      <c r="E163" s="9">
        <v>2165.6999999999998</v>
      </c>
      <c r="F163" s="8"/>
      <c r="G163" s="8">
        <f t="shared" ref="G163:G164" si="160">H163-F163</f>
        <v>13687.6</v>
      </c>
      <c r="H163" s="9">
        <v>13687.6</v>
      </c>
      <c r="I163" s="9">
        <v>31364.1</v>
      </c>
      <c r="J163" s="9"/>
      <c r="K163" s="10">
        <f t="shared" si="135"/>
        <v>2165.6999999999998</v>
      </c>
      <c r="L163" s="10">
        <f t="shared" si="136"/>
        <v>2165.6999999999998</v>
      </c>
      <c r="M163" s="10"/>
      <c r="N163" s="10">
        <f t="shared" si="146"/>
        <v>2165.6999999999998</v>
      </c>
      <c r="O163" s="10"/>
      <c r="P163" s="10">
        <f t="shared" si="147"/>
        <v>2165.6999999999998</v>
      </c>
      <c r="Q163" s="10"/>
      <c r="R163" s="10">
        <f t="shared" ref="R163:R164" si="161">P163+Q163</f>
        <v>2165.6999999999998</v>
      </c>
      <c r="S163" s="10"/>
      <c r="T163" s="10">
        <f t="shared" si="149"/>
        <v>2165.6999999999998</v>
      </c>
      <c r="U163" s="10"/>
      <c r="V163" s="10">
        <f t="shared" ref="V163:V164" si="162">T163+U163</f>
        <v>2165.6999999999998</v>
      </c>
      <c r="W163" s="18"/>
    </row>
    <row r="164" spans="1:23" ht="62.4" x14ac:dyDescent="0.3">
      <c r="A164" s="37">
        <v>46</v>
      </c>
      <c r="B164" s="6" t="s">
        <v>76</v>
      </c>
      <c r="C164" s="8">
        <f>C166</f>
        <v>0</v>
      </c>
      <c r="D164" s="8">
        <f t="shared" si="159"/>
        <v>10592.8</v>
      </c>
      <c r="E164" s="9">
        <f>E166</f>
        <v>10592.8</v>
      </c>
      <c r="F164" s="8">
        <f>F166</f>
        <v>0</v>
      </c>
      <c r="G164" s="8">
        <f t="shared" si="160"/>
        <v>16853.5</v>
      </c>
      <c r="H164" s="9">
        <f>H166</f>
        <v>16853.5</v>
      </c>
      <c r="I164" s="9">
        <f>I166</f>
        <v>7634.5</v>
      </c>
      <c r="J164" s="9">
        <f>J166</f>
        <v>0</v>
      </c>
      <c r="K164" s="10">
        <f t="shared" si="135"/>
        <v>10592.8</v>
      </c>
      <c r="L164" s="10">
        <f t="shared" si="136"/>
        <v>10592.8</v>
      </c>
      <c r="M164" s="10">
        <f>M166</f>
        <v>0</v>
      </c>
      <c r="N164" s="10">
        <f t="shared" si="146"/>
        <v>10592.8</v>
      </c>
      <c r="O164" s="10"/>
      <c r="P164" s="10">
        <f t="shared" si="147"/>
        <v>10592.8</v>
      </c>
      <c r="Q164" s="10"/>
      <c r="R164" s="10">
        <f t="shared" si="161"/>
        <v>10592.8</v>
      </c>
      <c r="S164" s="10"/>
      <c r="T164" s="10">
        <f t="shared" si="149"/>
        <v>10592.8</v>
      </c>
      <c r="U164" s="10"/>
      <c r="V164" s="10">
        <f t="shared" si="162"/>
        <v>10592.8</v>
      </c>
      <c r="W164" s="18"/>
    </row>
    <row r="165" spans="1:23" x14ac:dyDescent="0.3">
      <c r="A165" s="37"/>
      <c r="B165" s="6" t="s">
        <v>8</v>
      </c>
      <c r="C165" s="8"/>
      <c r="D165" s="8"/>
      <c r="E165" s="9"/>
      <c r="F165" s="8"/>
      <c r="G165" s="8"/>
      <c r="H165" s="9"/>
      <c r="I165" s="9"/>
      <c r="J165" s="9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8"/>
    </row>
    <row r="166" spans="1:23" x14ac:dyDescent="0.3">
      <c r="A166" s="37"/>
      <c r="B166" s="6" t="s">
        <v>9</v>
      </c>
      <c r="C166" s="8"/>
      <c r="D166" s="8">
        <f t="shared" ref="D166:D167" si="163">E166-C166</f>
        <v>10592.8</v>
      </c>
      <c r="E166" s="9">
        <v>10592.8</v>
      </c>
      <c r="F166" s="8"/>
      <c r="G166" s="8">
        <f t="shared" ref="G166:G167" si="164">H166-F166</f>
        <v>16853.5</v>
      </c>
      <c r="H166" s="9">
        <v>16853.5</v>
      </c>
      <c r="I166" s="9">
        <v>7634.5</v>
      </c>
      <c r="J166" s="9"/>
      <c r="K166" s="10">
        <f t="shared" si="135"/>
        <v>10592.8</v>
      </c>
      <c r="L166" s="10">
        <f t="shared" si="136"/>
        <v>10592.8</v>
      </c>
      <c r="M166" s="10"/>
      <c r="N166" s="10">
        <f t="shared" si="146"/>
        <v>10592.8</v>
      </c>
      <c r="O166" s="10"/>
      <c r="P166" s="10">
        <f t="shared" si="147"/>
        <v>10592.8</v>
      </c>
      <c r="Q166" s="10"/>
      <c r="R166" s="10">
        <f t="shared" ref="R166:R167" si="165">P166+Q166</f>
        <v>10592.8</v>
      </c>
      <c r="S166" s="10"/>
      <c r="T166" s="10">
        <f t="shared" si="149"/>
        <v>10592.8</v>
      </c>
      <c r="U166" s="10"/>
      <c r="V166" s="10">
        <f t="shared" ref="V166:V167" si="166">T166+U166</f>
        <v>10592.8</v>
      </c>
      <c r="W166" s="18"/>
    </row>
    <row r="167" spans="1:23" ht="31.2" x14ac:dyDescent="0.3">
      <c r="A167" s="37">
        <v>47</v>
      </c>
      <c r="B167" s="6" t="s">
        <v>63</v>
      </c>
      <c r="C167" s="8">
        <f>C169</f>
        <v>0</v>
      </c>
      <c r="D167" s="8">
        <f t="shared" si="163"/>
        <v>100000</v>
      </c>
      <c r="E167" s="9">
        <f>E169</f>
        <v>100000</v>
      </c>
      <c r="F167" s="8">
        <f>F169</f>
        <v>0</v>
      </c>
      <c r="G167" s="8">
        <f t="shared" si="164"/>
        <v>103350</v>
      </c>
      <c r="H167" s="9">
        <f>H169</f>
        <v>103350</v>
      </c>
      <c r="I167" s="9">
        <f>I169</f>
        <v>0</v>
      </c>
      <c r="J167" s="9">
        <f>J169</f>
        <v>0</v>
      </c>
      <c r="K167" s="10">
        <f t="shared" si="135"/>
        <v>100000</v>
      </c>
      <c r="L167" s="10">
        <f t="shared" si="136"/>
        <v>100000</v>
      </c>
      <c r="M167" s="10">
        <f>M169</f>
        <v>0</v>
      </c>
      <c r="N167" s="10">
        <f t="shared" si="146"/>
        <v>100000</v>
      </c>
      <c r="O167" s="10"/>
      <c r="P167" s="10">
        <f t="shared" si="147"/>
        <v>100000</v>
      </c>
      <c r="Q167" s="10"/>
      <c r="R167" s="10">
        <f t="shared" si="165"/>
        <v>100000</v>
      </c>
      <c r="S167" s="10"/>
      <c r="T167" s="10">
        <f t="shared" si="149"/>
        <v>100000</v>
      </c>
      <c r="U167" s="10">
        <f>U169</f>
        <v>0</v>
      </c>
      <c r="V167" s="10">
        <f t="shared" si="166"/>
        <v>100000</v>
      </c>
      <c r="W167" s="18" t="s">
        <v>133</v>
      </c>
    </row>
    <row r="168" spans="1:23" x14ac:dyDescent="0.3">
      <c r="A168" s="37"/>
      <c r="B168" s="6" t="s">
        <v>8</v>
      </c>
      <c r="C168" s="8"/>
      <c r="D168" s="8"/>
      <c r="E168" s="9"/>
      <c r="F168" s="8"/>
      <c r="G168" s="8"/>
      <c r="H168" s="9"/>
      <c r="I168" s="9"/>
      <c r="J168" s="9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8"/>
    </row>
    <row r="169" spans="1:23" x14ac:dyDescent="0.3">
      <c r="A169" s="37"/>
      <c r="B169" s="6" t="s">
        <v>9</v>
      </c>
      <c r="C169" s="8"/>
      <c r="D169" s="8">
        <f t="shared" ref="D169" si="167">E169-C169</f>
        <v>100000</v>
      </c>
      <c r="E169" s="9">
        <v>100000</v>
      </c>
      <c r="F169" s="8"/>
      <c r="G169" s="8">
        <f t="shared" ref="G169" si="168">H169-F169</f>
        <v>103350</v>
      </c>
      <c r="H169" s="9">
        <v>103350</v>
      </c>
      <c r="I169" s="9">
        <v>0</v>
      </c>
      <c r="J169" s="9"/>
      <c r="K169" s="10">
        <f t="shared" si="135"/>
        <v>100000</v>
      </c>
      <c r="L169" s="10">
        <f t="shared" si="136"/>
        <v>100000</v>
      </c>
      <c r="M169" s="10"/>
      <c r="N169" s="10">
        <f t="shared" si="146"/>
        <v>100000</v>
      </c>
      <c r="O169" s="10"/>
      <c r="P169" s="10">
        <f t="shared" si="147"/>
        <v>100000</v>
      </c>
      <c r="Q169" s="10"/>
      <c r="R169" s="10">
        <f t="shared" ref="R169:R170" si="169">P169+Q169</f>
        <v>100000</v>
      </c>
      <c r="S169" s="10"/>
      <c r="T169" s="10">
        <f t="shared" si="149"/>
        <v>100000</v>
      </c>
      <c r="U169" s="10"/>
      <c r="V169" s="10">
        <f t="shared" ref="V169:V170" si="170">T169+U169</f>
        <v>100000</v>
      </c>
      <c r="W169" s="18"/>
    </row>
    <row r="170" spans="1:23" ht="31.2" x14ac:dyDescent="0.3">
      <c r="A170" s="37">
        <v>48</v>
      </c>
      <c r="B170" s="6" t="s">
        <v>87</v>
      </c>
      <c r="C170" s="8"/>
      <c r="D170" s="8"/>
      <c r="E170" s="9"/>
      <c r="F170" s="8"/>
      <c r="G170" s="8"/>
      <c r="H170" s="9"/>
      <c r="I170" s="9"/>
      <c r="J170" s="9">
        <f>J172</f>
        <v>27325.599999999999</v>
      </c>
      <c r="K170" s="10">
        <f t="shared" si="135"/>
        <v>27325.599999999999</v>
      </c>
      <c r="L170" s="10">
        <f t="shared" si="136"/>
        <v>27325.599999999999</v>
      </c>
      <c r="M170" s="10">
        <f>M172</f>
        <v>0</v>
      </c>
      <c r="N170" s="10">
        <f t="shared" si="146"/>
        <v>27325.599999999999</v>
      </c>
      <c r="O170" s="10"/>
      <c r="P170" s="10">
        <f t="shared" si="147"/>
        <v>27325.599999999999</v>
      </c>
      <c r="Q170" s="30">
        <f>Q172</f>
        <v>33374.654000000002</v>
      </c>
      <c r="R170" s="30">
        <f t="shared" si="169"/>
        <v>60700.254000000001</v>
      </c>
      <c r="S170" s="30">
        <f>S172</f>
        <v>0</v>
      </c>
      <c r="T170" s="10">
        <f t="shared" si="149"/>
        <v>60700.254000000001</v>
      </c>
      <c r="U170" s="10">
        <f>U172</f>
        <v>0</v>
      </c>
      <c r="V170" s="10">
        <f t="shared" si="170"/>
        <v>60700.254000000001</v>
      </c>
      <c r="W170" s="18" t="s">
        <v>109</v>
      </c>
    </row>
    <row r="171" spans="1:23" x14ac:dyDescent="0.3">
      <c r="A171" s="37"/>
      <c r="B171" s="6" t="s">
        <v>8</v>
      </c>
      <c r="C171" s="8"/>
      <c r="D171" s="8"/>
      <c r="E171" s="9"/>
      <c r="F171" s="8"/>
      <c r="G171" s="8"/>
      <c r="H171" s="9"/>
      <c r="I171" s="9"/>
      <c r="J171" s="9"/>
      <c r="K171" s="10"/>
      <c r="L171" s="10"/>
      <c r="M171" s="10"/>
      <c r="N171" s="10"/>
      <c r="O171" s="10"/>
      <c r="P171" s="10"/>
      <c r="Q171" s="30"/>
      <c r="R171" s="30"/>
      <c r="S171" s="30"/>
      <c r="T171" s="10"/>
      <c r="U171" s="10"/>
      <c r="V171" s="10"/>
      <c r="W171" s="18"/>
    </row>
    <row r="172" spans="1:23" x14ac:dyDescent="0.3">
      <c r="A172" s="37"/>
      <c r="B172" s="6" t="s">
        <v>9</v>
      </c>
      <c r="C172" s="8"/>
      <c r="D172" s="8"/>
      <c r="E172" s="9"/>
      <c r="F172" s="8"/>
      <c r="G172" s="8"/>
      <c r="H172" s="9"/>
      <c r="I172" s="9"/>
      <c r="J172" s="9">
        <f>27325.6</f>
        <v>27325.599999999999</v>
      </c>
      <c r="K172" s="10">
        <f t="shared" si="135"/>
        <v>27325.599999999999</v>
      </c>
      <c r="L172" s="10">
        <f t="shared" si="136"/>
        <v>27325.599999999999</v>
      </c>
      <c r="M172" s="10"/>
      <c r="N172" s="10">
        <f t="shared" si="146"/>
        <v>27325.599999999999</v>
      </c>
      <c r="O172" s="10"/>
      <c r="P172" s="10">
        <f t="shared" si="147"/>
        <v>27325.599999999999</v>
      </c>
      <c r="Q172" s="30">
        <v>33374.654000000002</v>
      </c>
      <c r="R172" s="30">
        <f t="shared" ref="R172:R177" si="171">P172+Q172</f>
        <v>60700.254000000001</v>
      </c>
      <c r="S172" s="30"/>
      <c r="T172" s="10">
        <f t="shared" si="149"/>
        <v>60700.254000000001</v>
      </c>
      <c r="U172" s="10"/>
      <c r="V172" s="10">
        <f t="shared" ref="V172:V173" si="172">T172+U172</f>
        <v>60700.254000000001</v>
      </c>
      <c r="W172" s="18"/>
    </row>
    <row r="173" spans="1:23" ht="46.8" x14ac:dyDescent="0.3">
      <c r="A173" s="37">
        <v>49</v>
      </c>
      <c r="B173" s="6" t="s">
        <v>88</v>
      </c>
      <c r="C173" s="28"/>
      <c r="D173" s="28"/>
      <c r="E173" s="29"/>
      <c r="F173" s="28"/>
      <c r="G173" s="28"/>
      <c r="H173" s="29"/>
      <c r="I173" s="29"/>
      <c r="J173" s="29"/>
      <c r="K173" s="19"/>
      <c r="L173" s="19"/>
      <c r="M173" s="19"/>
      <c r="N173" s="19"/>
      <c r="O173" s="19"/>
      <c r="P173" s="19"/>
      <c r="Q173" s="30">
        <f>Q175</f>
        <v>13482.751</v>
      </c>
      <c r="R173" s="30">
        <f t="shared" si="171"/>
        <v>13482.751</v>
      </c>
      <c r="S173" s="30">
        <f>S175</f>
        <v>0</v>
      </c>
      <c r="T173" s="10">
        <f t="shared" si="149"/>
        <v>13482.751</v>
      </c>
      <c r="U173" s="10">
        <f>U175</f>
        <v>0</v>
      </c>
      <c r="V173" s="10">
        <f t="shared" si="172"/>
        <v>13482.751</v>
      </c>
      <c r="W173" s="18" t="s">
        <v>89</v>
      </c>
    </row>
    <row r="174" spans="1:23" x14ac:dyDescent="0.3">
      <c r="A174" s="37"/>
      <c r="B174" s="6" t="s">
        <v>8</v>
      </c>
      <c r="C174" s="28"/>
      <c r="D174" s="28"/>
      <c r="E174" s="29"/>
      <c r="F174" s="28"/>
      <c r="G174" s="28"/>
      <c r="H174" s="29"/>
      <c r="I174" s="29"/>
      <c r="J174" s="29"/>
      <c r="K174" s="19"/>
      <c r="L174" s="19"/>
      <c r="M174" s="19"/>
      <c r="N174" s="19"/>
      <c r="O174" s="19"/>
      <c r="P174" s="19"/>
      <c r="Q174" s="30"/>
      <c r="R174" s="30"/>
      <c r="S174" s="30"/>
      <c r="T174" s="10"/>
      <c r="U174" s="10"/>
      <c r="V174" s="10"/>
      <c r="W174" s="18"/>
    </row>
    <row r="175" spans="1:23" x14ac:dyDescent="0.3">
      <c r="A175" s="37"/>
      <c r="B175" s="6" t="s">
        <v>9</v>
      </c>
      <c r="C175" s="28"/>
      <c r="D175" s="28"/>
      <c r="E175" s="29"/>
      <c r="F175" s="28"/>
      <c r="G175" s="28"/>
      <c r="H175" s="29"/>
      <c r="I175" s="29"/>
      <c r="J175" s="29"/>
      <c r="K175" s="19"/>
      <c r="L175" s="19"/>
      <c r="M175" s="19"/>
      <c r="N175" s="19"/>
      <c r="O175" s="19"/>
      <c r="P175" s="19"/>
      <c r="Q175" s="30">
        <v>13482.751</v>
      </c>
      <c r="R175" s="30">
        <f t="shared" ref="R175" si="173">P175+Q175</f>
        <v>13482.751</v>
      </c>
      <c r="S175" s="30"/>
      <c r="T175" s="10">
        <f t="shared" si="149"/>
        <v>13482.751</v>
      </c>
      <c r="U175" s="10"/>
      <c r="V175" s="10">
        <f t="shared" ref="V175:V177" si="174">T175+U175</f>
        <v>13482.751</v>
      </c>
      <c r="W175" s="18"/>
    </row>
    <row r="176" spans="1:23" x14ac:dyDescent="0.3">
      <c r="A176" s="37"/>
      <c r="B176" s="37" t="s">
        <v>29</v>
      </c>
      <c r="C176" s="8">
        <f>C177+C180+C184+C187+C190+C194+C198+C201+C204+C207</f>
        <v>1953573.1329999999</v>
      </c>
      <c r="D176" s="8">
        <f t="shared" si="51"/>
        <v>1035733.8670000001</v>
      </c>
      <c r="E176" s="8">
        <f>E177+E180+E184+E187+E190+E194+E198+E201+E204+E207+E210+E216+E219+E221</f>
        <v>2989307</v>
      </c>
      <c r="F176" s="8">
        <f>F177+F180+F184+F187+F190+F194+F198+F201+F204+F207</f>
        <v>1972564.5929999999</v>
      </c>
      <c r="G176" s="8">
        <f t="shared" si="52"/>
        <v>1251285.7069999999</v>
      </c>
      <c r="H176" s="8">
        <f>H177+H180+H184+H187+H190+H194+H198+H201+H204+H207+H210+H216+H219+H221</f>
        <v>3223850.3</v>
      </c>
      <c r="I176" s="8">
        <f>I177+I180+I184+I187+I190+I194+I198+I201+I204+I207+I210+I216+I219+I221</f>
        <v>3491645.7</v>
      </c>
      <c r="J176" s="8">
        <f>J177+J180+J184+J187+J190+J194+J198+J201+J204+J207+J210+J216+J219+J221</f>
        <v>24466.799999999999</v>
      </c>
      <c r="K176" s="10">
        <f t="shared" si="135"/>
        <v>1060200.6669999999</v>
      </c>
      <c r="L176" s="10">
        <f t="shared" si="136"/>
        <v>3013773.8</v>
      </c>
      <c r="M176" s="10">
        <f>M177+M180+M184+M187+M190+M194+M198+M201+M204+M207+M210+M216+M221</f>
        <v>244500</v>
      </c>
      <c r="N176" s="10">
        <f t="shared" si="146"/>
        <v>3258273.8</v>
      </c>
      <c r="O176" s="10">
        <f>O177+O180+O184+O187+O190+O194+O198+O201+O204+O207+O210+O216+O221</f>
        <v>-4108.6000000000004</v>
      </c>
      <c r="P176" s="10">
        <f t="shared" si="147"/>
        <v>3254165.1999999997</v>
      </c>
      <c r="Q176" s="10">
        <f>Q177+Q180+Q184+Q187+Q190+Q194+Q198+Q201+Q204+Q207+Q210+Q216+Q221+Q213+Q224</f>
        <v>110341.14000000001</v>
      </c>
      <c r="R176" s="10">
        <f t="shared" si="171"/>
        <v>3364506.34</v>
      </c>
      <c r="S176" s="10">
        <f>S177+S180+S184+S187+S190+S194+S198+S201+S204+S207+S210+S216+S221+S213+S224</f>
        <v>-9921.7060000000001</v>
      </c>
      <c r="T176" s="10">
        <f t="shared" si="149"/>
        <v>3354584.6340000001</v>
      </c>
      <c r="U176" s="10">
        <f>U177+U180+U184+U187+U190+U194+U198+U201+U204+U207+U210+U216+U221+U213+U224</f>
        <v>-2969.3989999999999</v>
      </c>
      <c r="V176" s="10">
        <f t="shared" si="174"/>
        <v>3351615.2349999999</v>
      </c>
      <c r="W176" s="18"/>
    </row>
    <row r="177" spans="1:23" ht="31.2" x14ac:dyDescent="0.3">
      <c r="A177" s="37">
        <v>1</v>
      </c>
      <c r="B177" s="36" t="s">
        <v>30</v>
      </c>
      <c r="C177" s="31">
        <f>C179</f>
        <v>200914.08299999998</v>
      </c>
      <c r="D177" s="31">
        <f t="shared" si="51"/>
        <v>-3926.68299999999</v>
      </c>
      <c r="E177" s="31">
        <f>E179</f>
        <v>196987.4</v>
      </c>
      <c r="F177" s="31">
        <f>F179</f>
        <v>214319.89300000001</v>
      </c>
      <c r="G177" s="31">
        <f t="shared" si="52"/>
        <v>23851.807000000001</v>
      </c>
      <c r="H177" s="31">
        <f>H179</f>
        <v>238171.7</v>
      </c>
      <c r="I177" s="31">
        <f>I179</f>
        <v>91267.7</v>
      </c>
      <c r="J177" s="31">
        <f>J179</f>
        <v>0</v>
      </c>
      <c r="K177" s="30">
        <f t="shared" si="135"/>
        <v>-3926.68299999999</v>
      </c>
      <c r="L177" s="30">
        <f t="shared" si="136"/>
        <v>196987.4</v>
      </c>
      <c r="M177" s="30">
        <f>M179</f>
        <v>0</v>
      </c>
      <c r="N177" s="30">
        <f t="shared" si="146"/>
        <v>196987.4</v>
      </c>
      <c r="O177" s="30">
        <f>O179</f>
        <v>-4108.6000000000004</v>
      </c>
      <c r="P177" s="30">
        <f t="shared" si="147"/>
        <v>192878.8</v>
      </c>
      <c r="Q177" s="30">
        <f>Q179</f>
        <v>13850.383</v>
      </c>
      <c r="R177" s="30">
        <f t="shared" si="171"/>
        <v>206729.18299999999</v>
      </c>
      <c r="S177" s="30">
        <f>S179</f>
        <v>-473.84</v>
      </c>
      <c r="T177" s="10">
        <f t="shared" si="149"/>
        <v>206255.34299999999</v>
      </c>
      <c r="U177" s="10">
        <f>U179</f>
        <v>-2463.866</v>
      </c>
      <c r="V177" s="10">
        <f t="shared" si="174"/>
        <v>203791.47699999998</v>
      </c>
      <c r="W177" s="18" t="s">
        <v>120</v>
      </c>
    </row>
    <row r="178" spans="1:23" x14ac:dyDescent="0.3">
      <c r="A178" s="37"/>
      <c r="B178" s="6" t="s">
        <v>8</v>
      </c>
      <c r="C178" s="31"/>
      <c r="D178" s="31"/>
      <c r="E178" s="31"/>
      <c r="F178" s="31"/>
      <c r="G178" s="31"/>
      <c r="H178" s="31"/>
      <c r="I178" s="31"/>
      <c r="J178" s="31"/>
      <c r="K178" s="30"/>
      <c r="L178" s="30"/>
      <c r="M178" s="30"/>
      <c r="N178" s="30"/>
      <c r="O178" s="30"/>
      <c r="P178" s="30"/>
      <c r="Q178" s="30"/>
      <c r="R178" s="30"/>
      <c r="S178" s="30"/>
      <c r="T178" s="10"/>
      <c r="U178" s="10"/>
      <c r="V178" s="10"/>
      <c r="W178" s="18"/>
    </row>
    <row r="179" spans="1:23" x14ac:dyDescent="0.3">
      <c r="A179" s="37"/>
      <c r="B179" s="6" t="s">
        <v>9</v>
      </c>
      <c r="C179" s="31">
        <v>200914.08299999998</v>
      </c>
      <c r="D179" s="31">
        <f t="shared" si="51"/>
        <v>-3926.68299999999</v>
      </c>
      <c r="E179" s="31">
        <v>196987.4</v>
      </c>
      <c r="F179" s="31">
        <v>214319.89300000001</v>
      </c>
      <c r="G179" s="31">
        <f t="shared" si="52"/>
        <v>23851.807000000001</v>
      </c>
      <c r="H179" s="31">
        <v>238171.7</v>
      </c>
      <c r="I179" s="31">
        <v>91267.7</v>
      </c>
      <c r="J179" s="31">
        <f>-9712.8-1.2-97670.4-58500+5604.2+1.2+4108.6+97670.4+58500</f>
        <v>0</v>
      </c>
      <c r="K179" s="30">
        <f t="shared" si="135"/>
        <v>-3926.68299999999</v>
      </c>
      <c r="L179" s="30">
        <f t="shared" si="136"/>
        <v>196987.4</v>
      </c>
      <c r="M179" s="30"/>
      <c r="N179" s="30">
        <f t="shared" si="146"/>
        <v>196987.4</v>
      </c>
      <c r="O179" s="30">
        <f>-4108.6+500-500</f>
        <v>-4108.6000000000004</v>
      </c>
      <c r="P179" s="30">
        <f t="shared" si="147"/>
        <v>192878.8</v>
      </c>
      <c r="Q179" s="30">
        <f>2661.545+10714.998+473.84</f>
        <v>13850.383</v>
      </c>
      <c r="R179" s="30">
        <f t="shared" ref="R179:R180" si="175">P179+Q179</f>
        <v>206729.18299999999</v>
      </c>
      <c r="S179" s="30">
        <v>-473.84</v>
      </c>
      <c r="T179" s="10">
        <f t="shared" si="149"/>
        <v>206255.34299999999</v>
      </c>
      <c r="U179" s="10">
        <f>-1897.977-565.889</f>
        <v>-2463.866</v>
      </c>
      <c r="V179" s="10">
        <f t="shared" ref="V179:V180" si="176">T179+U179</f>
        <v>203791.47699999998</v>
      </c>
      <c r="W179" s="18"/>
    </row>
    <row r="180" spans="1:23" ht="31.2" x14ac:dyDescent="0.3">
      <c r="A180" s="37">
        <v>2</v>
      </c>
      <c r="B180" s="6" t="s">
        <v>31</v>
      </c>
      <c r="C180" s="8">
        <f>C182+C183</f>
        <v>165569.29999999999</v>
      </c>
      <c r="D180" s="8">
        <f t="shared" si="51"/>
        <v>25846.5</v>
      </c>
      <c r="E180" s="8">
        <f>E182+E183</f>
        <v>191415.8</v>
      </c>
      <c r="F180" s="8">
        <f>F182+F183</f>
        <v>168896.1</v>
      </c>
      <c r="G180" s="8">
        <f t="shared" si="52"/>
        <v>23470.299999999988</v>
      </c>
      <c r="H180" s="8">
        <f>H182+H183</f>
        <v>192366.4</v>
      </c>
      <c r="I180" s="8">
        <f>I182+I183</f>
        <v>194297.60000000001</v>
      </c>
      <c r="J180" s="8">
        <f>J182+J183</f>
        <v>127.5</v>
      </c>
      <c r="K180" s="10">
        <f t="shared" si="135"/>
        <v>25974</v>
      </c>
      <c r="L180" s="10">
        <f t="shared" si="136"/>
        <v>191543.3</v>
      </c>
      <c r="M180" s="10">
        <f>M182+M183</f>
        <v>0</v>
      </c>
      <c r="N180" s="10">
        <f t="shared" si="146"/>
        <v>191543.3</v>
      </c>
      <c r="O180" s="10"/>
      <c r="P180" s="10">
        <f t="shared" si="147"/>
        <v>191543.3</v>
      </c>
      <c r="Q180" s="10"/>
      <c r="R180" s="10">
        <f t="shared" si="175"/>
        <v>191543.3</v>
      </c>
      <c r="S180" s="10"/>
      <c r="T180" s="10">
        <f t="shared" si="149"/>
        <v>191543.3</v>
      </c>
      <c r="U180" s="10"/>
      <c r="V180" s="10">
        <f t="shared" si="176"/>
        <v>191543.3</v>
      </c>
      <c r="W180" s="18"/>
    </row>
    <row r="181" spans="1:23" x14ac:dyDescent="0.3">
      <c r="A181" s="37"/>
      <c r="B181" s="6" t="s">
        <v>8</v>
      </c>
      <c r="C181" s="8"/>
      <c r="D181" s="8"/>
      <c r="E181" s="8"/>
      <c r="F181" s="8"/>
      <c r="G181" s="8"/>
      <c r="H181" s="8"/>
      <c r="I181" s="8"/>
      <c r="J181" s="8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8"/>
    </row>
    <row r="182" spans="1:23" x14ac:dyDescent="0.3">
      <c r="A182" s="37"/>
      <c r="B182" s="6" t="s">
        <v>9</v>
      </c>
      <c r="C182" s="8">
        <v>71335.3</v>
      </c>
      <c r="D182" s="8">
        <f t="shared" si="51"/>
        <v>-3238</v>
      </c>
      <c r="E182" s="8">
        <v>68097.3</v>
      </c>
      <c r="F182" s="8">
        <v>74662.100000000006</v>
      </c>
      <c r="G182" s="8">
        <f t="shared" si="52"/>
        <v>-5614.2000000000116</v>
      </c>
      <c r="H182" s="8">
        <v>69047.899999999994</v>
      </c>
      <c r="I182" s="8">
        <v>70979.100000000006</v>
      </c>
      <c r="J182" s="8">
        <f>127.5</f>
        <v>127.5</v>
      </c>
      <c r="K182" s="10">
        <f t="shared" si="135"/>
        <v>-3110.5</v>
      </c>
      <c r="L182" s="10">
        <f t="shared" si="136"/>
        <v>68224.800000000003</v>
      </c>
      <c r="M182" s="10"/>
      <c r="N182" s="10">
        <f t="shared" si="146"/>
        <v>68224.800000000003</v>
      </c>
      <c r="O182" s="10"/>
      <c r="P182" s="10">
        <f t="shared" si="147"/>
        <v>68224.800000000003</v>
      </c>
      <c r="Q182" s="10"/>
      <c r="R182" s="10">
        <f t="shared" ref="R182:R184" si="177">P182+Q182</f>
        <v>68224.800000000003</v>
      </c>
      <c r="S182" s="10"/>
      <c r="T182" s="10">
        <f t="shared" si="149"/>
        <v>68224.800000000003</v>
      </c>
      <c r="U182" s="10"/>
      <c r="V182" s="10">
        <f t="shared" ref="V182:V184" si="178">T182+U182</f>
        <v>68224.800000000003</v>
      </c>
      <c r="W182" s="18"/>
    </row>
    <row r="183" spans="1:23" x14ac:dyDescent="0.3">
      <c r="A183" s="37"/>
      <c r="B183" s="6" t="s">
        <v>10</v>
      </c>
      <c r="C183" s="8">
        <v>94234</v>
      </c>
      <c r="D183" s="8">
        <f t="shared" si="51"/>
        <v>29084.5</v>
      </c>
      <c r="E183" s="8">
        <v>123318.5</v>
      </c>
      <c r="F183" s="8">
        <v>94234</v>
      </c>
      <c r="G183" s="8">
        <f t="shared" si="52"/>
        <v>29084.5</v>
      </c>
      <c r="H183" s="8">
        <v>123318.5</v>
      </c>
      <c r="I183" s="8">
        <v>123318.5</v>
      </c>
      <c r="J183" s="8"/>
      <c r="K183" s="10">
        <f t="shared" si="135"/>
        <v>29084.5</v>
      </c>
      <c r="L183" s="10">
        <f t="shared" si="136"/>
        <v>123318.5</v>
      </c>
      <c r="M183" s="10"/>
      <c r="N183" s="10">
        <f t="shared" si="146"/>
        <v>123318.5</v>
      </c>
      <c r="O183" s="10"/>
      <c r="P183" s="10">
        <f t="shared" si="147"/>
        <v>123318.5</v>
      </c>
      <c r="Q183" s="10"/>
      <c r="R183" s="10">
        <f t="shared" si="177"/>
        <v>123318.5</v>
      </c>
      <c r="S183" s="10"/>
      <c r="T183" s="10">
        <f t="shared" si="149"/>
        <v>123318.5</v>
      </c>
      <c r="U183" s="10"/>
      <c r="V183" s="10">
        <f t="shared" si="178"/>
        <v>123318.5</v>
      </c>
      <c r="W183" s="18"/>
    </row>
    <row r="184" spans="1:23" x14ac:dyDescent="0.3">
      <c r="A184" s="37">
        <v>3</v>
      </c>
      <c r="B184" s="6" t="s">
        <v>32</v>
      </c>
      <c r="C184" s="8">
        <f>C186</f>
        <v>39578.800000000003</v>
      </c>
      <c r="D184" s="8">
        <f t="shared" si="51"/>
        <v>-23801.500000000004</v>
      </c>
      <c r="E184" s="8">
        <f>E186</f>
        <v>15777.3</v>
      </c>
      <c r="F184" s="8">
        <f>F186</f>
        <v>41791.800000000003</v>
      </c>
      <c r="G184" s="8">
        <f t="shared" si="52"/>
        <v>-25884.9</v>
      </c>
      <c r="H184" s="8">
        <f>H186</f>
        <v>15906.9</v>
      </c>
      <c r="I184" s="8">
        <f>I186</f>
        <v>15906.9</v>
      </c>
      <c r="J184" s="8">
        <f>J186</f>
        <v>0</v>
      </c>
      <c r="K184" s="10">
        <f t="shared" si="135"/>
        <v>-23801.500000000004</v>
      </c>
      <c r="L184" s="10">
        <f t="shared" si="136"/>
        <v>15777.3</v>
      </c>
      <c r="M184" s="10">
        <f>M186</f>
        <v>0</v>
      </c>
      <c r="N184" s="10">
        <f t="shared" si="146"/>
        <v>15777.3</v>
      </c>
      <c r="O184" s="10"/>
      <c r="P184" s="10">
        <f t="shared" si="147"/>
        <v>15777.3</v>
      </c>
      <c r="Q184" s="10"/>
      <c r="R184" s="10">
        <f t="shared" si="177"/>
        <v>15777.3</v>
      </c>
      <c r="S184" s="10"/>
      <c r="T184" s="10">
        <f t="shared" si="149"/>
        <v>15777.3</v>
      </c>
      <c r="U184" s="10"/>
      <c r="V184" s="10">
        <f t="shared" si="178"/>
        <v>15777.3</v>
      </c>
      <c r="W184" s="18"/>
    </row>
    <row r="185" spans="1:23" x14ac:dyDescent="0.3">
      <c r="A185" s="37"/>
      <c r="B185" s="6" t="s">
        <v>8</v>
      </c>
      <c r="C185" s="8"/>
      <c r="D185" s="8"/>
      <c r="E185" s="8"/>
      <c r="F185" s="8"/>
      <c r="G185" s="8"/>
      <c r="H185" s="8"/>
      <c r="I185" s="8"/>
      <c r="J185" s="8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8"/>
    </row>
    <row r="186" spans="1:23" x14ac:dyDescent="0.3">
      <c r="A186" s="37"/>
      <c r="B186" s="6" t="s">
        <v>9</v>
      </c>
      <c r="C186" s="8">
        <v>39578.800000000003</v>
      </c>
      <c r="D186" s="8">
        <f t="shared" si="51"/>
        <v>-23801.500000000004</v>
      </c>
      <c r="E186" s="8">
        <v>15777.3</v>
      </c>
      <c r="F186" s="8">
        <v>41791.800000000003</v>
      </c>
      <c r="G186" s="8">
        <f t="shared" si="52"/>
        <v>-25884.9</v>
      </c>
      <c r="H186" s="8">
        <v>15906.9</v>
      </c>
      <c r="I186" s="8">
        <v>15906.9</v>
      </c>
      <c r="J186" s="8"/>
      <c r="K186" s="10">
        <f t="shared" si="135"/>
        <v>-23801.500000000004</v>
      </c>
      <c r="L186" s="10">
        <f t="shared" si="136"/>
        <v>15777.3</v>
      </c>
      <c r="M186" s="10"/>
      <c r="N186" s="10">
        <f t="shared" si="146"/>
        <v>15777.3</v>
      </c>
      <c r="O186" s="10"/>
      <c r="P186" s="10">
        <f t="shared" si="147"/>
        <v>15777.3</v>
      </c>
      <c r="Q186" s="10"/>
      <c r="R186" s="10">
        <f t="shared" ref="R186:R187" si="179">P186+Q186</f>
        <v>15777.3</v>
      </c>
      <c r="S186" s="10"/>
      <c r="T186" s="10">
        <f t="shared" si="149"/>
        <v>15777.3</v>
      </c>
      <c r="U186" s="10"/>
      <c r="V186" s="10">
        <f t="shared" ref="V186:V187" si="180">T186+U186</f>
        <v>15777.3</v>
      </c>
      <c r="W186" s="18"/>
    </row>
    <row r="187" spans="1:23" x14ac:dyDescent="0.3">
      <c r="A187" s="37">
        <v>4</v>
      </c>
      <c r="B187" s="6" t="s">
        <v>33</v>
      </c>
      <c r="C187" s="8">
        <f>C189</f>
        <v>27006.6</v>
      </c>
      <c r="D187" s="8">
        <f t="shared" si="51"/>
        <v>-1113.0999999999985</v>
      </c>
      <c r="E187" s="8">
        <f>E189</f>
        <v>25893.5</v>
      </c>
      <c r="F187" s="8">
        <f>F189</f>
        <v>27407</v>
      </c>
      <c r="G187" s="8">
        <f t="shared" si="52"/>
        <v>-1639.2999999999993</v>
      </c>
      <c r="H187" s="8">
        <f>H189</f>
        <v>25767.7</v>
      </c>
      <c r="I187" s="8">
        <f>I189</f>
        <v>25985.599999999999</v>
      </c>
      <c r="J187" s="8">
        <f>J189</f>
        <v>0</v>
      </c>
      <c r="K187" s="10">
        <f t="shared" si="135"/>
        <v>-1113.0999999999985</v>
      </c>
      <c r="L187" s="10">
        <f t="shared" si="136"/>
        <v>25893.5</v>
      </c>
      <c r="M187" s="10">
        <f>M189</f>
        <v>0</v>
      </c>
      <c r="N187" s="10">
        <f t="shared" si="146"/>
        <v>25893.5</v>
      </c>
      <c r="O187" s="10"/>
      <c r="P187" s="10">
        <f t="shared" si="147"/>
        <v>25893.5</v>
      </c>
      <c r="Q187" s="10"/>
      <c r="R187" s="10">
        <f t="shared" si="179"/>
        <v>25893.5</v>
      </c>
      <c r="S187" s="10"/>
      <c r="T187" s="10">
        <f t="shared" si="149"/>
        <v>25893.5</v>
      </c>
      <c r="U187" s="10"/>
      <c r="V187" s="10">
        <f t="shared" si="180"/>
        <v>25893.5</v>
      </c>
      <c r="W187" s="18"/>
    </row>
    <row r="188" spans="1:23" x14ac:dyDescent="0.3">
      <c r="A188" s="37"/>
      <c r="B188" s="6" t="s">
        <v>8</v>
      </c>
      <c r="C188" s="8"/>
      <c r="D188" s="8"/>
      <c r="E188" s="8"/>
      <c r="F188" s="8"/>
      <c r="G188" s="8"/>
      <c r="H188" s="8"/>
      <c r="I188" s="8"/>
      <c r="J188" s="8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8"/>
    </row>
    <row r="189" spans="1:23" x14ac:dyDescent="0.3">
      <c r="A189" s="37"/>
      <c r="B189" s="6" t="s">
        <v>9</v>
      </c>
      <c r="C189" s="8">
        <v>27006.6</v>
      </c>
      <c r="D189" s="8">
        <f t="shared" si="51"/>
        <v>-1113.0999999999985</v>
      </c>
      <c r="E189" s="8">
        <v>25893.5</v>
      </c>
      <c r="F189" s="8">
        <v>27407</v>
      </c>
      <c r="G189" s="8">
        <f t="shared" si="52"/>
        <v>-1639.2999999999993</v>
      </c>
      <c r="H189" s="8">
        <v>25767.7</v>
      </c>
      <c r="I189" s="8">
        <v>25985.599999999999</v>
      </c>
      <c r="J189" s="8"/>
      <c r="K189" s="10">
        <f t="shared" si="135"/>
        <v>-1113.0999999999985</v>
      </c>
      <c r="L189" s="10">
        <f t="shared" si="136"/>
        <v>25893.5</v>
      </c>
      <c r="M189" s="10"/>
      <c r="N189" s="10">
        <f t="shared" si="146"/>
        <v>25893.5</v>
      </c>
      <c r="O189" s="10"/>
      <c r="P189" s="10">
        <f t="shared" si="147"/>
        <v>25893.5</v>
      </c>
      <c r="Q189" s="10"/>
      <c r="R189" s="10">
        <f t="shared" ref="R189:R190" si="181">P189+Q189</f>
        <v>25893.5</v>
      </c>
      <c r="S189" s="10"/>
      <c r="T189" s="10">
        <f t="shared" si="149"/>
        <v>25893.5</v>
      </c>
      <c r="U189" s="10"/>
      <c r="V189" s="10">
        <f t="shared" ref="V189:V190" si="182">T189+U189</f>
        <v>25893.5</v>
      </c>
      <c r="W189" s="18"/>
    </row>
    <row r="190" spans="1:23" x14ac:dyDescent="0.3">
      <c r="A190" s="37">
        <v>5</v>
      </c>
      <c r="B190" s="6" t="s">
        <v>34</v>
      </c>
      <c r="C190" s="8">
        <f>C192</f>
        <v>230473.19999999998</v>
      </c>
      <c r="D190" s="8">
        <f t="shared" si="51"/>
        <v>-3570.3999999999942</v>
      </c>
      <c r="E190" s="8">
        <f>E192</f>
        <v>226902.8</v>
      </c>
      <c r="F190" s="8">
        <f>F192</f>
        <v>127275.1</v>
      </c>
      <c r="G190" s="8">
        <f t="shared" si="52"/>
        <v>-5651.3000000000029</v>
      </c>
      <c r="H190" s="8">
        <f>H192</f>
        <v>121623.8</v>
      </c>
      <c r="I190" s="8">
        <f>I192</f>
        <v>37985.199999999997</v>
      </c>
      <c r="J190" s="8">
        <f>J192</f>
        <v>30815.200000000001</v>
      </c>
      <c r="K190" s="10">
        <f t="shared" si="135"/>
        <v>27244.800000000017</v>
      </c>
      <c r="L190" s="10">
        <f t="shared" si="136"/>
        <v>257718</v>
      </c>
      <c r="M190" s="10">
        <f>M192</f>
        <v>0</v>
      </c>
      <c r="N190" s="10">
        <f t="shared" si="146"/>
        <v>257718</v>
      </c>
      <c r="O190" s="10"/>
      <c r="P190" s="10">
        <f t="shared" si="147"/>
        <v>257718</v>
      </c>
      <c r="Q190" s="30">
        <f>Q192+Q193</f>
        <v>85417.108000000007</v>
      </c>
      <c r="R190" s="30">
        <f t="shared" si="181"/>
        <v>343135.10800000001</v>
      </c>
      <c r="S190" s="30">
        <f>S192+S193</f>
        <v>-9447.866</v>
      </c>
      <c r="T190" s="10">
        <f t="shared" si="149"/>
        <v>333687.24200000003</v>
      </c>
      <c r="U190" s="10">
        <f>U192+U193</f>
        <v>-225.946</v>
      </c>
      <c r="V190" s="10">
        <f t="shared" si="182"/>
        <v>333461.29600000003</v>
      </c>
      <c r="W190" s="18" t="s">
        <v>99</v>
      </c>
    </row>
    <row r="191" spans="1:23" x14ac:dyDescent="0.3">
      <c r="A191" s="37"/>
      <c r="B191" s="6" t="s">
        <v>8</v>
      </c>
      <c r="C191" s="8"/>
      <c r="D191" s="8"/>
      <c r="E191" s="8"/>
      <c r="F191" s="8"/>
      <c r="G191" s="8"/>
      <c r="H191" s="8"/>
      <c r="I191" s="8"/>
      <c r="J191" s="8"/>
      <c r="K191" s="10"/>
      <c r="L191" s="10"/>
      <c r="M191" s="10"/>
      <c r="N191" s="10"/>
      <c r="O191" s="10"/>
      <c r="P191" s="10"/>
      <c r="Q191" s="30"/>
      <c r="R191" s="30"/>
      <c r="S191" s="30"/>
      <c r="T191" s="10"/>
      <c r="U191" s="10"/>
      <c r="V191" s="10"/>
      <c r="W191" s="18"/>
    </row>
    <row r="192" spans="1:23" x14ac:dyDescent="0.3">
      <c r="A192" s="37"/>
      <c r="B192" s="6" t="s">
        <v>9</v>
      </c>
      <c r="C192" s="8">
        <v>230473.19999999998</v>
      </c>
      <c r="D192" s="8">
        <f t="shared" si="51"/>
        <v>-3570.3999999999942</v>
      </c>
      <c r="E192" s="8">
        <v>226902.8</v>
      </c>
      <c r="F192" s="8">
        <v>127275.1</v>
      </c>
      <c r="G192" s="8">
        <f t="shared" si="52"/>
        <v>-5651.3000000000029</v>
      </c>
      <c r="H192" s="8">
        <v>121623.8</v>
      </c>
      <c r="I192" s="8">
        <v>37985.199999999997</v>
      </c>
      <c r="J192" s="8">
        <f>25000+5815.2</f>
        <v>30815.200000000001</v>
      </c>
      <c r="K192" s="10">
        <f t="shared" si="135"/>
        <v>27244.800000000017</v>
      </c>
      <c r="L192" s="10">
        <f t="shared" si="136"/>
        <v>257718</v>
      </c>
      <c r="M192" s="10"/>
      <c r="N192" s="10">
        <f t="shared" si="146"/>
        <v>257718</v>
      </c>
      <c r="O192" s="10"/>
      <c r="P192" s="10">
        <f t="shared" si="147"/>
        <v>257718</v>
      </c>
      <c r="Q192" s="30">
        <f>203.162+9447.866+42+724.08</f>
        <v>10417.108</v>
      </c>
      <c r="R192" s="30">
        <f t="shared" ref="R192:R194" si="183">P192+Q192</f>
        <v>268135.10800000001</v>
      </c>
      <c r="S192" s="30">
        <v>-9447.866</v>
      </c>
      <c r="T192" s="10">
        <f t="shared" si="149"/>
        <v>258687.242</v>
      </c>
      <c r="U192" s="10">
        <f>-225.946</f>
        <v>-225.946</v>
      </c>
      <c r="V192" s="10">
        <f t="shared" ref="V192:V194" si="184">T192+U192</f>
        <v>258461.296</v>
      </c>
      <c r="W192" s="18"/>
    </row>
    <row r="193" spans="1:24" x14ac:dyDescent="0.3">
      <c r="A193" s="37"/>
      <c r="B193" s="6" t="s">
        <v>10</v>
      </c>
      <c r="C193" s="8"/>
      <c r="D193" s="8"/>
      <c r="E193" s="8"/>
      <c r="F193" s="8"/>
      <c r="G193" s="8"/>
      <c r="H193" s="8"/>
      <c r="I193" s="8"/>
      <c r="J193" s="8"/>
      <c r="K193" s="10"/>
      <c r="L193" s="10"/>
      <c r="M193" s="10"/>
      <c r="N193" s="10"/>
      <c r="O193" s="10"/>
      <c r="P193" s="10"/>
      <c r="Q193" s="30">
        <v>75000</v>
      </c>
      <c r="R193" s="30">
        <f t="shared" si="183"/>
        <v>75000</v>
      </c>
      <c r="S193" s="30"/>
      <c r="T193" s="10">
        <f t="shared" si="149"/>
        <v>75000</v>
      </c>
      <c r="U193" s="10"/>
      <c r="V193" s="10">
        <f t="shared" si="184"/>
        <v>75000</v>
      </c>
      <c r="W193" s="18"/>
    </row>
    <row r="194" spans="1:24" x14ac:dyDescent="0.3">
      <c r="A194" s="37">
        <v>6</v>
      </c>
      <c r="B194" s="6" t="s">
        <v>35</v>
      </c>
      <c r="C194" s="8">
        <f>C196</f>
        <v>1126827</v>
      </c>
      <c r="D194" s="8">
        <f t="shared" si="51"/>
        <v>1002358.2999999998</v>
      </c>
      <c r="E194" s="8">
        <f>E196</f>
        <v>2129185.2999999998</v>
      </c>
      <c r="F194" s="8">
        <f>F196</f>
        <v>1062079.2</v>
      </c>
      <c r="G194" s="8">
        <f t="shared" si="52"/>
        <v>1408533.7</v>
      </c>
      <c r="H194" s="8">
        <f>H196</f>
        <v>2470612.9</v>
      </c>
      <c r="I194" s="8">
        <f>I196</f>
        <v>2974671.6</v>
      </c>
      <c r="J194" s="8">
        <f>J196</f>
        <v>-0.4</v>
      </c>
      <c r="K194" s="19">
        <f t="shared" si="135"/>
        <v>1002357.8999999999</v>
      </c>
      <c r="L194" s="19">
        <f t="shared" si="136"/>
        <v>2129184.9</v>
      </c>
      <c r="M194" s="10">
        <f>M196+M197</f>
        <v>244500</v>
      </c>
      <c r="N194" s="10">
        <f>N196+N197</f>
        <v>2373684.9</v>
      </c>
      <c r="O194" s="10"/>
      <c r="P194" s="10">
        <f t="shared" si="147"/>
        <v>2373684.9</v>
      </c>
      <c r="Q194" s="30">
        <f>Q196+Q197</f>
        <v>7939.7839999999997</v>
      </c>
      <c r="R194" s="30">
        <f t="shared" si="183"/>
        <v>2381624.6839999999</v>
      </c>
      <c r="S194" s="30">
        <f>S196+S197</f>
        <v>0</v>
      </c>
      <c r="T194" s="10">
        <f t="shared" si="149"/>
        <v>2381624.6839999999</v>
      </c>
      <c r="U194" s="10">
        <f>U196+U197</f>
        <v>0</v>
      </c>
      <c r="V194" s="10">
        <f t="shared" si="184"/>
        <v>2381624.6839999999</v>
      </c>
      <c r="W194" s="18" t="s">
        <v>113</v>
      </c>
    </row>
    <row r="195" spans="1:24" x14ac:dyDescent="0.3">
      <c r="A195" s="37"/>
      <c r="B195" s="6" t="s">
        <v>8</v>
      </c>
      <c r="C195" s="8"/>
      <c r="D195" s="8"/>
      <c r="E195" s="8"/>
      <c r="F195" s="8"/>
      <c r="G195" s="8"/>
      <c r="H195" s="8"/>
      <c r="I195" s="8"/>
      <c r="J195" s="8"/>
      <c r="K195" s="19"/>
      <c r="L195" s="19"/>
      <c r="M195" s="10"/>
      <c r="N195" s="10"/>
      <c r="O195" s="10"/>
      <c r="P195" s="10"/>
      <c r="Q195" s="30"/>
      <c r="R195" s="30"/>
      <c r="S195" s="30"/>
      <c r="T195" s="10"/>
      <c r="U195" s="10"/>
      <c r="V195" s="10"/>
      <c r="W195" s="18"/>
    </row>
    <row r="196" spans="1:24" x14ac:dyDescent="0.3">
      <c r="A196" s="37"/>
      <c r="B196" s="6" t="s">
        <v>9</v>
      </c>
      <c r="C196" s="8">
        <f>1026827+100000</f>
        <v>1126827</v>
      </c>
      <c r="D196" s="8">
        <f t="shared" si="51"/>
        <v>1002358.2999999998</v>
      </c>
      <c r="E196" s="8">
        <v>2129185.2999999998</v>
      </c>
      <c r="F196" s="8">
        <v>1062079.2</v>
      </c>
      <c r="G196" s="8">
        <f t="shared" si="52"/>
        <v>1408533.7</v>
      </c>
      <c r="H196" s="8">
        <v>2470612.9</v>
      </c>
      <c r="I196" s="8">
        <v>2974671.6</v>
      </c>
      <c r="J196" s="8">
        <v>-0.4</v>
      </c>
      <c r="K196" s="19">
        <f t="shared" si="135"/>
        <v>1002357.8999999999</v>
      </c>
      <c r="L196" s="19">
        <f t="shared" si="136"/>
        <v>2129184.9</v>
      </c>
      <c r="M196" s="10"/>
      <c r="N196" s="10">
        <f t="shared" si="146"/>
        <v>2129184.9</v>
      </c>
      <c r="O196" s="10"/>
      <c r="P196" s="10">
        <f t="shared" si="147"/>
        <v>2129184.9</v>
      </c>
      <c r="Q196" s="30">
        <v>7939.7839999999997</v>
      </c>
      <c r="R196" s="30">
        <f t="shared" ref="R196:R198" si="185">P196+Q196</f>
        <v>2137124.6839999999</v>
      </c>
      <c r="S196" s="30"/>
      <c r="T196" s="10">
        <f t="shared" si="149"/>
        <v>2137124.6839999999</v>
      </c>
      <c r="U196" s="10"/>
      <c r="V196" s="10">
        <f t="shared" ref="V196:V198" si="186">T196+U196</f>
        <v>2137124.6839999999</v>
      </c>
      <c r="W196" s="18"/>
    </row>
    <row r="197" spans="1:24" x14ac:dyDescent="0.3">
      <c r="A197" s="37"/>
      <c r="B197" s="6" t="s">
        <v>10</v>
      </c>
      <c r="C197" s="8"/>
      <c r="D197" s="8"/>
      <c r="E197" s="8"/>
      <c r="F197" s="8"/>
      <c r="G197" s="8"/>
      <c r="H197" s="8"/>
      <c r="I197" s="8"/>
      <c r="J197" s="8"/>
      <c r="K197" s="19"/>
      <c r="L197" s="19"/>
      <c r="M197" s="10">
        <v>244500</v>
      </c>
      <c r="N197" s="10">
        <f>L197+M197</f>
        <v>244500</v>
      </c>
      <c r="O197" s="10"/>
      <c r="P197" s="10">
        <f t="shared" si="147"/>
        <v>244500</v>
      </c>
      <c r="Q197" s="30"/>
      <c r="R197" s="30">
        <f t="shared" si="185"/>
        <v>244500</v>
      </c>
      <c r="S197" s="30"/>
      <c r="T197" s="10">
        <f t="shared" si="149"/>
        <v>244500</v>
      </c>
      <c r="U197" s="10"/>
      <c r="V197" s="10">
        <f t="shared" si="186"/>
        <v>244500</v>
      </c>
      <c r="W197" s="18"/>
    </row>
    <row r="198" spans="1:24" ht="31.2" x14ac:dyDescent="0.3">
      <c r="A198" s="37">
        <v>7</v>
      </c>
      <c r="B198" s="7" t="s">
        <v>36</v>
      </c>
      <c r="C198" s="8">
        <f>C200</f>
        <v>0</v>
      </c>
      <c r="D198" s="8">
        <f t="shared" si="51"/>
        <v>14396</v>
      </c>
      <c r="E198" s="8">
        <f>E200</f>
        <v>14396</v>
      </c>
      <c r="F198" s="8">
        <f>F200</f>
        <v>47715.5</v>
      </c>
      <c r="G198" s="8">
        <f t="shared" si="52"/>
        <v>-47715.5</v>
      </c>
      <c r="H198" s="8">
        <f>H200</f>
        <v>0</v>
      </c>
      <c r="I198" s="8">
        <f>I200</f>
        <v>0</v>
      </c>
      <c r="J198" s="8">
        <f>J200</f>
        <v>0</v>
      </c>
      <c r="K198" s="10">
        <f t="shared" si="135"/>
        <v>14396</v>
      </c>
      <c r="L198" s="10">
        <f t="shared" si="136"/>
        <v>14396</v>
      </c>
      <c r="M198" s="10">
        <f>M200</f>
        <v>0</v>
      </c>
      <c r="N198" s="10">
        <f t="shared" si="146"/>
        <v>14396</v>
      </c>
      <c r="O198" s="10"/>
      <c r="P198" s="10">
        <f t="shared" si="147"/>
        <v>14396</v>
      </c>
      <c r="Q198" s="10"/>
      <c r="R198" s="10">
        <f t="shared" si="185"/>
        <v>14396</v>
      </c>
      <c r="S198" s="10"/>
      <c r="T198" s="10">
        <f t="shared" si="149"/>
        <v>14396</v>
      </c>
      <c r="U198" s="10"/>
      <c r="V198" s="10">
        <f t="shared" si="186"/>
        <v>14396</v>
      </c>
      <c r="W198" s="18"/>
    </row>
    <row r="199" spans="1:24" x14ac:dyDescent="0.3">
      <c r="A199" s="37"/>
      <c r="B199" s="6" t="s">
        <v>8</v>
      </c>
      <c r="C199" s="8"/>
      <c r="D199" s="8"/>
      <c r="E199" s="8"/>
      <c r="F199" s="8"/>
      <c r="G199" s="8"/>
      <c r="H199" s="8"/>
      <c r="I199" s="8"/>
      <c r="J199" s="8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8"/>
    </row>
    <row r="200" spans="1:24" x14ac:dyDescent="0.3">
      <c r="A200" s="37"/>
      <c r="B200" s="6" t="s">
        <v>9</v>
      </c>
      <c r="C200" s="8">
        <v>0</v>
      </c>
      <c r="D200" s="8">
        <f t="shared" si="51"/>
        <v>14396</v>
      </c>
      <c r="E200" s="9">
        <v>14396</v>
      </c>
      <c r="F200" s="8">
        <v>47715.5</v>
      </c>
      <c r="G200" s="8">
        <f t="shared" si="52"/>
        <v>-47715.5</v>
      </c>
      <c r="H200" s="8"/>
      <c r="I200" s="8"/>
      <c r="J200" s="9"/>
      <c r="K200" s="10">
        <f t="shared" si="135"/>
        <v>14396</v>
      </c>
      <c r="L200" s="10">
        <f t="shared" si="136"/>
        <v>14396</v>
      </c>
      <c r="M200" s="10"/>
      <c r="N200" s="10">
        <f t="shared" si="146"/>
        <v>14396</v>
      </c>
      <c r="O200" s="10"/>
      <c r="P200" s="10">
        <f t="shared" si="147"/>
        <v>14396</v>
      </c>
      <c r="Q200" s="10"/>
      <c r="R200" s="10">
        <f t="shared" ref="R200:R201" si="187">P200+Q200</f>
        <v>14396</v>
      </c>
      <c r="S200" s="10"/>
      <c r="T200" s="10">
        <f t="shared" si="149"/>
        <v>14396</v>
      </c>
      <c r="U200" s="10"/>
      <c r="V200" s="10">
        <f t="shared" ref="V200:V201" si="188">T200+U200</f>
        <v>14396</v>
      </c>
      <c r="W200" s="18"/>
    </row>
    <row r="201" spans="1:24" ht="31.2" x14ac:dyDescent="0.3">
      <c r="A201" s="37">
        <v>8</v>
      </c>
      <c r="B201" s="14" t="s">
        <v>39</v>
      </c>
      <c r="C201" s="8">
        <f>C203</f>
        <v>147736.65000000002</v>
      </c>
      <c r="D201" s="8">
        <f t="shared" si="51"/>
        <v>-23257.050000000017</v>
      </c>
      <c r="E201" s="8">
        <f>E203</f>
        <v>124479.6</v>
      </c>
      <c r="F201" s="8">
        <f>F203</f>
        <v>162565.79999999999</v>
      </c>
      <c r="G201" s="8">
        <f t="shared" si="52"/>
        <v>-31619.299999999988</v>
      </c>
      <c r="H201" s="8">
        <f>H203</f>
        <v>130946.5</v>
      </c>
      <c r="I201" s="8">
        <f>I203</f>
        <v>129485</v>
      </c>
      <c r="J201" s="8">
        <f>J203</f>
        <v>0</v>
      </c>
      <c r="K201" s="10">
        <f t="shared" si="135"/>
        <v>-23257.050000000017</v>
      </c>
      <c r="L201" s="10">
        <f t="shared" si="136"/>
        <v>124479.6</v>
      </c>
      <c r="M201" s="10">
        <f>M203</f>
        <v>0</v>
      </c>
      <c r="N201" s="10">
        <f t="shared" si="146"/>
        <v>124479.6</v>
      </c>
      <c r="O201" s="10"/>
      <c r="P201" s="10">
        <f t="shared" si="147"/>
        <v>124479.6</v>
      </c>
      <c r="Q201" s="10"/>
      <c r="R201" s="10">
        <f t="shared" si="187"/>
        <v>124479.6</v>
      </c>
      <c r="S201" s="10"/>
      <c r="T201" s="10">
        <f t="shared" si="149"/>
        <v>124479.6</v>
      </c>
      <c r="U201" s="10"/>
      <c r="V201" s="10">
        <f t="shared" si="188"/>
        <v>124479.6</v>
      </c>
      <c r="W201" s="18"/>
    </row>
    <row r="202" spans="1:24" x14ac:dyDescent="0.3">
      <c r="A202" s="37"/>
      <c r="B202" s="6" t="s">
        <v>8</v>
      </c>
      <c r="C202" s="8"/>
      <c r="D202" s="8"/>
      <c r="E202" s="8"/>
      <c r="F202" s="8"/>
      <c r="G202" s="8"/>
      <c r="H202" s="8"/>
      <c r="I202" s="8"/>
      <c r="J202" s="8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8"/>
    </row>
    <row r="203" spans="1:24" x14ac:dyDescent="0.3">
      <c r="A203" s="37"/>
      <c r="B203" s="6" t="s">
        <v>9</v>
      </c>
      <c r="C203" s="8">
        <v>147736.65000000002</v>
      </c>
      <c r="D203" s="8">
        <f t="shared" si="51"/>
        <v>-23257.050000000017</v>
      </c>
      <c r="E203" s="8">
        <v>124479.6</v>
      </c>
      <c r="F203" s="8">
        <v>162565.79999999999</v>
      </c>
      <c r="G203" s="8">
        <f t="shared" si="52"/>
        <v>-31619.299999999988</v>
      </c>
      <c r="H203" s="8">
        <v>130946.5</v>
      </c>
      <c r="I203" s="8">
        <v>129485</v>
      </c>
      <c r="J203" s="8"/>
      <c r="K203" s="10">
        <f t="shared" si="135"/>
        <v>-23257.050000000017</v>
      </c>
      <c r="L203" s="10">
        <f t="shared" si="136"/>
        <v>124479.6</v>
      </c>
      <c r="M203" s="10"/>
      <c r="N203" s="10">
        <f t="shared" si="146"/>
        <v>124479.6</v>
      </c>
      <c r="O203" s="10"/>
      <c r="P203" s="10">
        <f t="shared" si="147"/>
        <v>124479.6</v>
      </c>
      <c r="Q203" s="10"/>
      <c r="R203" s="10">
        <f t="shared" ref="R203" si="189">P203+Q203</f>
        <v>124479.6</v>
      </c>
      <c r="S203" s="10"/>
      <c r="T203" s="10">
        <f t="shared" si="149"/>
        <v>124479.6</v>
      </c>
      <c r="U203" s="10"/>
      <c r="V203" s="10">
        <f t="shared" ref="V203" si="190">T203+U203</f>
        <v>124479.6</v>
      </c>
      <c r="W203" s="18"/>
    </row>
    <row r="204" spans="1:24" ht="31.5" hidden="1" x14ac:dyDescent="0.25">
      <c r="A204" s="22">
        <v>9</v>
      </c>
      <c r="B204" s="14" t="s">
        <v>40</v>
      </c>
      <c r="C204" s="8">
        <f>C206</f>
        <v>12202.600000000006</v>
      </c>
      <c r="D204" s="8">
        <f t="shared" si="51"/>
        <v>-12202.600000000006</v>
      </c>
      <c r="E204" s="8">
        <f>E206</f>
        <v>0</v>
      </c>
      <c r="F204" s="8">
        <f>F206</f>
        <v>117249.3</v>
      </c>
      <c r="G204" s="8">
        <f t="shared" si="52"/>
        <v>-117249.3</v>
      </c>
      <c r="H204" s="8">
        <f>H206</f>
        <v>0</v>
      </c>
      <c r="I204" s="8">
        <f>I206</f>
        <v>0</v>
      </c>
      <c r="J204" s="8">
        <f>J206</f>
        <v>0</v>
      </c>
      <c r="K204" s="10">
        <f t="shared" si="135"/>
        <v>-12202.600000000006</v>
      </c>
      <c r="L204" s="10">
        <f t="shared" si="136"/>
        <v>0</v>
      </c>
      <c r="M204" s="10">
        <f>M206</f>
        <v>0</v>
      </c>
      <c r="N204" s="10">
        <f t="shared" si="146"/>
        <v>0</v>
      </c>
      <c r="O204" s="10"/>
      <c r="P204" s="10"/>
      <c r="Q204" s="10"/>
      <c r="R204" s="10"/>
      <c r="S204" s="10"/>
      <c r="T204" s="18"/>
      <c r="U204" s="10"/>
      <c r="V204" s="18"/>
      <c r="W204" s="18"/>
      <c r="X204" s="1">
        <v>0</v>
      </c>
    </row>
    <row r="205" spans="1:24" ht="15.75" hidden="1" x14ac:dyDescent="0.25">
      <c r="A205" s="22"/>
      <c r="B205" s="6" t="s">
        <v>8</v>
      </c>
      <c r="C205" s="8"/>
      <c r="D205" s="8"/>
      <c r="E205" s="8"/>
      <c r="F205" s="8"/>
      <c r="G205" s="8"/>
      <c r="H205" s="8"/>
      <c r="I205" s="8"/>
      <c r="J205" s="8"/>
      <c r="K205" s="10"/>
      <c r="L205" s="10"/>
      <c r="M205" s="10"/>
      <c r="N205" s="10"/>
      <c r="O205" s="10"/>
      <c r="P205" s="10"/>
      <c r="Q205" s="10"/>
      <c r="R205" s="10"/>
      <c r="S205" s="10"/>
      <c r="T205" s="18"/>
      <c r="U205" s="10"/>
      <c r="V205" s="18"/>
      <c r="W205" s="18"/>
      <c r="X205" s="1">
        <v>0</v>
      </c>
    </row>
    <row r="206" spans="1:24" ht="15.75" hidden="1" x14ac:dyDescent="0.25">
      <c r="A206" s="22"/>
      <c r="B206" s="6" t="s">
        <v>9</v>
      </c>
      <c r="C206" s="8">
        <v>12202.600000000006</v>
      </c>
      <c r="D206" s="8">
        <f t="shared" si="51"/>
        <v>-12202.600000000006</v>
      </c>
      <c r="E206" s="8"/>
      <c r="F206" s="8">
        <v>117249.3</v>
      </c>
      <c r="G206" s="8">
        <f t="shared" si="52"/>
        <v>-117249.3</v>
      </c>
      <c r="H206" s="8"/>
      <c r="I206" s="8"/>
      <c r="J206" s="8"/>
      <c r="K206" s="10">
        <f t="shared" si="135"/>
        <v>-12202.600000000006</v>
      </c>
      <c r="L206" s="10">
        <f t="shared" si="136"/>
        <v>0</v>
      </c>
      <c r="M206" s="10"/>
      <c r="N206" s="10">
        <f t="shared" si="146"/>
        <v>0</v>
      </c>
      <c r="O206" s="10"/>
      <c r="P206" s="10"/>
      <c r="Q206" s="10"/>
      <c r="R206" s="10"/>
      <c r="S206" s="10"/>
      <c r="T206" s="18"/>
      <c r="U206" s="10"/>
      <c r="V206" s="18"/>
      <c r="W206" s="18"/>
      <c r="X206" s="1">
        <v>0</v>
      </c>
    </row>
    <row r="207" spans="1:24" ht="31.2" x14ac:dyDescent="0.3">
      <c r="A207" s="37">
        <v>9</v>
      </c>
      <c r="B207" s="6" t="s">
        <v>66</v>
      </c>
      <c r="C207" s="8">
        <f>C209</f>
        <v>3264.9</v>
      </c>
      <c r="D207" s="8">
        <f t="shared" si="51"/>
        <v>-91.400000000000091</v>
      </c>
      <c r="E207" s="8">
        <f>E209</f>
        <v>3173.5</v>
      </c>
      <c r="F207" s="8">
        <f>F209</f>
        <v>3264.9</v>
      </c>
      <c r="G207" s="8">
        <f t="shared" si="52"/>
        <v>-13.099999999999909</v>
      </c>
      <c r="H207" s="8">
        <f>H209</f>
        <v>3251.8</v>
      </c>
      <c r="I207" s="8">
        <f>I209</f>
        <v>0</v>
      </c>
      <c r="J207" s="8">
        <f>J209</f>
        <v>1764.3</v>
      </c>
      <c r="K207" s="10">
        <f t="shared" si="135"/>
        <v>1672.9</v>
      </c>
      <c r="L207" s="10">
        <f t="shared" si="136"/>
        <v>4937.8</v>
      </c>
      <c r="M207" s="10">
        <f>M209</f>
        <v>0</v>
      </c>
      <c r="N207" s="10">
        <f t="shared" si="146"/>
        <v>4937.8</v>
      </c>
      <c r="O207" s="10"/>
      <c r="P207" s="10">
        <f t="shared" ref="P207:P218" si="191">N207+O207</f>
        <v>4937.8</v>
      </c>
      <c r="Q207" s="10"/>
      <c r="R207" s="10">
        <f t="shared" ref="R207" si="192">P207+Q207</f>
        <v>4937.8</v>
      </c>
      <c r="S207" s="10"/>
      <c r="T207" s="10">
        <f t="shared" ref="T207:T218" si="193">R207+S207</f>
        <v>4937.8</v>
      </c>
      <c r="U207" s="10"/>
      <c r="V207" s="10">
        <f t="shared" ref="V207" si="194">T207+U207</f>
        <v>4937.8</v>
      </c>
      <c r="W207" s="18"/>
    </row>
    <row r="208" spans="1:24" x14ac:dyDescent="0.3">
      <c r="A208" s="37"/>
      <c r="B208" s="6" t="s">
        <v>8</v>
      </c>
      <c r="C208" s="8"/>
      <c r="D208" s="8"/>
      <c r="E208" s="8"/>
      <c r="F208" s="8"/>
      <c r="G208" s="8"/>
      <c r="H208" s="8"/>
      <c r="I208" s="8"/>
      <c r="J208" s="8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8"/>
    </row>
    <row r="209" spans="1:24" x14ac:dyDescent="0.3">
      <c r="A209" s="37"/>
      <c r="B209" s="6" t="s">
        <v>9</v>
      </c>
      <c r="C209" s="8">
        <v>3264.9</v>
      </c>
      <c r="D209" s="8">
        <f t="shared" si="51"/>
        <v>-91.400000000000091</v>
      </c>
      <c r="E209" s="9">
        <v>3173.5</v>
      </c>
      <c r="F209" s="8">
        <v>3264.9</v>
      </c>
      <c r="G209" s="8">
        <f t="shared" si="52"/>
        <v>-13.099999999999909</v>
      </c>
      <c r="H209" s="9">
        <v>3251.8</v>
      </c>
      <c r="I209" s="8"/>
      <c r="J209" s="9">
        <f>1926.5-162.2</f>
        <v>1764.3</v>
      </c>
      <c r="K209" s="10">
        <f t="shared" si="135"/>
        <v>1672.9</v>
      </c>
      <c r="L209" s="10">
        <f t="shared" si="136"/>
        <v>4937.8</v>
      </c>
      <c r="M209" s="10"/>
      <c r="N209" s="10">
        <f t="shared" si="146"/>
        <v>4937.8</v>
      </c>
      <c r="O209" s="10"/>
      <c r="P209" s="10">
        <f t="shared" si="191"/>
        <v>4937.8</v>
      </c>
      <c r="Q209" s="10"/>
      <c r="R209" s="10">
        <f t="shared" ref="R209:R210" si="195">P209+Q209</f>
        <v>4937.8</v>
      </c>
      <c r="S209" s="10"/>
      <c r="T209" s="10">
        <f t="shared" si="193"/>
        <v>4937.8</v>
      </c>
      <c r="U209" s="10"/>
      <c r="V209" s="10">
        <f t="shared" ref="V209:V210" si="196">T209+U209</f>
        <v>4937.8</v>
      </c>
      <c r="W209" s="18"/>
    </row>
    <row r="210" spans="1:24" ht="62.4" x14ac:dyDescent="0.3">
      <c r="A210" s="37">
        <v>10</v>
      </c>
      <c r="B210" s="6" t="s">
        <v>68</v>
      </c>
      <c r="C210" s="8">
        <f>C212</f>
        <v>0</v>
      </c>
      <c r="D210" s="8">
        <f t="shared" ref="D210" si="197">E210-C210</f>
        <v>44886.6</v>
      </c>
      <c r="E210" s="9">
        <f>E212</f>
        <v>44886.6</v>
      </c>
      <c r="F210" s="8">
        <f>F212</f>
        <v>0</v>
      </c>
      <c r="G210" s="8">
        <f t="shared" ref="G210" si="198">H210-F210</f>
        <v>0</v>
      </c>
      <c r="H210" s="9">
        <f>H212</f>
        <v>0</v>
      </c>
      <c r="I210" s="8">
        <f>I212</f>
        <v>0</v>
      </c>
      <c r="J210" s="9">
        <f>J212</f>
        <v>0</v>
      </c>
      <c r="K210" s="10">
        <f t="shared" si="135"/>
        <v>44886.6</v>
      </c>
      <c r="L210" s="10">
        <f t="shared" si="136"/>
        <v>44886.6</v>
      </c>
      <c r="M210" s="10">
        <f>M212</f>
        <v>0</v>
      </c>
      <c r="N210" s="10">
        <f t="shared" si="146"/>
        <v>44886.6</v>
      </c>
      <c r="O210" s="10"/>
      <c r="P210" s="10">
        <f t="shared" si="191"/>
        <v>44886.6</v>
      </c>
      <c r="Q210" s="10"/>
      <c r="R210" s="10">
        <f t="shared" si="195"/>
        <v>44886.6</v>
      </c>
      <c r="S210" s="10"/>
      <c r="T210" s="10">
        <f t="shared" si="193"/>
        <v>44886.6</v>
      </c>
      <c r="U210" s="10"/>
      <c r="V210" s="10">
        <f t="shared" si="196"/>
        <v>44886.6</v>
      </c>
      <c r="W210" s="18"/>
    </row>
    <row r="211" spans="1:24" x14ac:dyDescent="0.3">
      <c r="A211" s="37"/>
      <c r="B211" s="6" t="s">
        <v>8</v>
      </c>
      <c r="C211" s="8"/>
      <c r="D211" s="8"/>
      <c r="E211" s="9"/>
      <c r="F211" s="8"/>
      <c r="G211" s="8"/>
      <c r="H211" s="9"/>
      <c r="I211" s="8"/>
      <c r="J211" s="9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8"/>
    </row>
    <row r="212" spans="1:24" x14ac:dyDescent="0.3">
      <c r="A212" s="37"/>
      <c r="B212" s="6" t="s">
        <v>9</v>
      </c>
      <c r="C212" s="8"/>
      <c r="D212" s="8">
        <f t="shared" ref="D212:D216" si="199">E212-C212</f>
        <v>44886.6</v>
      </c>
      <c r="E212" s="9">
        <v>44886.6</v>
      </c>
      <c r="F212" s="8"/>
      <c r="G212" s="8">
        <f t="shared" ref="G212:G216" si="200">H212-F212</f>
        <v>0</v>
      </c>
      <c r="H212" s="9"/>
      <c r="I212" s="8"/>
      <c r="J212" s="9"/>
      <c r="K212" s="10">
        <f t="shared" si="135"/>
        <v>44886.6</v>
      </c>
      <c r="L212" s="10">
        <f t="shared" si="136"/>
        <v>44886.6</v>
      </c>
      <c r="M212" s="10"/>
      <c r="N212" s="10">
        <f t="shared" si="146"/>
        <v>44886.6</v>
      </c>
      <c r="O212" s="10"/>
      <c r="P212" s="10">
        <f t="shared" si="191"/>
        <v>44886.6</v>
      </c>
      <c r="Q212" s="10"/>
      <c r="R212" s="10">
        <f t="shared" ref="R212:R216" si="201">P212+Q212</f>
        <v>44886.6</v>
      </c>
      <c r="S212" s="10"/>
      <c r="T212" s="10">
        <f t="shared" si="193"/>
        <v>44886.6</v>
      </c>
      <c r="U212" s="10"/>
      <c r="V212" s="10">
        <f t="shared" ref="V212:V213" si="202">T212+U212</f>
        <v>44886.6</v>
      </c>
      <c r="W212" s="18"/>
    </row>
    <row r="213" spans="1:24" x14ac:dyDescent="0.3">
      <c r="A213" s="37">
        <v>11</v>
      </c>
      <c r="B213" s="6" t="s">
        <v>107</v>
      </c>
      <c r="C213" s="8"/>
      <c r="D213" s="8"/>
      <c r="E213" s="9"/>
      <c r="F213" s="8"/>
      <c r="G213" s="8"/>
      <c r="H213" s="9"/>
      <c r="I213" s="8"/>
      <c r="J213" s="9"/>
      <c r="K213" s="10"/>
      <c r="L213" s="10"/>
      <c r="M213" s="10"/>
      <c r="N213" s="10"/>
      <c r="O213" s="10"/>
      <c r="P213" s="10"/>
      <c r="Q213" s="30">
        <f>Q215</f>
        <v>1285.865</v>
      </c>
      <c r="R213" s="30">
        <f t="shared" si="201"/>
        <v>1285.865</v>
      </c>
      <c r="S213" s="30">
        <f>S215</f>
        <v>0</v>
      </c>
      <c r="T213" s="10">
        <f t="shared" si="193"/>
        <v>1285.865</v>
      </c>
      <c r="U213" s="10">
        <f>U215</f>
        <v>0</v>
      </c>
      <c r="V213" s="10">
        <f t="shared" si="202"/>
        <v>1285.865</v>
      </c>
      <c r="W213" s="18" t="s">
        <v>108</v>
      </c>
    </row>
    <row r="214" spans="1:24" x14ac:dyDescent="0.3">
      <c r="A214" s="37"/>
      <c r="B214" s="6" t="s">
        <v>8</v>
      </c>
      <c r="C214" s="8"/>
      <c r="D214" s="8"/>
      <c r="E214" s="9"/>
      <c r="F214" s="8"/>
      <c r="G214" s="8"/>
      <c r="H214" s="9"/>
      <c r="I214" s="8"/>
      <c r="J214" s="9"/>
      <c r="K214" s="10"/>
      <c r="L214" s="10"/>
      <c r="M214" s="10"/>
      <c r="N214" s="10"/>
      <c r="O214" s="10"/>
      <c r="P214" s="10"/>
      <c r="Q214" s="30"/>
      <c r="R214" s="30"/>
      <c r="S214" s="30"/>
      <c r="T214" s="10"/>
      <c r="U214" s="10"/>
      <c r="V214" s="10"/>
      <c r="W214" s="18"/>
    </row>
    <row r="215" spans="1:24" x14ac:dyDescent="0.3">
      <c r="A215" s="37"/>
      <c r="B215" s="6" t="s">
        <v>9</v>
      </c>
      <c r="C215" s="8"/>
      <c r="D215" s="8"/>
      <c r="E215" s="9"/>
      <c r="F215" s="8"/>
      <c r="G215" s="8"/>
      <c r="H215" s="9"/>
      <c r="I215" s="8"/>
      <c r="J215" s="9"/>
      <c r="K215" s="10"/>
      <c r="L215" s="10"/>
      <c r="M215" s="10"/>
      <c r="N215" s="10"/>
      <c r="O215" s="10"/>
      <c r="P215" s="10"/>
      <c r="Q215" s="30">
        <v>1285.865</v>
      </c>
      <c r="R215" s="30">
        <f t="shared" si="201"/>
        <v>1285.865</v>
      </c>
      <c r="S215" s="30"/>
      <c r="T215" s="10">
        <f t="shared" si="193"/>
        <v>1285.865</v>
      </c>
      <c r="U215" s="10"/>
      <c r="V215" s="10">
        <f t="shared" ref="V215:V216" si="203">T215+U215</f>
        <v>1285.865</v>
      </c>
      <c r="W215" s="18"/>
    </row>
    <row r="216" spans="1:24" ht="31.2" x14ac:dyDescent="0.3">
      <c r="A216" s="37">
        <v>12</v>
      </c>
      <c r="B216" s="6" t="s">
        <v>71</v>
      </c>
      <c r="C216" s="8">
        <f>C218</f>
        <v>0</v>
      </c>
      <c r="D216" s="8">
        <f t="shared" si="199"/>
        <v>5936.7</v>
      </c>
      <c r="E216" s="9">
        <f>E218</f>
        <v>5936.7</v>
      </c>
      <c r="F216" s="8">
        <f>F218</f>
        <v>0</v>
      </c>
      <c r="G216" s="8">
        <f t="shared" si="200"/>
        <v>12930.1</v>
      </c>
      <c r="H216" s="9">
        <f>H218</f>
        <v>12930.1</v>
      </c>
      <c r="I216" s="8">
        <f>I218</f>
        <v>7773.6</v>
      </c>
      <c r="J216" s="9">
        <f>J218</f>
        <v>-967.3</v>
      </c>
      <c r="K216" s="10">
        <f t="shared" si="135"/>
        <v>4969.3999999999996</v>
      </c>
      <c r="L216" s="10">
        <f t="shared" si="136"/>
        <v>4969.3999999999996</v>
      </c>
      <c r="M216" s="10">
        <f>M218</f>
        <v>0</v>
      </c>
      <c r="N216" s="10">
        <f t="shared" si="146"/>
        <v>4969.3999999999996</v>
      </c>
      <c r="O216" s="10"/>
      <c r="P216" s="10">
        <f t="shared" si="191"/>
        <v>4969.3999999999996</v>
      </c>
      <c r="Q216" s="30">
        <f>Q218</f>
        <v>1750</v>
      </c>
      <c r="R216" s="30">
        <f t="shared" si="201"/>
        <v>6719.4</v>
      </c>
      <c r="S216" s="30">
        <f>S218</f>
        <v>0</v>
      </c>
      <c r="T216" s="10">
        <f t="shared" si="193"/>
        <v>6719.4</v>
      </c>
      <c r="U216" s="10">
        <f>U218</f>
        <v>-279.58699999999999</v>
      </c>
      <c r="V216" s="10">
        <f t="shared" si="203"/>
        <v>6439.8130000000001</v>
      </c>
      <c r="W216" s="18" t="s">
        <v>106</v>
      </c>
    </row>
    <row r="217" spans="1:24" x14ac:dyDescent="0.3">
      <c r="A217" s="37"/>
      <c r="B217" s="6" t="s">
        <v>8</v>
      </c>
      <c r="C217" s="8"/>
      <c r="D217" s="8"/>
      <c r="E217" s="9"/>
      <c r="F217" s="8"/>
      <c r="G217" s="8"/>
      <c r="H217" s="9"/>
      <c r="I217" s="8"/>
      <c r="J217" s="9"/>
      <c r="K217" s="10"/>
      <c r="L217" s="10"/>
      <c r="M217" s="10"/>
      <c r="N217" s="10"/>
      <c r="O217" s="10"/>
      <c r="P217" s="10"/>
      <c r="Q217" s="30"/>
      <c r="R217" s="30"/>
      <c r="S217" s="30"/>
      <c r="T217" s="10"/>
      <c r="U217" s="10"/>
      <c r="V217" s="10"/>
      <c r="W217" s="18"/>
    </row>
    <row r="218" spans="1:24" x14ac:dyDescent="0.3">
      <c r="A218" s="37"/>
      <c r="B218" s="6" t="s">
        <v>9</v>
      </c>
      <c r="C218" s="8"/>
      <c r="D218" s="8">
        <f t="shared" ref="D218:D219" si="204">E218-C218</f>
        <v>5936.7</v>
      </c>
      <c r="E218" s="9">
        <v>5936.7</v>
      </c>
      <c r="F218" s="8"/>
      <c r="G218" s="8">
        <f t="shared" ref="G218:G219" si="205">H218-F218</f>
        <v>12930.1</v>
      </c>
      <c r="H218" s="9">
        <v>12930.1</v>
      </c>
      <c r="I218" s="8">
        <v>7773.6</v>
      </c>
      <c r="J218" s="9">
        <v>-967.3</v>
      </c>
      <c r="K218" s="10">
        <f t="shared" si="135"/>
        <v>4969.3999999999996</v>
      </c>
      <c r="L218" s="10">
        <f t="shared" si="136"/>
        <v>4969.3999999999996</v>
      </c>
      <c r="M218" s="10"/>
      <c r="N218" s="10">
        <f t="shared" si="146"/>
        <v>4969.3999999999996</v>
      </c>
      <c r="O218" s="10"/>
      <c r="P218" s="10">
        <f t="shared" si="191"/>
        <v>4969.3999999999996</v>
      </c>
      <c r="Q218" s="30">
        <v>1750</v>
      </c>
      <c r="R218" s="30">
        <f t="shared" ref="R218" si="206">P218+Q218</f>
        <v>6719.4</v>
      </c>
      <c r="S218" s="30"/>
      <c r="T218" s="10">
        <f t="shared" si="193"/>
        <v>6719.4</v>
      </c>
      <c r="U218" s="10">
        <f>-279.587</f>
        <v>-279.58699999999999</v>
      </c>
      <c r="V218" s="10">
        <f t="shared" ref="V218" si="207">T218+U218</f>
        <v>6439.8130000000001</v>
      </c>
      <c r="W218" s="18"/>
    </row>
    <row r="219" spans="1:24" s="1" customFormat="1" ht="31.5" hidden="1" x14ac:dyDescent="0.25">
      <c r="A219" s="11">
        <v>13</v>
      </c>
      <c r="B219" s="6" t="s">
        <v>64</v>
      </c>
      <c r="C219" s="8">
        <f>C220</f>
        <v>0</v>
      </c>
      <c r="D219" s="8">
        <f t="shared" si="204"/>
        <v>7272.5</v>
      </c>
      <c r="E219" s="9">
        <f>E220</f>
        <v>7272.5</v>
      </c>
      <c r="F219" s="8">
        <f>F220</f>
        <v>0</v>
      </c>
      <c r="G219" s="8">
        <f t="shared" si="205"/>
        <v>7272.5</v>
      </c>
      <c r="H219" s="9">
        <f>H220</f>
        <v>7272.5</v>
      </c>
      <c r="I219" s="8">
        <f>I220</f>
        <v>7272.5</v>
      </c>
      <c r="J219" s="9">
        <f>J220</f>
        <v>-7272.5</v>
      </c>
      <c r="K219" s="10">
        <f t="shared" si="135"/>
        <v>0</v>
      </c>
      <c r="L219" s="10">
        <f t="shared" si="136"/>
        <v>0</v>
      </c>
      <c r="M219" s="18">
        <f t="shared" ref="M219" si="208">N219-E219</f>
        <v>0</v>
      </c>
      <c r="N219" s="18">
        <f t="shared" ref="N219" si="209">G219+L219</f>
        <v>7272.5</v>
      </c>
      <c r="O219" s="18"/>
      <c r="P219" s="18"/>
      <c r="Q219" s="18"/>
      <c r="R219" s="18"/>
      <c r="S219" s="18"/>
      <c r="T219" s="18"/>
      <c r="U219" s="18"/>
      <c r="V219" s="18"/>
      <c r="W219" s="18"/>
      <c r="X219" s="1">
        <v>0</v>
      </c>
    </row>
    <row r="220" spans="1:24" s="1" customFormat="1" ht="15.75" hidden="1" x14ac:dyDescent="0.25">
      <c r="A220" s="11"/>
      <c r="B220" s="6" t="s">
        <v>9</v>
      </c>
      <c r="C220" s="8"/>
      <c r="D220" s="8">
        <f t="shared" ref="D220:D221" si="210">E220-C220</f>
        <v>7272.5</v>
      </c>
      <c r="E220" s="9">
        <v>7272.5</v>
      </c>
      <c r="F220" s="8"/>
      <c r="G220" s="8">
        <f t="shared" ref="G220:G221" si="211">H220-F220</f>
        <v>7272.5</v>
      </c>
      <c r="H220" s="9">
        <v>7272.5</v>
      </c>
      <c r="I220" s="9">
        <v>7272.5</v>
      </c>
      <c r="J220" s="9">
        <v>-7272.5</v>
      </c>
      <c r="K220" s="10">
        <f t="shared" si="135"/>
        <v>0</v>
      </c>
      <c r="L220" s="10">
        <f t="shared" si="136"/>
        <v>0</v>
      </c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">
        <v>0</v>
      </c>
    </row>
    <row r="221" spans="1:24" ht="31.2" x14ac:dyDescent="0.3">
      <c r="A221" s="37">
        <v>13</v>
      </c>
      <c r="B221" s="6" t="s">
        <v>65</v>
      </c>
      <c r="C221" s="8">
        <f>C223</f>
        <v>0</v>
      </c>
      <c r="D221" s="8">
        <f t="shared" si="210"/>
        <v>3000</v>
      </c>
      <c r="E221" s="9">
        <f>E223</f>
        <v>3000</v>
      </c>
      <c r="F221" s="8">
        <f>F223</f>
        <v>0</v>
      </c>
      <c r="G221" s="8">
        <f t="shared" si="211"/>
        <v>5000</v>
      </c>
      <c r="H221" s="9">
        <f>H223</f>
        <v>5000</v>
      </c>
      <c r="I221" s="8">
        <f>I223</f>
        <v>7000</v>
      </c>
      <c r="J221" s="9">
        <f>J223</f>
        <v>0</v>
      </c>
      <c r="K221" s="10">
        <f t="shared" si="135"/>
        <v>3000</v>
      </c>
      <c r="L221" s="10">
        <f t="shared" si="136"/>
        <v>3000</v>
      </c>
      <c r="M221" s="10">
        <f>M223</f>
        <v>0</v>
      </c>
      <c r="N221" s="10">
        <f t="shared" ref="N221:N223" si="212">L221+M221</f>
        <v>3000</v>
      </c>
      <c r="O221" s="10"/>
      <c r="P221" s="10">
        <f t="shared" ref="P221:P227" si="213">N221+O221</f>
        <v>3000</v>
      </c>
      <c r="Q221" s="10"/>
      <c r="R221" s="10">
        <f t="shared" ref="R221" si="214">P221+Q221</f>
        <v>3000</v>
      </c>
      <c r="S221" s="10"/>
      <c r="T221" s="10">
        <f t="shared" ref="T221:T226" si="215">R221+S221</f>
        <v>3000</v>
      </c>
      <c r="U221" s="10"/>
      <c r="V221" s="10">
        <f t="shared" ref="V221" si="216">T221+U221</f>
        <v>3000</v>
      </c>
      <c r="W221" s="18"/>
    </row>
    <row r="222" spans="1:24" x14ac:dyDescent="0.3">
      <c r="A222" s="37"/>
      <c r="B222" s="6" t="s">
        <v>8</v>
      </c>
      <c r="C222" s="8"/>
      <c r="D222" s="8"/>
      <c r="E222" s="9"/>
      <c r="F222" s="8"/>
      <c r="G222" s="8"/>
      <c r="H222" s="9"/>
      <c r="I222" s="8"/>
      <c r="J222" s="9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8"/>
    </row>
    <row r="223" spans="1:24" x14ac:dyDescent="0.3">
      <c r="A223" s="37"/>
      <c r="B223" s="6" t="s">
        <v>9</v>
      </c>
      <c r="C223" s="8"/>
      <c r="D223" s="8">
        <f t="shared" ref="D223" si="217">E223-C223</f>
        <v>3000</v>
      </c>
      <c r="E223" s="9">
        <v>3000</v>
      </c>
      <c r="F223" s="8"/>
      <c r="G223" s="8">
        <f t="shared" ref="G223" si="218">H223-F223</f>
        <v>5000</v>
      </c>
      <c r="H223" s="9">
        <v>5000</v>
      </c>
      <c r="I223" s="9">
        <v>7000</v>
      </c>
      <c r="J223" s="9"/>
      <c r="K223" s="10">
        <f t="shared" si="135"/>
        <v>3000</v>
      </c>
      <c r="L223" s="10">
        <f t="shared" si="136"/>
        <v>3000</v>
      </c>
      <c r="M223" s="10"/>
      <c r="N223" s="10">
        <f t="shared" si="212"/>
        <v>3000</v>
      </c>
      <c r="O223" s="10"/>
      <c r="P223" s="10">
        <f t="shared" si="213"/>
        <v>3000</v>
      </c>
      <c r="Q223" s="10"/>
      <c r="R223" s="10">
        <f t="shared" ref="R223:R227" si="219">P223+Q223</f>
        <v>3000</v>
      </c>
      <c r="S223" s="10"/>
      <c r="T223" s="10">
        <f t="shared" si="215"/>
        <v>3000</v>
      </c>
      <c r="U223" s="10"/>
      <c r="V223" s="10">
        <f t="shared" ref="V223:V224" si="220">T223+U223</f>
        <v>3000</v>
      </c>
      <c r="W223" s="18"/>
    </row>
    <row r="224" spans="1:24" ht="46.8" x14ac:dyDescent="0.3">
      <c r="A224" s="37">
        <v>14</v>
      </c>
      <c r="B224" s="6" t="s">
        <v>126</v>
      </c>
      <c r="C224" s="8"/>
      <c r="D224" s="8"/>
      <c r="E224" s="9"/>
      <c r="F224" s="8"/>
      <c r="G224" s="8"/>
      <c r="H224" s="9"/>
      <c r="I224" s="9"/>
      <c r="J224" s="9"/>
      <c r="K224" s="10"/>
      <c r="L224" s="10"/>
      <c r="M224" s="10"/>
      <c r="N224" s="10"/>
      <c r="O224" s="10"/>
      <c r="P224" s="10"/>
      <c r="Q224" s="30">
        <f>Q226</f>
        <v>98</v>
      </c>
      <c r="R224" s="30">
        <f t="shared" si="219"/>
        <v>98</v>
      </c>
      <c r="S224" s="30">
        <f>S226</f>
        <v>0</v>
      </c>
      <c r="T224" s="10">
        <f t="shared" si="215"/>
        <v>98</v>
      </c>
      <c r="U224" s="10">
        <f>U226</f>
        <v>0</v>
      </c>
      <c r="V224" s="10">
        <f t="shared" si="220"/>
        <v>98</v>
      </c>
      <c r="W224" s="18" t="s">
        <v>127</v>
      </c>
    </row>
    <row r="225" spans="1:23" x14ac:dyDescent="0.3">
      <c r="A225" s="37"/>
      <c r="B225" s="6" t="s">
        <v>8</v>
      </c>
      <c r="C225" s="8"/>
      <c r="D225" s="8"/>
      <c r="E225" s="9"/>
      <c r="F225" s="8"/>
      <c r="G225" s="8"/>
      <c r="H225" s="9"/>
      <c r="I225" s="9"/>
      <c r="J225" s="9"/>
      <c r="K225" s="10"/>
      <c r="L225" s="10"/>
      <c r="M225" s="10"/>
      <c r="N225" s="10"/>
      <c r="O225" s="10"/>
      <c r="P225" s="10"/>
      <c r="Q225" s="30"/>
      <c r="R225" s="30"/>
      <c r="S225" s="30"/>
      <c r="T225" s="10"/>
      <c r="U225" s="10"/>
      <c r="V225" s="10"/>
      <c r="W225" s="18"/>
    </row>
    <row r="226" spans="1:23" x14ac:dyDescent="0.3">
      <c r="A226" s="37"/>
      <c r="B226" s="6" t="s">
        <v>9</v>
      </c>
      <c r="C226" s="8"/>
      <c r="D226" s="8"/>
      <c r="E226" s="9"/>
      <c r="F226" s="8"/>
      <c r="G226" s="8"/>
      <c r="H226" s="9"/>
      <c r="I226" s="9"/>
      <c r="J226" s="9"/>
      <c r="K226" s="10"/>
      <c r="L226" s="10"/>
      <c r="M226" s="10"/>
      <c r="N226" s="10"/>
      <c r="O226" s="10"/>
      <c r="P226" s="10"/>
      <c r="Q226" s="30">
        <f>98</f>
        <v>98</v>
      </c>
      <c r="R226" s="30">
        <f t="shared" ref="R226" si="221">P226+Q226</f>
        <v>98</v>
      </c>
      <c r="S226" s="30"/>
      <c r="T226" s="10">
        <f t="shared" si="215"/>
        <v>98</v>
      </c>
      <c r="U226" s="10"/>
      <c r="V226" s="10">
        <f t="shared" ref="V226" si="222">T226+U226</f>
        <v>98</v>
      </c>
      <c r="W226" s="18"/>
    </row>
    <row r="227" spans="1:23" ht="15.75" customHeight="1" x14ac:dyDescent="0.3">
      <c r="A227" s="38" t="s">
        <v>37</v>
      </c>
      <c r="B227" s="38"/>
      <c r="C227" s="8">
        <f>C18+C176</f>
        <v>5028648.3640000001</v>
      </c>
      <c r="D227" s="8">
        <f>E227-C227</f>
        <v>2595358.5360000003</v>
      </c>
      <c r="E227" s="8">
        <f>E18+E176</f>
        <v>7624006.9000000004</v>
      </c>
      <c r="F227" s="8">
        <f>F18+F176</f>
        <v>5094412.2599999988</v>
      </c>
      <c r="G227" s="8">
        <f>H227-F227</f>
        <v>2098996.7400000012</v>
      </c>
      <c r="H227" s="8">
        <f>H18+H176</f>
        <v>7193409</v>
      </c>
      <c r="I227" s="8">
        <f>I18+I176</f>
        <v>7431281.3999999994</v>
      </c>
      <c r="J227" s="8">
        <f>J18+J176</f>
        <v>171241.99999999997</v>
      </c>
      <c r="K227" s="10">
        <f t="shared" ref="K227" si="223">L227-C227</f>
        <v>2766600.5360000003</v>
      </c>
      <c r="L227" s="10">
        <f t="shared" ref="L227" si="224">E227+J227</f>
        <v>7795248.9000000004</v>
      </c>
      <c r="M227" s="10">
        <f>M18+M176</f>
        <v>-1000</v>
      </c>
      <c r="N227" s="10">
        <f>N18+N176</f>
        <v>7794248.9000000004</v>
      </c>
      <c r="O227" s="10">
        <f>O18+O176</f>
        <v>21194.298000000017</v>
      </c>
      <c r="P227" s="10">
        <f t="shared" si="213"/>
        <v>7815443.1980000008</v>
      </c>
      <c r="Q227" s="10">
        <f>Q18+Q176</f>
        <v>761472.08199999994</v>
      </c>
      <c r="R227" s="10">
        <f t="shared" si="219"/>
        <v>8576915.2800000012</v>
      </c>
      <c r="S227" s="10">
        <f>S18+S176</f>
        <v>-32000.04</v>
      </c>
      <c r="T227" s="10">
        <f>R227+S227</f>
        <v>8544915.2400000021</v>
      </c>
      <c r="U227" s="10">
        <f>U18+U176</f>
        <v>-50095.693999999989</v>
      </c>
      <c r="V227" s="10">
        <f>T227+U227</f>
        <v>8494819.546000002</v>
      </c>
      <c r="W227" s="18"/>
    </row>
  </sheetData>
  <sheetProtection password="CF5C" sheet="1" objects="1" scenarios="1"/>
  <autoFilter ref="A17:X227">
    <filterColumn colId="23">
      <filters blank="1"/>
    </filterColumn>
  </autoFilter>
  <mergeCells count="19">
    <mergeCell ref="B5:V5"/>
    <mergeCell ref="U16:V17"/>
    <mergeCell ref="A13:V13"/>
    <mergeCell ref="A12:V12"/>
    <mergeCell ref="M16:N16"/>
    <mergeCell ref="O16:P16"/>
    <mergeCell ref="S16:S17"/>
    <mergeCell ref="T16:T17"/>
    <mergeCell ref="Q16:R16"/>
    <mergeCell ref="A227:B227"/>
    <mergeCell ref="A16:A17"/>
    <mergeCell ref="B16:B17"/>
    <mergeCell ref="C16:C17"/>
    <mergeCell ref="K16:L16"/>
    <mergeCell ref="F16:F17"/>
    <mergeCell ref="I16:I17"/>
    <mergeCell ref="G16:H16"/>
    <mergeCell ref="D16:E16"/>
    <mergeCell ref="J16:J17"/>
  </mergeCells>
  <printOptions horizontalCentered="1"/>
  <pageMargins left="0.15748031496062992" right="0.19685039370078741" top="0.27559055118110237" bottom="0.51181102362204722" header="0.31496062992125984" footer="0.19685039370078741"/>
  <pageSetup paperSize="9" scale="85" fitToHeight="5" orientation="portrait" verticalDpi="18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8</vt:lpstr>
      <vt:lpstr>'Приложение № 8'!Заголовки_для_печати</vt:lpstr>
      <vt:lpstr>'Приложение № 8'!Область_печати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2013-06-04T11:46:39Z</dcterms:modified>
</cp:coreProperties>
</file>