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35" windowHeight="7425"/>
  </bookViews>
  <sheets>
    <sheet name="Приложение № 5" sheetId="1" r:id="rId1"/>
  </sheets>
  <definedNames>
    <definedName name="_xlnm._FilterDatabase" localSheetId="0" hidden="1">'Приложение № 5'!$A$15:$AT$65</definedName>
    <definedName name="_xlnm.Print_Titles" localSheetId="0">'Приложение № 5'!$14:$15</definedName>
  </definedNames>
  <calcPr calcId="144525"/>
</workbook>
</file>

<file path=xl/calcChain.xml><?xml version="1.0" encoding="utf-8"?>
<calcChain xmlns="http://schemas.openxmlformats.org/spreadsheetml/2006/main">
  <c r="AQ23" i="1" l="1"/>
  <c r="AQ32" i="1"/>
  <c r="AQ31" i="1"/>
  <c r="AQ27" i="1" s="1"/>
  <c r="AQ36" i="1"/>
  <c r="AQ39" i="1"/>
  <c r="AQ60" i="1"/>
  <c r="AQ55" i="1"/>
  <c r="AQ65" i="1" s="1"/>
  <c r="AQ49" i="1"/>
  <c r="AQ46" i="1"/>
  <c r="AQ41" i="1"/>
  <c r="AQ38" i="1"/>
  <c r="AQ33" i="1"/>
  <c r="AQ24" i="1"/>
  <c r="AQ16" i="1"/>
  <c r="AN60" i="1"/>
  <c r="AN55" i="1"/>
  <c r="AN49" i="1"/>
  <c r="AN46" i="1"/>
  <c r="AN65" i="1" s="1"/>
  <c r="AN41" i="1"/>
  <c r="AN38" i="1"/>
  <c r="AN33" i="1"/>
  <c r="AN27" i="1"/>
  <c r="AN24" i="1"/>
  <c r="AN16" i="1"/>
  <c r="AM60" i="1"/>
  <c r="AM55" i="1"/>
  <c r="AM49" i="1"/>
  <c r="AM46" i="1"/>
  <c r="AM41" i="1"/>
  <c r="AM38" i="1"/>
  <c r="AM33" i="1"/>
  <c r="AM27" i="1"/>
  <c r="AM24" i="1"/>
  <c r="AM16" i="1"/>
  <c r="AG36" i="1"/>
  <c r="AG31" i="1"/>
  <c r="AG62" i="1"/>
  <c r="AG43" i="1"/>
  <c r="AG41" i="1" s="1"/>
  <c r="AI23" i="1"/>
  <c r="AI19" i="1"/>
  <c r="AI30" i="1"/>
  <c r="AI31" i="1"/>
  <c r="AI57" i="1"/>
  <c r="AI55" i="1" s="1"/>
  <c r="AI43" i="1"/>
  <c r="AI41" i="1" s="1"/>
  <c r="AI54" i="1"/>
  <c r="AI50" i="1"/>
  <c r="AI49" i="1" s="1"/>
  <c r="AH23" i="1"/>
  <c r="AH19" i="1"/>
  <c r="AH30" i="1"/>
  <c r="AH31" i="1"/>
  <c r="AH27" i="1" s="1"/>
  <c r="AH57" i="1"/>
  <c r="AH55" i="1" s="1"/>
  <c r="AH43" i="1"/>
  <c r="AH54" i="1"/>
  <c r="AH52" i="1"/>
  <c r="AH50" i="1"/>
  <c r="AG23" i="1"/>
  <c r="AG35" i="1"/>
  <c r="AG34" i="1"/>
  <c r="AG47" i="1"/>
  <c r="AG46" i="1" s="1"/>
  <c r="AG20" i="1"/>
  <c r="AI60" i="1"/>
  <c r="AH60" i="1"/>
  <c r="AI46" i="1"/>
  <c r="AH46" i="1"/>
  <c r="AH41" i="1"/>
  <c r="AI38" i="1"/>
  <c r="AH38" i="1"/>
  <c r="AI33" i="1"/>
  <c r="AH33" i="1"/>
  <c r="AI27" i="1"/>
  <c r="AI24" i="1"/>
  <c r="AH24" i="1"/>
  <c r="AI16" i="1"/>
  <c r="AH16" i="1"/>
  <c r="AG42" i="1"/>
  <c r="AG39" i="1"/>
  <c r="AG29" i="1"/>
  <c r="AG25" i="1"/>
  <c r="AG24" i="1" s="1"/>
  <c r="AG26" i="1"/>
  <c r="AG32" i="1"/>
  <c r="AG37" i="1"/>
  <c r="AG57" i="1"/>
  <c r="AG51" i="1"/>
  <c r="AG61" i="1"/>
  <c r="AG60" i="1"/>
  <c r="AG55" i="1"/>
  <c r="AG19" i="1"/>
  <c r="AG30" i="1"/>
  <c r="AG28" i="1"/>
  <c r="AG27" i="1" s="1"/>
  <c r="AG54" i="1"/>
  <c r="AG49" i="1" s="1"/>
  <c r="AG52" i="1"/>
  <c r="AG38" i="1"/>
  <c r="AG16" i="1"/>
  <c r="AE30" i="1"/>
  <c r="AE37" i="1"/>
  <c r="AE36" i="1"/>
  <c r="AE31" i="1"/>
  <c r="AE47" i="1"/>
  <c r="AE32" i="1"/>
  <c r="AF56" i="1"/>
  <c r="AJ56" i="1" s="1"/>
  <c r="AO56" i="1" s="1"/>
  <c r="AR56" i="1" s="1"/>
  <c r="AE60" i="1"/>
  <c r="AE55" i="1"/>
  <c r="AE49" i="1"/>
  <c r="AE46" i="1"/>
  <c r="AE41" i="1"/>
  <c r="AE38" i="1"/>
  <c r="AE24" i="1"/>
  <c r="AE16" i="1"/>
  <c r="Y47" i="1"/>
  <c r="Y32" i="1"/>
  <c r="Y37" i="1"/>
  <c r="Y33" i="1" s="1"/>
  <c r="Y31" i="1"/>
  <c r="Y27" i="1" s="1"/>
  <c r="Y36" i="1"/>
  <c r="AB28" i="1"/>
  <c r="AF28" i="1" s="1"/>
  <c r="AC28" i="1"/>
  <c r="AK28" i="1" s="1"/>
  <c r="AP28" i="1" s="1"/>
  <c r="AD28" i="1"/>
  <c r="AL28" i="1" s="1"/>
  <c r="Y16" i="1"/>
  <c r="AS27" i="1"/>
  <c r="Z27" i="1"/>
  <c r="AA27" i="1"/>
  <c r="AB51" i="1"/>
  <c r="AF51" i="1" s="1"/>
  <c r="AJ51" i="1" s="1"/>
  <c r="AO51" i="1" s="1"/>
  <c r="AR51" i="1" s="1"/>
  <c r="AA60" i="1"/>
  <c r="Z60" i="1"/>
  <c r="Y60" i="1"/>
  <c r="AA55" i="1"/>
  <c r="Z55" i="1"/>
  <c r="Y55" i="1"/>
  <c r="AA49" i="1"/>
  <c r="Z49" i="1"/>
  <c r="Y49" i="1"/>
  <c r="AA46" i="1"/>
  <c r="Z46" i="1"/>
  <c r="Y46" i="1"/>
  <c r="AA41" i="1"/>
  <c r="Z41" i="1"/>
  <c r="Y41" i="1"/>
  <c r="AA38" i="1"/>
  <c r="Z38" i="1"/>
  <c r="Y38" i="1"/>
  <c r="AA33" i="1"/>
  <c r="Z33" i="1"/>
  <c r="AA24" i="1"/>
  <c r="Z24" i="1"/>
  <c r="Y24" i="1"/>
  <c r="AA16" i="1"/>
  <c r="Z16" i="1"/>
  <c r="S43" i="1"/>
  <c r="S41" i="1" s="1"/>
  <c r="S23" i="1"/>
  <c r="S16" i="1" s="1"/>
  <c r="W22" i="1"/>
  <c r="AC22" i="1" s="1"/>
  <c r="AK22" i="1" s="1"/>
  <c r="AP22" i="1" s="1"/>
  <c r="W29" i="1"/>
  <c r="AC29" i="1" s="1"/>
  <c r="AK29" i="1" s="1"/>
  <c r="AP29" i="1" s="1"/>
  <c r="V35" i="1"/>
  <c r="AB35" i="1" s="1"/>
  <c r="AF35" i="1" s="1"/>
  <c r="AJ35" i="1" s="1"/>
  <c r="AO35" i="1" s="1"/>
  <c r="AR35" i="1" s="1"/>
  <c r="V50" i="1"/>
  <c r="AB50" i="1" s="1"/>
  <c r="AF50" i="1" s="1"/>
  <c r="AJ50" i="1" s="1"/>
  <c r="AO50" i="1" s="1"/>
  <c r="AR50" i="1" s="1"/>
  <c r="V53" i="1"/>
  <c r="AB53" i="1" s="1"/>
  <c r="AF53" i="1" s="1"/>
  <c r="AJ53" i="1" s="1"/>
  <c r="AO53" i="1" s="1"/>
  <c r="AR53" i="1" s="1"/>
  <c r="V54" i="1"/>
  <c r="AB54" i="1" s="1"/>
  <c r="AF54" i="1" s="1"/>
  <c r="AJ54" i="1" s="1"/>
  <c r="AO54" i="1" s="1"/>
  <c r="AR54" i="1" s="1"/>
  <c r="V58" i="1"/>
  <c r="AB58" i="1" s="1"/>
  <c r="AF58" i="1" s="1"/>
  <c r="AJ58" i="1" s="1"/>
  <c r="AO58" i="1" s="1"/>
  <c r="AR58" i="1" s="1"/>
  <c r="W59" i="1"/>
  <c r="AC59" i="1" s="1"/>
  <c r="AK59" i="1" s="1"/>
  <c r="AP59" i="1" s="1"/>
  <c r="U60" i="1"/>
  <c r="T60" i="1"/>
  <c r="U55" i="1"/>
  <c r="T55" i="1"/>
  <c r="U49" i="1"/>
  <c r="T49" i="1"/>
  <c r="U46" i="1"/>
  <c r="T46" i="1"/>
  <c r="U41" i="1"/>
  <c r="T41" i="1"/>
  <c r="U38" i="1"/>
  <c r="T38" i="1"/>
  <c r="U33" i="1"/>
  <c r="T33" i="1"/>
  <c r="U27" i="1"/>
  <c r="T27" i="1"/>
  <c r="U24" i="1"/>
  <c r="T24" i="1"/>
  <c r="U16" i="1"/>
  <c r="T16" i="1"/>
  <c r="S60" i="1"/>
  <c r="S55" i="1"/>
  <c r="S49" i="1"/>
  <c r="S46" i="1"/>
  <c r="S38" i="1"/>
  <c r="S33" i="1"/>
  <c r="S27" i="1"/>
  <c r="S24" i="1"/>
  <c r="M23" i="1"/>
  <c r="R23" i="1" s="1"/>
  <c r="X23" i="1" s="1"/>
  <c r="AD23" i="1" s="1"/>
  <c r="AL23" i="1" s="1"/>
  <c r="M19" i="1"/>
  <c r="M40" i="1"/>
  <c r="M37" i="1"/>
  <c r="R37" i="1" s="1"/>
  <c r="X37" i="1" s="1"/>
  <c r="AD37" i="1" s="1"/>
  <c r="AL37" i="1" s="1"/>
  <c r="L40" i="1"/>
  <c r="Q40" i="1" s="1"/>
  <c r="P40" i="1" s="1"/>
  <c r="L37" i="1"/>
  <c r="K40" i="1"/>
  <c r="K38" i="1" s="1"/>
  <c r="K37" i="1"/>
  <c r="L19" i="1"/>
  <c r="K19" i="1"/>
  <c r="O19" i="1" s="1"/>
  <c r="V19" i="1" s="1"/>
  <c r="AB19" i="1" s="1"/>
  <c r="AF19" i="1" s="1"/>
  <c r="AJ19" i="1" s="1"/>
  <c r="AO19" i="1" s="1"/>
  <c r="AR19" i="1" s="1"/>
  <c r="L23" i="1"/>
  <c r="K23" i="1"/>
  <c r="M36" i="1"/>
  <c r="R36" i="1" s="1"/>
  <c r="X36" i="1" s="1"/>
  <c r="AD36" i="1" s="1"/>
  <c r="AL36" i="1" s="1"/>
  <c r="L36" i="1"/>
  <c r="K36" i="1"/>
  <c r="L34" i="1"/>
  <c r="L33" i="1" s="1"/>
  <c r="K34" i="1"/>
  <c r="O34" i="1" s="1"/>
  <c r="V34" i="1" s="1"/>
  <c r="AB34" i="1" s="1"/>
  <c r="AF34" i="1" s="1"/>
  <c r="AJ34" i="1" s="1"/>
  <c r="AO34" i="1" s="1"/>
  <c r="AR34" i="1" s="1"/>
  <c r="M35" i="1"/>
  <c r="L35" i="1"/>
  <c r="Q35" i="1" s="1"/>
  <c r="K31" i="1"/>
  <c r="M43" i="1"/>
  <c r="R43" i="1" s="1"/>
  <c r="X43" i="1" s="1"/>
  <c r="AD43" i="1" s="1"/>
  <c r="AL43" i="1" s="1"/>
  <c r="L43" i="1"/>
  <c r="K43" i="1"/>
  <c r="O43" i="1" s="1"/>
  <c r="M57" i="1"/>
  <c r="M55" i="1" s="1"/>
  <c r="L57" i="1"/>
  <c r="L55" i="1" s="1"/>
  <c r="K57" i="1"/>
  <c r="M26" i="1"/>
  <c r="L26" i="1"/>
  <c r="K26" i="1"/>
  <c r="O26" i="1" s="1"/>
  <c r="M32" i="1"/>
  <c r="L32" i="1"/>
  <c r="Q32" i="1" s="1"/>
  <c r="K32" i="1"/>
  <c r="O32" i="1" s="1"/>
  <c r="M34" i="1"/>
  <c r="R34" i="1" s="1"/>
  <c r="X34" i="1" s="1"/>
  <c r="AD34" i="1" s="1"/>
  <c r="AL34" i="1" s="1"/>
  <c r="M62" i="1"/>
  <c r="L62" i="1"/>
  <c r="K62" i="1"/>
  <c r="K60" i="1" s="1"/>
  <c r="K21" i="1"/>
  <c r="M47" i="1"/>
  <c r="R47" i="1" s="1"/>
  <c r="X47" i="1" s="1"/>
  <c r="AD47" i="1" s="1"/>
  <c r="AL47" i="1" s="1"/>
  <c r="L47" i="1"/>
  <c r="Q47" i="1" s="1"/>
  <c r="K47" i="1"/>
  <c r="O47" i="1" s="1"/>
  <c r="V47" i="1" s="1"/>
  <c r="AB47" i="1" s="1"/>
  <c r="AF47" i="1" s="1"/>
  <c r="AJ47" i="1" s="1"/>
  <c r="AO47" i="1" s="1"/>
  <c r="AR47" i="1" s="1"/>
  <c r="M59" i="1"/>
  <c r="R59" i="1" s="1"/>
  <c r="X59" i="1" s="1"/>
  <c r="AD59" i="1" s="1"/>
  <c r="AL59" i="1" s="1"/>
  <c r="L59" i="1"/>
  <c r="K59" i="1"/>
  <c r="M42" i="1"/>
  <c r="L42" i="1"/>
  <c r="Q42" i="1" s="1"/>
  <c r="P42" i="1" s="1"/>
  <c r="K42" i="1"/>
  <c r="K41" i="1" s="1"/>
  <c r="K45" i="1"/>
  <c r="O45" i="1" s="1"/>
  <c r="N45" i="1" s="1"/>
  <c r="M63" i="1"/>
  <c r="L63" i="1"/>
  <c r="Q63" i="1" s="1"/>
  <c r="W63" i="1" s="1"/>
  <c r="AC63" i="1" s="1"/>
  <c r="AK63" i="1" s="1"/>
  <c r="AP63" i="1" s="1"/>
  <c r="K63" i="1"/>
  <c r="M48" i="1"/>
  <c r="L48" i="1"/>
  <c r="K48" i="1"/>
  <c r="O48" i="1" s="1"/>
  <c r="N48" i="1" s="1"/>
  <c r="M30" i="1"/>
  <c r="R30" i="1" s="1"/>
  <c r="X30" i="1" s="1"/>
  <c r="AD30" i="1" s="1"/>
  <c r="AL30" i="1" s="1"/>
  <c r="L30" i="1"/>
  <c r="Q30" i="1" s="1"/>
  <c r="P30" i="1" s="1"/>
  <c r="K30" i="1"/>
  <c r="O30" i="1" s="1"/>
  <c r="Q37" i="1"/>
  <c r="W37" i="1" s="1"/>
  <c r="AC37" i="1" s="1"/>
  <c r="AK37" i="1" s="1"/>
  <c r="AP37" i="1" s="1"/>
  <c r="M45" i="1"/>
  <c r="L45" i="1"/>
  <c r="Q45" i="1" s="1"/>
  <c r="Q19" i="1"/>
  <c r="P19" i="1" s="1"/>
  <c r="O17" i="1"/>
  <c r="V17" i="1" s="1"/>
  <c r="AB17" i="1" s="1"/>
  <c r="AF17" i="1" s="1"/>
  <c r="AJ17" i="1" s="1"/>
  <c r="AO17" i="1" s="1"/>
  <c r="AR17" i="1" s="1"/>
  <c r="N17" i="1"/>
  <c r="Q17" i="1"/>
  <c r="W17" i="1" s="1"/>
  <c r="AC17" i="1" s="1"/>
  <c r="AK17" i="1" s="1"/>
  <c r="AP17" i="1" s="1"/>
  <c r="R17" i="1"/>
  <c r="X17" i="1" s="1"/>
  <c r="AD17" i="1" s="1"/>
  <c r="AL17" i="1" s="1"/>
  <c r="O18" i="1"/>
  <c r="Q18" i="1"/>
  <c r="W18" i="1" s="1"/>
  <c r="AC18" i="1" s="1"/>
  <c r="AK18" i="1" s="1"/>
  <c r="AP18" i="1" s="1"/>
  <c r="R18" i="1"/>
  <c r="X18" i="1" s="1"/>
  <c r="AD18" i="1" s="1"/>
  <c r="AL18" i="1" s="1"/>
  <c r="R19" i="1"/>
  <c r="X19" i="1" s="1"/>
  <c r="AD19" i="1" s="1"/>
  <c r="AL19" i="1" s="1"/>
  <c r="O20" i="1"/>
  <c r="V20" i="1" s="1"/>
  <c r="AB20" i="1" s="1"/>
  <c r="AF20" i="1" s="1"/>
  <c r="AJ20" i="1" s="1"/>
  <c r="AO20" i="1" s="1"/>
  <c r="AR20" i="1" s="1"/>
  <c r="Q20" i="1"/>
  <c r="R20" i="1"/>
  <c r="X20" i="1" s="1"/>
  <c r="AD20" i="1" s="1"/>
  <c r="AL20" i="1" s="1"/>
  <c r="O21" i="1"/>
  <c r="V21" i="1" s="1"/>
  <c r="AB21" i="1" s="1"/>
  <c r="AF21" i="1" s="1"/>
  <c r="AJ21" i="1" s="1"/>
  <c r="AO21" i="1" s="1"/>
  <c r="AR21" i="1" s="1"/>
  <c r="Q21" i="1"/>
  <c r="P21" i="1" s="1"/>
  <c r="R21" i="1"/>
  <c r="X21" i="1" s="1"/>
  <c r="AD21" i="1" s="1"/>
  <c r="AL21" i="1" s="1"/>
  <c r="O22" i="1"/>
  <c r="N22" i="1" s="1"/>
  <c r="Q22" i="1"/>
  <c r="P22" i="1" s="1"/>
  <c r="R22" i="1"/>
  <c r="X22" i="1" s="1"/>
  <c r="AD22" i="1" s="1"/>
  <c r="AL22" i="1" s="1"/>
  <c r="Q23" i="1"/>
  <c r="W23" i="1" s="1"/>
  <c r="AC23" i="1" s="1"/>
  <c r="AK23" i="1" s="1"/>
  <c r="AP23" i="1" s="1"/>
  <c r="O25" i="1"/>
  <c r="V25" i="1" s="1"/>
  <c r="AB25" i="1" s="1"/>
  <c r="AF25" i="1" s="1"/>
  <c r="AJ25" i="1" s="1"/>
  <c r="AO25" i="1" s="1"/>
  <c r="AR25" i="1" s="1"/>
  <c r="N25" i="1"/>
  <c r="Q25" i="1"/>
  <c r="R25" i="1"/>
  <c r="X25" i="1" s="1"/>
  <c r="AD25" i="1" s="1"/>
  <c r="AL25" i="1" s="1"/>
  <c r="R26" i="1"/>
  <c r="X26" i="1" s="1"/>
  <c r="AD26" i="1" s="1"/>
  <c r="AL26" i="1" s="1"/>
  <c r="O29" i="1"/>
  <c r="Q29" i="1"/>
  <c r="P29" i="1"/>
  <c r="R29" i="1"/>
  <c r="X29" i="1" s="1"/>
  <c r="AD29" i="1" s="1"/>
  <c r="AL29" i="1" s="1"/>
  <c r="O31" i="1"/>
  <c r="N31" i="1" s="1"/>
  <c r="Q31" i="1"/>
  <c r="P31" i="1" s="1"/>
  <c r="R31" i="1"/>
  <c r="X31" i="1" s="1"/>
  <c r="AD31" i="1" s="1"/>
  <c r="R32" i="1"/>
  <c r="X32" i="1" s="1"/>
  <c r="AD32" i="1" s="1"/>
  <c r="AL32" i="1" s="1"/>
  <c r="Q34" i="1"/>
  <c r="O35" i="1"/>
  <c r="N35" i="1" s="1"/>
  <c r="R35" i="1"/>
  <c r="X35" i="1" s="1"/>
  <c r="AD35" i="1" s="1"/>
  <c r="AL35" i="1" s="1"/>
  <c r="O36" i="1"/>
  <c r="N36" i="1" s="1"/>
  <c r="Q36" i="1"/>
  <c r="P36" i="1" s="1"/>
  <c r="O37" i="1"/>
  <c r="O39" i="1"/>
  <c r="V39" i="1" s="1"/>
  <c r="AB39" i="1" s="1"/>
  <c r="AF39" i="1" s="1"/>
  <c r="AJ39" i="1" s="1"/>
  <c r="AO39" i="1" s="1"/>
  <c r="AR39" i="1" s="1"/>
  <c r="Q39" i="1"/>
  <c r="P39" i="1" s="1"/>
  <c r="R39" i="1"/>
  <c r="X39" i="1" s="1"/>
  <c r="AD39" i="1" s="1"/>
  <c r="AL39" i="1" s="1"/>
  <c r="O40" i="1"/>
  <c r="N40" i="1" s="1"/>
  <c r="R40" i="1"/>
  <c r="X40" i="1" s="1"/>
  <c r="AD40" i="1" s="1"/>
  <c r="AL40" i="1" s="1"/>
  <c r="O42" i="1"/>
  <c r="V42" i="1" s="1"/>
  <c r="AB42" i="1" s="1"/>
  <c r="AF42" i="1" s="1"/>
  <c r="AJ42" i="1" s="1"/>
  <c r="AO42" i="1" s="1"/>
  <c r="AR42" i="1" s="1"/>
  <c r="R42" i="1"/>
  <c r="X42" i="1" s="1"/>
  <c r="AD42" i="1" s="1"/>
  <c r="AL42" i="1" s="1"/>
  <c r="Q43" i="1"/>
  <c r="W43" i="1" s="1"/>
  <c r="AC43" i="1" s="1"/>
  <c r="AK43" i="1" s="1"/>
  <c r="AP43" i="1" s="1"/>
  <c r="O44" i="1"/>
  <c r="V44" i="1" s="1"/>
  <c r="AB44" i="1" s="1"/>
  <c r="AF44" i="1" s="1"/>
  <c r="AJ44" i="1" s="1"/>
  <c r="AO44" i="1" s="1"/>
  <c r="AR44" i="1" s="1"/>
  <c r="Q44" i="1"/>
  <c r="W44" i="1" s="1"/>
  <c r="AC44" i="1" s="1"/>
  <c r="AK44" i="1" s="1"/>
  <c r="AP44" i="1" s="1"/>
  <c r="R44" i="1"/>
  <c r="X44" i="1" s="1"/>
  <c r="AD44" i="1" s="1"/>
  <c r="AL44" i="1" s="1"/>
  <c r="R45" i="1"/>
  <c r="X45" i="1" s="1"/>
  <c r="AD45" i="1" s="1"/>
  <c r="AL45" i="1" s="1"/>
  <c r="Q48" i="1"/>
  <c r="O50" i="1"/>
  <c r="N50" i="1" s="1"/>
  <c r="Q50" i="1"/>
  <c r="P50" i="1" s="1"/>
  <c r="R50" i="1"/>
  <c r="X50" i="1" s="1"/>
  <c r="AD50" i="1" s="1"/>
  <c r="AL50" i="1" s="1"/>
  <c r="O51" i="1"/>
  <c r="V51" i="1" s="1"/>
  <c r="Q51" i="1"/>
  <c r="P51" i="1" s="1"/>
  <c r="R51" i="1"/>
  <c r="X51" i="1" s="1"/>
  <c r="AD51" i="1" s="1"/>
  <c r="AL51" i="1" s="1"/>
  <c r="O52" i="1"/>
  <c r="Q52" i="1"/>
  <c r="W52" i="1" s="1"/>
  <c r="AC52" i="1" s="1"/>
  <c r="P52" i="1"/>
  <c r="R52" i="1"/>
  <c r="X52" i="1" s="1"/>
  <c r="AD52" i="1" s="1"/>
  <c r="AL52" i="1" s="1"/>
  <c r="O53" i="1"/>
  <c r="N53" i="1" s="1"/>
  <c r="Q53" i="1"/>
  <c r="W53" i="1" s="1"/>
  <c r="AC53" i="1" s="1"/>
  <c r="AK53" i="1" s="1"/>
  <c r="AP53" i="1" s="1"/>
  <c r="P53" i="1"/>
  <c r="R53" i="1"/>
  <c r="X53" i="1" s="1"/>
  <c r="AD53" i="1" s="1"/>
  <c r="AL53" i="1" s="1"/>
  <c r="O54" i="1"/>
  <c r="N54" i="1" s="1"/>
  <c r="Q54" i="1"/>
  <c r="P54" i="1" s="1"/>
  <c r="R54" i="1"/>
  <c r="X54" i="1" s="1"/>
  <c r="AD54" i="1" s="1"/>
  <c r="AL54" i="1" s="1"/>
  <c r="O56" i="1"/>
  <c r="V56" i="1" s="1"/>
  <c r="AB56" i="1" s="1"/>
  <c r="Q56" i="1"/>
  <c r="P56" i="1" s="1"/>
  <c r="R56" i="1"/>
  <c r="X56" i="1" s="1"/>
  <c r="AD56" i="1" s="1"/>
  <c r="AL56" i="1" s="1"/>
  <c r="O57" i="1"/>
  <c r="R57" i="1"/>
  <c r="X57" i="1" s="1"/>
  <c r="AD57" i="1" s="1"/>
  <c r="AL57" i="1" s="1"/>
  <c r="O58" i="1"/>
  <c r="N58" i="1" s="1"/>
  <c r="Q58" i="1"/>
  <c r="W58" i="1" s="1"/>
  <c r="AC58" i="1" s="1"/>
  <c r="AK58" i="1" s="1"/>
  <c r="AP58" i="1" s="1"/>
  <c r="P58" i="1"/>
  <c r="R58" i="1"/>
  <c r="X58" i="1" s="1"/>
  <c r="AD58" i="1" s="1"/>
  <c r="AL58" i="1" s="1"/>
  <c r="Q59" i="1"/>
  <c r="P59" i="1" s="1"/>
  <c r="O61" i="1"/>
  <c r="V61" i="1" s="1"/>
  <c r="AB61" i="1" s="1"/>
  <c r="AF61" i="1" s="1"/>
  <c r="AJ61" i="1" s="1"/>
  <c r="AO61" i="1" s="1"/>
  <c r="AR61" i="1" s="1"/>
  <c r="Q61" i="1"/>
  <c r="W61" i="1" s="1"/>
  <c r="AC61" i="1" s="1"/>
  <c r="AK61" i="1" s="1"/>
  <c r="AP61" i="1" s="1"/>
  <c r="R61" i="1"/>
  <c r="X61" i="1" s="1"/>
  <c r="AD61" i="1" s="1"/>
  <c r="AL61" i="1" s="1"/>
  <c r="R62" i="1"/>
  <c r="X62" i="1" s="1"/>
  <c r="AD62" i="1" s="1"/>
  <c r="AL62" i="1" s="1"/>
  <c r="O63" i="1"/>
  <c r="N63" i="1" s="1"/>
  <c r="O64" i="1"/>
  <c r="V64" i="1" s="1"/>
  <c r="AB64" i="1" s="1"/>
  <c r="AF64" i="1" s="1"/>
  <c r="AJ64" i="1" s="1"/>
  <c r="AO64" i="1" s="1"/>
  <c r="AR64" i="1" s="1"/>
  <c r="Q64" i="1"/>
  <c r="P64" i="1" s="1"/>
  <c r="R64" i="1"/>
  <c r="X64" i="1" s="1"/>
  <c r="AD64" i="1" s="1"/>
  <c r="AL64" i="1" s="1"/>
  <c r="M49" i="1"/>
  <c r="L49" i="1"/>
  <c r="K49" i="1"/>
  <c r="L46" i="1"/>
  <c r="K46" i="1"/>
  <c r="O46" i="1" s="1"/>
  <c r="V46" i="1" s="1"/>
  <c r="M38" i="1"/>
  <c r="L38" i="1"/>
  <c r="M27" i="1"/>
  <c r="L27" i="1"/>
  <c r="M24" i="1"/>
  <c r="L16" i="1"/>
  <c r="G48" i="1"/>
  <c r="D48" i="1"/>
  <c r="G44" i="1"/>
  <c r="H44" i="1" s="1"/>
  <c r="D44" i="1"/>
  <c r="N44" i="1" s="1"/>
  <c r="D42" i="1"/>
  <c r="E42" i="1" s="1"/>
  <c r="D36" i="1"/>
  <c r="E36" i="1" s="1"/>
  <c r="J60" i="1"/>
  <c r="J55" i="1"/>
  <c r="J49" i="1"/>
  <c r="J46" i="1"/>
  <c r="J41" i="1"/>
  <c r="J38" i="1"/>
  <c r="J33" i="1"/>
  <c r="J27" i="1"/>
  <c r="R27" i="1" s="1"/>
  <c r="X27" i="1" s="1"/>
  <c r="AD27" i="1" s="1"/>
  <c r="AL27" i="1" s="1"/>
  <c r="J24" i="1"/>
  <c r="R24" i="1" s="1"/>
  <c r="J16" i="1"/>
  <c r="H17" i="1"/>
  <c r="H18" i="1"/>
  <c r="H19" i="1"/>
  <c r="H20" i="1"/>
  <c r="H21" i="1"/>
  <c r="H22" i="1"/>
  <c r="H23" i="1"/>
  <c r="H25" i="1"/>
  <c r="H26" i="1"/>
  <c r="H29" i="1"/>
  <c r="H30" i="1"/>
  <c r="H31" i="1"/>
  <c r="H32" i="1"/>
  <c r="H34" i="1"/>
  <c r="H35" i="1"/>
  <c r="H36" i="1"/>
  <c r="H37" i="1"/>
  <c r="H39" i="1"/>
  <c r="H40" i="1"/>
  <c r="H42" i="1"/>
  <c r="H43" i="1"/>
  <c r="H45" i="1"/>
  <c r="H47" i="1"/>
  <c r="H48" i="1"/>
  <c r="H50" i="1"/>
  <c r="H51" i="1"/>
  <c r="H52" i="1"/>
  <c r="H53" i="1"/>
  <c r="H54" i="1"/>
  <c r="H56" i="1"/>
  <c r="H57" i="1"/>
  <c r="H58" i="1"/>
  <c r="H59" i="1"/>
  <c r="H61" i="1"/>
  <c r="H62" i="1"/>
  <c r="H63" i="1"/>
  <c r="H64" i="1"/>
  <c r="I60" i="1"/>
  <c r="I55" i="1"/>
  <c r="I49" i="1"/>
  <c r="Q49" i="1" s="1"/>
  <c r="I46" i="1"/>
  <c r="Q46" i="1" s="1"/>
  <c r="I41" i="1"/>
  <c r="I38" i="1"/>
  <c r="H38" i="1" s="1"/>
  <c r="Q38" i="1"/>
  <c r="W38" i="1" s="1"/>
  <c r="AC38" i="1" s="1"/>
  <c r="AK38" i="1" s="1"/>
  <c r="I33" i="1"/>
  <c r="I27" i="1"/>
  <c r="I24" i="1"/>
  <c r="I16" i="1"/>
  <c r="H16" i="1" s="1"/>
  <c r="G60" i="1"/>
  <c r="H60" i="1" s="1"/>
  <c r="G55" i="1"/>
  <c r="G49" i="1"/>
  <c r="G46" i="1"/>
  <c r="G38" i="1"/>
  <c r="G33" i="1"/>
  <c r="G27" i="1"/>
  <c r="H27" i="1" s="1"/>
  <c r="G24" i="1"/>
  <c r="H24" i="1" s="1"/>
  <c r="G16" i="1"/>
  <c r="E17" i="1"/>
  <c r="E18" i="1"/>
  <c r="E19" i="1"/>
  <c r="E20" i="1"/>
  <c r="E21" i="1"/>
  <c r="E22" i="1"/>
  <c r="E23" i="1"/>
  <c r="E25" i="1"/>
  <c r="E26" i="1"/>
  <c r="E29" i="1"/>
  <c r="E30" i="1"/>
  <c r="E31" i="1"/>
  <c r="E32" i="1"/>
  <c r="E34" i="1"/>
  <c r="E35" i="1"/>
  <c r="E37" i="1"/>
  <c r="E39" i="1"/>
  <c r="E40" i="1"/>
  <c r="E43" i="1"/>
  <c r="E45" i="1"/>
  <c r="E47" i="1"/>
  <c r="E48" i="1"/>
  <c r="E50" i="1"/>
  <c r="E51" i="1"/>
  <c r="E52" i="1"/>
  <c r="E53" i="1"/>
  <c r="E54" i="1"/>
  <c r="E56" i="1"/>
  <c r="E57" i="1"/>
  <c r="E58" i="1"/>
  <c r="E59" i="1"/>
  <c r="E61" i="1"/>
  <c r="E62" i="1"/>
  <c r="E63" i="1"/>
  <c r="E64" i="1"/>
  <c r="F60" i="1"/>
  <c r="F55" i="1"/>
  <c r="F65" i="1" s="1"/>
  <c r="F49" i="1"/>
  <c r="O49" i="1" s="1"/>
  <c r="V49" i="1" s="1"/>
  <c r="AB49" i="1" s="1"/>
  <c r="AF49" i="1" s="1"/>
  <c r="F46" i="1"/>
  <c r="F41" i="1"/>
  <c r="F38" i="1"/>
  <c r="O38" i="1" s="1"/>
  <c r="V38" i="1" s="1"/>
  <c r="AB38" i="1" s="1"/>
  <c r="AF38" i="1" s="1"/>
  <c r="AJ38" i="1" s="1"/>
  <c r="AO38" i="1" s="1"/>
  <c r="AR38" i="1" s="1"/>
  <c r="F33" i="1"/>
  <c r="F27" i="1"/>
  <c r="F24" i="1"/>
  <c r="F16" i="1"/>
  <c r="D60" i="1"/>
  <c r="D55" i="1"/>
  <c r="D49" i="1"/>
  <c r="D46" i="1"/>
  <c r="E46" i="1" s="1"/>
  <c r="D38" i="1"/>
  <c r="E38" i="1" s="1"/>
  <c r="D27" i="1"/>
  <c r="D24" i="1"/>
  <c r="D16" i="1"/>
  <c r="AS60" i="1"/>
  <c r="AS55" i="1"/>
  <c r="AS49" i="1"/>
  <c r="AS46" i="1"/>
  <c r="AS41" i="1"/>
  <c r="AS38" i="1"/>
  <c r="AS33" i="1"/>
  <c r="AS24" i="1"/>
  <c r="AS16" i="1"/>
  <c r="H49" i="1"/>
  <c r="E27" i="1"/>
  <c r="K27" i="1"/>
  <c r="O27" i="1" s="1"/>
  <c r="N27" i="1" s="1"/>
  <c r="AE33" i="1"/>
  <c r="AE27" i="1"/>
  <c r="W45" i="1" l="1"/>
  <c r="AC45" i="1" s="1"/>
  <c r="AK45" i="1" s="1"/>
  <c r="AP45" i="1" s="1"/>
  <c r="P45" i="1"/>
  <c r="W46" i="1"/>
  <c r="AC46" i="1" s="1"/>
  <c r="AK46" i="1" s="1"/>
  <c r="P46" i="1"/>
  <c r="N26" i="1"/>
  <c r="V26" i="1"/>
  <c r="AB26" i="1" s="1"/>
  <c r="AF26" i="1" s="1"/>
  <c r="AJ26" i="1" s="1"/>
  <c r="AO26" i="1" s="1"/>
  <c r="AR26" i="1" s="1"/>
  <c r="W40" i="1"/>
  <c r="AC40" i="1" s="1"/>
  <c r="AK40" i="1" s="1"/>
  <c r="AP40" i="1" s="1"/>
  <c r="O60" i="1"/>
  <c r="V60" i="1" s="1"/>
  <c r="AB60" i="1" s="1"/>
  <c r="AF60" i="1" s="1"/>
  <c r="AJ60" i="1" s="1"/>
  <c r="M16" i="1"/>
  <c r="R16" i="1" s="1"/>
  <c r="X16" i="1" s="1"/>
  <c r="AD16" i="1" s="1"/>
  <c r="AL16" i="1" s="1"/>
  <c r="V40" i="1"/>
  <c r="AB40" i="1" s="1"/>
  <c r="AF40" i="1" s="1"/>
  <c r="AJ40" i="1" s="1"/>
  <c r="AO40" i="1" s="1"/>
  <c r="AR40" i="1" s="1"/>
  <c r="AI65" i="1"/>
  <c r="P38" i="1"/>
  <c r="E60" i="1"/>
  <c r="E49" i="1"/>
  <c r="E44" i="1"/>
  <c r="Q27" i="1"/>
  <c r="W27" i="1" s="1"/>
  <c r="AC27" i="1" s="1"/>
  <c r="AK27" i="1" s="1"/>
  <c r="AP27" i="1" s="1"/>
  <c r="Q41" i="1"/>
  <c r="P41" i="1" s="1"/>
  <c r="Q55" i="1"/>
  <c r="R49" i="1"/>
  <c r="X49" i="1" s="1"/>
  <c r="AD49" i="1" s="1"/>
  <c r="AL49" i="1" s="1"/>
  <c r="N42" i="1"/>
  <c r="K24" i="1"/>
  <c r="O24" i="1" s="1"/>
  <c r="O62" i="1"/>
  <c r="Q57" i="1"/>
  <c r="N56" i="1"/>
  <c r="AK52" i="1"/>
  <c r="AP52" i="1" s="1"/>
  <c r="N51" i="1"/>
  <c r="AL31" i="1"/>
  <c r="K33" i="1"/>
  <c r="O33" i="1" s="1"/>
  <c r="V63" i="1"/>
  <c r="AB63" i="1" s="1"/>
  <c r="AF63" i="1" s="1"/>
  <c r="AJ63" i="1" s="1"/>
  <c r="AO63" i="1" s="1"/>
  <c r="AR63" i="1" s="1"/>
  <c r="W31" i="1"/>
  <c r="AC31" i="1" s="1"/>
  <c r="AK31" i="1" s="1"/>
  <c r="AP31" i="1" s="1"/>
  <c r="W19" i="1"/>
  <c r="AC19" i="1" s="1"/>
  <c r="AK19" i="1" s="1"/>
  <c r="AP19" i="1" s="1"/>
  <c r="AA65" i="1"/>
  <c r="W49" i="1"/>
  <c r="AC49" i="1" s="1"/>
  <c r="M41" i="1"/>
  <c r="R41" i="1" s="1"/>
  <c r="X41" i="1" s="1"/>
  <c r="AD41" i="1" s="1"/>
  <c r="AL41" i="1" s="1"/>
  <c r="AE65" i="1"/>
  <c r="P49" i="1"/>
  <c r="D33" i="1"/>
  <c r="E24" i="1"/>
  <c r="AJ49" i="1"/>
  <c r="AO49" i="1" s="1"/>
  <c r="AR49" i="1" s="1"/>
  <c r="Q33" i="1"/>
  <c r="P33" i="1" s="1"/>
  <c r="R55" i="1"/>
  <c r="X55" i="1" s="1"/>
  <c r="AD55" i="1" s="1"/>
  <c r="AL55" i="1" s="1"/>
  <c r="M33" i="1"/>
  <c r="R33" i="1" s="1"/>
  <c r="X33" i="1" s="1"/>
  <c r="AD33" i="1" s="1"/>
  <c r="AL33" i="1" s="1"/>
  <c r="L41" i="1"/>
  <c r="L65" i="1" s="1"/>
  <c r="N47" i="1"/>
  <c r="N39" i="1"/>
  <c r="P23" i="1"/>
  <c r="N21" i="1"/>
  <c r="N20" i="1"/>
  <c r="P18" i="1"/>
  <c r="P37" i="1"/>
  <c r="S65" i="1"/>
  <c r="W56" i="1"/>
  <c r="AC56" i="1" s="1"/>
  <c r="AK56" i="1" s="1"/>
  <c r="AP56" i="1" s="1"/>
  <c r="W51" i="1"/>
  <c r="AC51" i="1" s="1"/>
  <c r="AK51" i="1" s="1"/>
  <c r="AP51" i="1" s="1"/>
  <c r="W36" i="1"/>
  <c r="AC36" i="1" s="1"/>
  <c r="AK36" i="1" s="1"/>
  <c r="AP36" i="1" s="1"/>
  <c r="V31" i="1"/>
  <c r="AB31" i="1" s="1"/>
  <c r="AF31" i="1" s="1"/>
  <c r="AJ31" i="1" s="1"/>
  <c r="AO31" i="1" s="1"/>
  <c r="AR31" i="1" s="1"/>
  <c r="P27" i="1"/>
  <c r="P55" i="1"/>
  <c r="W55" i="1"/>
  <c r="AC55" i="1" s="1"/>
  <c r="AK55" i="1" s="1"/>
  <c r="AP55" i="1" s="1"/>
  <c r="W47" i="1"/>
  <c r="AC47" i="1" s="1"/>
  <c r="AK47" i="1" s="1"/>
  <c r="AP47" i="1" s="1"/>
  <c r="P47" i="1"/>
  <c r="W32" i="1"/>
  <c r="AC32" i="1" s="1"/>
  <c r="AK32" i="1" s="1"/>
  <c r="AP32" i="1" s="1"/>
  <c r="P32" i="1"/>
  <c r="Y65" i="1"/>
  <c r="AM65" i="1"/>
  <c r="J65" i="1"/>
  <c r="E55" i="1"/>
  <c r="N38" i="1"/>
  <c r="Q16" i="1"/>
  <c r="E16" i="1"/>
  <c r="E33" i="1"/>
  <c r="AB46" i="1"/>
  <c r="AF46" i="1" s="1"/>
  <c r="AJ46" i="1" s="1"/>
  <c r="G41" i="1"/>
  <c r="H41" i="1" s="1"/>
  <c r="P44" i="1"/>
  <c r="P48" i="1"/>
  <c r="W48" i="1"/>
  <c r="AC48" i="1" s="1"/>
  <c r="AK48" i="1" s="1"/>
  <c r="AP48" i="1" s="1"/>
  <c r="P43" i="1"/>
  <c r="V37" i="1"/>
  <c r="AB37" i="1" s="1"/>
  <c r="AF37" i="1" s="1"/>
  <c r="AJ37" i="1" s="1"/>
  <c r="AO37" i="1" s="1"/>
  <c r="AR37" i="1" s="1"/>
  <c r="N37" i="1"/>
  <c r="N34" i="1"/>
  <c r="V29" i="1"/>
  <c r="AB29" i="1" s="1"/>
  <c r="AF29" i="1" s="1"/>
  <c r="AJ29" i="1" s="1"/>
  <c r="AO29" i="1" s="1"/>
  <c r="AR29" i="1" s="1"/>
  <c r="N29" i="1"/>
  <c r="W20" i="1"/>
  <c r="AC20" i="1" s="1"/>
  <c r="AK20" i="1" s="1"/>
  <c r="AP20" i="1" s="1"/>
  <c r="P20" i="1"/>
  <c r="M46" i="1"/>
  <c r="R46" i="1" s="1"/>
  <c r="X46" i="1" s="1"/>
  <c r="AD46" i="1" s="1"/>
  <c r="AL46" i="1" s="1"/>
  <c r="R48" i="1"/>
  <c r="X48" i="1" s="1"/>
  <c r="AD48" i="1" s="1"/>
  <c r="AL48" i="1" s="1"/>
  <c r="O59" i="1"/>
  <c r="K55" i="1"/>
  <c r="Q62" i="1"/>
  <c r="L60" i="1"/>
  <c r="Q60" i="1" s="1"/>
  <c r="N43" i="1"/>
  <c r="V43" i="1"/>
  <c r="AB43" i="1" s="1"/>
  <c r="AF43" i="1" s="1"/>
  <c r="AJ43" i="1" s="1"/>
  <c r="AO43" i="1" s="1"/>
  <c r="AR43" i="1" s="1"/>
  <c r="P35" i="1"/>
  <c r="W35" i="1"/>
  <c r="AC35" i="1" s="1"/>
  <c r="AK35" i="1" s="1"/>
  <c r="AP35" i="1" s="1"/>
  <c r="U65" i="1"/>
  <c r="V45" i="1"/>
  <c r="AB45" i="1" s="1"/>
  <c r="AF45" i="1" s="1"/>
  <c r="AJ45" i="1" s="1"/>
  <c r="AO45" i="1" s="1"/>
  <c r="AR45" i="1" s="1"/>
  <c r="W42" i="1"/>
  <c r="AC42" i="1" s="1"/>
  <c r="AK42" i="1" s="1"/>
  <c r="AP42" i="1" s="1"/>
  <c r="V36" i="1"/>
  <c r="AB36" i="1" s="1"/>
  <c r="AF36" i="1" s="1"/>
  <c r="AJ36" i="1" s="1"/>
  <c r="AO36" i="1" s="1"/>
  <c r="AR36" i="1" s="1"/>
  <c r="W30" i="1"/>
  <c r="AC30" i="1" s="1"/>
  <c r="AK30" i="1" s="1"/>
  <c r="AP30" i="1" s="1"/>
  <c r="AG33" i="1"/>
  <c r="AG65" i="1" s="1"/>
  <c r="I65" i="1"/>
  <c r="H55" i="1"/>
  <c r="W25" i="1"/>
  <c r="AC25" i="1" s="1"/>
  <c r="AK25" i="1" s="1"/>
  <c r="AP25" i="1" s="1"/>
  <c r="P25" i="1"/>
  <c r="W50" i="1"/>
  <c r="AC50" i="1" s="1"/>
  <c r="AK50" i="1" s="1"/>
  <c r="AP50" i="1" s="1"/>
  <c r="N49" i="1"/>
  <c r="H46" i="1"/>
  <c r="X24" i="1"/>
  <c r="AD24" i="1" s="1"/>
  <c r="AL24" i="1" s="1"/>
  <c r="V27" i="1"/>
  <c r="AB27" i="1" s="1"/>
  <c r="AF27" i="1" s="1"/>
  <c r="AJ27" i="1" s="1"/>
  <c r="AO27" i="1" s="1"/>
  <c r="AR27" i="1" s="1"/>
  <c r="T65" i="1"/>
  <c r="V22" i="1"/>
  <c r="AB22" i="1" s="1"/>
  <c r="AF22" i="1" s="1"/>
  <c r="AJ22" i="1" s="1"/>
  <c r="AO22" i="1" s="1"/>
  <c r="AR22" i="1" s="1"/>
  <c r="Z65" i="1"/>
  <c r="N46" i="1"/>
  <c r="AS65" i="1"/>
  <c r="D41" i="1"/>
  <c r="E41" i="1" s="1"/>
  <c r="O41" i="1"/>
  <c r="R38" i="1"/>
  <c r="X38" i="1" s="1"/>
  <c r="AD38" i="1" s="1"/>
  <c r="AL38" i="1" s="1"/>
  <c r="P63" i="1"/>
  <c r="N61" i="1"/>
  <c r="V57" i="1"/>
  <c r="AB57" i="1" s="1"/>
  <c r="AF57" i="1" s="1"/>
  <c r="AJ57" i="1" s="1"/>
  <c r="AO57" i="1" s="1"/>
  <c r="AR57" i="1" s="1"/>
  <c r="N57" i="1"/>
  <c r="V52" i="1"/>
  <c r="AB52" i="1" s="1"/>
  <c r="AF52" i="1" s="1"/>
  <c r="AJ52" i="1" s="1"/>
  <c r="AO52" i="1" s="1"/>
  <c r="AR52" i="1" s="1"/>
  <c r="N52" i="1"/>
  <c r="W34" i="1"/>
  <c r="AC34" i="1" s="1"/>
  <c r="AK34" i="1" s="1"/>
  <c r="AP34" i="1" s="1"/>
  <c r="P34" i="1"/>
  <c r="V18" i="1"/>
  <c r="AB18" i="1" s="1"/>
  <c r="AF18" i="1" s="1"/>
  <c r="AJ18" i="1" s="1"/>
  <c r="AO18" i="1" s="1"/>
  <c r="AR18" i="1" s="1"/>
  <c r="N18" i="1"/>
  <c r="N30" i="1"/>
  <c r="V30" i="1"/>
  <c r="AB30" i="1" s="1"/>
  <c r="AF30" i="1" s="1"/>
  <c r="AJ30" i="1" s="1"/>
  <c r="AO30" i="1" s="1"/>
  <c r="AR30" i="1" s="1"/>
  <c r="R63" i="1"/>
  <c r="X63" i="1" s="1"/>
  <c r="AD63" i="1" s="1"/>
  <c r="AL63" i="1" s="1"/>
  <c r="M60" i="1"/>
  <c r="R60" i="1" s="1"/>
  <c r="X60" i="1" s="1"/>
  <c r="AD60" i="1" s="1"/>
  <c r="AL60" i="1" s="1"/>
  <c r="V32" i="1"/>
  <c r="AB32" i="1" s="1"/>
  <c r="AF32" i="1" s="1"/>
  <c r="AJ32" i="1" s="1"/>
  <c r="AO32" i="1" s="1"/>
  <c r="AR32" i="1" s="1"/>
  <c r="N32" i="1"/>
  <c r="Q26" i="1"/>
  <c r="L24" i="1"/>
  <c r="Q24" i="1" s="1"/>
  <c r="O23" i="1"/>
  <c r="K16" i="1"/>
  <c r="O16" i="1" s="1"/>
  <c r="W54" i="1"/>
  <c r="AC54" i="1" s="1"/>
  <c r="AK54" i="1" s="1"/>
  <c r="AP54" i="1" s="1"/>
  <c r="V48" i="1"/>
  <c r="AB48" i="1" s="1"/>
  <c r="AF48" i="1" s="1"/>
  <c r="AJ48" i="1" s="1"/>
  <c r="AO48" i="1" s="1"/>
  <c r="AR48" i="1" s="1"/>
  <c r="W39" i="1"/>
  <c r="AC39" i="1" s="1"/>
  <c r="AK39" i="1" s="1"/>
  <c r="AP39" i="1" s="1"/>
  <c r="W21" i="1"/>
  <c r="AC21" i="1" s="1"/>
  <c r="AK21" i="1" s="1"/>
  <c r="AP21" i="1" s="1"/>
  <c r="AH49" i="1"/>
  <c r="AH65" i="1" s="1"/>
  <c r="AO60" i="1"/>
  <c r="AR60" i="1" s="1"/>
  <c r="AP46" i="1"/>
  <c r="AJ28" i="1"/>
  <c r="AO28" i="1" s="1"/>
  <c r="AR28" i="1" s="1"/>
  <c r="H33" i="1"/>
  <c r="P61" i="1"/>
  <c r="P17" i="1"/>
  <c r="N19" i="1"/>
  <c r="AP38" i="1"/>
  <c r="AO46" i="1"/>
  <c r="AR46" i="1" s="1"/>
  <c r="W64" i="1"/>
  <c r="AC64" i="1" s="1"/>
  <c r="AK64" i="1" s="1"/>
  <c r="AP64" i="1" s="1"/>
  <c r="N64" i="1"/>
  <c r="V24" i="1" l="1"/>
  <c r="AB24" i="1" s="1"/>
  <c r="AF24" i="1" s="1"/>
  <c r="AJ24" i="1" s="1"/>
  <c r="AO24" i="1" s="1"/>
  <c r="AR24" i="1" s="1"/>
  <c r="N24" i="1"/>
  <c r="W41" i="1"/>
  <c r="AC41" i="1" s="1"/>
  <c r="AK41" i="1" s="1"/>
  <c r="AP41" i="1" s="1"/>
  <c r="W33" i="1"/>
  <c r="AC33" i="1" s="1"/>
  <c r="AK33" i="1" s="1"/>
  <c r="AP33" i="1" s="1"/>
  <c r="N62" i="1"/>
  <c r="V62" i="1"/>
  <c r="AB62" i="1" s="1"/>
  <c r="AF62" i="1" s="1"/>
  <c r="AJ62" i="1" s="1"/>
  <c r="AO62" i="1" s="1"/>
  <c r="AR62" i="1" s="1"/>
  <c r="N60" i="1"/>
  <c r="W57" i="1"/>
  <c r="AC57" i="1" s="1"/>
  <c r="AK57" i="1" s="1"/>
  <c r="AP57" i="1" s="1"/>
  <c r="P57" i="1"/>
  <c r="V16" i="1"/>
  <c r="AB16" i="1" s="1"/>
  <c r="AF16" i="1" s="1"/>
  <c r="AJ16" i="1" s="1"/>
  <c r="AO16" i="1" s="1"/>
  <c r="AR16" i="1" s="1"/>
  <c r="N16" i="1"/>
  <c r="W60" i="1"/>
  <c r="AC60" i="1" s="1"/>
  <c r="AK60" i="1" s="1"/>
  <c r="AP60" i="1" s="1"/>
  <c r="P60" i="1"/>
  <c r="P26" i="1"/>
  <c r="W26" i="1"/>
  <c r="AC26" i="1" s="1"/>
  <c r="AK26" i="1" s="1"/>
  <c r="AP26" i="1" s="1"/>
  <c r="N41" i="1"/>
  <c r="V41" i="1"/>
  <c r="AB41" i="1" s="1"/>
  <c r="AF41" i="1" s="1"/>
  <c r="AJ41" i="1" s="1"/>
  <c r="AO41" i="1" s="1"/>
  <c r="AR41" i="1" s="1"/>
  <c r="W24" i="1"/>
  <c r="AC24" i="1" s="1"/>
  <c r="AK24" i="1" s="1"/>
  <c r="AP24" i="1" s="1"/>
  <c r="P24" i="1"/>
  <c r="M65" i="1"/>
  <c r="R65" i="1" s="1"/>
  <c r="X65" i="1" s="1"/>
  <c r="AD65" i="1" s="1"/>
  <c r="AL65" i="1" s="1"/>
  <c r="O55" i="1"/>
  <c r="K65" i="1"/>
  <c r="O65" i="1" s="1"/>
  <c r="D65" i="1"/>
  <c r="E65" i="1" s="1"/>
  <c r="AK49" i="1"/>
  <c r="AP49" i="1" s="1"/>
  <c r="Q65" i="1"/>
  <c r="P16" i="1"/>
  <c r="W16" i="1"/>
  <c r="AC16" i="1" s="1"/>
  <c r="AK16" i="1" s="1"/>
  <c r="AP16" i="1" s="1"/>
  <c r="W62" i="1"/>
  <c r="AC62" i="1" s="1"/>
  <c r="AK62" i="1" s="1"/>
  <c r="AP62" i="1" s="1"/>
  <c r="P62" i="1"/>
  <c r="V33" i="1"/>
  <c r="AB33" i="1" s="1"/>
  <c r="AF33" i="1" s="1"/>
  <c r="AJ33" i="1" s="1"/>
  <c r="AO33" i="1" s="1"/>
  <c r="AR33" i="1" s="1"/>
  <c r="N33" i="1"/>
  <c r="V23" i="1"/>
  <c r="AB23" i="1" s="1"/>
  <c r="AF23" i="1" s="1"/>
  <c r="AJ23" i="1" s="1"/>
  <c r="AO23" i="1" s="1"/>
  <c r="AR23" i="1" s="1"/>
  <c r="N23" i="1"/>
  <c r="N59" i="1"/>
  <c r="V59" i="1"/>
  <c r="AB59" i="1" s="1"/>
  <c r="AF59" i="1" s="1"/>
  <c r="AJ59" i="1" s="1"/>
  <c r="AO59" i="1" s="1"/>
  <c r="AR59" i="1" s="1"/>
  <c r="G65" i="1"/>
  <c r="H65" i="1" s="1"/>
  <c r="P65" i="1" l="1"/>
  <c r="W65" i="1"/>
  <c r="AC65" i="1" s="1"/>
  <c r="AK65" i="1" s="1"/>
  <c r="AP65" i="1" s="1"/>
  <c r="N65" i="1"/>
  <c r="V65" i="1"/>
  <c r="AB65" i="1" s="1"/>
  <c r="AF65" i="1" s="1"/>
  <c r="AJ65" i="1" s="1"/>
  <c r="AO65" i="1" s="1"/>
  <c r="AR65" i="1" s="1"/>
  <c r="V55" i="1"/>
  <c r="AB55" i="1" s="1"/>
  <c r="AF55" i="1" s="1"/>
  <c r="AJ55" i="1" s="1"/>
  <c r="AO55" i="1" s="1"/>
  <c r="AR55" i="1" s="1"/>
  <c r="N55" i="1"/>
</calcChain>
</file>

<file path=xl/sharedStrings.xml><?xml version="1.0" encoding="utf-8"?>
<sst xmlns="http://schemas.openxmlformats.org/spreadsheetml/2006/main" count="202" uniqueCount="109">
  <si>
    <t>Раздел</t>
  </si>
  <si>
    <t>Подраз-дел</t>
  </si>
  <si>
    <t xml:space="preserve">Наименование </t>
  </si>
  <si>
    <t>2013 год (I чтение)</t>
  </si>
  <si>
    <t>2014 год (I чтение)</t>
  </si>
  <si>
    <t>Формулы</t>
  </si>
  <si>
    <t>изменения</t>
  </si>
  <si>
    <t>с учетом изменений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</si>
  <si>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</si>
  <si>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</si>
  <si>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</si>
  <si>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</si>
  <si>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муниципального образования</t>
  </si>
  <si>
    <t>03</t>
  </si>
  <si>
    <t>Функционирование законодательных (представительных) органов государственной 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</si>
  <si>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</si>
  <si>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</si>
  <si>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</si>
  <si>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</si>
  <si>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</si>
  <si>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</si>
  <si>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</si>
  <si>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</si>
  <si>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</si>
  <si>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</si>
  <si>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</si>
  <si>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</si>
  <si>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</si>
  <si>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</si>
  <si>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</si>
  <si>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</si>
  <si>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</si>
  <si>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</si>
  <si>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</si>
  <si>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</si>
  <si>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</si>
  <si>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</si>
  <si>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</si>
  <si>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</si>
  <si>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</si>
  <si>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</si>
  <si>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</si>
  <si>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</si>
  <si>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</si>
  <si>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</si>
  <si>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</si>
  <si>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</si>
  <si>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</si>
  <si>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 xml:space="preserve">Общее образование 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</si>
  <si>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</si>
  <si>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</si>
  <si>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</si>
  <si>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</si>
  <si>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</si>
  <si>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</si>
  <si>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</si>
  <si>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</si>
  <si>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</si>
  <si>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</si>
  <si>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</si>
  <si>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</si>
  <si>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</si>
  <si>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</si>
  <si>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</si>
  <si>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</si>
  <si>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</si>
  <si>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</si>
  <si>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</si>
  <si>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</si>
  <si>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</si>
  <si>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99</t>
  </si>
  <si>
    <t>Условно утвержденные расходы</t>
  </si>
  <si>
    <t>ВСЕГО</t>
  </si>
  <si>
    <t>2015 год (I чтение)</t>
  </si>
  <si>
    <t>2013 год (с учетом изменений РД № 250 в ноябре)</t>
  </si>
  <si>
    <t>2014 год (сучетом изменений в РД № 250 в ноябре)</t>
  </si>
  <si>
    <t>Поправки ко II чтению</t>
  </si>
  <si>
    <t>2013 год</t>
  </si>
  <si>
    <t xml:space="preserve">2014 год </t>
  </si>
  <si>
    <t>2015 год</t>
  </si>
  <si>
    <t>Функциональная структура расходов бюджета города Перми на 2013 год</t>
  </si>
  <si>
    <t>тыс. руб.</t>
  </si>
  <si>
    <t xml:space="preserve">2013 год </t>
  </si>
  <si>
    <t xml:space="preserve">2015 год </t>
  </si>
  <si>
    <t>2013 год (изменения)</t>
  </si>
  <si>
    <t>2014 год (изменения)</t>
  </si>
  <si>
    <t>2015 год (изменения)</t>
  </si>
  <si>
    <t>2013 год (февраль)</t>
  </si>
  <si>
    <t>2014 год (февраль)</t>
  </si>
  <si>
    <t>2015 год (февраль)</t>
  </si>
  <si>
    <t>2013 год (март)</t>
  </si>
  <si>
    <t>2014 год (март)</t>
  </si>
  <si>
    <t>2015 год (март)</t>
  </si>
  <si>
    <t>Водное хозяйство</t>
  </si>
  <si>
    <t>2013 год (март с учетом решения комитета)</t>
  </si>
  <si>
    <t>Решение комитета от 25.03.2013 № 16</t>
  </si>
  <si>
    <t>2013 год (апрель)</t>
  </si>
  <si>
    <t>2014 год (апрель)</t>
  </si>
  <si>
    <t>2015 год (апрель)</t>
  </si>
  <si>
    <t>Решение комиетта № 19 от 18.04.2013</t>
  </si>
  <si>
    <t>2014 год</t>
  </si>
  <si>
    <t>2013 год (с учетом решения комитета от 18.04.2013 № 19)</t>
  </si>
  <si>
    <t>2014 год (с учетом решения комитета от 18.04.2013 № 19)</t>
  </si>
  <si>
    <t>ПРИЛОЖЕНИЕ № 5</t>
  </si>
  <si>
    <t>к решению</t>
  </si>
  <si>
    <t>Пермской городской Думы</t>
  </si>
  <si>
    <t>ПРИЛОЖЕНИЕ № 9</t>
  </si>
  <si>
    <t>от 18.12.2012 № 300</t>
  </si>
  <si>
    <t>от 28.05.2013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</si>
</sst>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5"/>
  <sheetViews>
    <sheetView tabSelected="1" zoomScale="80" zoomScaleNormal="80" workbookViewId="0">
      <selection activeCell="C8" sqref="C8:AR8"/>
    </sheetView>
  </sheetViews>
  <sheetFormatPr defaultRowHeight="15.75" x14ac:dyDescent="0.25"/>
  <cols>
    <col min="1" max="1" width="8.140625" style="1" customWidth="1"/>
    <col min="2" max="2" width="8.7109375" style="2" customWidth="1"/>
    <col min="3" max="3" width="69.85546875" style="4" customWidth="1"/>
    <col min="4" max="4" width="16.85546875" style="1" hidden="1" customWidth="1"/>
    <col min="5" max="5" width="17.140625" style="1" hidden="1" customWidth="1"/>
    <col min="6" max="7" width="16.42578125" style="1" hidden="1" customWidth="1"/>
    <col min="8" max="8" width="17.28515625" style="1" hidden="1" customWidth="1"/>
    <col min="9" max="10" width="16.42578125" style="1" hidden="1" customWidth="1"/>
    <col min="11" max="13" width="14.42578125" style="1" hidden="1" customWidth="1"/>
    <col min="14" max="14" width="16.140625" style="1" hidden="1" customWidth="1"/>
    <col min="15" max="15" width="17" style="1" hidden="1" customWidth="1"/>
    <col min="16" max="16" width="16.5703125" style="1" hidden="1" customWidth="1"/>
    <col min="17" max="17" width="17" style="1" hidden="1" customWidth="1"/>
    <col min="18" max="18" width="18" style="1" hidden="1" customWidth="1"/>
    <col min="19" max="21" width="14.42578125" style="1" hidden="1" customWidth="1"/>
    <col min="22" max="22" width="17.140625" style="1" hidden="1" customWidth="1"/>
    <col min="23" max="23" width="16.28515625" style="1" hidden="1" customWidth="1"/>
    <col min="24" max="24" width="17.42578125" style="1" hidden="1" customWidth="1"/>
    <col min="25" max="25" width="15.140625" style="1" hidden="1" customWidth="1"/>
    <col min="26" max="27" width="14.42578125" style="1" hidden="1" customWidth="1"/>
    <col min="28" max="30" width="17.42578125" style="1" hidden="1" customWidth="1"/>
    <col min="31" max="31" width="14.42578125" style="1" hidden="1" customWidth="1"/>
    <col min="32" max="32" width="17.42578125" style="1" hidden="1" customWidth="1"/>
    <col min="33" max="33" width="16" style="1" hidden="1" customWidth="1"/>
    <col min="34" max="35" width="14.42578125" style="1" hidden="1" customWidth="1"/>
    <col min="36" max="36" width="17.140625" style="1" hidden="1" customWidth="1"/>
    <col min="37" max="37" width="16.7109375" style="1" hidden="1" customWidth="1"/>
    <col min="38" max="38" width="17.42578125" style="1" hidden="1" customWidth="1"/>
    <col min="39" max="40" width="16.140625" style="1" hidden="1" customWidth="1"/>
    <col min="41" max="41" width="18" style="1" hidden="1" customWidth="1"/>
    <col min="42" max="42" width="17" style="1" hidden="1" customWidth="1"/>
    <col min="43" max="43" width="16.140625" style="1" hidden="1" customWidth="1"/>
    <col min="44" max="44" width="17.5703125" style="1" customWidth="1"/>
    <col min="45" max="45" width="14.42578125" style="1" hidden="1" customWidth="1"/>
    <col min="46" max="46" width="15.140625" style="1" customWidth="1"/>
    <col min="47" max="16384" width="9.140625" style="1"/>
  </cols>
  <sheetData>
    <row r="1" spans="1:46" x14ac:dyDescent="0.25">
      <c r="C1" s="38" t="s">
        <v>103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</row>
    <row r="2" spans="1:46" x14ac:dyDescent="0.25">
      <c r="C2" s="38" t="s">
        <v>104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6" x14ac:dyDescent="0.25">
      <c r="C3" s="38" t="s">
        <v>105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</row>
    <row r="4" spans="1:46" x14ac:dyDescent="0.25"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 t="s">
        <v>108</v>
      </c>
    </row>
    <row r="5" spans="1:46" x14ac:dyDescent="0.25">
      <c r="C5" s="3"/>
    </row>
    <row r="6" spans="1:46" x14ac:dyDescent="0.25">
      <c r="C6" s="38" t="s">
        <v>106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</row>
    <row r="7" spans="1:46" x14ac:dyDescent="0.25">
      <c r="C7" s="38" t="s">
        <v>104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</row>
    <row r="8" spans="1:46" x14ac:dyDescent="0.25">
      <c r="C8" s="38" t="s">
        <v>105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</row>
    <row r="9" spans="1:46" x14ac:dyDescent="0.25">
      <c r="C9" s="38" t="s">
        <v>107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1" spans="1:46" ht="15.75" customHeight="1" x14ac:dyDescent="0.25">
      <c r="A11" s="37" t="s">
        <v>80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</row>
    <row r="12" spans="1:46" x14ac:dyDescent="0.25">
      <c r="A12" s="5"/>
      <c r="B12" s="5"/>
      <c r="C12" s="5"/>
      <c r="D12" s="5"/>
      <c r="E12" s="23"/>
      <c r="F12" s="23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6" x14ac:dyDescent="0.25">
      <c r="O13" s="3" t="s">
        <v>81</v>
      </c>
      <c r="AR13" s="3" t="s">
        <v>81</v>
      </c>
    </row>
    <row r="14" spans="1:46" ht="46.5" customHeight="1" x14ac:dyDescent="0.25">
      <c r="A14" s="27" t="s">
        <v>0</v>
      </c>
      <c r="B14" s="27" t="s">
        <v>1</v>
      </c>
      <c r="C14" s="28" t="s">
        <v>2</v>
      </c>
      <c r="D14" s="29" t="s">
        <v>74</v>
      </c>
      <c r="E14" s="28" t="s">
        <v>3</v>
      </c>
      <c r="F14" s="28"/>
      <c r="G14" s="29" t="s">
        <v>75</v>
      </c>
      <c r="H14" s="28" t="s">
        <v>4</v>
      </c>
      <c r="I14" s="28"/>
      <c r="J14" s="29" t="s">
        <v>73</v>
      </c>
      <c r="K14" s="28" t="s">
        <v>76</v>
      </c>
      <c r="L14" s="28"/>
      <c r="M14" s="28"/>
      <c r="N14" s="31" t="s">
        <v>82</v>
      </c>
      <c r="O14" s="32"/>
      <c r="P14" s="31" t="s">
        <v>78</v>
      </c>
      <c r="Q14" s="32"/>
      <c r="R14" s="29" t="s">
        <v>83</v>
      </c>
      <c r="S14" s="29" t="s">
        <v>84</v>
      </c>
      <c r="T14" s="29" t="s">
        <v>85</v>
      </c>
      <c r="U14" s="29" t="s">
        <v>86</v>
      </c>
      <c r="V14" s="29" t="s">
        <v>87</v>
      </c>
      <c r="W14" s="29" t="s">
        <v>88</v>
      </c>
      <c r="X14" s="29" t="s">
        <v>89</v>
      </c>
      <c r="Y14" s="29" t="s">
        <v>84</v>
      </c>
      <c r="Z14" s="29" t="s">
        <v>85</v>
      </c>
      <c r="AA14" s="29" t="s">
        <v>86</v>
      </c>
      <c r="AB14" s="29" t="s">
        <v>90</v>
      </c>
      <c r="AC14" s="29" t="s">
        <v>91</v>
      </c>
      <c r="AD14" s="29" t="s">
        <v>92</v>
      </c>
      <c r="AE14" s="29" t="s">
        <v>95</v>
      </c>
      <c r="AF14" s="29" t="s">
        <v>94</v>
      </c>
      <c r="AG14" s="29" t="s">
        <v>84</v>
      </c>
      <c r="AH14" s="29" t="s">
        <v>85</v>
      </c>
      <c r="AI14" s="29" t="s">
        <v>86</v>
      </c>
      <c r="AJ14" s="29" t="s">
        <v>96</v>
      </c>
      <c r="AK14" s="29" t="s">
        <v>97</v>
      </c>
      <c r="AL14" s="29" t="s">
        <v>98</v>
      </c>
      <c r="AM14" s="35" t="s">
        <v>99</v>
      </c>
      <c r="AN14" s="36"/>
      <c r="AO14" s="29" t="s">
        <v>101</v>
      </c>
      <c r="AP14" s="29" t="s">
        <v>102</v>
      </c>
      <c r="AQ14" s="29" t="s">
        <v>84</v>
      </c>
      <c r="AR14" s="29" t="s">
        <v>82</v>
      </c>
      <c r="AS14" s="29" t="s">
        <v>5</v>
      </c>
    </row>
    <row r="15" spans="1:46" ht="1.5" hidden="1" customHeight="1" x14ac:dyDescent="0.25">
      <c r="A15" s="27"/>
      <c r="B15" s="27"/>
      <c r="C15" s="28"/>
      <c r="D15" s="30"/>
      <c r="E15" s="6" t="s">
        <v>6</v>
      </c>
      <c r="F15" s="6" t="s">
        <v>7</v>
      </c>
      <c r="G15" s="30"/>
      <c r="H15" s="6" t="s">
        <v>6</v>
      </c>
      <c r="I15" s="6" t="s">
        <v>7</v>
      </c>
      <c r="J15" s="30"/>
      <c r="K15" s="6" t="s">
        <v>77</v>
      </c>
      <c r="L15" s="6" t="s">
        <v>78</v>
      </c>
      <c r="M15" s="6" t="s">
        <v>79</v>
      </c>
      <c r="N15" s="33"/>
      <c r="O15" s="34"/>
      <c r="P15" s="33"/>
      <c r="Q15" s="34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25" t="s">
        <v>77</v>
      </c>
      <c r="AN15" s="25" t="s">
        <v>100</v>
      </c>
      <c r="AO15" s="30"/>
      <c r="AP15" s="30"/>
      <c r="AQ15" s="30"/>
      <c r="AR15" s="30"/>
      <c r="AS15" s="30"/>
    </row>
    <row r="16" spans="1:46" s="11" customFormat="1" x14ac:dyDescent="0.25">
      <c r="A16" s="7" t="s">
        <v>8</v>
      </c>
      <c r="B16" s="7" t="s">
        <v>9</v>
      </c>
      <c r="C16" s="8" t="s">
        <v>10</v>
      </c>
      <c r="D16" s="9">
        <f>SUM(D17:D23)</f>
        <v>1673604.7999999998</v>
      </c>
      <c r="E16" s="9">
        <f>F16-D16</f>
        <v>194371.05000000028</v>
      </c>
      <c r="F16" s="9">
        <f>SUM(F17:F23)</f>
        <v>1867975.85</v>
      </c>
      <c r="G16" s="9">
        <f>SUM(G17:G23)</f>
        <v>1706289.7000000002</v>
      </c>
      <c r="H16" s="9">
        <f>I16-G16</f>
        <v>135850.89999999991</v>
      </c>
      <c r="I16" s="9">
        <f>SUM(I17:I23)</f>
        <v>1842140.6</v>
      </c>
      <c r="J16" s="9">
        <f>SUM(J17:J23)</f>
        <v>1840909</v>
      </c>
      <c r="K16" s="9">
        <f>SUM(K17:K23)</f>
        <v>44224.30000000001</v>
      </c>
      <c r="L16" s="9">
        <f>SUM(L17:L23)</f>
        <v>26440.800000000003</v>
      </c>
      <c r="M16" s="9">
        <f>SUM(M17:M23)</f>
        <v>26724.999999999996</v>
      </c>
      <c r="N16" s="9">
        <f t="shared" ref="N16:N64" si="0">O16-D16</f>
        <v>238595.35000000033</v>
      </c>
      <c r="O16" s="9">
        <f t="shared" ref="O16:O64" si="1">F16+K16</f>
        <v>1912200.1500000001</v>
      </c>
      <c r="P16" s="9">
        <f t="shared" ref="P16:P64" si="2">Q16-G16</f>
        <v>162291.69999999995</v>
      </c>
      <c r="Q16" s="9">
        <f t="shared" ref="Q16:Q64" si="3">I16+L16</f>
        <v>1868581.4000000001</v>
      </c>
      <c r="R16" s="9">
        <f t="shared" ref="R16:R64" si="4">J16+M16</f>
        <v>1867634</v>
      </c>
      <c r="S16" s="9">
        <f>SUM(S17:S23)</f>
        <v>785.1</v>
      </c>
      <c r="T16" s="9">
        <f>SUM(T17:T23)</f>
        <v>78.400000000000006</v>
      </c>
      <c r="U16" s="9">
        <f>SUM(U17:U23)</f>
        <v>83.2</v>
      </c>
      <c r="V16" s="9">
        <f t="shared" ref="V16:V64" si="5">O16+S16</f>
        <v>1912985.2500000002</v>
      </c>
      <c r="W16" s="9">
        <f t="shared" ref="W16:W64" si="6">Q16+T16</f>
        <v>1868659.8</v>
      </c>
      <c r="X16" s="9">
        <f t="shared" ref="X16:X64" si="7">R16+U16</f>
        <v>1867717.2</v>
      </c>
      <c r="Y16" s="9">
        <f>SUM(Y17:Y23)</f>
        <v>0</v>
      </c>
      <c r="Z16" s="9">
        <f>SUM(Z17:Z23)</f>
        <v>0</v>
      </c>
      <c r="AA16" s="9">
        <f>SUM(AA17:AA23)</f>
        <v>0</v>
      </c>
      <c r="AB16" s="9">
        <f t="shared" ref="AB16:AB64" si="8">V16+Y16</f>
        <v>1912985.2500000002</v>
      </c>
      <c r="AC16" s="9">
        <f t="shared" ref="AC16:AC64" si="9">W16+Z16</f>
        <v>1868659.8</v>
      </c>
      <c r="AD16" s="9">
        <f t="shared" ref="AD16:AD64" si="10">X16+AA16</f>
        <v>1867717.2</v>
      </c>
      <c r="AE16" s="9">
        <f>SUM(AE17:AE23)</f>
        <v>87213.862999999998</v>
      </c>
      <c r="AF16" s="15">
        <f t="shared" ref="AF16:AF64" si="11">AB16+AE16</f>
        <v>2000199.1130000001</v>
      </c>
      <c r="AG16" s="9">
        <f>SUM(AG17:AG23)</f>
        <v>219361.74700000003</v>
      </c>
      <c r="AH16" s="9">
        <f>SUM(AH17:AH23)</f>
        <v>79.5</v>
      </c>
      <c r="AI16" s="9">
        <f>SUM(AI17:AI23)</f>
        <v>79.5</v>
      </c>
      <c r="AJ16" s="15">
        <f t="shared" ref="AJ16:AJ64" si="12">AF16+AG16</f>
        <v>2219560.8600000003</v>
      </c>
      <c r="AK16" s="15">
        <f t="shared" ref="AK16:AK64" si="13">AC16+AH16</f>
        <v>1868739.3</v>
      </c>
      <c r="AL16" s="9">
        <f t="shared" ref="AL16:AL64" si="14">AD16+AI16</f>
        <v>1867796.7</v>
      </c>
      <c r="AM16" s="9">
        <f>SUM(AM17:AM23)</f>
        <v>0</v>
      </c>
      <c r="AN16" s="9">
        <f>SUM(AN17:AN23)</f>
        <v>0</v>
      </c>
      <c r="AO16" s="9">
        <f t="shared" ref="AO16:AO64" si="15">AM16+AJ16</f>
        <v>2219560.8600000003</v>
      </c>
      <c r="AP16" s="9">
        <f t="shared" ref="AP16:AP64" si="16">AN16+AK16</f>
        <v>1868739.3</v>
      </c>
      <c r="AQ16" s="9">
        <f>SUM(AQ17:AQ23)</f>
        <v>71228.535000000003</v>
      </c>
      <c r="AR16" s="9">
        <f t="shared" ref="AR16:AR64" si="17">AO16+AQ16</f>
        <v>2290789.3950000005</v>
      </c>
      <c r="AS16" s="9">
        <f>SUM(AS17:AS23)</f>
        <v>0</v>
      </c>
      <c r="AT16" s="10"/>
    </row>
    <row r="17" spans="1:46" ht="31.5" x14ac:dyDescent="0.25">
      <c r="A17" s="12" t="s">
        <v>8</v>
      </c>
      <c r="B17" s="13" t="s">
        <v>11</v>
      </c>
      <c r="C17" s="14" t="s">
        <v>12</v>
      </c>
      <c r="D17" s="15">
        <v>2980.1</v>
      </c>
      <c r="E17" s="15">
        <f t="shared" ref="E17:E65" si="18">F17-D17</f>
        <v>384.20000000000027</v>
      </c>
      <c r="F17" s="15">
        <v>3364.3</v>
      </c>
      <c r="G17" s="15">
        <v>2980.1</v>
      </c>
      <c r="H17" s="15">
        <f t="shared" ref="H17:H65" si="19">I17-G17</f>
        <v>384.20000000000027</v>
      </c>
      <c r="I17" s="15">
        <v>3364.3</v>
      </c>
      <c r="J17" s="15">
        <v>3364.3</v>
      </c>
      <c r="K17" s="15"/>
      <c r="L17" s="15"/>
      <c r="M17" s="15"/>
      <c r="N17" s="15">
        <f t="shared" si="0"/>
        <v>384.20000000000027</v>
      </c>
      <c r="O17" s="15">
        <f t="shared" si="1"/>
        <v>3364.3</v>
      </c>
      <c r="P17" s="15">
        <f t="shared" si="2"/>
        <v>384.20000000000027</v>
      </c>
      <c r="Q17" s="15">
        <f t="shared" si="3"/>
        <v>3364.3</v>
      </c>
      <c r="R17" s="15">
        <f t="shared" si="4"/>
        <v>3364.3</v>
      </c>
      <c r="S17" s="15"/>
      <c r="T17" s="15"/>
      <c r="U17" s="15"/>
      <c r="V17" s="15">
        <f t="shared" si="5"/>
        <v>3364.3</v>
      </c>
      <c r="W17" s="15">
        <f t="shared" si="6"/>
        <v>3364.3</v>
      </c>
      <c r="X17" s="15">
        <f t="shared" si="7"/>
        <v>3364.3</v>
      </c>
      <c r="Y17" s="15"/>
      <c r="Z17" s="15"/>
      <c r="AA17" s="15"/>
      <c r="AB17" s="15">
        <f t="shared" si="8"/>
        <v>3364.3</v>
      </c>
      <c r="AC17" s="15">
        <f t="shared" si="9"/>
        <v>3364.3</v>
      </c>
      <c r="AD17" s="15">
        <f t="shared" si="10"/>
        <v>3364.3</v>
      </c>
      <c r="AE17" s="15"/>
      <c r="AF17" s="15">
        <f t="shared" si="11"/>
        <v>3364.3</v>
      </c>
      <c r="AG17" s="15"/>
      <c r="AH17" s="15"/>
      <c r="AI17" s="15"/>
      <c r="AJ17" s="15">
        <f t="shared" si="12"/>
        <v>3364.3</v>
      </c>
      <c r="AK17" s="15">
        <f t="shared" si="13"/>
        <v>3364.3</v>
      </c>
      <c r="AL17" s="15">
        <f t="shared" si="14"/>
        <v>3364.3</v>
      </c>
      <c r="AM17" s="15"/>
      <c r="AN17" s="15"/>
      <c r="AO17" s="15">
        <f t="shared" si="15"/>
        <v>3364.3</v>
      </c>
      <c r="AP17" s="15">
        <f t="shared" si="16"/>
        <v>3364.3</v>
      </c>
      <c r="AQ17" s="15"/>
      <c r="AR17" s="15">
        <f t="shared" si="17"/>
        <v>3364.3</v>
      </c>
      <c r="AS17" s="15"/>
      <c r="AT17" s="10"/>
    </row>
    <row r="18" spans="1:46" ht="47.25" x14ac:dyDescent="0.25">
      <c r="A18" s="12" t="s">
        <v>8</v>
      </c>
      <c r="B18" s="13" t="s">
        <v>13</v>
      </c>
      <c r="C18" s="14" t="s">
        <v>14</v>
      </c>
      <c r="D18" s="15">
        <v>145564.9</v>
      </c>
      <c r="E18" s="15">
        <f t="shared" si="18"/>
        <v>-43365.2</v>
      </c>
      <c r="F18" s="15">
        <v>102199.7</v>
      </c>
      <c r="G18" s="15">
        <v>149553.70000000001</v>
      </c>
      <c r="H18" s="15">
        <f t="shared" si="19"/>
        <v>-47303.800000000017</v>
      </c>
      <c r="I18" s="15">
        <v>102249.9</v>
      </c>
      <c r="J18" s="15">
        <v>102879.5</v>
      </c>
      <c r="K18" s="15"/>
      <c r="L18" s="15"/>
      <c r="M18" s="15"/>
      <c r="N18" s="15">
        <f t="shared" si="0"/>
        <v>-43365.2</v>
      </c>
      <c r="O18" s="15">
        <f t="shared" si="1"/>
        <v>102199.7</v>
      </c>
      <c r="P18" s="15">
        <f t="shared" si="2"/>
        <v>-47303.800000000017</v>
      </c>
      <c r="Q18" s="15">
        <f t="shared" si="3"/>
        <v>102249.9</v>
      </c>
      <c r="R18" s="15">
        <f t="shared" si="4"/>
        <v>102879.5</v>
      </c>
      <c r="S18" s="15"/>
      <c r="T18" s="15"/>
      <c r="U18" s="15"/>
      <c r="V18" s="15">
        <f t="shared" si="5"/>
        <v>102199.7</v>
      </c>
      <c r="W18" s="15">
        <f t="shared" si="6"/>
        <v>102249.9</v>
      </c>
      <c r="X18" s="15">
        <f t="shared" si="7"/>
        <v>102879.5</v>
      </c>
      <c r="Y18" s="15"/>
      <c r="Z18" s="15"/>
      <c r="AA18" s="15"/>
      <c r="AB18" s="15">
        <f t="shared" si="8"/>
        <v>102199.7</v>
      </c>
      <c r="AC18" s="15">
        <f t="shared" si="9"/>
        <v>102249.9</v>
      </c>
      <c r="AD18" s="15">
        <f t="shared" si="10"/>
        <v>102879.5</v>
      </c>
      <c r="AE18" s="15"/>
      <c r="AF18" s="15">
        <f t="shared" si="11"/>
        <v>102199.7</v>
      </c>
      <c r="AG18" s="15"/>
      <c r="AH18" s="15"/>
      <c r="AI18" s="15"/>
      <c r="AJ18" s="15">
        <f t="shared" si="12"/>
        <v>102199.7</v>
      </c>
      <c r="AK18" s="15">
        <f t="shared" si="13"/>
        <v>102249.9</v>
      </c>
      <c r="AL18" s="15">
        <f t="shared" si="14"/>
        <v>102879.5</v>
      </c>
      <c r="AM18" s="15"/>
      <c r="AN18" s="15"/>
      <c r="AO18" s="15">
        <f t="shared" si="15"/>
        <v>102199.7</v>
      </c>
      <c r="AP18" s="15">
        <f t="shared" si="16"/>
        <v>102249.9</v>
      </c>
      <c r="AQ18" s="15"/>
      <c r="AR18" s="15">
        <f t="shared" si="17"/>
        <v>102199.7</v>
      </c>
      <c r="AS18" s="15"/>
      <c r="AT18" s="10"/>
    </row>
    <row r="19" spans="1:46" ht="47.25" x14ac:dyDescent="0.25">
      <c r="A19" s="12" t="s">
        <v>8</v>
      </c>
      <c r="B19" s="13" t="s">
        <v>15</v>
      </c>
      <c r="C19" s="14" t="s">
        <v>16</v>
      </c>
      <c r="D19" s="15">
        <v>506937.27899999998</v>
      </c>
      <c r="E19" s="15">
        <f t="shared" si="18"/>
        <v>-21420.179000000004</v>
      </c>
      <c r="F19" s="15">
        <v>485517.1</v>
      </c>
      <c r="G19" s="15">
        <v>511305.64199999999</v>
      </c>
      <c r="H19" s="15">
        <f t="shared" si="19"/>
        <v>-31178.042000000016</v>
      </c>
      <c r="I19" s="15">
        <v>480127.6</v>
      </c>
      <c r="J19" s="15">
        <v>484691.3</v>
      </c>
      <c r="K19" s="15">
        <f>-214-126.6-280.7-14.5-30-515.4-267.9-3283.9-854.2-687.3-1181.9-10.7-187.2-43-1.5-1523.7-30-2357.5-44.1-451.8-45.2-1480.4-274.1-280.7-44.5-546.5-19.8-2729-44.5-8796.6-554.8</f>
        <v>-26921.999999999996</v>
      </c>
      <c r="L19" s="15">
        <f>-279.1-164.1-280.7-14.5-30-705.4-505.6-3449.1-854.2-723.8-1249.7-14.3-187.2-43-1.5-1792.2-30-2680.1-58.9-660.1-1681.9-365.4-280.7-44.5-546.5-19.8-2729-44.5-5900-637</f>
        <v>-25972.799999999999</v>
      </c>
      <c r="M19" s="15">
        <f>-279.1-164.1-280.7-15.5-30-705.4-515.6-3482.5-854.2-723.8-1263.9-14.3-187.2-43-2.5-1792.2-2739.4-58.9-660.1-1700.3-365.4-280.7-45.5-546.5-19.8-2729-45.5-9200-644</f>
        <v>-29389.1</v>
      </c>
      <c r="N19" s="15">
        <f t="shared" si="0"/>
        <v>-48342.179000000004</v>
      </c>
      <c r="O19" s="15">
        <f t="shared" si="1"/>
        <v>458595.1</v>
      </c>
      <c r="P19" s="15">
        <f t="shared" si="2"/>
        <v>-57150.842000000004</v>
      </c>
      <c r="Q19" s="15">
        <f t="shared" si="3"/>
        <v>454154.8</v>
      </c>
      <c r="R19" s="15">
        <f t="shared" si="4"/>
        <v>455302.2</v>
      </c>
      <c r="S19" s="15"/>
      <c r="T19" s="15"/>
      <c r="U19" s="15"/>
      <c r="V19" s="15">
        <f t="shared" si="5"/>
        <v>458595.1</v>
      </c>
      <c r="W19" s="15">
        <f t="shared" si="6"/>
        <v>454154.8</v>
      </c>
      <c r="X19" s="15">
        <f t="shared" si="7"/>
        <v>455302.2</v>
      </c>
      <c r="Y19" s="15"/>
      <c r="Z19" s="15"/>
      <c r="AA19" s="15"/>
      <c r="AB19" s="15">
        <f t="shared" si="8"/>
        <v>458595.1</v>
      </c>
      <c r="AC19" s="15">
        <f t="shared" si="9"/>
        <v>454154.8</v>
      </c>
      <c r="AD19" s="15">
        <f t="shared" si="10"/>
        <v>455302.2</v>
      </c>
      <c r="AE19" s="15"/>
      <c r="AF19" s="15">
        <f t="shared" si="11"/>
        <v>458595.1</v>
      </c>
      <c r="AG19" s="15">
        <f>39.7</f>
        <v>39.700000000000003</v>
      </c>
      <c r="AH19" s="15">
        <f>79.4</f>
        <v>79.400000000000006</v>
      </c>
      <c r="AI19" s="15">
        <f>79.4</f>
        <v>79.400000000000006</v>
      </c>
      <c r="AJ19" s="15">
        <f t="shared" si="12"/>
        <v>458634.8</v>
      </c>
      <c r="AK19" s="15">
        <f t="shared" si="13"/>
        <v>454234.2</v>
      </c>
      <c r="AL19" s="15">
        <f t="shared" si="14"/>
        <v>455381.60000000003</v>
      </c>
      <c r="AM19" s="15"/>
      <c r="AN19" s="15"/>
      <c r="AO19" s="15">
        <f t="shared" si="15"/>
        <v>458634.8</v>
      </c>
      <c r="AP19" s="15">
        <f t="shared" si="16"/>
        <v>454234.2</v>
      </c>
      <c r="AQ19" s="15"/>
      <c r="AR19" s="15">
        <f t="shared" si="17"/>
        <v>458634.8</v>
      </c>
      <c r="AS19" s="15"/>
      <c r="AT19" s="10"/>
    </row>
    <row r="20" spans="1:46" ht="31.5" x14ac:dyDescent="0.25">
      <c r="A20" s="12" t="s">
        <v>8</v>
      </c>
      <c r="B20" s="13" t="s">
        <v>18</v>
      </c>
      <c r="C20" s="14" t="s">
        <v>19</v>
      </c>
      <c r="D20" s="15">
        <v>104775.09999999999</v>
      </c>
      <c r="E20" s="15">
        <f t="shared" si="18"/>
        <v>11729.700000000012</v>
      </c>
      <c r="F20" s="15">
        <v>116504.8</v>
      </c>
      <c r="G20" s="15">
        <v>105279.9</v>
      </c>
      <c r="H20" s="15">
        <f t="shared" si="19"/>
        <v>11224.900000000009</v>
      </c>
      <c r="I20" s="15">
        <v>116504.8</v>
      </c>
      <c r="J20" s="15">
        <v>116750.8</v>
      </c>
      <c r="K20" s="15">
        <v>915.7</v>
      </c>
      <c r="L20" s="15">
        <v>915.7</v>
      </c>
      <c r="M20" s="15">
        <v>915.7</v>
      </c>
      <c r="N20" s="15">
        <f t="shared" si="0"/>
        <v>12645.400000000009</v>
      </c>
      <c r="O20" s="15">
        <f t="shared" si="1"/>
        <v>117420.5</v>
      </c>
      <c r="P20" s="15">
        <f t="shared" si="2"/>
        <v>12140.600000000006</v>
      </c>
      <c r="Q20" s="15">
        <f t="shared" si="3"/>
        <v>117420.5</v>
      </c>
      <c r="R20" s="15">
        <f t="shared" si="4"/>
        <v>117666.5</v>
      </c>
      <c r="S20" s="15"/>
      <c r="T20" s="15"/>
      <c r="U20" s="15"/>
      <c r="V20" s="15">
        <f t="shared" si="5"/>
        <v>117420.5</v>
      </c>
      <c r="W20" s="15">
        <f t="shared" si="6"/>
        <v>117420.5</v>
      </c>
      <c r="X20" s="15">
        <f t="shared" si="7"/>
        <v>117666.5</v>
      </c>
      <c r="Y20" s="15"/>
      <c r="Z20" s="15"/>
      <c r="AA20" s="15"/>
      <c r="AB20" s="15">
        <f t="shared" si="8"/>
        <v>117420.5</v>
      </c>
      <c r="AC20" s="15">
        <f t="shared" si="9"/>
        <v>117420.5</v>
      </c>
      <c r="AD20" s="15">
        <f t="shared" si="10"/>
        <v>117666.5</v>
      </c>
      <c r="AE20" s="15"/>
      <c r="AF20" s="15">
        <f t="shared" si="11"/>
        <v>117420.5</v>
      </c>
      <c r="AG20" s="15">
        <f>464.026+30</f>
        <v>494.02600000000001</v>
      </c>
      <c r="AH20" s="15"/>
      <c r="AI20" s="15"/>
      <c r="AJ20" s="15">
        <f t="shared" si="12"/>
        <v>117914.526</v>
      </c>
      <c r="AK20" s="15">
        <f t="shared" si="13"/>
        <v>117420.5</v>
      </c>
      <c r="AL20" s="15">
        <f t="shared" si="14"/>
        <v>117666.5</v>
      </c>
      <c r="AM20" s="15"/>
      <c r="AN20" s="15"/>
      <c r="AO20" s="15">
        <f t="shared" si="15"/>
        <v>117914.526</v>
      </c>
      <c r="AP20" s="15">
        <f t="shared" si="16"/>
        <v>117420.5</v>
      </c>
      <c r="AQ20" s="15"/>
      <c r="AR20" s="15">
        <f t="shared" si="17"/>
        <v>117914.526</v>
      </c>
      <c r="AS20" s="15"/>
      <c r="AT20" s="10"/>
    </row>
    <row r="21" spans="1:46" x14ac:dyDescent="0.25">
      <c r="A21" s="12" t="s">
        <v>8</v>
      </c>
      <c r="B21" s="13" t="s">
        <v>20</v>
      </c>
      <c r="C21" s="14" t="s">
        <v>21</v>
      </c>
      <c r="D21" s="15">
        <v>4918.7</v>
      </c>
      <c r="E21" s="15">
        <f t="shared" si="18"/>
        <v>580.60000000000036</v>
      </c>
      <c r="F21" s="15">
        <v>5499.3</v>
      </c>
      <c r="G21" s="15">
        <v>4930.3999999999996</v>
      </c>
      <c r="H21" s="15">
        <f t="shared" si="19"/>
        <v>567.90000000000055</v>
      </c>
      <c r="I21" s="15">
        <v>5498.3</v>
      </c>
      <c r="J21" s="15">
        <v>5502.9</v>
      </c>
      <c r="K21" s="15">
        <f>4855.5</f>
        <v>4855.5</v>
      </c>
      <c r="L21" s="15"/>
      <c r="M21" s="15"/>
      <c r="N21" s="15">
        <f t="shared" si="0"/>
        <v>5436.0999999999995</v>
      </c>
      <c r="O21" s="15">
        <f t="shared" si="1"/>
        <v>10354.799999999999</v>
      </c>
      <c r="P21" s="15">
        <f t="shared" si="2"/>
        <v>567.90000000000055</v>
      </c>
      <c r="Q21" s="15">
        <f t="shared" si="3"/>
        <v>5498.3</v>
      </c>
      <c r="R21" s="15">
        <f t="shared" si="4"/>
        <v>5502.9</v>
      </c>
      <c r="S21" s="15"/>
      <c r="T21" s="15"/>
      <c r="U21" s="15"/>
      <c r="V21" s="15">
        <f t="shared" si="5"/>
        <v>10354.799999999999</v>
      </c>
      <c r="W21" s="15">
        <f t="shared" si="6"/>
        <v>5498.3</v>
      </c>
      <c r="X21" s="15">
        <f t="shared" si="7"/>
        <v>5502.9</v>
      </c>
      <c r="Y21" s="15"/>
      <c r="Z21" s="15"/>
      <c r="AA21" s="15"/>
      <c r="AB21" s="15">
        <f t="shared" si="8"/>
        <v>10354.799999999999</v>
      </c>
      <c r="AC21" s="15">
        <f t="shared" si="9"/>
        <v>5498.3</v>
      </c>
      <c r="AD21" s="15">
        <f t="shared" si="10"/>
        <v>5502.9</v>
      </c>
      <c r="AE21" s="15"/>
      <c r="AF21" s="15">
        <f t="shared" si="11"/>
        <v>10354.799999999999</v>
      </c>
      <c r="AG21" s="15"/>
      <c r="AH21" s="15"/>
      <c r="AI21" s="15"/>
      <c r="AJ21" s="15">
        <f t="shared" si="12"/>
        <v>10354.799999999999</v>
      </c>
      <c r="AK21" s="15">
        <f t="shared" si="13"/>
        <v>5498.3</v>
      </c>
      <c r="AL21" s="15">
        <f t="shared" si="14"/>
        <v>5502.9</v>
      </c>
      <c r="AM21" s="15"/>
      <c r="AN21" s="15"/>
      <c r="AO21" s="15">
        <f t="shared" si="15"/>
        <v>10354.799999999999</v>
      </c>
      <c r="AP21" s="15">
        <f t="shared" si="16"/>
        <v>5498.3</v>
      </c>
      <c r="AQ21" s="15"/>
      <c r="AR21" s="15">
        <f t="shared" si="17"/>
        <v>10354.799999999999</v>
      </c>
      <c r="AS21" s="15"/>
      <c r="AT21" s="10"/>
    </row>
    <row r="22" spans="1:46" x14ac:dyDescent="0.25">
      <c r="A22" s="12" t="s">
        <v>8</v>
      </c>
      <c r="B22" s="13" t="s">
        <v>22</v>
      </c>
      <c r="C22" s="14" t="s">
        <v>23</v>
      </c>
      <c r="D22" s="15">
        <v>84530.2</v>
      </c>
      <c r="E22" s="15">
        <f t="shared" si="18"/>
        <v>-7090.6999999999971</v>
      </c>
      <c r="F22" s="15">
        <v>77439.5</v>
      </c>
      <c r="G22" s="15">
        <v>131271.1</v>
      </c>
      <c r="H22" s="15">
        <f t="shared" si="19"/>
        <v>-54141.3</v>
      </c>
      <c r="I22" s="15">
        <v>77129.8</v>
      </c>
      <c r="J22" s="15">
        <v>78672.399999999994</v>
      </c>
      <c r="K22" s="15"/>
      <c r="L22" s="15"/>
      <c r="M22" s="15"/>
      <c r="N22" s="15">
        <f t="shared" si="0"/>
        <v>-7090.6999999999971</v>
      </c>
      <c r="O22" s="15">
        <f t="shared" si="1"/>
        <v>77439.5</v>
      </c>
      <c r="P22" s="15">
        <f t="shared" si="2"/>
        <v>-54141.3</v>
      </c>
      <c r="Q22" s="15">
        <f t="shared" si="3"/>
        <v>77129.8</v>
      </c>
      <c r="R22" s="15">
        <f t="shared" si="4"/>
        <v>78672.399999999994</v>
      </c>
      <c r="S22" s="15"/>
      <c r="T22" s="15"/>
      <c r="U22" s="15"/>
      <c r="V22" s="15">
        <f t="shared" si="5"/>
        <v>77439.5</v>
      </c>
      <c r="W22" s="15">
        <f t="shared" si="6"/>
        <v>77129.8</v>
      </c>
      <c r="X22" s="15">
        <f t="shared" si="7"/>
        <v>78672.399999999994</v>
      </c>
      <c r="Y22" s="15"/>
      <c r="Z22" s="15"/>
      <c r="AA22" s="15"/>
      <c r="AB22" s="15">
        <f t="shared" si="8"/>
        <v>77439.5</v>
      </c>
      <c r="AC22" s="15">
        <f t="shared" si="9"/>
        <v>77129.8</v>
      </c>
      <c r="AD22" s="15">
        <f t="shared" si="10"/>
        <v>78672.399999999994</v>
      </c>
      <c r="AE22" s="15">
        <v>87213.862999999998</v>
      </c>
      <c r="AF22" s="15">
        <f t="shared" si="11"/>
        <v>164653.36300000001</v>
      </c>
      <c r="AG22" s="15">
        <v>-87213.862999999998</v>
      </c>
      <c r="AH22" s="15"/>
      <c r="AI22" s="15"/>
      <c r="AJ22" s="15">
        <f t="shared" si="12"/>
        <v>77439.500000000015</v>
      </c>
      <c r="AK22" s="15">
        <f t="shared" si="13"/>
        <v>77129.8</v>
      </c>
      <c r="AL22" s="15">
        <f t="shared" si="14"/>
        <v>78672.399999999994</v>
      </c>
      <c r="AM22" s="15"/>
      <c r="AN22" s="15"/>
      <c r="AO22" s="15">
        <f t="shared" si="15"/>
        <v>77439.500000000015</v>
      </c>
      <c r="AP22" s="15">
        <f t="shared" si="16"/>
        <v>77129.8</v>
      </c>
      <c r="AQ22" s="15"/>
      <c r="AR22" s="15">
        <f t="shared" si="17"/>
        <v>77439.500000000015</v>
      </c>
      <c r="AS22" s="15"/>
      <c r="AT22" s="10"/>
    </row>
    <row r="23" spans="1:46" x14ac:dyDescent="0.25">
      <c r="A23" s="12" t="s">
        <v>8</v>
      </c>
      <c r="B23" s="13" t="s">
        <v>24</v>
      </c>
      <c r="C23" s="14" t="s">
        <v>25</v>
      </c>
      <c r="D23" s="15">
        <v>823898.52100000007</v>
      </c>
      <c r="E23" s="15">
        <f t="shared" si="18"/>
        <v>253552.62899999984</v>
      </c>
      <c r="F23" s="15">
        <v>1077451.1499999999</v>
      </c>
      <c r="G23" s="15">
        <v>800968.85800000001</v>
      </c>
      <c r="H23" s="15">
        <f t="shared" si="19"/>
        <v>256297.0419999999</v>
      </c>
      <c r="I23" s="15">
        <v>1057265.8999999999</v>
      </c>
      <c r="J23" s="15">
        <v>1049047.8</v>
      </c>
      <c r="K23" s="15">
        <f>-1134.6-351-44.5+1520.5+80+53.5-351-25-19.5+842.1+133.5+2683.7+120.9+9493.7+1329.5+8796.6+9617.8+567.6+61.6+4165.1+188.3+27646.3</f>
        <v>65375.100000000006</v>
      </c>
      <c r="L23" s="15">
        <f>-285.2-351-44.5+1520.5+80+53.5-351-25-19.5+842.1+133.5+3452.1+505.6+10140.8+1476.7+5900+19124.1+565.4+61.6+8330.4+387.8</f>
        <v>51497.9</v>
      </c>
      <c r="M23" s="15">
        <f>-296.2-351-45.5+1520.5+81.6+54.9-351-26-19.5+842.1+136.5+3452.1+515.6+10240.1+1476.7+9200+19399.8+576.7+61.6+8330.4+399.1-0.1</f>
        <v>55198.399999999994</v>
      </c>
      <c r="N23" s="15">
        <f t="shared" si="0"/>
        <v>318927.72899999993</v>
      </c>
      <c r="O23" s="15">
        <f t="shared" si="1"/>
        <v>1142826.25</v>
      </c>
      <c r="P23" s="15">
        <f t="shared" si="2"/>
        <v>307794.94199999981</v>
      </c>
      <c r="Q23" s="15">
        <f t="shared" si="3"/>
        <v>1108763.7999999998</v>
      </c>
      <c r="R23" s="15">
        <f t="shared" si="4"/>
        <v>1104246.2</v>
      </c>
      <c r="S23" s="15">
        <f>73.1+712</f>
        <v>785.1</v>
      </c>
      <c r="T23" s="15">
        <v>78.400000000000006</v>
      </c>
      <c r="U23" s="15">
        <v>83.2</v>
      </c>
      <c r="V23" s="15">
        <f t="shared" si="5"/>
        <v>1143611.3500000001</v>
      </c>
      <c r="W23" s="15">
        <f t="shared" si="6"/>
        <v>1108842.1999999997</v>
      </c>
      <c r="X23" s="15">
        <f t="shared" si="7"/>
        <v>1104329.3999999999</v>
      </c>
      <c r="Y23" s="15"/>
      <c r="Z23" s="15"/>
      <c r="AA23" s="15"/>
      <c r="AB23" s="15">
        <f t="shared" si="8"/>
        <v>1143611.3500000001</v>
      </c>
      <c r="AC23" s="15">
        <f t="shared" si="9"/>
        <v>1108842.1999999997</v>
      </c>
      <c r="AD23" s="15">
        <f t="shared" si="10"/>
        <v>1104329.3999999999</v>
      </c>
      <c r="AE23" s="15"/>
      <c r="AF23" s="15">
        <f t="shared" si="11"/>
        <v>1143611.3500000001</v>
      </c>
      <c r="AG23" s="15">
        <f>495.319+66.96+1667.348+420.066+77.213+16+13778.885+16530.892+189939.763+4260.147+80+28211.841+497.45+50000</f>
        <v>306041.88400000002</v>
      </c>
      <c r="AH23" s="15">
        <f>0.1</f>
        <v>0.1</v>
      </c>
      <c r="AI23" s="15">
        <f>0.1</f>
        <v>0.1</v>
      </c>
      <c r="AJ23" s="15">
        <f t="shared" si="12"/>
        <v>1449653.2340000002</v>
      </c>
      <c r="AK23" s="15">
        <f t="shared" si="13"/>
        <v>1108842.2999999998</v>
      </c>
      <c r="AL23" s="15">
        <f t="shared" si="14"/>
        <v>1104329.5</v>
      </c>
      <c r="AM23" s="15"/>
      <c r="AN23" s="15"/>
      <c r="AO23" s="15">
        <f t="shared" si="15"/>
        <v>1449653.2340000002</v>
      </c>
      <c r="AP23" s="15">
        <f t="shared" si="16"/>
        <v>1108842.2999999998</v>
      </c>
      <c r="AQ23" s="15">
        <f>-200.3-619.208+72048.043</f>
        <v>71228.535000000003</v>
      </c>
      <c r="AR23" s="15">
        <f t="shared" si="17"/>
        <v>1520881.7690000001</v>
      </c>
      <c r="AS23" s="15"/>
      <c r="AT23" s="10"/>
    </row>
    <row r="24" spans="1:46" s="11" customFormat="1" ht="31.5" x14ac:dyDescent="0.25">
      <c r="A24" s="7" t="s">
        <v>13</v>
      </c>
      <c r="B24" s="7" t="s">
        <v>9</v>
      </c>
      <c r="C24" s="16" t="s">
        <v>26</v>
      </c>
      <c r="D24" s="9">
        <f>SUM(D25:D26)</f>
        <v>121639.9</v>
      </c>
      <c r="E24" s="9">
        <f t="shared" si="18"/>
        <v>26288.100000000006</v>
      </c>
      <c r="F24" s="9">
        <f>SUM(F25:F26)</f>
        <v>147928</v>
      </c>
      <c r="G24" s="9">
        <f>SUM(G25:G26)</f>
        <v>123144.40000000001</v>
      </c>
      <c r="H24" s="9">
        <f t="shared" si="19"/>
        <v>28005.199999999997</v>
      </c>
      <c r="I24" s="9">
        <f>SUM(I25:I26)</f>
        <v>151149.6</v>
      </c>
      <c r="J24" s="9">
        <f>SUM(J25:J26)</f>
        <v>140261.70000000001</v>
      </c>
      <c r="K24" s="9">
        <f>SUM(K25:K26)</f>
        <v>-1992.2000000000003</v>
      </c>
      <c r="L24" s="9">
        <f>SUM(L25:L26)</f>
        <v>-1852.3000000000004</v>
      </c>
      <c r="M24" s="9">
        <f>SUM(M25:M26)</f>
        <v>-1858.6000000000004</v>
      </c>
      <c r="N24" s="9">
        <f t="shared" si="0"/>
        <v>24295.899999999994</v>
      </c>
      <c r="O24" s="9">
        <f t="shared" si="1"/>
        <v>145935.79999999999</v>
      </c>
      <c r="P24" s="9">
        <f t="shared" si="2"/>
        <v>26152.900000000009</v>
      </c>
      <c r="Q24" s="9">
        <f t="shared" si="3"/>
        <v>149297.30000000002</v>
      </c>
      <c r="R24" s="9">
        <f t="shared" si="4"/>
        <v>138403.1</v>
      </c>
      <c r="S24" s="9">
        <f>SUM(S25:S26)</f>
        <v>-73.099999999999994</v>
      </c>
      <c r="T24" s="9">
        <f>SUM(T25:T26)</f>
        <v>-78.400000000000006</v>
      </c>
      <c r="U24" s="9">
        <f>SUM(U25:U26)</f>
        <v>-83.2</v>
      </c>
      <c r="V24" s="9">
        <f t="shared" si="5"/>
        <v>145862.69999999998</v>
      </c>
      <c r="W24" s="9">
        <f t="shared" si="6"/>
        <v>149218.90000000002</v>
      </c>
      <c r="X24" s="9">
        <f t="shared" si="7"/>
        <v>138319.9</v>
      </c>
      <c r="Y24" s="9">
        <f>SUM(Y25:Y26)</f>
        <v>0</v>
      </c>
      <c r="Z24" s="9">
        <f>SUM(Z25:Z26)</f>
        <v>0</v>
      </c>
      <c r="AA24" s="9">
        <f>SUM(AA25:AA26)</f>
        <v>0</v>
      </c>
      <c r="AB24" s="9">
        <f t="shared" si="8"/>
        <v>145862.69999999998</v>
      </c>
      <c r="AC24" s="9">
        <f t="shared" si="9"/>
        <v>149218.90000000002</v>
      </c>
      <c r="AD24" s="9">
        <f t="shared" si="10"/>
        <v>138319.9</v>
      </c>
      <c r="AE24" s="9">
        <f>SUM(AE25:AE26)</f>
        <v>0</v>
      </c>
      <c r="AF24" s="15">
        <f t="shared" si="11"/>
        <v>145862.69999999998</v>
      </c>
      <c r="AG24" s="9">
        <f>SUM(AG25:AG26)</f>
        <v>5743.6229999999996</v>
      </c>
      <c r="AH24" s="9">
        <f>SUM(AH25:AH26)</f>
        <v>0</v>
      </c>
      <c r="AI24" s="9">
        <f>SUM(AI25:AI26)</f>
        <v>0</v>
      </c>
      <c r="AJ24" s="15">
        <f t="shared" si="12"/>
        <v>151606.32299999997</v>
      </c>
      <c r="AK24" s="15">
        <f t="shared" si="13"/>
        <v>149218.90000000002</v>
      </c>
      <c r="AL24" s="9">
        <f t="shared" si="14"/>
        <v>138319.9</v>
      </c>
      <c r="AM24" s="9">
        <f>SUM(AM25:AM26)</f>
        <v>-2707.7579999999998</v>
      </c>
      <c r="AN24" s="9">
        <f>SUM(AN25:AN26)</f>
        <v>0</v>
      </c>
      <c r="AO24" s="9">
        <f t="shared" si="15"/>
        <v>148898.56499999997</v>
      </c>
      <c r="AP24" s="9">
        <f t="shared" si="16"/>
        <v>149218.90000000002</v>
      </c>
      <c r="AQ24" s="9">
        <f>SUM(AQ25:AQ26)</f>
        <v>-279.58699999999999</v>
      </c>
      <c r="AR24" s="9">
        <f t="shared" si="17"/>
        <v>148618.97799999997</v>
      </c>
      <c r="AS24" s="9">
        <f>SUM(AS25:AS26)</f>
        <v>0</v>
      </c>
      <c r="AT24" s="10"/>
    </row>
    <row r="25" spans="1:46" ht="31.5" x14ac:dyDescent="0.25">
      <c r="A25" s="12" t="s">
        <v>13</v>
      </c>
      <c r="B25" s="13" t="s">
        <v>27</v>
      </c>
      <c r="C25" s="17" t="s">
        <v>28</v>
      </c>
      <c r="D25" s="15">
        <v>108595.5</v>
      </c>
      <c r="E25" s="15">
        <f t="shared" si="18"/>
        <v>18064.899999999994</v>
      </c>
      <c r="F25" s="15">
        <v>126660.4</v>
      </c>
      <c r="G25" s="15">
        <v>109920.8</v>
      </c>
      <c r="H25" s="15">
        <f t="shared" si="19"/>
        <v>13001.699999999997</v>
      </c>
      <c r="I25" s="15">
        <v>122922.5</v>
      </c>
      <c r="J25" s="15">
        <v>117112.5</v>
      </c>
      <c r="K25" s="15"/>
      <c r="L25" s="15"/>
      <c r="M25" s="15"/>
      <c r="N25" s="15">
        <f t="shared" si="0"/>
        <v>18064.899999999994</v>
      </c>
      <c r="O25" s="15">
        <f t="shared" si="1"/>
        <v>126660.4</v>
      </c>
      <c r="P25" s="15">
        <f t="shared" si="2"/>
        <v>13001.699999999997</v>
      </c>
      <c r="Q25" s="15">
        <f t="shared" si="3"/>
        <v>122922.5</v>
      </c>
      <c r="R25" s="15">
        <f t="shared" si="4"/>
        <v>117112.5</v>
      </c>
      <c r="S25" s="15"/>
      <c r="T25" s="15"/>
      <c r="U25" s="15"/>
      <c r="V25" s="15">
        <f t="shared" si="5"/>
        <v>126660.4</v>
      </c>
      <c r="W25" s="15">
        <f t="shared" si="6"/>
        <v>122922.5</v>
      </c>
      <c r="X25" s="15">
        <f t="shared" si="7"/>
        <v>117112.5</v>
      </c>
      <c r="Y25" s="15"/>
      <c r="Z25" s="15"/>
      <c r="AA25" s="15"/>
      <c r="AB25" s="15">
        <f t="shared" si="8"/>
        <v>126660.4</v>
      </c>
      <c r="AC25" s="15">
        <f t="shared" si="9"/>
        <v>122922.5</v>
      </c>
      <c r="AD25" s="15">
        <f t="shared" si="10"/>
        <v>117112.5</v>
      </c>
      <c r="AE25" s="15"/>
      <c r="AF25" s="15">
        <f t="shared" si="11"/>
        <v>126660.4</v>
      </c>
      <c r="AG25" s="15">
        <f>1285.865+2707.758</f>
        <v>3993.6229999999996</v>
      </c>
      <c r="AH25" s="15"/>
      <c r="AI25" s="15"/>
      <c r="AJ25" s="15">
        <f t="shared" si="12"/>
        <v>130654.02299999999</v>
      </c>
      <c r="AK25" s="15">
        <f t="shared" si="13"/>
        <v>122922.5</v>
      </c>
      <c r="AL25" s="15">
        <f t="shared" si="14"/>
        <v>117112.5</v>
      </c>
      <c r="AM25" s="15">
        <v>-2707.7579999999998</v>
      </c>
      <c r="AN25" s="15"/>
      <c r="AO25" s="15">
        <f t="shared" si="15"/>
        <v>127946.26499999998</v>
      </c>
      <c r="AP25" s="15">
        <f t="shared" si="16"/>
        <v>122922.5</v>
      </c>
      <c r="AQ25" s="15"/>
      <c r="AR25" s="15">
        <f t="shared" si="17"/>
        <v>127946.26499999998</v>
      </c>
      <c r="AS25" s="15"/>
      <c r="AT25" s="10"/>
    </row>
    <row r="26" spans="1:46" ht="31.5" x14ac:dyDescent="0.25">
      <c r="A26" s="12" t="s">
        <v>13</v>
      </c>
      <c r="B26" s="13" t="s">
        <v>29</v>
      </c>
      <c r="C26" s="14" t="s">
        <v>30</v>
      </c>
      <c r="D26" s="15">
        <v>13044.4</v>
      </c>
      <c r="E26" s="15">
        <f t="shared" si="18"/>
        <v>8223.1999999999989</v>
      </c>
      <c r="F26" s="15">
        <v>21267.599999999999</v>
      </c>
      <c r="G26" s="15">
        <v>13223.6</v>
      </c>
      <c r="H26" s="15">
        <f t="shared" si="19"/>
        <v>15003.499999999998</v>
      </c>
      <c r="I26" s="15">
        <v>28227.1</v>
      </c>
      <c r="J26" s="15">
        <v>23149.200000000001</v>
      </c>
      <c r="K26" s="15">
        <f>-935.9-89+16.5-35.4-422.2-104.9-421.3</f>
        <v>-1992.2000000000003</v>
      </c>
      <c r="L26" s="15">
        <f>-935.9-89+29.3-35-379.1-9.7-84.9-9.7-338.3</f>
        <v>-1852.3000000000004</v>
      </c>
      <c r="M26" s="15">
        <f>-935.9-91+70+7.4-379.1-73.4-456.6</f>
        <v>-1858.6000000000004</v>
      </c>
      <c r="N26" s="15">
        <f t="shared" si="0"/>
        <v>6230.9999999999982</v>
      </c>
      <c r="O26" s="15">
        <f t="shared" si="1"/>
        <v>19275.399999999998</v>
      </c>
      <c r="P26" s="15">
        <f t="shared" si="2"/>
        <v>13151.199999999999</v>
      </c>
      <c r="Q26" s="15">
        <f t="shared" si="3"/>
        <v>26374.799999999999</v>
      </c>
      <c r="R26" s="15">
        <f t="shared" si="4"/>
        <v>21290.6</v>
      </c>
      <c r="S26" s="15">
        <v>-73.099999999999994</v>
      </c>
      <c r="T26" s="15">
        <v>-78.400000000000006</v>
      </c>
      <c r="U26" s="15">
        <v>-83.2</v>
      </c>
      <c r="V26" s="15">
        <f t="shared" si="5"/>
        <v>19202.3</v>
      </c>
      <c r="W26" s="15">
        <f t="shared" si="6"/>
        <v>26296.399999999998</v>
      </c>
      <c r="X26" s="15">
        <f t="shared" si="7"/>
        <v>21207.399999999998</v>
      </c>
      <c r="Y26" s="15"/>
      <c r="Z26" s="15"/>
      <c r="AA26" s="15"/>
      <c r="AB26" s="15">
        <f t="shared" si="8"/>
        <v>19202.3</v>
      </c>
      <c r="AC26" s="15">
        <f t="shared" si="9"/>
        <v>26296.399999999998</v>
      </c>
      <c r="AD26" s="15">
        <f t="shared" si="10"/>
        <v>21207.399999999998</v>
      </c>
      <c r="AE26" s="15"/>
      <c r="AF26" s="15">
        <f t="shared" si="11"/>
        <v>19202.3</v>
      </c>
      <c r="AG26" s="15">
        <f>1750</f>
        <v>1750</v>
      </c>
      <c r="AH26" s="15"/>
      <c r="AI26" s="15"/>
      <c r="AJ26" s="15">
        <f t="shared" si="12"/>
        <v>20952.3</v>
      </c>
      <c r="AK26" s="15">
        <f t="shared" si="13"/>
        <v>26296.399999999998</v>
      </c>
      <c r="AL26" s="15">
        <f t="shared" si="14"/>
        <v>21207.399999999998</v>
      </c>
      <c r="AM26" s="15"/>
      <c r="AN26" s="15"/>
      <c r="AO26" s="15">
        <f t="shared" si="15"/>
        <v>20952.3</v>
      </c>
      <c r="AP26" s="15">
        <f t="shared" si="16"/>
        <v>26296.399999999998</v>
      </c>
      <c r="AQ26" s="15">
        <v>-279.58699999999999</v>
      </c>
      <c r="AR26" s="15">
        <f t="shared" si="17"/>
        <v>20672.713</v>
      </c>
      <c r="AS26" s="15"/>
      <c r="AT26" s="10"/>
    </row>
    <row r="27" spans="1:46" s="11" customFormat="1" x14ac:dyDescent="0.25">
      <c r="A27" s="7" t="s">
        <v>15</v>
      </c>
      <c r="B27" s="7" t="s">
        <v>9</v>
      </c>
      <c r="C27" s="8" t="s">
        <v>31</v>
      </c>
      <c r="D27" s="9">
        <f>SUM(D29:D32)</f>
        <v>3093055.1070000003</v>
      </c>
      <c r="E27" s="9">
        <f t="shared" si="18"/>
        <v>181185.6929999995</v>
      </c>
      <c r="F27" s="9">
        <f>SUM(F29:F32)</f>
        <v>3274240.8</v>
      </c>
      <c r="G27" s="9">
        <f>SUM(G29:G32)</f>
        <v>3453032.1300000004</v>
      </c>
      <c r="H27" s="9">
        <f t="shared" si="19"/>
        <v>-333234.33000000054</v>
      </c>
      <c r="I27" s="9">
        <f>SUM(I29:I32)</f>
        <v>3119797.8</v>
      </c>
      <c r="J27" s="9">
        <f>SUM(J29:J32)</f>
        <v>3024736.9</v>
      </c>
      <c r="K27" s="9">
        <f>SUM(K29:K32)</f>
        <v>-6056.3</v>
      </c>
      <c r="L27" s="9">
        <f>SUM(L29:L32)</f>
        <v>62772</v>
      </c>
      <c r="M27" s="9">
        <f>SUM(M29:M32)</f>
        <v>80489.7</v>
      </c>
      <c r="N27" s="9">
        <f t="shared" si="0"/>
        <v>175129.39299999969</v>
      </c>
      <c r="O27" s="9">
        <f t="shared" si="1"/>
        <v>3268184.5</v>
      </c>
      <c r="P27" s="9">
        <f t="shared" si="2"/>
        <v>-270462.33000000054</v>
      </c>
      <c r="Q27" s="9">
        <f t="shared" si="3"/>
        <v>3182569.8</v>
      </c>
      <c r="R27" s="9">
        <f t="shared" si="4"/>
        <v>3105226.6</v>
      </c>
      <c r="S27" s="9">
        <f>SUM(S29:S32)</f>
        <v>0</v>
      </c>
      <c r="T27" s="9">
        <f>SUM(T29:T32)</f>
        <v>0</v>
      </c>
      <c r="U27" s="9">
        <f>SUM(U29:U32)</f>
        <v>0</v>
      </c>
      <c r="V27" s="9">
        <f t="shared" si="5"/>
        <v>3268184.5</v>
      </c>
      <c r="W27" s="9">
        <f t="shared" si="6"/>
        <v>3182569.8</v>
      </c>
      <c r="X27" s="9">
        <f t="shared" si="7"/>
        <v>3105226.6</v>
      </c>
      <c r="Y27" s="9">
        <f>SUM(Y28:Y32)</f>
        <v>-4803.612000000001</v>
      </c>
      <c r="Z27" s="9">
        <f>SUM(Z28:Z32)</f>
        <v>0</v>
      </c>
      <c r="AA27" s="9">
        <f>SUM(AA28:AA32)</f>
        <v>0</v>
      </c>
      <c r="AB27" s="9">
        <f t="shared" si="8"/>
        <v>3263380.8879999998</v>
      </c>
      <c r="AC27" s="9">
        <f t="shared" si="9"/>
        <v>3182569.8</v>
      </c>
      <c r="AD27" s="9">
        <f t="shared" si="10"/>
        <v>3105226.6</v>
      </c>
      <c r="AE27" s="9">
        <f>SUM(AE28:AE32)</f>
        <v>-75267.521000000008</v>
      </c>
      <c r="AF27" s="15">
        <f t="shared" si="11"/>
        <v>3188113.3669999996</v>
      </c>
      <c r="AG27" s="9">
        <f>SUM(AG28:AG32)</f>
        <v>352091.88100000005</v>
      </c>
      <c r="AH27" s="9">
        <f>SUM(AH28:AH32)</f>
        <v>9836.9000000000015</v>
      </c>
      <c r="AI27" s="9">
        <f>SUM(AI28:AI32)</f>
        <v>11914.599999999999</v>
      </c>
      <c r="AJ27" s="15">
        <f t="shared" si="12"/>
        <v>3540205.2479999997</v>
      </c>
      <c r="AK27" s="15">
        <f t="shared" si="13"/>
        <v>3192406.6999999997</v>
      </c>
      <c r="AL27" s="9">
        <f t="shared" si="14"/>
        <v>3117141.2</v>
      </c>
      <c r="AM27" s="9">
        <f>SUM(AM28:AM32)</f>
        <v>-16610.561000000002</v>
      </c>
      <c r="AN27" s="9">
        <f>SUM(AN28:AN32)</f>
        <v>28659.24</v>
      </c>
      <c r="AO27" s="9">
        <f t="shared" si="15"/>
        <v>3523594.6869999995</v>
      </c>
      <c r="AP27" s="9">
        <f t="shared" si="16"/>
        <v>3221065.94</v>
      </c>
      <c r="AQ27" s="9">
        <f>SUM(AQ28:AQ32)</f>
        <v>-26407.906000000003</v>
      </c>
      <c r="AR27" s="9">
        <f t="shared" si="17"/>
        <v>3497186.7809999995</v>
      </c>
      <c r="AS27" s="9">
        <f>SUM(AS28:AS32)</f>
        <v>0</v>
      </c>
      <c r="AT27" s="10"/>
    </row>
    <row r="28" spans="1:46" x14ac:dyDescent="0.25">
      <c r="A28" s="12" t="s">
        <v>15</v>
      </c>
      <c r="B28" s="12" t="s">
        <v>18</v>
      </c>
      <c r="C28" s="14" t="s">
        <v>93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>
        <v>0</v>
      </c>
      <c r="W28" s="15">
        <v>0</v>
      </c>
      <c r="X28" s="15">
        <v>0</v>
      </c>
      <c r="Y28" s="15"/>
      <c r="Z28" s="15"/>
      <c r="AA28" s="15"/>
      <c r="AB28" s="15">
        <f>V28+Y28</f>
        <v>0</v>
      </c>
      <c r="AC28" s="15">
        <f>W28+Z28</f>
        <v>0</v>
      </c>
      <c r="AD28" s="15">
        <f>X28+AA28</f>
        <v>0</v>
      </c>
      <c r="AE28" s="15"/>
      <c r="AF28" s="15">
        <f t="shared" si="11"/>
        <v>0</v>
      </c>
      <c r="AG28" s="15">
        <f>3258</f>
        <v>3258</v>
      </c>
      <c r="AH28" s="15">
        <v>5771.1</v>
      </c>
      <c r="AI28" s="15">
        <v>7275</v>
      </c>
      <c r="AJ28" s="15">
        <f t="shared" si="12"/>
        <v>3258</v>
      </c>
      <c r="AK28" s="15">
        <f t="shared" si="13"/>
        <v>5771.1</v>
      </c>
      <c r="AL28" s="15">
        <f t="shared" si="14"/>
        <v>7275</v>
      </c>
      <c r="AM28" s="15"/>
      <c r="AN28" s="15"/>
      <c r="AO28" s="15">
        <f t="shared" si="15"/>
        <v>3258</v>
      </c>
      <c r="AP28" s="15">
        <f t="shared" si="16"/>
        <v>5771.1</v>
      </c>
      <c r="AQ28" s="15"/>
      <c r="AR28" s="15">
        <f t="shared" si="17"/>
        <v>3258</v>
      </c>
      <c r="AS28" s="15"/>
      <c r="AT28" s="24"/>
    </row>
    <row r="29" spans="1:46" x14ac:dyDescent="0.25">
      <c r="A29" s="12" t="s">
        <v>15</v>
      </c>
      <c r="B29" s="13" t="s">
        <v>20</v>
      </c>
      <c r="C29" s="14" t="s">
        <v>32</v>
      </c>
      <c r="D29" s="15">
        <v>23222.3</v>
      </c>
      <c r="E29" s="15">
        <f t="shared" si="18"/>
        <v>11562.2</v>
      </c>
      <c r="F29" s="15">
        <v>34784.5</v>
      </c>
      <c r="G29" s="15">
        <v>23424.799999999999</v>
      </c>
      <c r="H29" s="15">
        <f t="shared" si="19"/>
        <v>9572.2999999999993</v>
      </c>
      <c r="I29" s="15">
        <v>32997.1</v>
      </c>
      <c r="J29" s="15">
        <v>31738.400000000001</v>
      </c>
      <c r="K29" s="15"/>
      <c r="L29" s="15"/>
      <c r="M29" s="15"/>
      <c r="N29" s="15">
        <f t="shared" si="0"/>
        <v>11562.2</v>
      </c>
      <c r="O29" s="15">
        <f t="shared" si="1"/>
        <v>34784.5</v>
      </c>
      <c r="P29" s="15">
        <f t="shared" si="2"/>
        <v>9572.2999999999993</v>
      </c>
      <c r="Q29" s="15">
        <f t="shared" si="3"/>
        <v>32997.1</v>
      </c>
      <c r="R29" s="15">
        <f t="shared" si="4"/>
        <v>31738.400000000001</v>
      </c>
      <c r="S29" s="15"/>
      <c r="T29" s="15"/>
      <c r="U29" s="15"/>
      <c r="V29" s="15">
        <f t="shared" si="5"/>
        <v>34784.5</v>
      </c>
      <c r="W29" s="15">
        <f t="shared" si="6"/>
        <v>32997.1</v>
      </c>
      <c r="X29" s="15">
        <f t="shared" si="7"/>
        <v>31738.400000000001</v>
      </c>
      <c r="Y29" s="15"/>
      <c r="Z29" s="15"/>
      <c r="AA29" s="15"/>
      <c r="AB29" s="15">
        <f t="shared" si="8"/>
        <v>34784.5</v>
      </c>
      <c r="AC29" s="15">
        <f t="shared" si="9"/>
        <v>32997.1</v>
      </c>
      <c r="AD29" s="15">
        <f t="shared" si="10"/>
        <v>31738.400000000001</v>
      </c>
      <c r="AE29" s="15"/>
      <c r="AF29" s="15">
        <f t="shared" si="11"/>
        <v>34784.5</v>
      </c>
      <c r="AG29" s="15">
        <f>1442.682+1227.87</f>
        <v>2670.5519999999997</v>
      </c>
      <c r="AH29" s="15"/>
      <c r="AI29" s="15"/>
      <c r="AJ29" s="15">
        <f t="shared" si="12"/>
        <v>37455.051999999996</v>
      </c>
      <c r="AK29" s="15">
        <f t="shared" si="13"/>
        <v>32997.1</v>
      </c>
      <c r="AL29" s="15">
        <f t="shared" si="14"/>
        <v>31738.400000000001</v>
      </c>
      <c r="AM29" s="15">
        <v>1799.9179999999999</v>
      </c>
      <c r="AN29" s="15"/>
      <c r="AO29" s="15">
        <f t="shared" si="15"/>
        <v>39254.969999999994</v>
      </c>
      <c r="AP29" s="15">
        <f t="shared" si="16"/>
        <v>32997.1</v>
      </c>
      <c r="AQ29" s="15">
        <v>-1949.1959999999999</v>
      </c>
      <c r="AR29" s="15">
        <f t="shared" si="17"/>
        <v>37305.77399999999</v>
      </c>
      <c r="AS29" s="15"/>
      <c r="AT29" s="10"/>
    </row>
    <row r="30" spans="1:46" x14ac:dyDescent="0.25">
      <c r="A30" s="12" t="s">
        <v>15</v>
      </c>
      <c r="B30" s="13" t="s">
        <v>33</v>
      </c>
      <c r="C30" s="14" t="s">
        <v>34</v>
      </c>
      <c r="D30" s="15">
        <v>885194.5</v>
      </c>
      <c r="E30" s="15">
        <f t="shared" si="18"/>
        <v>-93348.599999999977</v>
      </c>
      <c r="F30" s="15">
        <v>791845.9</v>
      </c>
      <c r="G30" s="15">
        <v>915828.6</v>
      </c>
      <c r="H30" s="15">
        <f t="shared" si="19"/>
        <v>-78917</v>
      </c>
      <c r="I30" s="15">
        <v>836911.6</v>
      </c>
      <c r="J30" s="15">
        <v>836267.7</v>
      </c>
      <c r="K30" s="15">
        <f>-1193.3-89</f>
        <v>-1282.3</v>
      </c>
      <c r="L30" s="15">
        <f>-1193.3-89</f>
        <v>-1282.3</v>
      </c>
      <c r="M30" s="15">
        <f>-1193.3-91</f>
        <v>-1284.3</v>
      </c>
      <c r="N30" s="15">
        <f t="shared" si="0"/>
        <v>-94630.900000000023</v>
      </c>
      <c r="O30" s="15">
        <f t="shared" si="1"/>
        <v>790563.6</v>
      </c>
      <c r="P30" s="15">
        <f t="shared" si="2"/>
        <v>-80199.300000000047</v>
      </c>
      <c r="Q30" s="15">
        <f t="shared" si="3"/>
        <v>835629.29999999993</v>
      </c>
      <c r="R30" s="15">
        <f t="shared" si="4"/>
        <v>834983.39999999991</v>
      </c>
      <c r="S30" s="15"/>
      <c r="T30" s="15"/>
      <c r="U30" s="15"/>
      <c r="V30" s="15">
        <f t="shared" si="5"/>
        <v>790563.6</v>
      </c>
      <c r="W30" s="15">
        <f t="shared" si="6"/>
        <v>835629.29999999993</v>
      </c>
      <c r="X30" s="15">
        <f t="shared" si="7"/>
        <v>834983.39999999991</v>
      </c>
      <c r="Y30" s="15"/>
      <c r="Z30" s="15"/>
      <c r="AA30" s="15"/>
      <c r="AB30" s="15">
        <f t="shared" si="8"/>
        <v>790563.6</v>
      </c>
      <c r="AC30" s="15">
        <f t="shared" si="9"/>
        <v>835629.29999999993</v>
      </c>
      <c r="AD30" s="15">
        <f t="shared" si="10"/>
        <v>834983.39999999991</v>
      </c>
      <c r="AE30" s="15">
        <f>-7618.7-8526.4</f>
        <v>-16145.099999999999</v>
      </c>
      <c r="AF30" s="15">
        <f t="shared" si="11"/>
        <v>774418.5</v>
      </c>
      <c r="AG30" s="15">
        <f>0.1</f>
        <v>0.1</v>
      </c>
      <c r="AH30" s="15">
        <f>0.3</f>
        <v>0.3</v>
      </c>
      <c r="AI30" s="15">
        <f>0.2</f>
        <v>0.2</v>
      </c>
      <c r="AJ30" s="15">
        <f t="shared" si="12"/>
        <v>774418.6</v>
      </c>
      <c r="AK30" s="15">
        <f t="shared" si="13"/>
        <v>835629.6</v>
      </c>
      <c r="AL30" s="15">
        <f t="shared" si="14"/>
        <v>834983.59999999986</v>
      </c>
      <c r="AM30" s="15"/>
      <c r="AN30" s="15"/>
      <c r="AO30" s="15">
        <f t="shared" si="15"/>
        <v>774418.6</v>
      </c>
      <c r="AP30" s="15">
        <f t="shared" si="16"/>
        <v>835629.6</v>
      </c>
      <c r="AQ30" s="15"/>
      <c r="AR30" s="15">
        <f t="shared" si="17"/>
        <v>774418.6</v>
      </c>
      <c r="AS30" s="15"/>
      <c r="AT30" s="10"/>
    </row>
    <row r="31" spans="1:46" x14ac:dyDescent="0.25">
      <c r="A31" s="12" t="s">
        <v>15</v>
      </c>
      <c r="B31" s="13" t="s">
        <v>27</v>
      </c>
      <c r="C31" s="14" t="s">
        <v>35</v>
      </c>
      <c r="D31" s="15">
        <v>2127534.9070000001</v>
      </c>
      <c r="E31" s="15">
        <f t="shared" si="18"/>
        <v>208676.49299999978</v>
      </c>
      <c r="F31" s="15">
        <v>2336211.4</v>
      </c>
      <c r="G31" s="15">
        <v>2454889.0300000003</v>
      </c>
      <c r="H31" s="15">
        <f t="shared" si="19"/>
        <v>-284331.43000000017</v>
      </c>
      <c r="I31" s="15">
        <v>2170557.6</v>
      </c>
      <c r="J31" s="15">
        <v>2091998.9</v>
      </c>
      <c r="K31" s="15">
        <f>-4647.9</f>
        <v>-4647.8999999999996</v>
      </c>
      <c r="L31" s="15"/>
      <c r="M31" s="15"/>
      <c r="N31" s="15">
        <f t="shared" si="0"/>
        <v>204028.59299999988</v>
      </c>
      <c r="O31" s="15">
        <f t="shared" si="1"/>
        <v>2331563.5</v>
      </c>
      <c r="P31" s="15">
        <f t="shared" si="2"/>
        <v>-284331.43000000017</v>
      </c>
      <c r="Q31" s="15">
        <f t="shared" si="3"/>
        <v>2170557.6</v>
      </c>
      <c r="R31" s="15">
        <f t="shared" si="4"/>
        <v>2091998.9</v>
      </c>
      <c r="S31" s="15"/>
      <c r="T31" s="15"/>
      <c r="U31" s="15"/>
      <c r="V31" s="15">
        <f t="shared" si="5"/>
        <v>2331563.5</v>
      </c>
      <c r="W31" s="15">
        <f t="shared" si="6"/>
        <v>2170557.6</v>
      </c>
      <c r="X31" s="15">
        <f t="shared" si="7"/>
        <v>2091998.9</v>
      </c>
      <c r="Y31" s="15">
        <f>-18628.478-27861.746+15612.994-12425.461-725.914-8660.72-2736.683-29.761+40538.047</f>
        <v>-14917.722000000002</v>
      </c>
      <c r="Z31" s="15"/>
      <c r="AA31" s="15"/>
      <c r="AB31" s="15">
        <f t="shared" si="8"/>
        <v>2316645.7779999999</v>
      </c>
      <c r="AC31" s="15">
        <f t="shared" si="9"/>
        <v>2170557.6</v>
      </c>
      <c r="AD31" s="15">
        <f t="shared" si="10"/>
        <v>2091998.9</v>
      </c>
      <c r="AE31" s="15">
        <f>-15612.994-40538.047</f>
        <v>-56151.040999999997</v>
      </c>
      <c r="AF31" s="15">
        <f t="shared" si="11"/>
        <v>2260494.7369999997</v>
      </c>
      <c r="AG31" s="15">
        <f>3696.1+39405.554+3674.477+8129.581+120.058+157.766+48.294+0.027+36935.021+1333.947+2.161+2562.731+2800+5000+10248.181+4693.673+29939.558+8372.165+99.5+14059.97+134889.881-2609.1</f>
        <v>303559.54500000004</v>
      </c>
      <c r="AH31" s="15">
        <f>4065.5</f>
        <v>4065.5</v>
      </c>
      <c r="AI31" s="15">
        <f>4639.4</f>
        <v>4639.3999999999996</v>
      </c>
      <c r="AJ31" s="15">
        <f t="shared" si="12"/>
        <v>2564054.2819999997</v>
      </c>
      <c r="AK31" s="15">
        <f t="shared" si="13"/>
        <v>2174623.1</v>
      </c>
      <c r="AL31" s="15">
        <f t="shared" si="14"/>
        <v>2096638.2999999998</v>
      </c>
      <c r="AM31" s="15">
        <v>-16377.279</v>
      </c>
      <c r="AN31" s="15">
        <v>28659.24</v>
      </c>
      <c r="AO31" s="15">
        <f t="shared" si="15"/>
        <v>2547677.0029999996</v>
      </c>
      <c r="AP31" s="15">
        <f t="shared" si="16"/>
        <v>2203282.3400000003</v>
      </c>
      <c r="AQ31" s="15">
        <f>-239.082-6877.823-1374.036-6246.994-399.204-811.734</f>
        <v>-15948.873000000001</v>
      </c>
      <c r="AR31" s="15">
        <f t="shared" si="17"/>
        <v>2531728.1299999994</v>
      </c>
      <c r="AS31" s="15"/>
      <c r="AT31" s="10"/>
    </row>
    <row r="32" spans="1:46" x14ac:dyDescent="0.25">
      <c r="A32" s="12" t="s">
        <v>15</v>
      </c>
      <c r="B32" s="13" t="s">
        <v>36</v>
      </c>
      <c r="C32" s="14" t="s">
        <v>37</v>
      </c>
      <c r="D32" s="15">
        <v>57103.4</v>
      </c>
      <c r="E32" s="15">
        <f t="shared" si="18"/>
        <v>54295.6</v>
      </c>
      <c r="F32" s="15">
        <v>111399</v>
      </c>
      <c r="G32" s="15">
        <v>58889.7</v>
      </c>
      <c r="H32" s="15">
        <f t="shared" si="19"/>
        <v>20441.800000000003</v>
      </c>
      <c r="I32" s="15">
        <v>79331.5</v>
      </c>
      <c r="J32" s="15">
        <v>64731.9</v>
      </c>
      <c r="K32" s="15">
        <f>-126.1</f>
        <v>-126.1</v>
      </c>
      <c r="L32" s="15">
        <f>64172.9-118.6</f>
        <v>64054.3</v>
      </c>
      <c r="M32" s="15">
        <f>81930.2-156.2</f>
        <v>81774</v>
      </c>
      <c r="N32" s="15">
        <f t="shared" si="0"/>
        <v>54169.499999999993</v>
      </c>
      <c r="O32" s="15">
        <f t="shared" si="1"/>
        <v>111272.9</v>
      </c>
      <c r="P32" s="15">
        <f t="shared" si="2"/>
        <v>84496.099999999991</v>
      </c>
      <c r="Q32" s="15">
        <f t="shared" si="3"/>
        <v>143385.79999999999</v>
      </c>
      <c r="R32" s="15">
        <f t="shared" si="4"/>
        <v>146505.9</v>
      </c>
      <c r="S32" s="15"/>
      <c r="T32" s="15"/>
      <c r="U32" s="15"/>
      <c r="V32" s="15">
        <f t="shared" si="5"/>
        <v>111272.9</v>
      </c>
      <c r="W32" s="15">
        <f t="shared" si="6"/>
        <v>143385.79999999999</v>
      </c>
      <c r="X32" s="15">
        <f t="shared" si="7"/>
        <v>146505.9</v>
      </c>
      <c r="Y32" s="15">
        <f>10114.11</f>
        <v>10114.11</v>
      </c>
      <c r="Z32" s="15"/>
      <c r="AA32" s="15"/>
      <c r="AB32" s="15">
        <f t="shared" si="8"/>
        <v>121387.01</v>
      </c>
      <c r="AC32" s="15">
        <f t="shared" si="9"/>
        <v>143385.79999999999</v>
      </c>
      <c r="AD32" s="15">
        <f t="shared" si="10"/>
        <v>146505.9</v>
      </c>
      <c r="AE32" s="15">
        <f>-2971.38</f>
        <v>-2971.38</v>
      </c>
      <c r="AF32" s="15">
        <f t="shared" si="11"/>
        <v>118415.62999999999</v>
      </c>
      <c r="AG32" s="15">
        <f>459.1+33374.654+723.764+10.743+283.5+2715.723+2033.2+3003</f>
        <v>42603.684000000001</v>
      </c>
      <c r="AH32" s="15"/>
      <c r="AI32" s="15"/>
      <c r="AJ32" s="15">
        <f t="shared" si="12"/>
        <v>161019.31399999998</v>
      </c>
      <c r="AK32" s="15">
        <f t="shared" si="13"/>
        <v>143385.79999999999</v>
      </c>
      <c r="AL32" s="15">
        <f t="shared" si="14"/>
        <v>146505.9</v>
      </c>
      <c r="AM32" s="15">
        <v>-2033.2</v>
      </c>
      <c r="AN32" s="15"/>
      <c r="AO32" s="15">
        <f t="shared" si="15"/>
        <v>158986.11399999997</v>
      </c>
      <c r="AP32" s="15">
        <f t="shared" si="16"/>
        <v>143385.79999999999</v>
      </c>
      <c r="AQ32" s="15">
        <f>-6813.283-1147.812-548.742</f>
        <v>-8509.8369999999995</v>
      </c>
      <c r="AR32" s="15">
        <f t="shared" si="17"/>
        <v>150476.27699999997</v>
      </c>
      <c r="AS32" s="15"/>
      <c r="AT32" s="10"/>
    </row>
    <row r="33" spans="1:46" s="11" customFormat="1" x14ac:dyDescent="0.25">
      <c r="A33" s="7" t="s">
        <v>17</v>
      </c>
      <c r="B33" s="7" t="s">
        <v>9</v>
      </c>
      <c r="C33" s="8" t="s">
        <v>38</v>
      </c>
      <c r="D33" s="9">
        <f>SUM(D34:D37)</f>
        <v>1681349.2030000002</v>
      </c>
      <c r="E33" s="9">
        <f t="shared" si="18"/>
        <v>180083.29699999979</v>
      </c>
      <c r="F33" s="9">
        <f>SUM(F34:F37)</f>
        <v>1861432.5</v>
      </c>
      <c r="G33" s="9">
        <f>SUM(G34:G37)</f>
        <v>1543615.1469999999</v>
      </c>
      <c r="H33" s="9">
        <f t="shared" si="19"/>
        <v>211156.45300000021</v>
      </c>
      <c r="I33" s="9">
        <f>SUM(I34:I37)</f>
        <v>1754771.6</v>
      </c>
      <c r="J33" s="9">
        <f>SUM(J34:J37)</f>
        <v>1469448.6</v>
      </c>
      <c r="K33" s="9">
        <f>SUM(K34:K37)</f>
        <v>181355.29999999996</v>
      </c>
      <c r="L33" s="9">
        <f>SUM(L34:L37)</f>
        <v>288079.19999999984</v>
      </c>
      <c r="M33" s="9">
        <f>SUM(M34:M37)</f>
        <v>194035</v>
      </c>
      <c r="N33" s="9">
        <f t="shared" si="0"/>
        <v>361438.59699999983</v>
      </c>
      <c r="O33" s="9">
        <f t="shared" si="1"/>
        <v>2042787.8</v>
      </c>
      <c r="P33" s="9">
        <f t="shared" si="2"/>
        <v>499235.65299999993</v>
      </c>
      <c r="Q33" s="9">
        <f t="shared" si="3"/>
        <v>2042850.7999999998</v>
      </c>
      <c r="R33" s="9">
        <f t="shared" si="4"/>
        <v>1663483.6</v>
      </c>
      <c r="S33" s="9">
        <f>SUM(S34:S37)</f>
        <v>0</v>
      </c>
      <c r="T33" s="9">
        <f>SUM(T34:T37)</f>
        <v>0</v>
      </c>
      <c r="U33" s="9">
        <f>SUM(U34:U37)</f>
        <v>0</v>
      </c>
      <c r="V33" s="9">
        <f t="shared" si="5"/>
        <v>2042787.8</v>
      </c>
      <c r="W33" s="9">
        <f t="shared" si="6"/>
        <v>2042850.7999999998</v>
      </c>
      <c r="X33" s="9">
        <f t="shared" si="7"/>
        <v>1663483.6</v>
      </c>
      <c r="Y33" s="9">
        <f>SUM(Y34:Y37)</f>
        <v>10809.121999999999</v>
      </c>
      <c r="Z33" s="9">
        <f>SUM(Z34:Z37)</f>
        <v>-4092.1</v>
      </c>
      <c r="AA33" s="9">
        <f>SUM(AA34:AA37)</f>
        <v>-4174</v>
      </c>
      <c r="AB33" s="9">
        <f t="shared" si="8"/>
        <v>2053596.922</v>
      </c>
      <c r="AC33" s="9">
        <f t="shared" si="9"/>
        <v>2038758.6999999997</v>
      </c>
      <c r="AD33" s="9">
        <f t="shared" si="10"/>
        <v>1659309.6</v>
      </c>
      <c r="AE33" s="9">
        <f>SUM(AE34:AE37)</f>
        <v>-14917.722</v>
      </c>
      <c r="AF33" s="9">
        <f t="shared" si="11"/>
        <v>2038679.2</v>
      </c>
      <c r="AG33" s="9">
        <f>SUM(AG34:AG37)</f>
        <v>571103.51599999995</v>
      </c>
      <c r="AH33" s="9">
        <f>SUM(AH34:AH37)</f>
        <v>0</v>
      </c>
      <c r="AI33" s="9">
        <f>SUM(AI34:AI37)</f>
        <v>0</v>
      </c>
      <c r="AJ33" s="9">
        <f t="shared" si="12"/>
        <v>2609782.716</v>
      </c>
      <c r="AK33" s="9">
        <f t="shared" si="13"/>
        <v>2038758.6999999997</v>
      </c>
      <c r="AL33" s="9">
        <f t="shared" si="14"/>
        <v>1659309.6</v>
      </c>
      <c r="AM33" s="9">
        <f>SUM(AM34:AM37)</f>
        <v>-15965.503000000001</v>
      </c>
      <c r="AN33" s="9">
        <f>SUM(AN34:AN37)</f>
        <v>-28659.24</v>
      </c>
      <c r="AO33" s="9">
        <f t="shared" si="15"/>
        <v>2593817.213</v>
      </c>
      <c r="AP33" s="9">
        <f t="shared" si="16"/>
        <v>2010099.4599999997</v>
      </c>
      <c r="AQ33" s="9">
        <f>SUM(AQ34:AQ37)</f>
        <v>-36875.277000000002</v>
      </c>
      <c r="AR33" s="9">
        <f t="shared" si="17"/>
        <v>2556941.9359999998</v>
      </c>
      <c r="AS33" s="9">
        <f>SUM(AS34:AS37)</f>
        <v>0</v>
      </c>
      <c r="AT33" s="10"/>
    </row>
    <row r="34" spans="1:46" x14ac:dyDescent="0.25">
      <c r="A34" s="12" t="s">
        <v>17</v>
      </c>
      <c r="B34" s="13" t="s">
        <v>8</v>
      </c>
      <c r="C34" s="14" t="s">
        <v>39</v>
      </c>
      <c r="D34" s="15">
        <v>277346.3</v>
      </c>
      <c r="E34" s="15">
        <f t="shared" si="18"/>
        <v>114495.40000000002</v>
      </c>
      <c r="F34" s="15">
        <v>391841.7</v>
      </c>
      <c r="G34" s="15">
        <v>248357.1</v>
      </c>
      <c r="H34" s="15">
        <f t="shared" si="19"/>
        <v>108368.80000000002</v>
      </c>
      <c r="I34" s="15">
        <v>356725.9</v>
      </c>
      <c r="J34" s="15">
        <v>233776.1</v>
      </c>
      <c r="K34" s="15">
        <f>-35355-1879.5+1926.5+50000-162.2</f>
        <v>14529.8</v>
      </c>
      <c r="L34" s="15">
        <f>-30662.1+1848.2+111489.5-162.2</f>
        <v>82513.400000000009</v>
      </c>
      <c r="M34" s="15">
        <f>-26086+5100+160908.2</f>
        <v>139922.20000000001</v>
      </c>
      <c r="N34" s="15">
        <f t="shared" si="0"/>
        <v>129025.20000000001</v>
      </c>
      <c r="O34" s="15">
        <f t="shared" si="1"/>
        <v>406371.5</v>
      </c>
      <c r="P34" s="15">
        <f t="shared" si="2"/>
        <v>190882.20000000004</v>
      </c>
      <c r="Q34" s="15">
        <f t="shared" si="3"/>
        <v>439239.30000000005</v>
      </c>
      <c r="R34" s="15">
        <f t="shared" si="4"/>
        <v>373698.30000000005</v>
      </c>
      <c r="S34" s="15"/>
      <c r="T34" s="15"/>
      <c r="U34" s="15"/>
      <c r="V34" s="15">
        <f t="shared" si="5"/>
        <v>406371.5</v>
      </c>
      <c r="W34" s="15">
        <f t="shared" si="6"/>
        <v>439239.30000000005</v>
      </c>
      <c r="X34" s="15">
        <f t="shared" si="7"/>
        <v>373698.30000000005</v>
      </c>
      <c r="Y34" s="15"/>
      <c r="Z34" s="15"/>
      <c r="AA34" s="15"/>
      <c r="AB34" s="15">
        <f t="shared" si="8"/>
        <v>406371.5</v>
      </c>
      <c r="AC34" s="15">
        <f t="shared" si="9"/>
        <v>439239.30000000005</v>
      </c>
      <c r="AD34" s="15">
        <f t="shared" si="10"/>
        <v>373698.30000000005</v>
      </c>
      <c r="AE34" s="15"/>
      <c r="AF34" s="15">
        <f t="shared" si="11"/>
        <v>406371.5</v>
      </c>
      <c r="AG34" s="15">
        <f>19+279.822+10433.298+98+26317.811+13423.458+594.822+50000+33764.274+24.44+97.606+982.158+60+0.883+135+99+153136.96+80838.533+471.3</f>
        <v>370776.36499999999</v>
      </c>
      <c r="AH34" s="15"/>
      <c r="AI34" s="15"/>
      <c r="AJ34" s="15">
        <f t="shared" si="12"/>
        <v>777147.86499999999</v>
      </c>
      <c r="AK34" s="15">
        <f t="shared" si="13"/>
        <v>439239.30000000005</v>
      </c>
      <c r="AL34" s="15">
        <f t="shared" si="14"/>
        <v>373698.30000000005</v>
      </c>
      <c r="AM34" s="15">
        <v>-10034.031000000001</v>
      </c>
      <c r="AN34" s="15"/>
      <c r="AO34" s="15">
        <f t="shared" si="15"/>
        <v>767113.83400000003</v>
      </c>
      <c r="AP34" s="15">
        <f t="shared" si="16"/>
        <v>439239.30000000005</v>
      </c>
      <c r="AQ34" s="15">
        <v>13852.995999999999</v>
      </c>
      <c r="AR34" s="15">
        <f t="shared" si="17"/>
        <v>780966.83000000007</v>
      </c>
      <c r="AS34" s="15"/>
      <c r="AT34" s="10"/>
    </row>
    <row r="35" spans="1:46" x14ac:dyDescent="0.25">
      <c r="A35" s="12" t="s">
        <v>17</v>
      </c>
      <c r="B35" s="13" t="s">
        <v>11</v>
      </c>
      <c r="C35" s="14" t="s">
        <v>40</v>
      </c>
      <c r="D35" s="15">
        <v>454110.05000000005</v>
      </c>
      <c r="E35" s="15">
        <f t="shared" si="18"/>
        <v>-62678.350000000035</v>
      </c>
      <c r="F35" s="15">
        <v>391431.7</v>
      </c>
      <c r="G35" s="15">
        <v>342719</v>
      </c>
      <c r="H35" s="15">
        <f t="shared" si="19"/>
        <v>65307.900000000023</v>
      </c>
      <c r="I35" s="15">
        <v>408026.9</v>
      </c>
      <c r="J35" s="15">
        <v>231300.1</v>
      </c>
      <c r="K35" s="15"/>
      <c r="L35" s="15">
        <f>-554.4</f>
        <v>-554.4</v>
      </c>
      <c r="M35" s="15">
        <f>-540.1-5115.4</f>
        <v>-5655.5</v>
      </c>
      <c r="N35" s="15">
        <f t="shared" si="0"/>
        <v>-62678.350000000035</v>
      </c>
      <c r="O35" s="15">
        <f t="shared" si="1"/>
        <v>391431.7</v>
      </c>
      <c r="P35" s="15">
        <f t="shared" si="2"/>
        <v>64753.5</v>
      </c>
      <c r="Q35" s="15">
        <f t="shared" si="3"/>
        <v>407472.5</v>
      </c>
      <c r="R35" s="15">
        <f t="shared" si="4"/>
        <v>225644.6</v>
      </c>
      <c r="S35" s="15"/>
      <c r="T35" s="15"/>
      <c r="U35" s="15"/>
      <c r="V35" s="15">
        <f t="shared" si="5"/>
        <v>391431.7</v>
      </c>
      <c r="W35" s="15">
        <f t="shared" si="6"/>
        <v>407472.5</v>
      </c>
      <c r="X35" s="15">
        <f t="shared" si="7"/>
        <v>225644.6</v>
      </c>
      <c r="Y35" s="15"/>
      <c r="Z35" s="15"/>
      <c r="AA35" s="15"/>
      <c r="AB35" s="15">
        <f t="shared" si="8"/>
        <v>391431.7</v>
      </c>
      <c r="AC35" s="15">
        <f t="shared" si="9"/>
        <v>407472.5</v>
      </c>
      <c r="AD35" s="15">
        <f t="shared" si="10"/>
        <v>225644.6</v>
      </c>
      <c r="AE35" s="15"/>
      <c r="AF35" s="15">
        <f t="shared" si="11"/>
        <v>391431.7</v>
      </c>
      <c r="AG35" s="15">
        <f>5994.051+2235.283+200+290.554+478.456</f>
        <v>9198.344000000001</v>
      </c>
      <c r="AH35" s="15"/>
      <c r="AI35" s="15"/>
      <c r="AJ35" s="15">
        <f t="shared" si="12"/>
        <v>400630.04399999999</v>
      </c>
      <c r="AK35" s="15">
        <f t="shared" si="13"/>
        <v>407472.5</v>
      </c>
      <c r="AL35" s="15">
        <f t="shared" si="14"/>
        <v>225644.6</v>
      </c>
      <c r="AM35" s="15">
        <v>-2235.2829999999999</v>
      </c>
      <c r="AN35" s="15"/>
      <c r="AO35" s="15">
        <f t="shared" si="15"/>
        <v>398394.761</v>
      </c>
      <c r="AP35" s="15">
        <f t="shared" si="16"/>
        <v>407472.5</v>
      </c>
      <c r="AQ35" s="15">
        <v>-30419.631000000001</v>
      </c>
      <c r="AR35" s="15">
        <f t="shared" si="17"/>
        <v>367975.13</v>
      </c>
      <c r="AS35" s="15"/>
      <c r="AT35" s="10"/>
    </row>
    <row r="36" spans="1:46" x14ac:dyDescent="0.25">
      <c r="A36" s="12" t="s">
        <v>17</v>
      </c>
      <c r="B36" s="13" t="s">
        <v>13</v>
      </c>
      <c r="C36" s="14" t="s">
        <v>41</v>
      </c>
      <c r="D36" s="15">
        <f>762736.853-100000</f>
        <v>662736.853</v>
      </c>
      <c r="E36" s="15">
        <f t="shared" si="18"/>
        <v>117910.04700000002</v>
      </c>
      <c r="F36" s="15">
        <v>780646.9</v>
      </c>
      <c r="G36" s="15">
        <v>669768.647</v>
      </c>
      <c r="H36" s="15">
        <f t="shared" si="19"/>
        <v>29694.753000000026</v>
      </c>
      <c r="I36" s="15">
        <v>699463.4</v>
      </c>
      <c r="J36" s="15">
        <v>716244.8</v>
      </c>
      <c r="K36" s="15">
        <f>5604.2+1.2+4108.6+97670.4+58500+16275.2+48930+8607.6+44007.7+527.6-16275.2-48930-8607.6-44007.7-527.6-1512.7-698-3690</f>
        <v>159983.69999999998</v>
      </c>
      <c r="L36" s="15">
        <f>4786.6+1.2+4092.1+30000+167601.3+28481.5+44916.4+48661.1+9012.1+43865.1+527.6-28481.5-44916.4-48661.1-9012.1-43865.1-527.6-1648-3675.3</f>
        <v>201157.89999999985</v>
      </c>
      <c r="M36" s="15">
        <f>4882.3+1.2+4174+50000+9012.1+45660.5+527.6-9012.1-45660.5-527.6-1597-2663.5</f>
        <v>54797.000000000007</v>
      </c>
      <c r="N36" s="15">
        <f t="shared" si="0"/>
        <v>277893.74699999997</v>
      </c>
      <c r="O36" s="15">
        <f t="shared" si="1"/>
        <v>940630.6</v>
      </c>
      <c r="P36" s="15">
        <f t="shared" si="2"/>
        <v>230852.65299999982</v>
      </c>
      <c r="Q36" s="15">
        <f t="shared" si="3"/>
        <v>900621.29999999981</v>
      </c>
      <c r="R36" s="15">
        <f t="shared" si="4"/>
        <v>771041.8</v>
      </c>
      <c r="S36" s="15"/>
      <c r="T36" s="15"/>
      <c r="U36" s="15"/>
      <c r="V36" s="15">
        <f t="shared" si="5"/>
        <v>940630.6</v>
      </c>
      <c r="W36" s="15">
        <f t="shared" si="6"/>
        <v>900621.29999999981</v>
      </c>
      <c r="X36" s="15">
        <f t="shared" si="7"/>
        <v>771041.8</v>
      </c>
      <c r="Y36" s="15">
        <f>500+11965.769-4108.6</f>
        <v>8357.1689999999999</v>
      </c>
      <c r="Z36" s="15">
        <v>-4092.1</v>
      </c>
      <c r="AA36" s="15">
        <v>-4174</v>
      </c>
      <c r="AB36" s="15">
        <f t="shared" si="8"/>
        <v>948987.76899999997</v>
      </c>
      <c r="AC36" s="15">
        <f t="shared" si="9"/>
        <v>896529.19999999984</v>
      </c>
      <c r="AD36" s="15">
        <f t="shared" si="10"/>
        <v>766867.8</v>
      </c>
      <c r="AE36" s="15">
        <f>-500-11965.769</f>
        <v>-12465.769</v>
      </c>
      <c r="AF36" s="15">
        <f t="shared" si="11"/>
        <v>936522</v>
      </c>
      <c r="AG36" s="15">
        <f>642.619+2019.108+695.089+14511.749+18710.653+495.015+2661.545+10714.998+13826.286+52082.224+3004.468+239.139+7+6.337+473.84+18929.254+30000+15495.617</f>
        <v>184514.94099999996</v>
      </c>
      <c r="AH36" s="15"/>
      <c r="AI36" s="15"/>
      <c r="AJ36" s="15">
        <f t="shared" si="12"/>
        <v>1121036.9409999999</v>
      </c>
      <c r="AK36" s="15">
        <f t="shared" si="13"/>
        <v>896529.19999999984</v>
      </c>
      <c r="AL36" s="15">
        <f t="shared" si="14"/>
        <v>766867.8</v>
      </c>
      <c r="AM36" s="15">
        <v>-3696.1889999999999</v>
      </c>
      <c r="AN36" s="15">
        <v>-28659.24</v>
      </c>
      <c r="AO36" s="15">
        <f t="shared" si="15"/>
        <v>1117340.7519999999</v>
      </c>
      <c r="AP36" s="15">
        <f t="shared" si="16"/>
        <v>867869.95999999985</v>
      </c>
      <c r="AQ36" s="15">
        <f>-1445.547-2896.83-6317.455-861.54-1897.977-2113.384-565.889-595.824-2232.091-1107.105</f>
        <v>-20033.642</v>
      </c>
      <c r="AR36" s="15">
        <f t="shared" si="17"/>
        <v>1097307.1099999999</v>
      </c>
      <c r="AS36" s="15"/>
      <c r="AT36" s="10"/>
    </row>
    <row r="37" spans="1:46" x14ac:dyDescent="0.25">
      <c r="A37" s="12" t="s">
        <v>17</v>
      </c>
      <c r="B37" s="13" t="s">
        <v>17</v>
      </c>
      <c r="C37" s="14" t="s">
        <v>42</v>
      </c>
      <c r="D37" s="15">
        <v>287156</v>
      </c>
      <c r="E37" s="15">
        <f t="shared" si="18"/>
        <v>10356.200000000012</v>
      </c>
      <c r="F37" s="15">
        <v>297512.2</v>
      </c>
      <c r="G37" s="15">
        <v>282770.39999999997</v>
      </c>
      <c r="H37" s="15">
        <f t="shared" si="19"/>
        <v>7785.0000000000582</v>
      </c>
      <c r="I37" s="15">
        <v>290555.40000000002</v>
      </c>
      <c r="J37" s="15">
        <v>288127.59999999998</v>
      </c>
      <c r="K37" s="15">
        <f>4819.3+172+273-257.5+267.9-202.5-20.7-44.7+1879.5-44.5</f>
        <v>6841.8</v>
      </c>
      <c r="L37" s="15">
        <f>4819.3+42+403-257.5+296.5-202.5-19.1-74.9-44.5</f>
        <v>4962.3</v>
      </c>
      <c r="M37" s="15">
        <f>4819.3+42+413-257.5+275.9-202.5-19.4-54-45.5</f>
        <v>4971.3</v>
      </c>
      <c r="N37" s="15">
        <f t="shared" si="0"/>
        <v>17198</v>
      </c>
      <c r="O37" s="15">
        <f t="shared" si="1"/>
        <v>304354</v>
      </c>
      <c r="P37" s="15">
        <f t="shared" si="2"/>
        <v>12747.300000000047</v>
      </c>
      <c r="Q37" s="15">
        <f t="shared" si="3"/>
        <v>295517.7</v>
      </c>
      <c r="R37" s="15">
        <f t="shared" si="4"/>
        <v>293098.89999999997</v>
      </c>
      <c r="S37" s="15"/>
      <c r="T37" s="15"/>
      <c r="U37" s="15"/>
      <c r="V37" s="15">
        <f t="shared" si="5"/>
        <v>304354</v>
      </c>
      <c r="W37" s="15">
        <f t="shared" si="6"/>
        <v>295517.7</v>
      </c>
      <c r="X37" s="15">
        <f t="shared" si="7"/>
        <v>293098.89999999997</v>
      </c>
      <c r="Y37" s="15">
        <f>1535.772+0.645+170.087+745.449</f>
        <v>2451.953</v>
      </c>
      <c r="Z37" s="15"/>
      <c r="AA37" s="15"/>
      <c r="AB37" s="15">
        <f t="shared" si="8"/>
        <v>306805.95299999998</v>
      </c>
      <c r="AC37" s="15">
        <f t="shared" si="9"/>
        <v>295517.7</v>
      </c>
      <c r="AD37" s="15">
        <f t="shared" si="10"/>
        <v>293098.89999999997</v>
      </c>
      <c r="AE37" s="15">
        <f>-1535.772-0.645-170.087-745.449</f>
        <v>-2451.953</v>
      </c>
      <c r="AF37" s="15">
        <f t="shared" si="11"/>
        <v>304354</v>
      </c>
      <c r="AG37" s="15">
        <f>6610.637+3.229</f>
        <v>6613.866</v>
      </c>
      <c r="AH37" s="15"/>
      <c r="AI37" s="15"/>
      <c r="AJ37" s="15">
        <f t="shared" si="12"/>
        <v>310967.86599999998</v>
      </c>
      <c r="AK37" s="15">
        <f t="shared" si="13"/>
        <v>295517.7</v>
      </c>
      <c r="AL37" s="15">
        <f t="shared" si="14"/>
        <v>293098.89999999997</v>
      </c>
      <c r="AM37" s="15"/>
      <c r="AN37" s="15"/>
      <c r="AO37" s="15">
        <f t="shared" si="15"/>
        <v>310967.86599999998</v>
      </c>
      <c r="AP37" s="15">
        <f t="shared" si="16"/>
        <v>295517.7</v>
      </c>
      <c r="AQ37" s="15">
        <v>-275</v>
      </c>
      <c r="AR37" s="15">
        <f t="shared" si="17"/>
        <v>310692.86599999998</v>
      </c>
      <c r="AS37" s="15"/>
      <c r="AT37" s="10"/>
    </row>
    <row r="38" spans="1:46" s="11" customFormat="1" x14ac:dyDescent="0.25">
      <c r="A38" s="7" t="s">
        <v>18</v>
      </c>
      <c r="B38" s="7" t="s">
        <v>9</v>
      </c>
      <c r="C38" s="8" t="s">
        <v>43</v>
      </c>
      <c r="D38" s="9">
        <f>SUM(D39:D40)</f>
        <v>42744.800000000003</v>
      </c>
      <c r="E38" s="9">
        <f t="shared" si="18"/>
        <v>-1013.2000000000044</v>
      </c>
      <c r="F38" s="9">
        <f>SUM(F39:F40)</f>
        <v>41731.599999999999</v>
      </c>
      <c r="G38" s="9">
        <f>SUM(G39:G40)</f>
        <v>42502.1</v>
      </c>
      <c r="H38" s="9">
        <f t="shared" si="19"/>
        <v>-932.29999999999563</v>
      </c>
      <c r="I38" s="9">
        <f>SUM(I39:I40)</f>
        <v>41569.800000000003</v>
      </c>
      <c r="J38" s="9">
        <f>SUM(J39:J40)</f>
        <v>42011.1</v>
      </c>
      <c r="K38" s="9">
        <f>SUM(K39:K40)</f>
        <v>2283.4</v>
      </c>
      <c r="L38" s="9">
        <f>SUM(L39:L40)</f>
        <v>2283.4</v>
      </c>
      <c r="M38" s="9">
        <f>SUM(M39:M40)</f>
        <v>2287.4</v>
      </c>
      <c r="N38" s="9">
        <f t="shared" si="0"/>
        <v>1270.1999999999971</v>
      </c>
      <c r="O38" s="9">
        <f t="shared" si="1"/>
        <v>44015</v>
      </c>
      <c r="P38" s="9">
        <f t="shared" si="2"/>
        <v>1351.1000000000058</v>
      </c>
      <c r="Q38" s="9">
        <f t="shared" si="3"/>
        <v>43853.200000000004</v>
      </c>
      <c r="R38" s="9">
        <f t="shared" si="4"/>
        <v>44298.5</v>
      </c>
      <c r="S38" s="9">
        <f>SUM(S39:S40)</f>
        <v>0</v>
      </c>
      <c r="T38" s="9">
        <f>SUM(T39:T40)</f>
        <v>0</v>
      </c>
      <c r="U38" s="9">
        <f>SUM(U39:U40)</f>
        <v>0</v>
      </c>
      <c r="V38" s="9">
        <f t="shared" si="5"/>
        <v>44015</v>
      </c>
      <c r="W38" s="9">
        <f t="shared" si="6"/>
        <v>43853.200000000004</v>
      </c>
      <c r="X38" s="9">
        <f t="shared" si="7"/>
        <v>44298.5</v>
      </c>
      <c r="Y38" s="9">
        <f>SUM(Y39:Y40)</f>
        <v>0</v>
      </c>
      <c r="Z38" s="9">
        <f>SUM(Z39:Z40)</f>
        <v>0</v>
      </c>
      <c r="AA38" s="9">
        <f>SUM(AA39:AA40)</f>
        <v>0</v>
      </c>
      <c r="AB38" s="9">
        <f t="shared" si="8"/>
        <v>44015</v>
      </c>
      <c r="AC38" s="9">
        <f t="shared" si="9"/>
        <v>43853.200000000004</v>
      </c>
      <c r="AD38" s="9">
        <f t="shared" si="10"/>
        <v>44298.5</v>
      </c>
      <c r="AE38" s="9">
        <f>SUM(AE39:AE40)</f>
        <v>0</v>
      </c>
      <c r="AF38" s="9">
        <f t="shared" si="11"/>
        <v>44015</v>
      </c>
      <c r="AG38" s="9">
        <f>SUM(AG39:AG40)</f>
        <v>4102.8130000000001</v>
      </c>
      <c r="AH38" s="9">
        <f>SUM(AH39:AH40)</f>
        <v>0</v>
      </c>
      <c r="AI38" s="9">
        <f>SUM(AI39:AI40)</f>
        <v>0</v>
      </c>
      <c r="AJ38" s="9">
        <f t="shared" si="12"/>
        <v>48117.813000000002</v>
      </c>
      <c r="AK38" s="9">
        <f t="shared" si="13"/>
        <v>43853.200000000004</v>
      </c>
      <c r="AL38" s="9">
        <f t="shared" si="14"/>
        <v>44298.5</v>
      </c>
      <c r="AM38" s="9">
        <f>SUM(AM39:AM40)</f>
        <v>0</v>
      </c>
      <c r="AN38" s="9">
        <f>SUM(AN39:AN40)</f>
        <v>0</v>
      </c>
      <c r="AO38" s="9">
        <f t="shared" si="15"/>
        <v>48117.813000000002</v>
      </c>
      <c r="AP38" s="9">
        <f t="shared" si="16"/>
        <v>43853.200000000004</v>
      </c>
      <c r="AQ38" s="9">
        <f>SUM(AQ39:AQ40)</f>
        <v>-2653.6089999999999</v>
      </c>
      <c r="AR38" s="9">
        <f t="shared" si="17"/>
        <v>45464.204000000005</v>
      </c>
      <c r="AS38" s="9">
        <f>SUM(AS39:AS40)</f>
        <v>0</v>
      </c>
      <c r="AT38" s="10"/>
    </row>
    <row r="39" spans="1:46" ht="31.5" x14ac:dyDescent="0.25">
      <c r="A39" s="12" t="s">
        <v>18</v>
      </c>
      <c r="B39" s="13" t="s">
        <v>13</v>
      </c>
      <c r="C39" s="14" t="s">
        <v>44</v>
      </c>
      <c r="D39" s="15">
        <v>33132</v>
      </c>
      <c r="E39" s="15">
        <f t="shared" si="18"/>
        <v>-1904.5</v>
      </c>
      <c r="F39" s="15">
        <v>31227.5</v>
      </c>
      <c r="G39" s="15">
        <v>32838.1</v>
      </c>
      <c r="H39" s="15">
        <f t="shared" si="19"/>
        <v>-1762.6999999999971</v>
      </c>
      <c r="I39" s="15">
        <v>31075.4</v>
      </c>
      <c r="J39" s="15">
        <v>31492.799999999999</v>
      </c>
      <c r="K39" s="15"/>
      <c r="L39" s="15"/>
      <c r="M39" s="15"/>
      <c r="N39" s="15">
        <f t="shared" si="0"/>
        <v>-1904.5</v>
      </c>
      <c r="O39" s="15">
        <f t="shared" si="1"/>
        <v>31227.5</v>
      </c>
      <c r="P39" s="15">
        <f t="shared" si="2"/>
        <v>-1762.6999999999971</v>
      </c>
      <c r="Q39" s="15">
        <f t="shared" si="3"/>
        <v>31075.4</v>
      </c>
      <c r="R39" s="15">
        <f t="shared" si="4"/>
        <v>31492.799999999999</v>
      </c>
      <c r="S39" s="15"/>
      <c r="T39" s="15"/>
      <c r="U39" s="15"/>
      <c r="V39" s="15">
        <f t="shared" si="5"/>
        <v>31227.5</v>
      </c>
      <c r="W39" s="15">
        <f t="shared" si="6"/>
        <v>31075.4</v>
      </c>
      <c r="X39" s="15">
        <f t="shared" si="7"/>
        <v>31492.799999999999</v>
      </c>
      <c r="Y39" s="15"/>
      <c r="Z39" s="15"/>
      <c r="AA39" s="15"/>
      <c r="AB39" s="15">
        <f t="shared" si="8"/>
        <v>31227.5</v>
      </c>
      <c r="AC39" s="15">
        <f t="shared" si="9"/>
        <v>31075.4</v>
      </c>
      <c r="AD39" s="15">
        <f t="shared" si="10"/>
        <v>31492.799999999999</v>
      </c>
      <c r="AE39" s="15"/>
      <c r="AF39" s="15">
        <f t="shared" si="11"/>
        <v>31227.5</v>
      </c>
      <c r="AG39" s="15">
        <f>3902.813+200</f>
        <v>4102.8130000000001</v>
      </c>
      <c r="AH39" s="15"/>
      <c r="AI39" s="15"/>
      <c r="AJ39" s="15">
        <f t="shared" si="12"/>
        <v>35330.313000000002</v>
      </c>
      <c r="AK39" s="15">
        <f t="shared" si="13"/>
        <v>31075.4</v>
      </c>
      <c r="AL39" s="15">
        <f t="shared" si="14"/>
        <v>31492.799999999999</v>
      </c>
      <c r="AM39" s="15"/>
      <c r="AN39" s="15"/>
      <c r="AO39" s="15">
        <f t="shared" si="15"/>
        <v>35330.313000000002</v>
      </c>
      <c r="AP39" s="15">
        <f t="shared" si="16"/>
        <v>31075.4</v>
      </c>
      <c r="AQ39" s="15">
        <f>-2444.229-209.38</f>
        <v>-2653.6089999999999</v>
      </c>
      <c r="AR39" s="15">
        <f t="shared" si="17"/>
        <v>32676.704000000002</v>
      </c>
      <c r="AS39" s="15"/>
      <c r="AT39" s="10"/>
    </row>
    <row r="40" spans="1:46" x14ac:dyDescent="0.25">
      <c r="A40" s="12" t="s">
        <v>18</v>
      </c>
      <c r="B40" s="13" t="s">
        <v>17</v>
      </c>
      <c r="C40" s="14" t="s">
        <v>45</v>
      </c>
      <c r="D40" s="15">
        <v>9612.7999999999993</v>
      </c>
      <c r="E40" s="15">
        <f t="shared" si="18"/>
        <v>891.30000000000109</v>
      </c>
      <c r="F40" s="15">
        <v>10504.1</v>
      </c>
      <c r="G40" s="15">
        <v>9664</v>
      </c>
      <c r="H40" s="15">
        <f t="shared" si="19"/>
        <v>830.39999999999964</v>
      </c>
      <c r="I40" s="15">
        <v>10494.4</v>
      </c>
      <c r="J40" s="15">
        <v>10518.3</v>
      </c>
      <c r="K40" s="15">
        <f>2105.4+168+10</f>
        <v>2283.4</v>
      </c>
      <c r="L40" s="15">
        <f>2105.4+168+10</f>
        <v>2283.4</v>
      </c>
      <c r="M40" s="15">
        <f>2105.4+172+10</f>
        <v>2287.4</v>
      </c>
      <c r="N40" s="15">
        <f t="shared" si="0"/>
        <v>3174.7000000000007</v>
      </c>
      <c r="O40" s="15">
        <f t="shared" si="1"/>
        <v>12787.5</v>
      </c>
      <c r="P40" s="15">
        <f t="shared" si="2"/>
        <v>3113.7999999999993</v>
      </c>
      <c r="Q40" s="15">
        <f t="shared" si="3"/>
        <v>12777.8</v>
      </c>
      <c r="R40" s="15">
        <f t="shared" si="4"/>
        <v>12805.699999999999</v>
      </c>
      <c r="S40" s="15"/>
      <c r="T40" s="15"/>
      <c r="U40" s="15"/>
      <c r="V40" s="15">
        <f t="shared" si="5"/>
        <v>12787.5</v>
      </c>
      <c r="W40" s="15">
        <f t="shared" si="6"/>
        <v>12777.8</v>
      </c>
      <c r="X40" s="15">
        <f t="shared" si="7"/>
        <v>12805.699999999999</v>
      </c>
      <c r="Y40" s="15"/>
      <c r="Z40" s="15"/>
      <c r="AA40" s="15"/>
      <c r="AB40" s="15">
        <f t="shared" si="8"/>
        <v>12787.5</v>
      </c>
      <c r="AC40" s="15">
        <f t="shared" si="9"/>
        <v>12777.8</v>
      </c>
      <c r="AD40" s="15">
        <f t="shared" si="10"/>
        <v>12805.699999999999</v>
      </c>
      <c r="AE40" s="15"/>
      <c r="AF40" s="15">
        <f t="shared" si="11"/>
        <v>12787.5</v>
      </c>
      <c r="AG40" s="15"/>
      <c r="AH40" s="15"/>
      <c r="AI40" s="15"/>
      <c r="AJ40" s="15">
        <f t="shared" si="12"/>
        <v>12787.5</v>
      </c>
      <c r="AK40" s="15">
        <f t="shared" si="13"/>
        <v>12777.8</v>
      </c>
      <c r="AL40" s="15">
        <f t="shared" si="14"/>
        <v>12805.699999999999</v>
      </c>
      <c r="AM40" s="15"/>
      <c r="AN40" s="15"/>
      <c r="AO40" s="15">
        <f t="shared" si="15"/>
        <v>12787.5</v>
      </c>
      <c r="AP40" s="15">
        <f t="shared" si="16"/>
        <v>12777.8</v>
      </c>
      <c r="AQ40" s="15"/>
      <c r="AR40" s="15">
        <f t="shared" si="17"/>
        <v>12787.5</v>
      </c>
      <c r="AS40" s="15"/>
      <c r="AT40" s="10"/>
    </row>
    <row r="41" spans="1:46" s="11" customFormat="1" x14ac:dyDescent="0.25">
      <c r="A41" s="7" t="s">
        <v>20</v>
      </c>
      <c r="B41" s="7" t="s">
        <v>9</v>
      </c>
      <c r="C41" s="18" t="s">
        <v>46</v>
      </c>
      <c r="D41" s="9">
        <f>SUM(D42:D45)</f>
        <v>8261993.2149999999</v>
      </c>
      <c r="E41" s="9">
        <f t="shared" si="18"/>
        <v>1511529.4850000013</v>
      </c>
      <c r="F41" s="9">
        <f>SUM(F42:F45)</f>
        <v>9773522.7000000011</v>
      </c>
      <c r="G41" s="9">
        <f>SUM(G42:G45)</f>
        <v>8143054.7869999995</v>
      </c>
      <c r="H41" s="9">
        <f t="shared" si="19"/>
        <v>1851326.3130000001</v>
      </c>
      <c r="I41" s="9">
        <f>SUM(I42:I45)</f>
        <v>9994381.0999999996</v>
      </c>
      <c r="J41" s="9">
        <f>SUM(J42:J45)</f>
        <v>10623796</v>
      </c>
      <c r="K41" s="9">
        <f>SUM(K42:K45)</f>
        <v>63872.2</v>
      </c>
      <c r="L41" s="9">
        <f>SUM(L42:L45)</f>
        <v>-3578.1000000000004</v>
      </c>
      <c r="M41" s="9">
        <f>SUM(M42:M45)</f>
        <v>-2697.9000000000005</v>
      </c>
      <c r="N41" s="9">
        <f t="shared" si="0"/>
        <v>1575401.6850000005</v>
      </c>
      <c r="O41" s="9">
        <f t="shared" si="1"/>
        <v>9837394.9000000004</v>
      </c>
      <c r="P41" s="9">
        <f t="shared" si="2"/>
        <v>1847748.2130000005</v>
      </c>
      <c r="Q41" s="9">
        <f t="shared" si="3"/>
        <v>9990803</v>
      </c>
      <c r="R41" s="9">
        <f t="shared" si="4"/>
        <v>10621098.1</v>
      </c>
      <c r="S41" s="9">
        <f>SUM(S42:S45)</f>
        <v>-712</v>
      </c>
      <c r="T41" s="9">
        <f>SUM(T42:T45)</f>
        <v>0</v>
      </c>
      <c r="U41" s="9">
        <f>SUM(U42:U45)</f>
        <v>0</v>
      </c>
      <c r="V41" s="9">
        <f t="shared" si="5"/>
        <v>9836682.9000000004</v>
      </c>
      <c r="W41" s="9">
        <f t="shared" si="6"/>
        <v>9990803</v>
      </c>
      <c r="X41" s="9">
        <f t="shared" si="7"/>
        <v>10621098.1</v>
      </c>
      <c r="Y41" s="9">
        <f>SUM(Y42:Y45)</f>
        <v>0</v>
      </c>
      <c r="Z41" s="9">
        <f>SUM(Z42:Z45)</f>
        <v>0</v>
      </c>
      <c r="AA41" s="9">
        <f>SUM(AA42:AA45)</f>
        <v>0</v>
      </c>
      <c r="AB41" s="9">
        <f t="shared" si="8"/>
        <v>9836682.9000000004</v>
      </c>
      <c r="AC41" s="9">
        <f t="shared" si="9"/>
        <v>9990803</v>
      </c>
      <c r="AD41" s="9">
        <f t="shared" si="10"/>
        <v>10621098.1</v>
      </c>
      <c r="AE41" s="9">
        <f>SUM(AE42:AE45)</f>
        <v>0</v>
      </c>
      <c r="AF41" s="9">
        <f t="shared" si="11"/>
        <v>9836682.9000000004</v>
      </c>
      <c r="AG41" s="9">
        <f>SUM(AG42:AG45)</f>
        <v>217561.98800000001</v>
      </c>
      <c r="AH41" s="9">
        <f>SUM(AH42:AH45)</f>
        <v>16373.4</v>
      </c>
      <c r="AI41" s="9">
        <f>SUM(AI42:AI45)</f>
        <v>16832.400000000001</v>
      </c>
      <c r="AJ41" s="9">
        <f t="shared" si="12"/>
        <v>10054244.888</v>
      </c>
      <c r="AK41" s="9">
        <f t="shared" si="13"/>
        <v>10007176.4</v>
      </c>
      <c r="AL41" s="9">
        <f t="shared" si="14"/>
        <v>10637930.5</v>
      </c>
      <c r="AM41" s="9">
        <f>SUM(AM42:AM45)</f>
        <v>219662.20800000001</v>
      </c>
      <c r="AN41" s="9">
        <f>SUM(AN42:AN45)</f>
        <v>0</v>
      </c>
      <c r="AO41" s="9">
        <f t="shared" si="15"/>
        <v>10273907.096000001</v>
      </c>
      <c r="AP41" s="9">
        <f t="shared" si="16"/>
        <v>10007176.4</v>
      </c>
      <c r="AQ41" s="9">
        <f>SUM(AQ42:AQ45)</f>
        <v>-206.858</v>
      </c>
      <c r="AR41" s="9">
        <f t="shared" si="17"/>
        <v>10273700.238000002</v>
      </c>
      <c r="AS41" s="9">
        <f>SUM(AS42:AS45)</f>
        <v>0</v>
      </c>
      <c r="AT41" s="10"/>
    </row>
    <row r="42" spans="1:46" x14ac:dyDescent="0.25">
      <c r="A42" s="12" t="s">
        <v>20</v>
      </c>
      <c r="B42" s="13" t="s">
        <v>8</v>
      </c>
      <c r="C42" s="14" t="s">
        <v>47</v>
      </c>
      <c r="D42" s="15">
        <f>2597020+100000</f>
        <v>2697020</v>
      </c>
      <c r="E42" s="15">
        <f t="shared" si="18"/>
        <v>472709.60000000009</v>
      </c>
      <c r="F42" s="15">
        <v>3169729.6</v>
      </c>
      <c r="G42" s="15">
        <v>2671102.5</v>
      </c>
      <c r="H42" s="15">
        <f t="shared" si="19"/>
        <v>774504.10000000009</v>
      </c>
      <c r="I42" s="15">
        <v>3445606.6</v>
      </c>
      <c r="J42" s="15">
        <v>4049903.9</v>
      </c>
      <c r="K42" s="15">
        <f>-8000-4279.4+205500+165.7+170</f>
        <v>193556.30000000002</v>
      </c>
      <c r="L42" s="15">
        <f>-20026-4274.1+297.7+305.4</f>
        <v>-23696.999999999996</v>
      </c>
      <c r="M42" s="15">
        <f>-4300.8+359+368.3</f>
        <v>-3573.5</v>
      </c>
      <c r="N42" s="15">
        <f t="shared" si="0"/>
        <v>666265.89999999991</v>
      </c>
      <c r="O42" s="15">
        <f t="shared" si="1"/>
        <v>3363285.9</v>
      </c>
      <c r="P42" s="15">
        <f t="shared" si="2"/>
        <v>750807.10000000009</v>
      </c>
      <c r="Q42" s="15">
        <f t="shared" si="3"/>
        <v>3421909.6</v>
      </c>
      <c r="R42" s="15">
        <f t="shared" si="4"/>
        <v>4046330.4</v>
      </c>
      <c r="S42" s="15"/>
      <c r="T42" s="15"/>
      <c r="U42" s="15"/>
      <c r="V42" s="15">
        <f t="shared" si="5"/>
        <v>3363285.9</v>
      </c>
      <c r="W42" s="15">
        <f t="shared" si="6"/>
        <v>3421909.6</v>
      </c>
      <c r="X42" s="15">
        <f t="shared" si="7"/>
        <v>4046330.4</v>
      </c>
      <c r="Y42" s="15"/>
      <c r="Z42" s="15"/>
      <c r="AA42" s="15"/>
      <c r="AB42" s="15">
        <f t="shared" si="8"/>
        <v>3363285.9</v>
      </c>
      <c r="AC42" s="15">
        <f t="shared" si="9"/>
        <v>3421909.6</v>
      </c>
      <c r="AD42" s="15">
        <f t="shared" si="10"/>
        <v>4046330.4</v>
      </c>
      <c r="AE42" s="15"/>
      <c r="AF42" s="15">
        <f t="shared" si="11"/>
        <v>3363285.9</v>
      </c>
      <c r="AG42" s="15">
        <f>579.799+5985.5+7939.784</f>
        <v>14505.082999999999</v>
      </c>
      <c r="AH42" s="15"/>
      <c r="AI42" s="15"/>
      <c r="AJ42" s="15">
        <f t="shared" si="12"/>
        <v>3377790.983</v>
      </c>
      <c r="AK42" s="15">
        <f t="shared" si="13"/>
        <v>3421909.6</v>
      </c>
      <c r="AL42" s="15">
        <f t="shared" si="14"/>
        <v>4046330.4</v>
      </c>
      <c r="AM42" s="15">
        <v>219662.20800000001</v>
      </c>
      <c r="AN42" s="15"/>
      <c r="AO42" s="15">
        <f t="shared" si="15"/>
        <v>3597453.1910000001</v>
      </c>
      <c r="AP42" s="15">
        <f t="shared" si="16"/>
        <v>3421909.6</v>
      </c>
      <c r="AQ42" s="15"/>
      <c r="AR42" s="15">
        <f t="shared" si="17"/>
        <v>3597453.1910000001</v>
      </c>
      <c r="AS42" s="15"/>
      <c r="AT42" s="10"/>
    </row>
    <row r="43" spans="1:46" x14ac:dyDescent="0.25">
      <c r="A43" s="12" t="s">
        <v>20</v>
      </c>
      <c r="B43" s="13" t="s">
        <v>11</v>
      </c>
      <c r="C43" s="14" t="s">
        <v>48</v>
      </c>
      <c r="D43" s="15">
        <v>5205441.6149999993</v>
      </c>
      <c r="E43" s="15">
        <f t="shared" si="18"/>
        <v>961233.68500000052</v>
      </c>
      <c r="F43" s="15">
        <v>6166675.2999999998</v>
      </c>
      <c r="G43" s="15">
        <v>5126560.3870000001</v>
      </c>
      <c r="H43" s="15">
        <f t="shared" si="19"/>
        <v>908850.51300000027</v>
      </c>
      <c r="I43" s="15">
        <v>6035410.9000000004</v>
      </c>
      <c r="J43" s="15">
        <v>6076167.5</v>
      </c>
      <c r="K43" s="15">
        <f>1500+70000+4279.4-205500+353.5+119.9+59.1-1797.8-5220.4</f>
        <v>-136206.30000000002</v>
      </c>
      <c r="L43" s="15">
        <f>20026+4274.1+635.1+54.1+33.7-3527.2</f>
        <v>21495.799999999996</v>
      </c>
      <c r="M43" s="15">
        <f>4300.8+765.9+374.7+186.2-3418</f>
        <v>2209.5999999999995</v>
      </c>
      <c r="N43" s="15">
        <f t="shared" si="0"/>
        <v>825027.38500000071</v>
      </c>
      <c r="O43" s="15">
        <f t="shared" si="1"/>
        <v>6030469</v>
      </c>
      <c r="P43" s="15">
        <f t="shared" si="2"/>
        <v>930346.31300000008</v>
      </c>
      <c r="Q43" s="15">
        <f t="shared" si="3"/>
        <v>6056906.7000000002</v>
      </c>
      <c r="R43" s="15">
        <f t="shared" si="4"/>
        <v>6078377.0999999996</v>
      </c>
      <c r="S43" s="15">
        <f>-712</f>
        <v>-712</v>
      </c>
      <c r="T43" s="15"/>
      <c r="U43" s="15"/>
      <c r="V43" s="15">
        <f t="shared" si="5"/>
        <v>6029757</v>
      </c>
      <c r="W43" s="15">
        <f t="shared" si="6"/>
        <v>6056906.7000000002</v>
      </c>
      <c r="X43" s="15">
        <f t="shared" si="7"/>
        <v>6078377.0999999996</v>
      </c>
      <c r="Y43" s="15"/>
      <c r="Z43" s="15"/>
      <c r="AA43" s="15"/>
      <c r="AB43" s="15">
        <f t="shared" si="8"/>
        <v>6029757</v>
      </c>
      <c r="AC43" s="15">
        <f t="shared" si="9"/>
        <v>6056906.7000000002</v>
      </c>
      <c r="AD43" s="15">
        <f t="shared" si="10"/>
        <v>6078377.0999999996</v>
      </c>
      <c r="AE43" s="15"/>
      <c r="AF43" s="15">
        <f t="shared" si="11"/>
        <v>6029757</v>
      </c>
      <c r="AG43" s="15">
        <f>14468.866+55892.234+2811.2+1349.3+49377.546+216.561+4584.016+210+1659.622+1350.762+2658.733+8136.241+30082.074+26200+4059.75</f>
        <v>203056.905</v>
      </c>
      <c r="AH43" s="15">
        <f>14491+1882.4</f>
        <v>16373.4</v>
      </c>
      <c r="AI43" s="15">
        <f>15058.9+1773.5</f>
        <v>16832.400000000001</v>
      </c>
      <c r="AJ43" s="15">
        <f t="shared" si="12"/>
        <v>6232813.9050000003</v>
      </c>
      <c r="AK43" s="15">
        <f t="shared" si="13"/>
        <v>6073280.1000000006</v>
      </c>
      <c r="AL43" s="15">
        <f t="shared" si="14"/>
        <v>6095209.5</v>
      </c>
      <c r="AM43" s="15"/>
      <c r="AN43" s="15"/>
      <c r="AO43" s="15">
        <f t="shared" si="15"/>
        <v>6232813.9050000003</v>
      </c>
      <c r="AP43" s="15">
        <f t="shared" si="16"/>
        <v>6073280.1000000006</v>
      </c>
      <c r="AQ43" s="15">
        <v>-206.858</v>
      </c>
      <c r="AR43" s="15">
        <f t="shared" si="17"/>
        <v>6232607.0470000003</v>
      </c>
      <c r="AS43" s="15"/>
      <c r="AT43" s="10"/>
    </row>
    <row r="44" spans="1:46" x14ac:dyDescent="0.25">
      <c r="A44" s="12" t="s">
        <v>20</v>
      </c>
      <c r="B44" s="13" t="s">
        <v>20</v>
      </c>
      <c r="C44" s="14" t="s">
        <v>49</v>
      </c>
      <c r="D44" s="15">
        <f>196679.8-4103.9</f>
        <v>192575.9</v>
      </c>
      <c r="E44" s="15">
        <f t="shared" si="18"/>
        <v>25973.399999999994</v>
      </c>
      <c r="F44" s="15">
        <v>218549.3</v>
      </c>
      <c r="G44" s="15">
        <f>200423.6-4120.5</f>
        <v>196303.1</v>
      </c>
      <c r="H44" s="15">
        <f t="shared" si="19"/>
        <v>23071</v>
      </c>
      <c r="I44" s="15">
        <v>219374.1</v>
      </c>
      <c r="J44" s="15">
        <v>221523.20000000001</v>
      </c>
      <c r="K44" s="15">
        <v>127.5</v>
      </c>
      <c r="L44" s="15">
        <v>228.4</v>
      </c>
      <c r="M44" s="15">
        <v>275.3</v>
      </c>
      <c r="N44" s="15">
        <f t="shared" si="0"/>
        <v>26100.899999999994</v>
      </c>
      <c r="O44" s="15">
        <f t="shared" si="1"/>
        <v>218676.8</v>
      </c>
      <c r="P44" s="15">
        <f t="shared" si="2"/>
        <v>23299.399999999994</v>
      </c>
      <c r="Q44" s="15">
        <f t="shared" si="3"/>
        <v>219602.5</v>
      </c>
      <c r="R44" s="15">
        <f t="shared" si="4"/>
        <v>221798.5</v>
      </c>
      <c r="S44" s="15"/>
      <c r="T44" s="15"/>
      <c r="U44" s="15"/>
      <c r="V44" s="15">
        <f t="shared" si="5"/>
        <v>218676.8</v>
      </c>
      <c r="W44" s="15">
        <f t="shared" si="6"/>
        <v>219602.5</v>
      </c>
      <c r="X44" s="15">
        <f t="shared" si="7"/>
        <v>221798.5</v>
      </c>
      <c r="Y44" s="15"/>
      <c r="Z44" s="15"/>
      <c r="AA44" s="15"/>
      <c r="AB44" s="15">
        <f t="shared" si="8"/>
        <v>218676.8</v>
      </c>
      <c r="AC44" s="15">
        <f t="shared" si="9"/>
        <v>219602.5</v>
      </c>
      <c r="AD44" s="15">
        <f t="shared" si="10"/>
        <v>221798.5</v>
      </c>
      <c r="AE44" s="15"/>
      <c r="AF44" s="15">
        <f t="shared" si="11"/>
        <v>218676.8</v>
      </c>
      <c r="AG44" s="15"/>
      <c r="AH44" s="15"/>
      <c r="AI44" s="15"/>
      <c r="AJ44" s="15">
        <f t="shared" si="12"/>
        <v>218676.8</v>
      </c>
      <c r="AK44" s="15">
        <f t="shared" si="13"/>
        <v>219602.5</v>
      </c>
      <c r="AL44" s="15">
        <f t="shared" si="14"/>
        <v>221798.5</v>
      </c>
      <c r="AM44" s="15"/>
      <c r="AN44" s="15"/>
      <c r="AO44" s="15">
        <f t="shared" si="15"/>
        <v>218676.8</v>
      </c>
      <c r="AP44" s="15">
        <f t="shared" si="16"/>
        <v>219602.5</v>
      </c>
      <c r="AQ44" s="15"/>
      <c r="AR44" s="15">
        <f t="shared" si="17"/>
        <v>218676.8</v>
      </c>
      <c r="AS44" s="15"/>
      <c r="AT44" s="10"/>
    </row>
    <row r="45" spans="1:46" x14ac:dyDescent="0.25">
      <c r="A45" s="12" t="s">
        <v>20</v>
      </c>
      <c r="B45" s="13" t="s">
        <v>27</v>
      </c>
      <c r="C45" s="14" t="s">
        <v>50</v>
      </c>
      <c r="D45" s="15">
        <v>166955.70000000001</v>
      </c>
      <c r="E45" s="15">
        <f t="shared" si="18"/>
        <v>51612.799999999988</v>
      </c>
      <c r="F45" s="15">
        <v>218568.5</v>
      </c>
      <c r="G45" s="15">
        <v>149088.80000000002</v>
      </c>
      <c r="H45" s="15">
        <f t="shared" si="19"/>
        <v>144900.69999999998</v>
      </c>
      <c r="I45" s="15">
        <v>293989.5</v>
      </c>
      <c r="J45" s="15">
        <v>276201.40000000002</v>
      </c>
      <c r="K45" s="15">
        <f>-1427.3-168-10+8000</f>
        <v>6394.7</v>
      </c>
      <c r="L45" s="15">
        <f>-1427.3-168-10</f>
        <v>-1605.3</v>
      </c>
      <c r="M45" s="15">
        <f>-1427.3-172-10</f>
        <v>-1609.3</v>
      </c>
      <c r="N45" s="15">
        <f t="shared" si="0"/>
        <v>58007.5</v>
      </c>
      <c r="O45" s="15">
        <f t="shared" si="1"/>
        <v>224963.20000000001</v>
      </c>
      <c r="P45" s="15">
        <f t="shared" si="2"/>
        <v>143295.4</v>
      </c>
      <c r="Q45" s="15">
        <f t="shared" si="3"/>
        <v>292384.2</v>
      </c>
      <c r="R45" s="15">
        <f t="shared" si="4"/>
        <v>274592.10000000003</v>
      </c>
      <c r="S45" s="15"/>
      <c r="T45" s="15"/>
      <c r="U45" s="15"/>
      <c r="V45" s="15">
        <f t="shared" si="5"/>
        <v>224963.20000000001</v>
      </c>
      <c r="W45" s="15">
        <f t="shared" si="6"/>
        <v>292384.2</v>
      </c>
      <c r="X45" s="15">
        <f t="shared" si="7"/>
        <v>274592.10000000003</v>
      </c>
      <c r="Y45" s="15"/>
      <c r="Z45" s="15"/>
      <c r="AA45" s="15"/>
      <c r="AB45" s="15">
        <f t="shared" si="8"/>
        <v>224963.20000000001</v>
      </c>
      <c r="AC45" s="15">
        <f t="shared" si="9"/>
        <v>292384.2</v>
      </c>
      <c r="AD45" s="15">
        <f t="shared" si="10"/>
        <v>274592.10000000003</v>
      </c>
      <c r="AE45" s="15"/>
      <c r="AF45" s="15">
        <f t="shared" si="11"/>
        <v>224963.20000000001</v>
      </c>
      <c r="AG45" s="15"/>
      <c r="AH45" s="15"/>
      <c r="AI45" s="15"/>
      <c r="AJ45" s="15">
        <f t="shared" si="12"/>
        <v>224963.20000000001</v>
      </c>
      <c r="AK45" s="15">
        <f t="shared" si="13"/>
        <v>292384.2</v>
      </c>
      <c r="AL45" s="15">
        <f t="shared" si="14"/>
        <v>274592.10000000003</v>
      </c>
      <c r="AM45" s="15"/>
      <c r="AN45" s="15"/>
      <c r="AO45" s="15">
        <f t="shared" si="15"/>
        <v>224963.20000000001</v>
      </c>
      <c r="AP45" s="15">
        <f t="shared" si="16"/>
        <v>292384.2</v>
      </c>
      <c r="AQ45" s="15"/>
      <c r="AR45" s="15">
        <f t="shared" si="17"/>
        <v>224963.20000000001</v>
      </c>
      <c r="AS45" s="15"/>
      <c r="AT45" s="10"/>
    </row>
    <row r="46" spans="1:46" s="11" customFormat="1" x14ac:dyDescent="0.25">
      <c r="A46" s="7" t="s">
        <v>33</v>
      </c>
      <c r="B46" s="7" t="s">
        <v>9</v>
      </c>
      <c r="C46" s="8" t="s">
        <v>51</v>
      </c>
      <c r="D46" s="9">
        <f>SUM(D47:D48)</f>
        <v>603427.69000000006</v>
      </c>
      <c r="E46" s="9">
        <f t="shared" si="18"/>
        <v>111616.20999999996</v>
      </c>
      <c r="F46" s="9">
        <f>SUM(F47:F48)</f>
        <v>715043.9</v>
      </c>
      <c r="G46" s="9">
        <f>SUM(G47:G48)</f>
        <v>611257.223</v>
      </c>
      <c r="H46" s="9">
        <f t="shared" si="19"/>
        <v>305777.277</v>
      </c>
      <c r="I46" s="9">
        <f>SUM(I47:I48)</f>
        <v>917034.5</v>
      </c>
      <c r="J46" s="9">
        <f>SUM(J47:J48)</f>
        <v>597761.20000000007</v>
      </c>
      <c r="K46" s="9">
        <f>SUM(K47:K48)</f>
        <v>-155334.29999999999</v>
      </c>
      <c r="L46" s="9">
        <f>SUM(L47:L48)</f>
        <v>-205888.99999999997</v>
      </c>
      <c r="M46" s="9">
        <f>SUM(M47:M48)</f>
        <v>-58467.3</v>
      </c>
      <c r="N46" s="9">
        <f t="shared" si="0"/>
        <v>-43718.089999999967</v>
      </c>
      <c r="O46" s="9">
        <f t="shared" si="1"/>
        <v>559709.60000000009</v>
      </c>
      <c r="P46" s="9">
        <f t="shared" si="2"/>
        <v>99888.277000000002</v>
      </c>
      <c r="Q46" s="9">
        <f t="shared" si="3"/>
        <v>711145.5</v>
      </c>
      <c r="R46" s="9">
        <f t="shared" si="4"/>
        <v>539293.9</v>
      </c>
      <c r="S46" s="9">
        <f>SUM(S47:S48)</f>
        <v>0</v>
      </c>
      <c r="T46" s="9">
        <f>SUM(T47:T48)</f>
        <v>0</v>
      </c>
      <c r="U46" s="9">
        <f>SUM(U47:U48)</f>
        <v>0</v>
      </c>
      <c r="V46" s="9">
        <f t="shared" si="5"/>
        <v>559709.60000000009</v>
      </c>
      <c r="W46" s="9">
        <f t="shared" si="6"/>
        <v>711145.5</v>
      </c>
      <c r="X46" s="9">
        <f t="shared" si="7"/>
        <v>539293.9</v>
      </c>
      <c r="Y46" s="9">
        <f>SUM(Y47:Y48)</f>
        <v>97508.880999999994</v>
      </c>
      <c r="Z46" s="9">
        <f>SUM(Z47:Z48)</f>
        <v>4092.1</v>
      </c>
      <c r="AA46" s="9">
        <f>SUM(AA47:AA48)</f>
        <v>4174</v>
      </c>
      <c r="AB46" s="9">
        <f t="shared" si="8"/>
        <v>657218.48100000015</v>
      </c>
      <c r="AC46" s="9">
        <f t="shared" si="9"/>
        <v>715237.6</v>
      </c>
      <c r="AD46" s="9">
        <f t="shared" si="10"/>
        <v>543467.9</v>
      </c>
      <c r="AE46" s="9">
        <f>SUM(AE47:AE48)</f>
        <v>2971.38</v>
      </c>
      <c r="AF46" s="9">
        <f t="shared" si="11"/>
        <v>660189.86100000015</v>
      </c>
      <c r="AG46" s="9">
        <f>SUM(AG47:AG48)</f>
        <v>26777.152000000006</v>
      </c>
      <c r="AH46" s="9">
        <f>SUM(AH47:AH48)</f>
        <v>0</v>
      </c>
      <c r="AI46" s="9">
        <f>SUM(AI47:AI48)</f>
        <v>0</v>
      </c>
      <c r="AJ46" s="9">
        <f t="shared" si="12"/>
        <v>686967.01300000015</v>
      </c>
      <c r="AK46" s="9">
        <f t="shared" si="13"/>
        <v>715237.6</v>
      </c>
      <c r="AL46" s="9">
        <f t="shared" si="14"/>
        <v>543467.9</v>
      </c>
      <c r="AM46" s="9">
        <f>SUM(AM47:AM48)</f>
        <v>-4362.43</v>
      </c>
      <c r="AN46" s="9">
        <f>SUM(AN47:AN48)</f>
        <v>0</v>
      </c>
      <c r="AO46" s="9">
        <f t="shared" si="15"/>
        <v>682604.5830000001</v>
      </c>
      <c r="AP46" s="9">
        <f t="shared" si="16"/>
        <v>715237.6</v>
      </c>
      <c r="AQ46" s="9">
        <f>SUM(AQ47:AQ48)</f>
        <v>0</v>
      </c>
      <c r="AR46" s="9">
        <f t="shared" si="17"/>
        <v>682604.5830000001</v>
      </c>
      <c r="AS46" s="9">
        <f>SUM(AS47:AS48)</f>
        <v>0</v>
      </c>
      <c r="AT46" s="10"/>
    </row>
    <row r="47" spans="1:46" x14ac:dyDescent="0.25">
      <c r="A47" s="12" t="s">
        <v>33</v>
      </c>
      <c r="B47" s="13" t="s">
        <v>8</v>
      </c>
      <c r="C47" s="14" t="s">
        <v>52</v>
      </c>
      <c r="D47" s="15">
        <v>588442.89</v>
      </c>
      <c r="E47" s="15">
        <f t="shared" si="18"/>
        <v>110179.01000000001</v>
      </c>
      <c r="F47" s="15">
        <v>698621.9</v>
      </c>
      <c r="G47" s="15">
        <v>596204.723</v>
      </c>
      <c r="H47" s="15">
        <f t="shared" si="19"/>
        <v>304407.17700000003</v>
      </c>
      <c r="I47" s="15">
        <v>900611.9</v>
      </c>
      <c r="J47" s="15">
        <v>581304.9</v>
      </c>
      <c r="K47" s="15">
        <f>1849.6+4150.4+2000+957.9+1000-9712.8-1.2-97670.4-58500+647.6+245.6+631+4.2+17.6+38.8+53.9+79.1+16.4</f>
        <v>-154192.29999999999</v>
      </c>
      <c r="L47" s="15">
        <f>-8878.7-1.2-30000-167601.3+647.6+245.6+631+4.2+17.6+38.8+53.9+79.1+16.4</f>
        <v>-204746.99999999997</v>
      </c>
      <c r="M47" s="15">
        <f>-9056.3-1.2-50000+647.6+245.6+631+4.2+17.6+38.8+53.9+79.1+16.4</f>
        <v>-57323.3</v>
      </c>
      <c r="N47" s="15">
        <f t="shared" si="0"/>
        <v>-44013.289999999921</v>
      </c>
      <c r="O47" s="15">
        <f t="shared" si="1"/>
        <v>544429.60000000009</v>
      </c>
      <c r="P47" s="15">
        <f t="shared" si="2"/>
        <v>99660.177000000025</v>
      </c>
      <c r="Q47" s="15">
        <f t="shared" si="3"/>
        <v>695864.9</v>
      </c>
      <c r="R47" s="15">
        <f t="shared" si="4"/>
        <v>523981.60000000003</v>
      </c>
      <c r="S47" s="15"/>
      <c r="T47" s="15"/>
      <c r="U47" s="15"/>
      <c r="V47" s="15">
        <f t="shared" si="5"/>
        <v>544429.60000000009</v>
      </c>
      <c r="W47" s="15">
        <f t="shared" si="6"/>
        <v>695864.9</v>
      </c>
      <c r="X47" s="15">
        <f t="shared" si="7"/>
        <v>523981.60000000003</v>
      </c>
      <c r="Y47" s="15">
        <f>4108.6+30449.292+62950.989</f>
        <v>97508.880999999994</v>
      </c>
      <c r="Z47" s="15">
        <v>4092.1</v>
      </c>
      <c r="AA47" s="15">
        <v>4174</v>
      </c>
      <c r="AB47" s="15">
        <f t="shared" si="8"/>
        <v>641938.48100000015</v>
      </c>
      <c r="AC47" s="15">
        <f t="shared" si="9"/>
        <v>699957</v>
      </c>
      <c r="AD47" s="15">
        <f t="shared" si="10"/>
        <v>528155.60000000009</v>
      </c>
      <c r="AE47" s="15">
        <f>2971.38</f>
        <v>2971.38</v>
      </c>
      <c r="AF47" s="15">
        <f t="shared" si="11"/>
        <v>644909.86100000015</v>
      </c>
      <c r="AG47" s="15">
        <f>13482.751+6689.9+3688.147+515.4+1000+1263.2+37.7+28.669+64.758+6.627</f>
        <v>26777.152000000006</v>
      </c>
      <c r="AH47" s="15"/>
      <c r="AI47" s="15"/>
      <c r="AJ47" s="15">
        <f t="shared" si="12"/>
        <v>671687.01300000015</v>
      </c>
      <c r="AK47" s="15">
        <f t="shared" si="13"/>
        <v>699957</v>
      </c>
      <c r="AL47" s="15">
        <f t="shared" si="14"/>
        <v>528155.60000000009</v>
      </c>
      <c r="AM47" s="15">
        <v>-4362.43</v>
      </c>
      <c r="AN47" s="15"/>
      <c r="AO47" s="15">
        <f t="shared" si="15"/>
        <v>667324.5830000001</v>
      </c>
      <c r="AP47" s="15">
        <f t="shared" si="16"/>
        <v>699957</v>
      </c>
      <c r="AQ47" s="15"/>
      <c r="AR47" s="15">
        <f t="shared" si="17"/>
        <v>667324.5830000001</v>
      </c>
      <c r="AS47" s="15"/>
      <c r="AT47" s="10"/>
    </row>
    <row r="48" spans="1:46" x14ac:dyDescent="0.25">
      <c r="A48" s="12" t="s">
        <v>33</v>
      </c>
      <c r="B48" s="13" t="s">
        <v>15</v>
      </c>
      <c r="C48" s="14" t="s">
        <v>53</v>
      </c>
      <c r="D48" s="15">
        <f>10880.9+4103.9</f>
        <v>14984.8</v>
      </c>
      <c r="E48" s="15">
        <f t="shared" si="18"/>
        <v>1437.2000000000007</v>
      </c>
      <c r="F48" s="15">
        <v>16422</v>
      </c>
      <c r="G48" s="15">
        <f>10932+4120.5</f>
        <v>15052.5</v>
      </c>
      <c r="H48" s="15">
        <f t="shared" si="19"/>
        <v>1370.0999999999985</v>
      </c>
      <c r="I48" s="15">
        <v>16422.599999999999</v>
      </c>
      <c r="J48" s="15">
        <v>16456.3</v>
      </c>
      <c r="K48" s="15">
        <f>-1053-89</f>
        <v>-1142</v>
      </c>
      <c r="L48" s="15">
        <f>-1053-89</f>
        <v>-1142</v>
      </c>
      <c r="M48" s="15">
        <f>-1053-91</f>
        <v>-1144</v>
      </c>
      <c r="N48" s="15">
        <f t="shared" si="0"/>
        <v>295.20000000000073</v>
      </c>
      <c r="O48" s="15">
        <f t="shared" si="1"/>
        <v>15280</v>
      </c>
      <c r="P48" s="15">
        <f t="shared" si="2"/>
        <v>228.09999999999854</v>
      </c>
      <c r="Q48" s="15">
        <f t="shared" si="3"/>
        <v>15280.599999999999</v>
      </c>
      <c r="R48" s="15">
        <f t="shared" si="4"/>
        <v>15312.3</v>
      </c>
      <c r="S48" s="15"/>
      <c r="T48" s="15"/>
      <c r="U48" s="15"/>
      <c r="V48" s="15">
        <f t="shared" si="5"/>
        <v>15280</v>
      </c>
      <c r="W48" s="15">
        <f t="shared" si="6"/>
        <v>15280.599999999999</v>
      </c>
      <c r="X48" s="15">
        <f t="shared" si="7"/>
        <v>15312.3</v>
      </c>
      <c r="Y48" s="15"/>
      <c r="Z48" s="15"/>
      <c r="AA48" s="15"/>
      <c r="AB48" s="15">
        <f t="shared" si="8"/>
        <v>15280</v>
      </c>
      <c r="AC48" s="15">
        <f t="shared" si="9"/>
        <v>15280.599999999999</v>
      </c>
      <c r="AD48" s="15">
        <f t="shared" si="10"/>
        <v>15312.3</v>
      </c>
      <c r="AE48" s="15"/>
      <c r="AF48" s="15">
        <f t="shared" si="11"/>
        <v>15280</v>
      </c>
      <c r="AG48" s="15"/>
      <c r="AH48" s="15"/>
      <c r="AI48" s="15"/>
      <c r="AJ48" s="15">
        <f t="shared" si="12"/>
        <v>15280</v>
      </c>
      <c r="AK48" s="15">
        <f t="shared" si="13"/>
        <v>15280.599999999999</v>
      </c>
      <c r="AL48" s="15">
        <f t="shared" si="14"/>
        <v>15312.3</v>
      </c>
      <c r="AM48" s="15"/>
      <c r="AN48" s="15"/>
      <c r="AO48" s="15">
        <f t="shared" si="15"/>
        <v>15280</v>
      </c>
      <c r="AP48" s="15">
        <f t="shared" si="16"/>
        <v>15280.599999999999</v>
      </c>
      <c r="AQ48" s="15"/>
      <c r="AR48" s="15">
        <f t="shared" si="17"/>
        <v>15280</v>
      </c>
      <c r="AS48" s="15"/>
      <c r="AT48" s="10"/>
    </row>
    <row r="49" spans="1:46" s="11" customFormat="1" x14ac:dyDescent="0.25">
      <c r="A49" s="7" t="s">
        <v>27</v>
      </c>
      <c r="B49" s="7" t="s">
        <v>9</v>
      </c>
      <c r="C49" s="8" t="s">
        <v>54</v>
      </c>
      <c r="D49" s="9">
        <f>SUM(D50:D54)</f>
        <v>1162118.4669999999</v>
      </c>
      <c r="E49" s="9">
        <f t="shared" si="18"/>
        <v>-212164.56699999992</v>
      </c>
      <c r="F49" s="9">
        <f>SUM(F50:F54)</f>
        <v>949953.9</v>
      </c>
      <c r="G49" s="9">
        <f>SUM(G50:G54)</f>
        <v>1183951.2470000002</v>
      </c>
      <c r="H49" s="9">
        <f t="shared" si="19"/>
        <v>-146167.44700000016</v>
      </c>
      <c r="I49" s="9">
        <f>SUM(I50:I54)</f>
        <v>1037783.8</v>
      </c>
      <c r="J49" s="9">
        <f>SUM(J50:J54)</f>
        <v>1125481.5</v>
      </c>
      <c r="K49" s="9">
        <f>SUM(K50:K54)</f>
        <v>0</v>
      </c>
      <c r="L49" s="9">
        <f>SUM(L50:L54)</f>
        <v>0</v>
      </c>
      <c r="M49" s="9">
        <f>SUM(M50:M54)</f>
        <v>0</v>
      </c>
      <c r="N49" s="9">
        <f t="shared" si="0"/>
        <v>-212164.56699999992</v>
      </c>
      <c r="O49" s="9">
        <f t="shared" si="1"/>
        <v>949953.9</v>
      </c>
      <c r="P49" s="9">
        <f t="shared" si="2"/>
        <v>-146167.44700000016</v>
      </c>
      <c r="Q49" s="9">
        <f t="shared" si="3"/>
        <v>1037783.8</v>
      </c>
      <c r="R49" s="9">
        <f t="shared" si="4"/>
        <v>1125481.5</v>
      </c>
      <c r="S49" s="9">
        <f>SUM(S50:S54)</f>
        <v>0</v>
      </c>
      <c r="T49" s="9">
        <f>SUM(T50:T54)</f>
        <v>0</v>
      </c>
      <c r="U49" s="9">
        <f>SUM(U50:U54)</f>
        <v>0</v>
      </c>
      <c r="V49" s="9">
        <f t="shared" si="5"/>
        <v>949953.9</v>
      </c>
      <c r="W49" s="9">
        <f t="shared" si="6"/>
        <v>1037783.8</v>
      </c>
      <c r="X49" s="9">
        <f t="shared" si="7"/>
        <v>1125481.5</v>
      </c>
      <c r="Y49" s="9">
        <f>SUM(Y50:Y54)</f>
        <v>0</v>
      </c>
      <c r="Z49" s="9">
        <f>SUM(Z50:Z54)</f>
        <v>0</v>
      </c>
      <c r="AA49" s="9">
        <f>SUM(AA50:AA54)</f>
        <v>0</v>
      </c>
      <c r="AB49" s="9">
        <f t="shared" si="8"/>
        <v>949953.9</v>
      </c>
      <c r="AC49" s="9">
        <f t="shared" si="9"/>
        <v>1037783.8</v>
      </c>
      <c r="AD49" s="9">
        <f t="shared" si="10"/>
        <v>1125481.5</v>
      </c>
      <c r="AE49" s="9">
        <f>SUM(AE50:AE54)</f>
        <v>0</v>
      </c>
      <c r="AF49" s="9">
        <f t="shared" si="11"/>
        <v>949953.9</v>
      </c>
      <c r="AG49" s="9">
        <f>SUM(AG50:AG54)</f>
        <v>100472.781</v>
      </c>
      <c r="AH49" s="9">
        <f>SUM(AH50:AH54)</f>
        <v>14490</v>
      </c>
      <c r="AI49" s="9">
        <f>SUM(AI50:AI54)</f>
        <v>15714.8</v>
      </c>
      <c r="AJ49" s="9">
        <f t="shared" si="12"/>
        <v>1050426.6810000001</v>
      </c>
      <c r="AK49" s="9">
        <f t="shared" si="13"/>
        <v>1052273.8</v>
      </c>
      <c r="AL49" s="9">
        <f t="shared" si="14"/>
        <v>1141196.3</v>
      </c>
      <c r="AM49" s="9">
        <f>SUM(AM50:AM54)</f>
        <v>0</v>
      </c>
      <c r="AN49" s="9">
        <f>SUM(AN50:AN54)</f>
        <v>0</v>
      </c>
      <c r="AO49" s="9">
        <f t="shared" si="15"/>
        <v>1050426.6810000001</v>
      </c>
      <c r="AP49" s="9">
        <f t="shared" si="16"/>
        <v>1052273.8</v>
      </c>
      <c r="AQ49" s="9">
        <f>SUM(AQ50:AQ54)</f>
        <v>0</v>
      </c>
      <c r="AR49" s="9">
        <f t="shared" si="17"/>
        <v>1050426.6810000001</v>
      </c>
      <c r="AS49" s="9">
        <f>SUM(AS50:AS54)</f>
        <v>0</v>
      </c>
      <c r="AT49" s="10"/>
    </row>
    <row r="50" spans="1:46" x14ac:dyDescent="0.25">
      <c r="A50" s="12" t="s">
        <v>27</v>
      </c>
      <c r="B50" s="13" t="s">
        <v>8</v>
      </c>
      <c r="C50" s="14" t="s">
        <v>55</v>
      </c>
      <c r="D50" s="15">
        <v>118584.71100000001</v>
      </c>
      <c r="E50" s="15">
        <f t="shared" si="18"/>
        <v>16151.78899999999</v>
      </c>
      <c r="F50" s="15">
        <v>134736.5</v>
      </c>
      <c r="G50" s="15">
        <v>118705.291</v>
      </c>
      <c r="H50" s="15">
        <f t="shared" si="19"/>
        <v>29138.309000000008</v>
      </c>
      <c r="I50" s="15">
        <v>147843.6</v>
      </c>
      <c r="J50" s="15">
        <v>160788.5</v>
      </c>
      <c r="K50" s="15"/>
      <c r="L50" s="15"/>
      <c r="M50" s="15"/>
      <c r="N50" s="15">
        <f t="shared" si="0"/>
        <v>16151.78899999999</v>
      </c>
      <c r="O50" s="15">
        <f t="shared" si="1"/>
        <v>134736.5</v>
      </c>
      <c r="P50" s="15">
        <f t="shared" si="2"/>
        <v>29138.309000000008</v>
      </c>
      <c r="Q50" s="15">
        <f t="shared" si="3"/>
        <v>147843.6</v>
      </c>
      <c r="R50" s="15">
        <f t="shared" si="4"/>
        <v>160788.5</v>
      </c>
      <c r="S50" s="15"/>
      <c r="T50" s="15"/>
      <c r="U50" s="15"/>
      <c r="V50" s="15">
        <f t="shared" si="5"/>
        <v>134736.5</v>
      </c>
      <c r="W50" s="15">
        <f t="shared" si="6"/>
        <v>147843.6</v>
      </c>
      <c r="X50" s="15">
        <f t="shared" si="7"/>
        <v>160788.5</v>
      </c>
      <c r="Y50" s="15"/>
      <c r="Z50" s="15"/>
      <c r="AA50" s="15"/>
      <c r="AB50" s="15">
        <f t="shared" si="8"/>
        <v>134736.5</v>
      </c>
      <c r="AC50" s="15">
        <f t="shared" si="9"/>
        <v>147843.6</v>
      </c>
      <c r="AD50" s="15">
        <f t="shared" si="10"/>
        <v>160788.5</v>
      </c>
      <c r="AE50" s="15"/>
      <c r="AF50" s="15">
        <f t="shared" si="11"/>
        <v>134736.5</v>
      </c>
      <c r="AG50" s="15"/>
      <c r="AH50" s="15">
        <f>4113.27</f>
        <v>4113.2700000000004</v>
      </c>
      <c r="AI50" s="15">
        <f>4864.07</f>
        <v>4864.07</v>
      </c>
      <c r="AJ50" s="15">
        <f t="shared" si="12"/>
        <v>134736.5</v>
      </c>
      <c r="AK50" s="15">
        <f t="shared" si="13"/>
        <v>151956.87</v>
      </c>
      <c r="AL50" s="15">
        <f t="shared" si="14"/>
        <v>165652.57</v>
      </c>
      <c r="AM50" s="15"/>
      <c r="AN50" s="15"/>
      <c r="AO50" s="15">
        <f t="shared" si="15"/>
        <v>134736.5</v>
      </c>
      <c r="AP50" s="15">
        <f t="shared" si="16"/>
        <v>151956.87</v>
      </c>
      <c r="AQ50" s="15"/>
      <c r="AR50" s="15">
        <f t="shared" si="17"/>
        <v>134736.5</v>
      </c>
      <c r="AS50" s="15"/>
      <c r="AT50" s="10"/>
    </row>
    <row r="51" spans="1:46" x14ac:dyDescent="0.25">
      <c r="A51" s="12" t="s">
        <v>27</v>
      </c>
      <c r="B51" s="13" t="s">
        <v>11</v>
      </c>
      <c r="C51" s="14" t="s">
        <v>56</v>
      </c>
      <c r="D51" s="15">
        <v>315940.43099999998</v>
      </c>
      <c r="E51" s="15">
        <f t="shared" si="18"/>
        <v>104784.26900000003</v>
      </c>
      <c r="F51" s="15">
        <v>420724.7</v>
      </c>
      <c r="G51" s="15">
        <v>315940.43099999998</v>
      </c>
      <c r="H51" s="15">
        <f t="shared" si="19"/>
        <v>140767.46900000004</v>
      </c>
      <c r="I51" s="15">
        <v>456707.9</v>
      </c>
      <c r="J51" s="15">
        <v>496290.7</v>
      </c>
      <c r="K51" s="15"/>
      <c r="L51" s="15"/>
      <c r="M51" s="15"/>
      <c r="N51" s="15">
        <f t="shared" si="0"/>
        <v>104784.26900000003</v>
      </c>
      <c r="O51" s="15">
        <f t="shared" si="1"/>
        <v>420724.7</v>
      </c>
      <c r="P51" s="15">
        <f t="shared" si="2"/>
        <v>140767.46900000004</v>
      </c>
      <c r="Q51" s="15">
        <f t="shared" si="3"/>
        <v>456707.9</v>
      </c>
      <c r="R51" s="15">
        <f t="shared" si="4"/>
        <v>496290.7</v>
      </c>
      <c r="S51" s="15"/>
      <c r="T51" s="15"/>
      <c r="U51" s="15"/>
      <c r="V51" s="15">
        <f t="shared" si="5"/>
        <v>420724.7</v>
      </c>
      <c r="W51" s="15">
        <f t="shared" si="6"/>
        <v>456707.9</v>
      </c>
      <c r="X51" s="15">
        <f t="shared" si="7"/>
        <v>496290.7</v>
      </c>
      <c r="Y51" s="15"/>
      <c r="Z51" s="15"/>
      <c r="AA51" s="15"/>
      <c r="AB51" s="15">
        <f t="shared" si="8"/>
        <v>420724.7</v>
      </c>
      <c r="AC51" s="15">
        <f t="shared" si="9"/>
        <v>456707.9</v>
      </c>
      <c r="AD51" s="15">
        <f t="shared" si="10"/>
        <v>496290.7</v>
      </c>
      <c r="AE51" s="15"/>
      <c r="AF51" s="15">
        <f t="shared" si="11"/>
        <v>420724.7</v>
      </c>
      <c r="AG51" s="15">
        <f>74410.948+15164.948+1790.692+404.25</f>
        <v>91770.838000000003</v>
      </c>
      <c r="AH51" s="15"/>
      <c r="AI51" s="15"/>
      <c r="AJ51" s="15">
        <f t="shared" si="12"/>
        <v>512495.538</v>
      </c>
      <c r="AK51" s="15">
        <f t="shared" si="13"/>
        <v>456707.9</v>
      </c>
      <c r="AL51" s="15">
        <f t="shared" si="14"/>
        <v>496290.7</v>
      </c>
      <c r="AM51" s="15"/>
      <c r="AN51" s="15"/>
      <c r="AO51" s="15">
        <f t="shared" si="15"/>
        <v>512495.538</v>
      </c>
      <c r="AP51" s="15">
        <f t="shared" si="16"/>
        <v>456707.9</v>
      </c>
      <c r="AQ51" s="15"/>
      <c r="AR51" s="15">
        <f t="shared" si="17"/>
        <v>512495.538</v>
      </c>
      <c r="AS51" s="15"/>
      <c r="AT51" s="10"/>
    </row>
    <row r="52" spans="1:46" x14ac:dyDescent="0.25">
      <c r="A52" s="12" t="s">
        <v>27</v>
      </c>
      <c r="B52" s="13" t="s">
        <v>15</v>
      </c>
      <c r="C52" s="14" t="s">
        <v>57</v>
      </c>
      <c r="D52" s="15">
        <v>523602.821</v>
      </c>
      <c r="E52" s="15">
        <f t="shared" si="18"/>
        <v>-292287.02100000001</v>
      </c>
      <c r="F52" s="15">
        <v>231315.8</v>
      </c>
      <c r="G52" s="15">
        <v>533868.63500000001</v>
      </c>
      <c r="H52" s="15">
        <f t="shared" si="19"/>
        <v>-280083.53500000003</v>
      </c>
      <c r="I52" s="15">
        <v>253785.1</v>
      </c>
      <c r="J52" s="15">
        <v>275812.7</v>
      </c>
      <c r="K52" s="15"/>
      <c r="L52" s="15"/>
      <c r="M52" s="15"/>
      <c r="N52" s="15">
        <f t="shared" si="0"/>
        <v>-292287.02100000001</v>
      </c>
      <c r="O52" s="15">
        <f t="shared" si="1"/>
        <v>231315.8</v>
      </c>
      <c r="P52" s="15">
        <f t="shared" si="2"/>
        <v>-280083.53500000003</v>
      </c>
      <c r="Q52" s="15">
        <f t="shared" si="3"/>
        <v>253785.1</v>
      </c>
      <c r="R52" s="15">
        <f t="shared" si="4"/>
        <v>275812.7</v>
      </c>
      <c r="S52" s="15"/>
      <c r="T52" s="15"/>
      <c r="U52" s="15"/>
      <c r="V52" s="15">
        <f t="shared" si="5"/>
        <v>231315.8</v>
      </c>
      <c r="W52" s="15">
        <f t="shared" si="6"/>
        <v>253785.1</v>
      </c>
      <c r="X52" s="15">
        <f t="shared" si="7"/>
        <v>275812.7</v>
      </c>
      <c r="Y52" s="15"/>
      <c r="Z52" s="15"/>
      <c r="AA52" s="15"/>
      <c r="AB52" s="15">
        <f t="shared" si="8"/>
        <v>231315.8</v>
      </c>
      <c r="AC52" s="15">
        <f t="shared" si="9"/>
        <v>253785.1</v>
      </c>
      <c r="AD52" s="15">
        <f t="shared" si="10"/>
        <v>275812.7</v>
      </c>
      <c r="AE52" s="15"/>
      <c r="AF52" s="15">
        <f t="shared" si="11"/>
        <v>231315.8</v>
      </c>
      <c r="AG52" s="15">
        <f>48.343</f>
        <v>48.343000000000004</v>
      </c>
      <c r="AH52" s="15">
        <f>1750</f>
        <v>1750</v>
      </c>
      <c r="AI52" s="15">
        <v>2200</v>
      </c>
      <c r="AJ52" s="15">
        <f t="shared" si="12"/>
        <v>231364.14299999998</v>
      </c>
      <c r="AK52" s="15">
        <f t="shared" si="13"/>
        <v>255535.1</v>
      </c>
      <c r="AL52" s="15">
        <f t="shared" si="14"/>
        <v>278012.7</v>
      </c>
      <c r="AM52" s="15"/>
      <c r="AN52" s="15"/>
      <c r="AO52" s="15">
        <f t="shared" si="15"/>
        <v>231364.14299999998</v>
      </c>
      <c r="AP52" s="15">
        <f t="shared" si="16"/>
        <v>255535.1</v>
      </c>
      <c r="AQ52" s="15"/>
      <c r="AR52" s="15">
        <f t="shared" si="17"/>
        <v>231364.14299999998</v>
      </c>
      <c r="AS52" s="15"/>
      <c r="AT52" s="10"/>
    </row>
    <row r="53" spans="1:46" x14ac:dyDescent="0.25">
      <c r="A53" s="12" t="s">
        <v>27</v>
      </c>
      <c r="B53" s="13" t="s">
        <v>17</v>
      </c>
      <c r="C53" s="14" t="s">
        <v>58</v>
      </c>
      <c r="D53" s="15">
        <v>117798.109</v>
      </c>
      <c r="E53" s="15">
        <f t="shared" si="18"/>
        <v>6646.1910000000062</v>
      </c>
      <c r="F53" s="15">
        <v>124444.3</v>
      </c>
      <c r="G53" s="15">
        <v>117798.109</v>
      </c>
      <c r="H53" s="15">
        <f t="shared" si="19"/>
        <v>19285.290999999997</v>
      </c>
      <c r="I53" s="15">
        <v>137083.4</v>
      </c>
      <c r="J53" s="15">
        <v>146622.29999999999</v>
      </c>
      <c r="K53" s="15"/>
      <c r="L53" s="15"/>
      <c r="M53" s="15"/>
      <c r="N53" s="15">
        <f t="shared" si="0"/>
        <v>6646.1910000000062</v>
      </c>
      <c r="O53" s="15">
        <f t="shared" si="1"/>
        <v>124444.3</v>
      </c>
      <c r="P53" s="15">
        <f t="shared" si="2"/>
        <v>19285.290999999997</v>
      </c>
      <c r="Q53" s="15">
        <f t="shared" si="3"/>
        <v>137083.4</v>
      </c>
      <c r="R53" s="15">
        <f t="shared" si="4"/>
        <v>146622.29999999999</v>
      </c>
      <c r="S53" s="15"/>
      <c r="T53" s="15"/>
      <c r="U53" s="15"/>
      <c r="V53" s="15">
        <f t="shared" si="5"/>
        <v>124444.3</v>
      </c>
      <c r="W53" s="15">
        <f t="shared" si="6"/>
        <v>137083.4</v>
      </c>
      <c r="X53" s="15">
        <f t="shared" si="7"/>
        <v>146622.29999999999</v>
      </c>
      <c r="Y53" s="15"/>
      <c r="Z53" s="15"/>
      <c r="AA53" s="15"/>
      <c r="AB53" s="15">
        <f t="shared" si="8"/>
        <v>124444.3</v>
      </c>
      <c r="AC53" s="15">
        <f t="shared" si="9"/>
        <v>137083.4</v>
      </c>
      <c r="AD53" s="15">
        <f t="shared" si="10"/>
        <v>146622.29999999999</v>
      </c>
      <c r="AE53" s="15"/>
      <c r="AF53" s="15">
        <f t="shared" si="11"/>
        <v>124444.3</v>
      </c>
      <c r="AG53" s="15"/>
      <c r="AH53" s="15"/>
      <c r="AI53" s="15"/>
      <c r="AJ53" s="15">
        <f t="shared" si="12"/>
        <v>124444.3</v>
      </c>
      <c r="AK53" s="15">
        <f t="shared" si="13"/>
        <v>137083.4</v>
      </c>
      <c r="AL53" s="15">
        <f t="shared" si="14"/>
        <v>146622.29999999999</v>
      </c>
      <c r="AM53" s="15"/>
      <c r="AN53" s="15"/>
      <c r="AO53" s="15">
        <f t="shared" si="15"/>
        <v>124444.3</v>
      </c>
      <c r="AP53" s="15">
        <f t="shared" si="16"/>
        <v>137083.4</v>
      </c>
      <c r="AQ53" s="15"/>
      <c r="AR53" s="15">
        <f t="shared" si="17"/>
        <v>124444.3</v>
      </c>
      <c r="AS53" s="15"/>
      <c r="AT53" s="10"/>
    </row>
    <row r="54" spans="1:46" x14ac:dyDescent="0.25">
      <c r="A54" s="12" t="s">
        <v>27</v>
      </c>
      <c r="B54" s="13" t="s">
        <v>27</v>
      </c>
      <c r="C54" s="14" t="s">
        <v>59</v>
      </c>
      <c r="D54" s="15">
        <v>86192.395000000019</v>
      </c>
      <c r="E54" s="15">
        <f t="shared" si="18"/>
        <v>-47459.79500000002</v>
      </c>
      <c r="F54" s="15">
        <v>38732.6</v>
      </c>
      <c r="G54" s="15">
        <v>97638.781000000192</v>
      </c>
      <c r="H54" s="15">
        <f t="shared" si="19"/>
        <v>-55274.981000000189</v>
      </c>
      <c r="I54" s="15">
        <v>42363.8</v>
      </c>
      <c r="J54" s="15">
        <v>45967.3</v>
      </c>
      <c r="K54" s="15"/>
      <c r="L54" s="15"/>
      <c r="M54" s="15"/>
      <c r="N54" s="15">
        <f t="shared" si="0"/>
        <v>-47459.79500000002</v>
      </c>
      <c r="O54" s="15">
        <f t="shared" si="1"/>
        <v>38732.6</v>
      </c>
      <c r="P54" s="15">
        <f t="shared" si="2"/>
        <v>-55274.981000000189</v>
      </c>
      <c r="Q54" s="15">
        <f t="shared" si="3"/>
        <v>42363.8</v>
      </c>
      <c r="R54" s="15">
        <f t="shared" si="4"/>
        <v>45967.3</v>
      </c>
      <c r="S54" s="15"/>
      <c r="T54" s="15"/>
      <c r="U54" s="15"/>
      <c r="V54" s="15">
        <f t="shared" si="5"/>
        <v>38732.6</v>
      </c>
      <c r="W54" s="15">
        <f t="shared" si="6"/>
        <v>42363.8</v>
      </c>
      <c r="X54" s="15">
        <f t="shared" si="7"/>
        <v>45967.3</v>
      </c>
      <c r="Y54" s="15"/>
      <c r="Z54" s="15"/>
      <c r="AA54" s="15"/>
      <c r="AB54" s="15">
        <f t="shared" si="8"/>
        <v>38732.6</v>
      </c>
      <c r="AC54" s="15">
        <f t="shared" si="9"/>
        <v>42363.8</v>
      </c>
      <c r="AD54" s="15">
        <f t="shared" si="10"/>
        <v>45967.3</v>
      </c>
      <c r="AE54" s="15"/>
      <c r="AF54" s="15">
        <f t="shared" si="11"/>
        <v>38732.6</v>
      </c>
      <c r="AG54" s="15">
        <f>6584+1.69+74.1+736.757+1210.782+46.271</f>
        <v>8653.6</v>
      </c>
      <c r="AH54" s="15">
        <f>6584+1.69+680+1314.769+46.271</f>
        <v>8626.73</v>
      </c>
      <c r="AI54" s="15">
        <f>6584+1.69+680+1338.769+46.271</f>
        <v>8650.73</v>
      </c>
      <c r="AJ54" s="15">
        <f t="shared" si="12"/>
        <v>47386.2</v>
      </c>
      <c r="AK54" s="15">
        <f t="shared" si="13"/>
        <v>50990.53</v>
      </c>
      <c r="AL54" s="15">
        <f t="shared" si="14"/>
        <v>54618.03</v>
      </c>
      <c r="AM54" s="15"/>
      <c r="AN54" s="15"/>
      <c r="AO54" s="15">
        <f t="shared" si="15"/>
        <v>47386.2</v>
      </c>
      <c r="AP54" s="15">
        <f t="shared" si="16"/>
        <v>50990.53</v>
      </c>
      <c r="AQ54" s="15"/>
      <c r="AR54" s="15">
        <f t="shared" si="17"/>
        <v>47386.2</v>
      </c>
      <c r="AS54" s="15"/>
      <c r="AT54" s="10"/>
    </row>
    <row r="55" spans="1:46" s="11" customFormat="1" x14ac:dyDescent="0.25">
      <c r="A55" s="7" t="s">
        <v>60</v>
      </c>
      <c r="B55" s="7" t="s">
        <v>9</v>
      </c>
      <c r="C55" s="8" t="s">
        <v>61</v>
      </c>
      <c r="D55" s="9">
        <f>SUM(D56:D59)</f>
        <v>1602881.2999999998</v>
      </c>
      <c r="E55" s="9">
        <f t="shared" si="18"/>
        <v>966641.64999999991</v>
      </c>
      <c r="F55" s="9">
        <f>SUM(F56:F59)</f>
        <v>2569522.9499999997</v>
      </c>
      <c r="G55" s="9">
        <f>SUM(G56:G59)</f>
        <v>1643715.3999999997</v>
      </c>
      <c r="H55" s="9">
        <f t="shared" si="19"/>
        <v>881799.0000000007</v>
      </c>
      <c r="I55" s="9">
        <f>SUM(I56:I59)</f>
        <v>2525514.4000000004</v>
      </c>
      <c r="J55" s="9">
        <f>SUM(J56:J59)</f>
        <v>2437970.4</v>
      </c>
      <c r="K55" s="9">
        <f>SUM(K56:K59)</f>
        <v>35512.799999999996</v>
      </c>
      <c r="L55" s="9">
        <f>SUM(L56:L59)</f>
        <v>31138.5</v>
      </c>
      <c r="M55" s="9">
        <f>SUM(M56:M59)</f>
        <v>26782.400000000001</v>
      </c>
      <c r="N55" s="9">
        <f t="shared" si="0"/>
        <v>1002154.4499999997</v>
      </c>
      <c r="O55" s="9">
        <f t="shared" si="1"/>
        <v>2605035.7499999995</v>
      </c>
      <c r="P55" s="9">
        <f t="shared" si="2"/>
        <v>912937.5000000007</v>
      </c>
      <c r="Q55" s="9">
        <f t="shared" si="3"/>
        <v>2556652.9000000004</v>
      </c>
      <c r="R55" s="9">
        <f t="shared" si="4"/>
        <v>2464752.7999999998</v>
      </c>
      <c r="S55" s="9">
        <f>SUM(S56:S59)</f>
        <v>0</v>
      </c>
      <c r="T55" s="9">
        <f>SUM(T56:T59)</f>
        <v>0</v>
      </c>
      <c r="U55" s="9">
        <f>SUM(U56:U59)</f>
        <v>0</v>
      </c>
      <c r="V55" s="9">
        <f t="shared" si="5"/>
        <v>2605035.7499999995</v>
      </c>
      <c r="W55" s="9">
        <f t="shared" si="6"/>
        <v>2556652.9000000004</v>
      </c>
      <c r="X55" s="9">
        <f t="shared" si="7"/>
        <v>2464752.7999999998</v>
      </c>
      <c r="Y55" s="9">
        <f>SUM(Y56:Y59)</f>
        <v>0</v>
      </c>
      <c r="Z55" s="9">
        <f>SUM(Z56:Z59)</f>
        <v>0</v>
      </c>
      <c r="AA55" s="9">
        <f>SUM(AA56:AA59)</f>
        <v>0</v>
      </c>
      <c r="AB55" s="9">
        <f t="shared" si="8"/>
        <v>2605035.7499999995</v>
      </c>
      <c r="AC55" s="9">
        <f t="shared" si="9"/>
        <v>2556652.9000000004</v>
      </c>
      <c r="AD55" s="9">
        <f t="shared" si="10"/>
        <v>2464752.7999999998</v>
      </c>
      <c r="AE55" s="9">
        <f>SUM(AE56:AE59)</f>
        <v>0</v>
      </c>
      <c r="AF55" s="9">
        <f t="shared" si="11"/>
        <v>2605035.7499999995</v>
      </c>
      <c r="AG55" s="9">
        <f>SUM(AG56:AG59)</f>
        <v>28955.055999999997</v>
      </c>
      <c r="AH55" s="9">
        <f>SUM(AH56:AH59)</f>
        <v>798.90000000000009</v>
      </c>
      <c r="AI55" s="9">
        <f>SUM(AI56:AI59)</f>
        <v>1198.8</v>
      </c>
      <c r="AJ55" s="9">
        <f t="shared" si="12"/>
        <v>2633990.8059999994</v>
      </c>
      <c r="AK55" s="9">
        <f t="shared" si="13"/>
        <v>2557451.8000000003</v>
      </c>
      <c r="AL55" s="9">
        <f t="shared" si="14"/>
        <v>2465951.5999999996</v>
      </c>
      <c r="AM55" s="9">
        <f>SUM(AM56:AM59)</f>
        <v>0</v>
      </c>
      <c r="AN55" s="9">
        <f>SUM(AN56:AN59)</f>
        <v>0</v>
      </c>
      <c r="AO55" s="9">
        <f t="shared" si="15"/>
        <v>2633990.8059999994</v>
      </c>
      <c r="AP55" s="9">
        <f t="shared" si="16"/>
        <v>2557451.8000000003</v>
      </c>
      <c r="AQ55" s="9">
        <f>SUM(AQ56:AQ59)</f>
        <v>0</v>
      </c>
      <c r="AR55" s="9">
        <f t="shared" si="17"/>
        <v>2633990.8059999994</v>
      </c>
      <c r="AS55" s="9">
        <f>SUM(AS56:AS59)</f>
        <v>0</v>
      </c>
      <c r="AT55" s="10"/>
    </row>
    <row r="56" spans="1:46" x14ac:dyDescent="0.25">
      <c r="A56" s="12" t="s">
        <v>60</v>
      </c>
      <c r="B56" s="13" t="s">
        <v>8</v>
      </c>
      <c r="C56" s="14" t="s">
        <v>62</v>
      </c>
      <c r="D56" s="15">
        <v>34712.1</v>
      </c>
      <c r="E56" s="15">
        <f t="shared" si="18"/>
        <v>4202.7000000000044</v>
      </c>
      <c r="F56" s="15">
        <v>38914.800000000003</v>
      </c>
      <c r="G56" s="15">
        <v>35576.400000000001</v>
      </c>
      <c r="H56" s="15">
        <f t="shared" si="19"/>
        <v>4589.5999999999985</v>
      </c>
      <c r="I56" s="15">
        <v>40166</v>
      </c>
      <c r="J56" s="15">
        <v>41417.300000000003</v>
      </c>
      <c r="K56" s="15"/>
      <c r="L56" s="15"/>
      <c r="M56" s="15"/>
      <c r="N56" s="15">
        <f t="shared" si="0"/>
        <v>4202.7000000000044</v>
      </c>
      <c r="O56" s="15">
        <f t="shared" si="1"/>
        <v>38914.800000000003</v>
      </c>
      <c r="P56" s="15">
        <f t="shared" si="2"/>
        <v>4589.5999999999985</v>
      </c>
      <c r="Q56" s="15">
        <f t="shared" si="3"/>
        <v>40166</v>
      </c>
      <c r="R56" s="15">
        <f t="shared" si="4"/>
        <v>41417.300000000003</v>
      </c>
      <c r="S56" s="15"/>
      <c r="T56" s="15"/>
      <c r="U56" s="15"/>
      <c r="V56" s="15">
        <f t="shared" si="5"/>
        <v>38914.800000000003</v>
      </c>
      <c r="W56" s="15">
        <f t="shared" si="6"/>
        <v>40166</v>
      </c>
      <c r="X56" s="15">
        <f t="shared" si="7"/>
        <v>41417.300000000003</v>
      </c>
      <c r="Y56" s="15"/>
      <c r="Z56" s="15"/>
      <c r="AA56" s="15"/>
      <c r="AB56" s="15">
        <f t="shared" si="8"/>
        <v>38914.800000000003</v>
      </c>
      <c r="AC56" s="15">
        <f t="shared" si="9"/>
        <v>40166</v>
      </c>
      <c r="AD56" s="15">
        <f t="shared" si="10"/>
        <v>41417.300000000003</v>
      </c>
      <c r="AE56" s="15"/>
      <c r="AF56" s="15">
        <f t="shared" si="11"/>
        <v>38914.800000000003</v>
      </c>
      <c r="AG56" s="15"/>
      <c r="AH56" s="15"/>
      <c r="AI56" s="15"/>
      <c r="AJ56" s="15">
        <f t="shared" si="12"/>
        <v>38914.800000000003</v>
      </c>
      <c r="AK56" s="15">
        <f t="shared" si="13"/>
        <v>40166</v>
      </c>
      <c r="AL56" s="15">
        <f t="shared" si="14"/>
        <v>41417.300000000003</v>
      </c>
      <c r="AM56" s="15"/>
      <c r="AN56" s="15"/>
      <c r="AO56" s="15">
        <f t="shared" si="15"/>
        <v>38914.800000000003</v>
      </c>
      <c r="AP56" s="15">
        <f t="shared" si="16"/>
        <v>40166</v>
      </c>
      <c r="AQ56" s="15"/>
      <c r="AR56" s="15">
        <f t="shared" si="17"/>
        <v>38914.800000000003</v>
      </c>
      <c r="AS56" s="15"/>
      <c r="AT56" s="10"/>
    </row>
    <row r="57" spans="1:46" x14ac:dyDescent="0.25">
      <c r="A57" s="12" t="s">
        <v>60</v>
      </c>
      <c r="B57" s="13" t="s">
        <v>13</v>
      </c>
      <c r="C57" s="14" t="s">
        <v>63</v>
      </c>
      <c r="D57" s="15">
        <v>1125853.7</v>
      </c>
      <c r="E57" s="15">
        <f t="shared" si="18"/>
        <v>961829.45</v>
      </c>
      <c r="F57" s="15">
        <v>2087683.15</v>
      </c>
      <c r="G57" s="15">
        <v>1164153.7</v>
      </c>
      <c r="H57" s="15">
        <f t="shared" si="19"/>
        <v>877561</v>
      </c>
      <c r="I57" s="15">
        <v>2041714.7</v>
      </c>
      <c r="J57" s="15">
        <v>1952726.2</v>
      </c>
      <c r="K57" s="15">
        <f>0.1+24.9+42.6-0.4</f>
        <v>67.199999999999989</v>
      </c>
      <c r="L57" s="15">
        <f>0.3+44.9+80.4-0.4</f>
        <v>125.19999999999999</v>
      </c>
      <c r="M57" s="15">
        <f>0.2+54.1+100.2-4.1</f>
        <v>150.4</v>
      </c>
      <c r="N57" s="15">
        <f t="shared" si="0"/>
        <v>961896.64999999991</v>
      </c>
      <c r="O57" s="15">
        <f t="shared" si="1"/>
        <v>2087750.3499999999</v>
      </c>
      <c r="P57" s="15">
        <f t="shared" si="2"/>
        <v>877686.2</v>
      </c>
      <c r="Q57" s="15">
        <f t="shared" si="3"/>
        <v>2041839.9</v>
      </c>
      <c r="R57" s="15">
        <f t="shared" si="4"/>
        <v>1952876.5999999999</v>
      </c>
      <c r="S57" s="15"/>
      <c r="T57" s="15"/>
      <c r="U57" s="15"/>
      <c r="V57" s="15">
        <f t="shared" si="5"/>
        <v>2087750.3499999999</v>
      </c>
      <c r="W57" s="15">
        <f t="shared" si="6"/>
        <v>2041839.9</v>
      </c>
      <c r="X57" s="15">
        <f t="shared" si="7"/>
        <v>1952876.5999999999</v>
      </c>
      <c r="Y57" s="15"/>
      <c r="Z57" s="15"/>
      <c r="AA57" s="15"/>
      <c r="AB57" s="15">
        <f t="shared" si="8"/>
        <v>2087750.3499999999</v>
      </c>
      <c r="AC57" s="15">
        <f t="shared" si="9"/>
        <v>2041839.9</v>
      </c>
      <c r="AD57" s="15">
        <f t="shared" si="10"/>
        <v>1952876.5999999999</v>
      </c>
      <c r="AE57" s="15"/>
      <c r="AF57" s="15">
        <f t="shared" si="11"/>
        <v>2087750.3499999999</v>
      </c>
      <c r="AG57" s="15">
        <f>2.1+11.1+113.4+157.5-0.034+20219.782+8451.208</f>
        <v>28955.055999999997</v>
      </c>
      <c r="AH57" s="15">
        <f>3.9+19.9+302.1+473</f>
        <v>798.90000000000009</v>
      </c>
      <c r="AI57" s="15">
        <f>4.7+24+449.3+720.8</f>
        <v>1198.8</v>
      </c>
      <c r="AJ57" s="15">
        <f t="shared" si="12"/>
        <v>2116705.406</v>
      </c>
      <c r="AK57" s="15">
        <f t="shared" si="13"/>
        <v>2042638.7999999998</v>
      </c>
      <c r="AL57" s="15">
        <f t="shared" si="14"/>
        <v>1954075.4</v>
      </c>
      <c r="AM57" s="15"/>
      <c r="AN57" s="15"/>
      <c r="AO57" s="15">
        <f t="shared" si="15"/>
        <v>2116705.406</v>
      </c>
      <c r="AP57" s="15">
        <f t="shared" si="16"/>
        <v>2042638.7999999998</v>
      </c>
      <c r="AQ57" s="15"/>
      <c r="AR57" s="15">
        <f t="shared" si="17"/>
        <v>2116705.406</v>
      </c>
      <c r="AS57" s="15"/>
      <c r="AT57" s="10"/>
    </row>
    <row r="58" spans="1:46" x14ac:dyDescent="0.25">
      <c r="A58" s="12" t="s">
        <v>60</v>
      </c>
      <c r="B58" s="12" t="s">
        <v>15</v>
      </c>
      <c r="C58" s="14" t="s">
        <v>64</v>
      </c>
      <c r="D58" s="15">
        <v>283108.09999999998</v>
      </c>
      <c r="E58" s="15">
        <f t="shared" si="18"/>
        <v>-5932.8999999999651</v>
      </c>
      <c r="F58" s="15">
        <v>277175.2</v>
      </c>
      <c r="G58" s="15">
        <v>283173.59999999998</v>
      </c>
      <c r="H58" s="15">
        <f t="shared" si="19"/>
        <v>-7345.0999999999767</v>
      </c>
      <c r="I58" s="15">
        <v>275828.5</v>
      </c>
      <c r="J58" s="15">
        <v>273107.90000000002</v>
      </c>
      <c r="K58" s="15"/>
      <c r="L58" s="15"/>
      <c r="M58" s="15"/>
      <c r="N58" s="15">
        <f t="shared" si="0"/>
        <v>-5932.8999999999651</v>
      </c>
      <c r="O58" s="15">
        <f t="shared" si="1"/>
        <v>277175.2</v>
      </c>
      <c r="P58" s="15">
        <f t="shared" si="2"/>
        <v>-7345.0999999999767</v>
      </c>
      <c r="Q58" s="15">
        <f t="shared" si="3"/>
        <v>275828.5</v>
      </c>
      <c r="R58" s="15">
        <f t="shared" si="4"/>
        <v>273107.90000000002</v>
      </c>
      <c r="S58" s="15"/>
      <c r="T58" s="15"/>
      <c r="U58" s="15"/>
      <c r="V58" s="15">
        <f t="shared" si="5"/>
        <v>277175.2</v>
      </c>
      <c r="W58" s="15">
        <f t="shared" si="6"/>
        <v>275828.5</v>
      </c>
      <c r="X58" s="15">
        <f t="shared" si="7"/>
        <v>273107.90000000002</v>
      </c>
      <c r="Y58" s="15"/>
      <c r="Z58" s="15"/>
      <c r="AA58" s="15"/>
      <c r="AB58" s="15">
        <f t="shared" si="8"/>
        <v>277175.2</v>
      </c>
      <c r="AC58" s="15">
        <f t="shared" si="9"/>
        <v>275828.5</v>
      </c>
      <c r="AD58" s="15">
        <f t="shared" si="10"/>
        <v>273107.90000000002</v>
      </c>
      <c r="AE58" s="15"/>
      <c r="AF58" s="15">
        <f t="shared" si="11"/>
        <v>277175.2</v>
      </c>
      <c r="AG58" s="15"/>
      <c r="AH58" s="15"/>
      <c r="AI58" s="15"/>
      <c r="AJ58" s="15">
        <f t="shared" si="12"/>
        <v>277175.2</v>
      </c>
      <c r="AK58" s="15">
        <f t="shared" si="13"/>
        <v>275828.5</v>
      </c>
      <c r="AL58" s="15">
        <f t="shared" si="14"/>
        <v>273107.90000000002</v>
      </c>
      <c r="AM58" s="15"/>
      <c r="AN58" s="15"/>
      <c r="AO58" s="15">
        <f t="shared" si="15"/>
        <v>277175.2</v>
      </c>
      <c r="AP58" s="15">
        <f t="shared" si="16"/>
        <v>275828.5</v>
      </c>
      <c r="AQ58" s="15"/>
      <c r="AR58" s="15">
        <f t="shared" si="17"/>
        <v>277175.2</v>
      </c>
      <c r="AS58" s="15"/>
      <c r="AT58" s="10"/>
    </row>
    <row r="59" spans="1:46" x14ac:dyDescent="0.25">
      <c r="A59" s="12" t="s">
        <v>60</v>
      </c>
      <c r="B59" s="13" t="s">
        <v>18</v>
      </c>
      <c r="C59" s="14" t="s">
        <v>65</v>
      </c>
      <c r="D59" s="15">
        <v>159207.4</v>
      </c>
      <c r="E59" s="15">
        <f t="shared" si="18"/>
        <v>6542.3999999999942</v>
      </c>
      <c r="F59" s="15">
        <v>165749.79999999999</v>
      </c>
      <c r="G59" s="15">
        <v>160811.70000000001</v>
      </c>
      <c r="H59" s="15">
        <f t="shared" si="19"/>
        <v>6993.5</v>
      </c>
      <c r="I59" s="15">
        <v>167805.2</v>
      </c>
      <c r="J59" s="15">
        <v>170719</v>
      </c>
      <c r="K59" s="15">
        <f>35355+90.6</f>
        <v>35445.599999999999</v>
      </c>
      <c r="L59" s="15">
        <f>30662.1+351.2</f>
        <v>31013.3</v>
      </c>
      <c r="M59" s="15">
        <f>26086+546</f>
        <v>26632</v>
      </c>
      <c r="N59" s="15">
        <f t="shared" si="0"/>
        <v>41988</v>
      </c>
      <c r="O59" s="15">
        <f t="shared" si="1"/>
        <v>201195.4</v>
      </c>
      <c r="P59" s="15">
        <f t="shared" si="2"/>
        <v>38006.799999999988</v>
      </c>
      <c r="Q59" s="15">
        <f t="shared" si="3"/>
        <v>198818.5</v>
      </c>
      <c r="R59" s="15">
        <f t="shared" si="4"/>
        <v>197351</v>
      </c>
      <c r="S59" s="15"/>
      <c r="T59" s="15"/>
      <c r="U59" s="15"/>
      <c r="V59" s="15">
        <f t="shared" si="5"/>
        <v>201195.4</v>
      </c>
      <c r="W59" s="15">
        <f t="shared" si="6"/>
        <v>198818.5</v>
      </c>
      <c r="X59" s="15">
        <f t="shared" si="7"/>
        <v>197351</v>
      </c>
      <c r="Y59" s="15"/>
      <c r="Z59" s="15"/>
      <c r="AA59" s="15"/>
      <c r="AB59" s="15">
        <f t="shared" si="8"/>
        <v>201195.4</v>
      </c>
      <c r="AC59" s="15">
        <f t="shared" si="9"/>
        <v>198818.5</v>
      </c>
      <c r="AD59" s="15">
        <f t="shared" si="10"/>
        <v>197351</v>
      </c>
      <c r="AE59" s="15"/>
      <c r="AF59" s="15">
        <f t="shared" si="11"/>
        <v>201195.4</v>
      </c>
      <c r="AG59" s="15"/>
      <c r="AH59" s="15"/>
      <c r="AI59" s="15"/>
      <c r="AJ59" s="15">
        <f t="shared" si="12"/>
        <v>201195.4</v>
      </c>
      <c r="AK59" s="15">
        <f t="shared" si="13"/>
        <v>198818.5</v>
      </c>
      <c r="AL59" s="15">
        <f t="shared" si="14"/>
        <v>197351</v>
      </c>
      <c r="AM59" s="15"/>
      <c r="AN59" s="15"/>
      <c r="AO59" s="15">
        <f t="shared" si="15"/>
        <v>201195.4</v>
      </c>
      <c r="AP59" s="15">
        <f t="shared" si="16"/>
        <v>198818.5</v>
      </c>
      <c r="AQ59" s="15"/>
      <c r="AR59" s="15">
        <f t="shared" si="17"/>
        <v>201195.4</v>
      </c>
      <c r="AS59" s="15"/>
      <c r="AT59" s="10"/>
    </row>
    <row r="60" spans="1:46" s="11" customFormat="1" x14ac:dyDescent="0.25">
      <c r="A60" s="19">
        <v>11</v>
      </c>
      <c r="B60" s="20" t="s">
        <v>9</v>
      </c>
      <c r="C60" s="8" t="s">
        <v>66</v>
      </c>
      <c r="D60" s="9">
        <f>D62+D63+D61</f>
        <v>285132.98499999999</v>
      </c>
      <c r="E60" s="9">
        <f t="shared" si="18"/>
        <v>-2172.6849999999977</v>
      </c>
      <c r="F60" s="9">
        <f>F62+F63+F61</f>
        <v>282960.3</v>
      </c>
      <c r="G60" s="9">
        <f>G62+G63+G61</f>
        <v>287259.913</v>
      </c>
      <c r="H60" s="9">
        <f t="shared" si="19"/>
        <v>-131810.11300000001</v>
      </c>
      <c r="I60" s="9">
        <f>I62+I63+I61</f>
        <v>155449.79999999999</v>
      </c>
      <c r="J60" s="9">
        <f>J62+J63+J61</f>
        <v>74396.899999999994</v>
      </c>
      <c r="K60" s="9">
        <f>K62+K63+K61</f>
        <v>31283</v>
      </c>
      <c r="L60" s="9">
        <f>L62+L63+L61</f>
        <v>7633.8</v>
      </c>
      <c r="M60" s="9">
        <f>M62+M63+M61</f>
        <v>7633.8</v>
      </c>
      <c r="N60" s="9">
        <f t="shared" si="0"/>
        <v>29110.315000000002</v>
      </c>
      <c r="O60" s="9">
        <f t="shared" si="1"/>
        <v>314243.3</v>
      </c>
      <c r="P60" s="9">
        <f t="shared" si="2"/>
        <v>-124176.31300000002</v>
      </c>
      <c r="Q60" s="9">
        <f t="shared" si="3"/>
        <v>163083.59999999998</v>
      </c>
      <c r="R60" s="9">
        <f t="shared" si="4"/>
        <v>82030.7</v>
      </c>
      <c r="S60" s="9">
        <f>S62+S63+S61</f>
        <v>0</v>
      </c>
      <c r="T60" s="9">
        <f>T62+T63+T61</f>
        <v>0</v>
      </c>
      <c r="U60" s="9">
        <f>U62+U63+U61</f>
        <v>0</v>
      </c>
      <c r="V60" s="9">
        <f t="shared" si="5"/>
        <v>314243.3</v>
      </c>
      <c r="W60" s="9">
        <f t="shared" si="6"/>
        <v>163083.59999999998</v>
      </c>
      <c r="X60" s="9">
        <f t="shared" si="7"/>
        <v>82030.7</v>
      </c>
      <c r="Y60" s="9">
        <f>Y62+Y63+Y61</f>
        <v>0</v>
      </c>
      <c r="Z60" s="9">
        <f>Z62+Z63+Z61</f>
        <v>0</v>
      </c>
      <c r="AA60" s="9">
        <f>AA62+AA63+AA61</f>
        <v>0</v>
      </c>
      <c r="AB60" s="9">
        <f t="shared" si="8"/>
        <v>314243.3</v>
      </c>
      <c r="AC60" s="9">
        <f t="shared" si="9"/>
        <v>163083.59999999998</v>
      </c>
      <c r="AD60" s="9">
        <f t="shared" si="10"/>
        <v>82030.7</v>
      </c>
      <c r="AE60" s="9">
        <f>AE62+AE63+AE61</f>
        <v>0</v>
      </c>
      <c r="AF60" s="9">
        <f t="shared" si="11"/>
        <v>314243.3</v>
      </c>
      <c r="AG60" s="9">
        <f>AG62+AG63+AG61</f>
        <v>100050.92600000001</v>
      </c>
      <c r="AH60" s="9">
        <f>AH62+AH63+AH61</f>
        <v>0</v>
      </c>
      <c r="AI60" s="9">
        <f>AI62+AI63+AI61</f>
        <v>0</v>
      </c>
      <c r="AJ60" s="9">
        <f t="shared" si="12"/>
        <v>414294.22600000002</v>
      </c>
      <c r="AK60" s="9">
        <f t="shared" si="13"/>
        <v>163083.59999999998</v>
      </c>
      <c r="AL60" s="9">
        <f t="shared" si="14"/>
        <v>82030.7</v>
      </c>
      <c r="AM60" s="9">
        <f>AM62+AM63+AM61</f>
        <v>-10947.866</v>
      </c>
      <c r="AN60" s="9">
        <f>AN62+AN63+AN61</f>
        <v>0</v>
      </c>
      <c r="AO60" s="9">
        <f t="shared" si="15"/>
        <v>403346.36000000004</v>
      </c>
      <c r="AP60" s="9">
        <f t="shared" si="16"/>
        <v>163083.59999999998</v>
      </c>
      <c r="AQ60" s="9">
        <f>AQ62+AQ63+AQ61</f>
        <v>-19.087999999999994</v>
      </c>
      <c r="AR60" s="9">
        <f t="shared" si="17"/>
        <v>403327.27200000006</v>
      </c>
      <c r="AS60" s="9">
        <f>AS62+AS63+AS61</f>
        <v>0</v>
      </c>
      <c r="AT60" s="10"/>
    </row>
    <row r="61" spans="1:46" x14ac:dyDescent="0.25">
      <c r="A61" s="21">
        <v>11</v>
      </c>
      <c r="B61" s="13" t="s">
        <v>8</v>
      </c>
      <c r="C61" s="14" t="s">
        <v>67</v>
      </c>
      <c r="D61" s="15">
        <v>26928.300000000003</v>
      </c>
      <c r="E61" s="15">
        <f t="shared" si="18"/>
        <v>19660.099999999999</v>
      </c>
      <c r="F61" s="15">
        <v>46588.4</v>
      </c>
      <c r="G61" s="15">
        <v>27138.699999999997</v>
      </c>
      <c r="H61" s="15">
        <f t="shared" si="19"/>
        <v>-2886.7999999999956</v>
      </c>
      <c r="I61" s="15">
        <v>24251.9</v>
      </c>
      <c r="J61" s="15">
        <v>27339.599999999999</v>
      </c>
      <c r="K61" s="15"/>
      <c r="L61" s="15"/>
      <c r="M61" s="15"/>
      <c r="N61" s="15">
        <f t="shared" si="0"/>
        <v>19660.099999999999</v>
      </c>
      <c r="O61" s="15">
        <f t="shared" si="1"/>
        <v>46588.4</v>
      </c>
      <c r="P61" s="15">
        <f t="shared" si="2"/>
        <v>-2886.7999999999956</v>
      </c>
      <c r="Q61" s="15">
        <f t="shared" si="3"/>
        <v>24251.9</v>
      </c>
      <c r="R61" s="15">
        <f t="shared" si="4"/>
        <v>27339.599999999999</v>
      </c>
      <c r="S61" s="15"/>
      <c r="T61" s="15"/>
      <c r="U61" s="15"/>
      <c r="V61" s="15">
        <f t="shared" si="5"/>
        <v>46588.4</v>
      </c>
      <c r="W61" s="15">
        <f t="shared" si="6"/>
        <v>24251.9</v>
      </c>
      <c r="X61" s="15">
        <f t="shared" si="7"/>
        <v>27339.599999999999</v>
      </c>
      <c r="Y61" s="15"/>
      <c r="Z61" s="15"/>
      <c r="AA61" s="15"/>
      <c r="AB61" s="15">
        <f t="shared" si="8"/>
        <v>46588.4</v>
      </c>
      <c r="AC61" s="15">
        <f t="shared" si="9"/>
        <v>24251.9</v>
      </c>
      <c r="AD61" s="15">
        <f t="shared" si="10"/>
        <v>27339.599999999999</v>
      </c>
      <c r="AE61" s="15"/>
      <c r="AF61" s="15">
        <f t="shared" si="11"/>
        <v>46588.4</v>
      </c>
      <c r="AG61" s="15">
        <f>3937.83+10695.888</f>
        <v>14633.718000000001</v>
      </c>
      <c r="AH61" s="15"/>
      <c r="AI61" s="15"/>
      <c r="AJ61" s="15">
        <f t="shared" si="12"/>
        <v>61222.118000000002</v>
      </c>
      <c r="AK61" s="15">
        <f t="shared" si="13"/>
        <v>24251.9</v>
      </c>
      <c r="AL61" s="15">
        <f t="shared" si="14"/>
        <v>27339.599999999999</v>
      </c>
      <c r="AM61" s="15">
        <v>-1500</v>
      </c>
      <c r="AN61" s="15"/>
      <c r="AO61" s="15">
        <f t="shared" si="15"/>
        <v>59722.118000000002</v>
      </c>
      <c r="AP61" s="15">
        <f t="shared" si="16"/>
        <v>24251.9</v>
      </c>
      <c r="AQ61" s="15">
        <v>206.858</v>
      </c>
      <c r="AR61" s="15">
        <f t="shared" si="17"/>
        <v>59928.976000000002</v>
      </c>
      <c r="AS61" s="15"/>
      <c r="AT61" s="10"/>
    </row>
    <row r="62" spans="1:46" x14ac:dyDescent="0.25">
      <c r="A62" s="21">
        <v>11</v>
      </c>
      <c r="B62" s="13" t="s">
        <v>11</v>
      </c>
      <c r="C62" s="14" t="s">
        <v>68</v>
      </c>
      <c r="D62" s="15">
        <v>250443.28499999997</v>
      </c>
      <c r="E62" s="15">
        <f t="shared" si="18"/>
        <v>-23127.484999999986</v>
      </c>
      <c r="F62" s="15">
        <v>227315.8</v>
      </c>
      <c r="G62" s="15">
        <v>252327.81299999999</v>
      </c>
      <c r="H62" s="15">
        <f t="shared" si="19"/>
        <v>-130186.01299999999</v>
      </c>
      <c r="I62" s="15">
        <v>122141.8</v>
      </c>
      <c r="J62" s="15">
        <v>37985.199999999997</v>
      </c>
      <c r="K62" s="15">
        <f>25000+5815.2</f>
        <v>30815.200000000001</v>
      </c>
      <c r="L62" s="15">
        <f>7166</f>
        <v>7166</v>
      </c>
      <c r="M62" s="15">
        <f>7166</f>
        <v>7166</v>
      </c>
      <c r="N62" s="15">
        <f t="shared" si="0"/>
        <v>7687.7150000000256</v>
      </c>
      <c r="O62" s="15">
        <f t="shared" si="1"/>
        <v>258131</v>
      </c>
      <c r="P62" s="15">
        <f t="shared" si="2"/>
        <v>-123020.01299999999</v>
      </c>
      <c r="Q62" s="15">
        <f t="shared" si="3"/>
        <v>129307.8</v>
      </c>
      <c r="R62" s="15">
        <f t="shared" si="4"/>
        <v>45151.199999999997</v>
      </c>
      <c r="S62" s="15"/>
      <c r="T62" s="15"/>
      <c r="U62" s="15"/>
      <c r="V62" s="15">
        <f t="shared" si="5"/>
        <v>258131</v>
      </c>
      <c r="W62" s="15">
        <f t="shared" si="6"/>
        <v>129307.8</v>
      </c>
      <c r="X62" s="15">
        <f t="shared" si="7"/>
        <v>45151.199999999997</v>
      </c>
      <c r="Y62" s="15"/>
      <c r="Z62" s="15"/>
      <c r="AA62" s="15"/>
      <c r="AB62" s="15">
        <f t="shared" si="8"/>
        <v>258131</v>
      </c>
      <c r="AC62" s="15">
        <f t="shared" si="9"/>
        <v>129307.8</v>
      </c>
      <c r="AD62" s="15">
        <f t="shared" si="10"/>
        <v>45151.199999999997</v>
      </c>
      <c r="AE62" s="15"/>
      <c r="AF62" s="15">
        <f t="shared" si="11"/>
        <v>258131</v>
      </c>
      <c r="AG62" s="15">
        <f>42+724.08+203.162+9447.866+0.1+75000</f>
        <v>85417.207999999999</v>
      </c>
      <c r="AH62" s="15"/>
      <c r="AI62" s="15"/>
      <c r="AJ62" s="15">
        <f t="shared" si="12"/>
        <v>343548.20799999998</v>
      </c>
      <c r="AK62" s="15">
        <f t="shared" si="13"/>
        <v>129307.8</v>
      </c>
      <c r="AL62" s="15">
        <f t="shared" si="14"/>
        <v>45151.199999999997</v>
      </c>
      <c r="AM62" s="15">
        <v>-9447.866</v>
      </c>
      <c r="AN62" s="15"/>
      <c r="AO62" s="15">
        <f t="shared" si="15"/>
        <v>334100.342</v>
      </c>
      <c r="AP62" s="15">
        <f t="shared" si="16"/>
        <v>129307.8</v>
      </c>
      <c r="AQ62" s="15">
        <v>-225.946</v>
      </c>
      <c r="AR62" s="15">
        <f t="shared" si="17"/>
        <v>333874.39600000001</v>
      </c>
      <c r="AS62" s="15"/>
      <c r="AT62" s="10"/>
    </row>
    <row r="63" spans="1:46" x14ac:dyDescent="0.25">
      <c r="A63" s="21">
        <v>11</v>
      </c>
      <c r="B63" s="13" t="s">
        <v>17</v>
      </c>
      <c r="C63" s="14" t="s">
        <v>69</v>
      </c>
      <c r="D63" s="15">
        <v>7761.4</v>
      </c>
      <c r="E63" s="15">
        <f t="shared" si="18"/>
        <v>1294.7000000000007</v>
      </c>
      <c r="F63" s="15">
        <v>9056.1</v>
      </c>
      <c r="G63" s="15">
        <v>7793.4</v>
      </c>
      <c r="H63" s="15">
        <f t="shared" si="19"/>
        <v>1262.7000000000007</v>
      </c>
      <c r="I63" s="15">
        <v>9056.1</v>
      </c>
      <c r="J63" s="15">
        <v>9072.1</v>
      </c>
      <c r="K63" s="15">
        <f>467.8</f>
        <v>467.8</v>
      </c>
      <c r="L63" s="15">
        <f>467.8</f>
        <v>467.8</v>
      </c>
      <c r="M63" s="15">
        <f>467.8</f>
        <v>467.8</v>
      </c>
      <c r="N63" s="15">
        <f t="shared" si="0"/>
        <v>1762.5</v>
      </c>
      <c r="O63" s="15">
        <f t="shared" si="1"/>
        <v>9523.9</v>
      </c>
      <c r="P63" s="15">
        <f t="shared" si="2"/>
        <v>1730.5</v>
      </c>
      <c r="Q63" s="15">
        <f t="shared" si="3"/>
        <v>9523.9</v>
      </c>
      <c r="R63" s="15">
        <f t="shared" si="4"/>
        <v>9539.9</v>
      </c>
      <c r="S63" s="15"/>
      <c r="T63" s="15"/>
      <c r="U63" s="15"/>
      <c r="V63" s="15">
        <f t="shared" si="5"/>
        <v>9523.9</v>
      </c>
      <c r="W63" s="15">
        <f t="shared" si="6"/>
        <v>9523.9</v>
      </c>
      <c r="X63" s="15">
        <f t="shared" si="7"/>
        <v>9539.9</v>
      </c>
      <c r="Y63" s="15"/>
      <c r="Z63" s="15"/>
      <c r="AA63" s="15"/>
      <c r="AB63" s="15">
        <f t="shared" si="8"/>
        <v>9523.9</v>
      </c>
      <c r="AC63" s="15">
        <f t="shared" si="9"/>
        <v>9523.9</v>
      </c>
      <c r="AD63" s="15">
        <f t="shared" si="10"/>
        <v>9539.9</v>
      </c>
      <c r="AE63" s="15"/>
      <c r="AF63" s="15">
        <f t="shared" si="11"/>
        <v>9523.9</v>
      </c>
      <c r="AG63" s="15"/>
      <c r="AH63" s="15"/>
      <c r="AI63" s="15"/>
      <c r="AJ63" s="15">
        <f t="shared" si="12"/>
        <v>9523.9</v>
      </c>
      <c r="AK63" s="15">
        <f t="shared" si="13"/>
        <v>9523.9</v>
      </c>
      <c r="AL63" s="15">
        <f t="shared" si="14"/>
        <v>9539.9</v>
      </c>
      <c r="AM63" s="15"/>
      <c r="AN63" s="15"/>
      <c r="AO63" s="15">
        <f t="shared" si="15"/>
        <v>9523.9</v>
      </c>
      <c r="AP63" s="15">
        <f t="shared" si="16"/>
        <v>9523.9</v>
      </c>
      <c r="AQ63" s="15"/>
      <c r="AR63" s="15">
        <f t="shared" si="17"/>
        <v>9523.9</v>
      </c>
      <c r="AS63" s="15"/>
      <c r="AT63" s="10"/>
    </row>
    <row r="64" spans="1:46" s="11" customFormat="1" hidden="1" x14ac:dyDescent="0.25">
      <c r="A64" s="20" t="s">
        <v>70</v>
      </c>
      <c r="B64" s="20" t="s">
        <v>70</v>
      </c>
      <c r="C64" s="8" t="s">
        <v>71</v>
      </c>
      <c r="D64" s="9">
        <v>475076.19999999995</v>
      </c>
      <c r="E64" s="9">
        <f t="shared" si="18"/>
        <v>-475076.19999999995</v>
      </c>
      <c r="F64" s="9"/>
      <c r="G64" s="9">
        <v>986201.79999999993</v>
      </c>
      <c r="H64" s="9">
        <f t="shared" si="19"/>
        <v>-433904.49999999988</v>
      </c>
      <c r="I64" s="9">
        <v>552297.30000000005</v>
      </c>
      <c r="J64" s="9">
        <v>1125093.3999999999</v>
      </c>
      <c r="K64" s="9"/>
      <c r="L64" s="9">
        <v>6724.4</v>
      </c>
      <c r="M64" s="9">
        <v>17391.3</v>
      </c>
      <c r="N64" s="9">
        <f t="shared" si="0"/>
        <v>-475076.19999999995</v>
      </c>
      <c r="O64" s="9">
        <f t="shared" si="1"/>
        <v>0</v>
      </c>
      <c r="P64" s="9">
        <f t="shared" si="2"/>
        <v>-427180.09999999986</v>
      </c>
      <c r="Q64" s="9">
        <f t="shared" si="3"/>
        <v>559021.70000000007</v>
      </c>
      <c r="R64" s="9">
        <f t="shared" si="4"/>
        <v>1142484.7</v>
      </c>
      <c r="S64" s="9"/>
      <c r="T64" s="9"/>
      <c r="U64" s="9"/>
      <c r="V64" s="9">
        <f t="shared" si="5"/>
        <v>0</v>
      </c>
      <c r="W64" s="9">
        <f t="shared" si="6"/>
        <v>559021.70000000007</v>
      </c>
      <c r="X64" s="9">
        <f t="shared" si="7"/>
        <v>1142484.7</v>
      </c>
      <c r="Y64" s="9"/>
      <c r="Z64" s="9"/>
      <c r="AA64" s="9"/>
      <c r="AB64" s="9">
        <f t="shared" si="8"/>
        <v>0</v>
      </c>
      <c r="AC64" s="9">
        <f t="shared" si="9"/>
        <v>559021.70000000007</v>
      </c>
      <c r="AD64" s="9">
        <f t="shared" si="10"/>
        <v>1142484.7</v>
      </c>
      <c r="AE64" s="9"/>
      <c r="AF64" s="9">
        <f t="shared" si="11"/>
        <v>0</v>
      </c>
      <c r="AG64" s="9"/>
      <c r="AH64" s="9">
        <v>489.2</v>
      </c>
      <c r="AI64" s="9">
        <v>563.6</v>
      </c>
      <c r="AJ64" s="9">
        <f t="shared" si="12"/>
        <v>0</v>
      </c>
      <c r="AK64" s="9">
        <f t="shared" si="13"/>
        <v>559510.9</v>
      </c>
      <c r="AL64" s="9">
        <f t="shared" si="14"/>
        <v>1143048.3</v>
      </c>
      <c r="AM64" s="9"/>
      <c r="AN64" s="9"/>
      <c r="AO64" s="9">
        <f t="shared" si="15"/>
        <v>0</v>
      </c>
      <c r="AP64" s="9">
        <f t="shared" si="16"/>
        <v>559510.9</v>
      </c>
      <c r="AQ64" s="9"/>
      <c r="AR64" s="9">
        <f t="shared" si="17"/>
        <v>0</v>
      </c>
      <c r="AS64" s="9"/>
      <c r="AT64" s="10"/>
    </row>
    <row r="65" spans="1:46" s="11" customFormat="1" x14ac:dyDescent="0.25">
      <c r="A65" s="22"/>
      <c r="B65" s="7"/>
      <c r="C65" s="8" t="s">
        <v>72</v>
      </c>
      <c r="D65" s="9">
        <f>D64+D55+D49+D46+D41+D38+D33+D27+D24+D16+D60</f>
        <v>19003023.666999999</v>
      </c>
      <c r="E65" s="9">
        <f t="shared" si="18"/>
        <v>2481288.8330000043</v>
      </c>
      <c r="F65" s="9">
        <f>F64+F55+F49+F46+F41+F38+F33+F27+F24+F16+F60</f>
        <v>21484312.500000004</v>
      </c>
      <c r="G65" s="9">
        <f>G64+G55+G49+G46+G41+G38+G33+G27+G24+G16+G60</f>
        <v>19724023.846999995</v>
      </c>
      <c r="H65" s="9">
        <f t="shared" si="19"/>
        <v>2367866.4530000091</v>
      </c>
      <c r="I65" s="9">
        <f>I64+I55+I49+I46+I41+I38+I33+I27+I24+I16+I60</f>
        <v>22091890.300000004</v>
      </c>
      <c r="J65" s="9">
        <f>J64+J55+J49+J46+J41+J38+J33+J27+J24+J16+J60</f>
        <v>22501866.699999996</v>
      </c>
      <c r="K65" s="9">
        <f>K64+K55+K49+K46+K41+K38+K33+K27+K24+K16+K60</f>
        <v>195148.19999999998</v>
      </c>
      <c r="L65" s="9">
        <f>L64+L55+L49+L46+L41+L38+L33+L27+L24+L16+L60</f>
        <v>213752.69999999984</v>
      </c>
      <c r="M65" s="9">
        <f>M64+M55+M49+M46+M41+M38+M33+M27+M24+M16+M60</f>
        <v>292320.79999999993</v>
      </c>
      <c r="N65" s="9">
        <f>O65-D65</f>
        <v>2676437.0330000035</v>
      </c>
      <c r="O65" s="9">
        <f>F65+K65</f>
        <v>21679460.700000003</v>
      </c>
      <c r="P65" s="9">
        <f>Q65-G65</f>
        <v>2581619.1530000083</v>
      </c>
      <c r="Q65" s="9">
        <f>I65+L65</f>
        <v>22305643.000000004</v>
      </c>
      <c r="R65" s="9">
        <f>J65+M65</f>
        <v>22794187.499999996</v>
      </c>
      <c r="S65" s="9">
        <f>S64+S55+S49+S46+S41+S38+S33+S27+S24+S16+S60</f>
        <v>0</v>
      </c>
      <c r="T65" s="9">
        <f>T64+T55+T49+T46+T41+T38+T33+T27+T24+T16+T60</f>
        <v>0</v>
      </c>
      <c r="U65" s="9">
        <f>U64+U55+U49+U46+U41+U38+U33+U27+U24+U16+U60</f>
        <v>0</v>
      </c>
      <c r="V65" s="9">
        <f>O65+S65</f>
        <v>21679460.700000003</v>
      </c>
      <c r="W65" s="9">
        <f>Q65+T65</f>
        <v>22305643.000000004</v>
      </c>
      <c r="X65" s="9">
        <f>R65+U65</f>
        <v>22794187.499999996</v>
      </c>
      <c r="Y65" s="9">
        <f>Y64+Y55+Y49+Y46+Y41+Y38+Y33+Y27+Y24+Y16+Y60</f>
        <v>103514.391</v>
      </c>
      <c r="Z65" s="9">
        <f>Z64+Z55+Z49+Z46+Z41+Z38+Z33+Z27+Z24+Z16+Z60</f>
        <v>0</v>
      </c>
      <c r="AA65" s="9">
        <f>AA64+AA55+AA49+AA46+AA41+AA38+AA33+AA27+AA24+AA16+AA60</f>
        <v>0</v>
      </c>
      <c r="AB65" s="9">
        <f>V65+Y65</f>
        <v>21782975.091000002</v>
      </c>
      <c r="AC65" s="9">
        <f>W65+Z65</f>
        <v>22305643.000000004</v>
      </c>
      <c r="AD65" s="9">
        <f>X65+AA65</f>
        <v>22794187.499999996</v>
      </c>
      <c r="AE65" s="9">
        <f>AE64+AE55+AE49+AE46+AE41+AE38+AE33+AE27+AE24+AE16+AE60</f>
        <v>-1.4551915228366852E-11</v>
      </c>
      <c r="AF65" s="9">
        <f>AB65+AE65</f>
        <v>21782975.091000002</v>
      </c>
      <c r="AG65" s="9">
        <f>AG64+AG55+AG49+AG46+AG41+AG38+AG33+AG27+AG24+AG16+AG60</f>
        <v>1626221.4829999998</v>
      </c>
      <c r="AH65" s="9">
        <f>AH64+AH55+AH49+AH46+AH41+AH38+AH33+AH27+AH24+AH16+AH60</f>
        <v>42067.9</v>
      </c>
      <c r="AI65" s="9">
        <f>AI64+AI55+AI49+AI46+AI41+AI38+AI33+AI27+AI24+AI16+AI60</f>
        <v>46303.700000000004</v>
      </c>
      <c r="AJ65" s="9">
        <f>AF65+AG65</f>
        <v>23409196.574000001</v>
      </c>
      <c r="AK65" s="9">
        <f>AC65+AH65</f>
        <v>22347710.900000002</v>
      </c>
      <c r="AL65" s="9">
        <f>AD65+AI65</f>
        <v>22840491.199999996</v>
      </c>
      <c r="AM65" s="9">
        <f>AM64+AM55+AM49+AM46+AM41+AM38+AM33+AM27+AM24+AM16+AM60</f>
        <v>169068.09000000003</v>
      </c>
      <c r="AN65" s="9">
        <f>AN64+AN55+AN49+AN46+AN41+AN38+AN33+AN27+AN24+AN16+AN60</f>
        <v>0</v>
      </c>
      <c r="AO65" s="9">
        <f>AM65+AJ65</f>
        <v>23578264.664000001</v>
      </c>
      <c r="AP65" s="9">
        <f>AN65+AK65</f>
        <v>22347710.900000002</v>
      </c>
      <c r="AQ65" s="9">
        <f>AQ64+AQ55+AQ49+AQ46+AQ41+AQ38+AQ33+AQ27+AQ24+AQ16+AQ60</f>
        <v>4786.21000000001</v>
      </c>
      <c r="AR65" s="9">
        <f>AO65+AQ65</f>
        <v>23583050.874000002</v>
      </c>
      <c r="AS65" s="9">
        <f>AS64+AS55+AS49+AS46+AS41+AS38+AS33+AS27+AS24+AS16+AS60</f>
        <v>0</v>
      </c>
      <c r="AT65" s="10"/>
    </row>
  </sheetData>
  <sheetProtection password="CF5C" sheet="1" objects="1" scenarios="1"/>
  <autoFilter ref="A15:AT65"/>
  <mergeCells count="46">
    <mergeCell ref="AS14:AS15"/>
    <mergeCell ref="AL14:AL15"/>
    <mergeCell ref="AQ14:AQ15"/>
    <mergeCell ref="A11:AR11"/>
    <mergeCell ref="C1:AR1"/>
    <mergeCell ref="C2:AR2"/>
    <mergeCell ref="C3:AR3"/>
    <mergeCell ref="C6:AR6"/>
    <mergeCell ref="C7:AR7"/>
    <mergeCell ref="C8:AR8"/>
    <mergeCell ref="C9:AR9"/>
    <mergeCell ref="U14:U15"/>
    <mergeCell ref="V14:V15"/>
    <mergeCell ref="W14:W15"/>
    <mergeCell ref="X14:X15"/>
    <mergeCell ref="AR14:AR15"/>
    <mergeCell ref="E14:F14"/>
    <mergeCell ref="G14:G15"/>
    <mergeCell ref="H14:I14"/>
    <mergeCell ref="AO14:AO15"/>
    <mergeCell ref="AP14:AP15"/>
    <mergeCell ref="AJ14:AJ15"/>
    <mergeCell ref="AK14:AK15"/>
    <mergeCell ref="AM14:AN14"/>
    <mergeCell ref="AH14:AH15"/>
    <mergeCell ref="AI14:AI15"/>
    <mergeCell ref="AG14:AG15"/>
    <mergeCell ref="AD14:AD15"/>
    <mergeCell ref="AE14:AE15"/>
    <mergeCell ref="AF14:AF15"/>
    <mergeCell ref="A14:A15"/>
    <mergeCell ref="B14:B15"/>
    <mergeCell ref="C14:C15"/>
    <mergeCell ref="S14:S15"/>
    <mergeCell ref="AC14:AC15"/>
    <mergeCell ref="T14:T15"/>
    <mergeCell ref="D14:D15"/>
    <mergeCell ref="N14:O15"/>
    <mergeCell ref="R14:R15"/>
    <mergeCell ref="K14:M14"/>
    <mergeCell ref="J14:J15"/>
    <mergeCell ref="P14:Q15"/>
    <mergeCell ref="Y14:Y15"/>
    <mergeCell ref="Z14:Z15"/>
    <mergeCell ref="AA14:AA15"/>
    <mergeCell ref="AB14:AB15"/>
  </mergeCells>
  <pageMargins left="0.70866141732283472" right="0.19685039370078741" top="0.15748031496062992" bottom="0.47244094488188981" header="0.31496062992125984" footer="0.19685039370078741"/>
  <pageSetup paperSize="9" scale="89" fitToHeight="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Dep_Fin</dc:creator>
  <cp:lastModifiedBy>Колышкина Елена Владимировна</cp:lastModifiedBy>
  <cp:lastPrinted>2013-05-28T11:31:09Z</cp:lastPrinted>
  <dcterms:created xsi:type="dcterms:W3CDTF">2012-09-04T09:51:40Z</dcterms:created>
  <dcterms:modified xsi:type="dcterms:W3CDTF">2013-05-28T11:36:08Z</dcterms:modified>
</cp:coreProperties>
</file>