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35" windowHeight="7425"/>
  </bookViews>
  <sheets>
    <sheet name="Приложение № 9" sheetId="1" r:id="rId1"/>
  </sheets>
  <definedNames>
    <definedName name="_xlnm._FilterDatabase" localSheetId="0" hidden="1">'Приложение № 9'!$A$16:$AP$66</definedName>
    <definedName name="_xlnm.Print_Titles" localSheetId="0">'Приложение № 9'!$15:$16</definedName>
  </definedNames>
  <calcPr calcId="144525"/>
</workbook>
</file>

<file path=xl/calcChain.xml><?xml version="1.0" encoding="utf-8"?>
<calcChain xmlns="http://schemas.openxmlformats.org/spreadsheetml/2006/main">
  <c r="AM48" i="1" l="1"/>
  <c r="AM47" i="1" s="1"/>
  <c r="AM43" i="1"/>
  <c r="AM35" i="1"/>
  <c r="AM34" i="1" s="1"/>
  <c r="AM37" i="1"/>
  <c r="AM32" i="1"/>
  <c r="AM30" i="1"/>
  <c r="AM61" i="1"/>
  <c r="AM56" i="1"/>
  <c r="AM50" i="1"/>
  <c r="AM42" i="1"/>
  <c r="AM39" i="1"/>
  <c r="AM28" i="1"/>
  <c r="AM25" i="1"/>
  <c r="AM17" i="1"/>
  <c r="AM66" i="1" l="1"/>
  <c r="AG37" i="1"/>
  <c r="AG32" i="1"/>
  <c r="AG63" i="1"/>
  <c r="AG44" i="1"/>
  <c r="AI24" i="1"/>
  <c r="AI20" i="1"/>
  <c r="AI31" i="1"/>
  <c r="AI32" i="1"/>
  <c r="AI58" i="1"/>
  <c r="AI56" i="1" s="1"/>
  <c r="AI44" i="1"/>
  <c r="AI55" i="1"/>
  <c r="AI51" i="1"/>
  <c r="AH24" i="1"/>
  <c r="AH20" i="1"/>
  <c r="AH17" i="1" s="1"/>
  <c r="AH31" i="1"/>
  <c r="AH32" i="1"/>
  <c r="AH58" i="1"/>
  <c r="AH44" i="1"/>
  <c r="AH42" i="1" s="1"/>
  <c r="AH55" i="1"/>
  <c r="AH53" i="1"/>
  <c r="AH50" i="1" s="1"/>
  <c r="AH51" i="1"/>
  <c r="AG24" i="1"/>
  <c r="AG36" i="1"/>
  <c r="AG35" i="1"/>
  <c r="AG48" i="1"/>
  <c r="AG47" i="1" s="1"/>
  <c r="AG21" i="1"/>
  <c r="AI61" i="1"/>
  <c r="AH61" i="1"/>
  <c r="AH56" i="1"/>
  <c r="AI47" i="1"/>
  <c r="AH47" i="1"/>
  <c r="AI42" i="1"/>
  <c r="AI39" i="1"/>
  <c r="AH39" i="1"/>
  <c r="AI34" i="1"/>
  <c r="AH34" i="1"/>
  <c r="AI28" i="1"/>
  <c r="AI25" i="1"/>
  <c r="AH25" i="1"/>
  <c r="AG43" i="1"/>
  <c r="AG40" i="1"/>
  <c r="AG39" i="1" s="1"/>
  <c r="AG30" i="1"/>
  <c r="AG26" i="1"/>
  <c r="AG27" i="1"/>
  <c r="AG33" i="1"/>
  <c r="AG38" i="1"/>
  <c r="AG58" i="1"/>
  <c r="AG56" i="1" s="1"/>
  <c r="AG52" i="1"/>
  <c r="AG62" i="1"/>
  <c r="AG20" i="1"/>
  <c r="AG17" i="1" s="1"/>
  <c r="AG31" i="1"/>
  <c r="AG29" i="1"/>
  <c r="AG55" i="1"/>
  <c r="AG53" i="1"/>
  <c r="AE31" i="1"/>
  <c r="AE38" i="1"/>
  <c r="AE37" i="1"/>
  <c r="AE32" i="1"/>
  <c r="AE48" i="1"/>
  <c r="AE47" i="1" s="1"/>
  <c r="AE33" i="1"/>
  <c r="AE61" i="1"/>
  <c r="AE56" i="1"/>
  <c r="AE50" i="1"/>
  <c r="AE42" i="1"/>
  <c r="AE39" i="1"/>
  <c r="AE25" i="1"/>
  <c r="AE17" i="1"/>
  <c r="Y48" i="1"/>
  <c r="Y47" i="1" s="1"/>
  <c r="Y33" i="1"/>
  <c r="Y38" i="1"/>
  <c r="Y32" i="1"/>
  <c r="Y37" i="1"/>
  <c r="AB29" i="1"/>
  <c r="AF29" i="1" s="1"/>
  <c r="AC29" i="1"/>
  <c r="AK29" i="1" s="1"/>
  <c r="AD29" i="1"/>
  <c r="AL29" i="1" s="1"/>
  <c r="Y17" i="1"/>
  <c r="AO28" i="1"/>
  <c r="Z28" i="1"/>
  <c r="AA28" i="1"/>
  <c r="AA61" i="1"/>
  <c r="Z61" i="1"/>
  <c r="Y61" i="1"/>
  <c r="AA56" i="1"/>
  <c r="Z56" i="1"/>
  <c r="Y56" i="1"/>
  <c r="AA50" i="1"/>
  <c r="Z50" i="1"/>
  <c r="Y50" i="1"/>
  <c r="AA47" i="1"/>
  <c r="Z47" i="1"/>
  <c r="AA42" i="1"/>
  <c r="Z42" i="1"/>
  <c r="Y42" i="1"/>
  <c r="AA39" i="1"/>
  <c r="Z39" i="1"/>
  <c r="Y39" i="1"/>
  <c r="AA34" i="1"/>
  <c r="Z34" i="1"/>
  <c r="AA25" i="1"/>
  <c r="Z25" i="1"/>
  <c r="Y25" i="1"/>
  <c r="AA17" i="1"/>
  <c r="Z17" i="1"/>
  <c r="S44" i="1"/>
  <c r="S42" i="1" s="1"/>
  <c r="S24" i="1"/>
  <c r="S17" i="1" s="1"/>
  <c r="U61" i="1"/>
  <c r="T61" i="1"/>
  <c r="U56" i="1"/>
  <c r="T56" i="1"/>
  <c r="U50" i="1"/>
  <c r="T50" i="1"/>
  <c r="U47" i="1"/>
  <c r="T47" i="1"/>
  <c r="U42" i="1"/>
  <c r="T42" i="1"/>
  <c r="U39" i="1"/>
  <c r="T39" i="1"/>
  <c r="U34" i="1"/>
  <c r="T34" i="1"/>
  <c r="U28" i="1"/>
  <c r="T28" i="1"/>
  <c r="U25" i="1"/>
  <c r="T25" i="1"/>
  <c r="U17" i="1"/>
  <c r="T17" i="1"/>
  <c r="S61" i="1"/>
  <c r="S56" i="1"/>
  <c r="S50" i="1"/>
  <c r="S47" i="1"/>
  <c r="S39" i="1"/>
  <c r="S34" i="1"/>
  <c r="S28" i="1"/>
  <c r="S25" i="1"/>
  <c r="M24" i="1"/>
  <c r="M20" i="1"/>
  <c r="M41" i="1"/>
  <c r="R41" i="1" s="1"/>
  <c r="X41" i="1" s="1"/>
  <c r="AD41" i="1" s="1"/>
  <c r="AL41" i="1" s="1"/>
  <c r="M38" i="1"/>
  <c r="R38" i="1" s="1"/>
  <c r="X38" i="1" s="1"/>
  <c r="AD38" i="1" s="1"/>
  <c r="AL38" i="1" s="1"/>
  <c r="L41" i="1"/>
  <c r="L39" i="1" s="1"/>
  <c r="L38" i="1"/>
  <c r="Q38" i="1" s="1"/>
  <c r="W38" i="1" s="1"/>
  <c r="AC38" i="1" s="1"/>
  <c r="AK38" i="1" s="1"/>
  <c r="K41" i="1"/>
  <c r="K39" i="1" s="1"/>
  <c r="K38" i="1"/>
  <c r="L20" i="1"/>
  <c r="K20" i="1"/>
  <c r="O20" i="1" s="1"/>
  <c r="V20" i="1" s="1"/>
  <c r="AB20" i="1" s="1"/>
  <c r="AF20" i="1" s="1"/>
  <c r="AJ20" i="1" s="1"/>
  <c r="AN20" i="1" s="1"/>
  <c r="L24" i="1"/>
  <c r="Q24" i="1" s="1"/>
  <c r="K24" i="1"/>
  <c r="O24" i="1" s="1"/>
  <c r="N24" i="1" s="1"/>
  <c r="M37" i="1"/>
  <c r="R37" i="1" s="1"/>
  <c r="X37" i="1" s="1"/>
  <c r="AD37" i="1" s="1"/>
  <c r="AL37" i="1" s="1"/>
  <c r="L37" i="1"/>
  <c r="Q37" i="1" s="1"/>
  <c r="W37" i="1" s="1"/>
  <c r="AC37" i="1" s="1"/>
  <c r="AK37" i="1" s="1"/>
  <c r="K37" i="1"/>
  <c r="O37" i="1" s="1"/>
  <c r="V37" i="1" s="1"/>
  <c r="AB37" i="1" s="1"/>
  <c r="L35" i="1"/>
  <c r="K35" i="1"/>
  <c r="O35" i="1" s="1"/>
  <c r="M36" i="1"/>
  <c r="L36" i="1"/>
  <c r="Q36" i="1" s="1"/>
  <c r="K32" i="1"/>
  <c r="M44" i="1"/>
  <c r="R44" i="1" s="1"/>
  <c r="X44" i="1" s="1"/>
  <c r="AD44" i="1" s="1"/>
  <c r="L44" i="1"/>
  <c r="Q44" i="1" s="1"/>
  <c r="P44" i="1" s="1"/>
  <c r="K44" i="1"/>
  <c r="O44" i="1" s="1"/>
  <c r="N44" i="1" s="1"/>
  <c r="M58" i="1"/>
  <c r="L58" i="1"/>
  <c r="Q58" i="1" s="1"/>
  <c r="K58" i="1"/>
  <c r="M27" i="1"/>
  <c r="M25" i="1" s="1"/>
  <c r="L27" i="1"/>
  <c r="K27" i="1"/>
  <c r="K25" i="1" s="1"/>
  <c r="M33" i="1"/>
  <c r="R33" i="1" s="1"/>
  <c r="X33" i="1" s="1"/>
  <c r="AD33" i="1" s="1"/>
  <c r="AL33" i="1" s="1"/>
  <c r="L33" i="1"/>
  <c r="Q33" i="1" s="1"/>
  <c r="K33" i="1"/>
  <c r="O33" i="1" s="1"/>
  <c r="V33" i="1" s="1"/>
  <c r="M35" i="1"/>
  <c r="R35" i="1" s="1"/>
  <c r="X35" i="1" s="1"/>
  <c r="AD35" i="1" s="1"/>
  <c r="AL35" i="1" s="1"/>
  <c r="M63" i="1"/>
  <c r="R63" i="1" s="1"/>
  <c r="X63" i="1" s="1"/>
  <c r="AD63" i="1" s="1"/>
  <c r="AL63" i="1" s="1"/>
  <c r="L63" i="1"/>
  <c r="L61" i="1" s="1"/>
  <c r="K63" i="1"/>
  <c r="K22" i="1"/>
  <c r="O22" i="1" s="1"/>
  <c r="M48" i="1"/>
  <c r="L48" i="1"/>
  <c r="Q48" i="1" s="1"/>
  <c r="P48" i="1" s="1"/>
  <c r="K48" i="1"/>
  <c r="O48" i="1" s="1"/>
  <c r="M60" i="1"/>
  <c r="L60" i="1"/>
  <c r="K60" i="1"/>
  <c r="O60" i="1" s="1"/>
  <c r="M43" i="1"/>
  <c r="R43" i="1" s="1"/>
  <c r="X43" i="1" s="1"/>
  <c r="AD43" i="1" s="1"/>
  <c r="AL43" i="1" s="1"/>
  <c r="L43" i="1"/>
  <c r="Q43" i="1" s="1"/>
  <c r="K43" i="1"/>
  <c r="K46" i="1"/>
  <c r="O46" i="1" s="1"/>
  <c r="M64" i="1"/>
  <c r="R64" i="1" s="1"/>
  <c r="X64" i="1" s="1"/>
  <c r="AD64" i="1" s="1"/>
  <c r="AL64" i="1" s="1"/>
  <c r="L64" i="1"/>
  <c r="Q64" i="1" s="1"/>
  <c r="P64" i="1" s="1"/>
  <c r="K64" i="1"/>
  <c r="O64" i="1" s="1"/>
  <c r="V64" i="1" s="1"/>
  <c r="AB64" i="1" s="1"/>
  <c r="AF64" i="1" s="1"/>
  <c r="AJ64" i="1" s="1"/>
  <c r="AN64" i="1" s="1"/>
  <c r="M49" i="1"/>
  <c r="R49" i="1" s="1"/>
  <c r="X49" i="1" s="1"/>
  <c r="AD49" i="1" s="1"/>
  <c r="AL49" i="1" s="1"/>
  <c r="L49" i="1"/>
  <c r="Q49" i="1" s="1"/>
  <c r="K49" i="1"/>
  <c r="O49" i="1" s="1"/>
  <c r="M31" i="1"/>
  <c r="R31" i="1" s="1"/>
  <c r="X31" i="1" s="1"/>
  <c r="AD31" i="1" s="1"/>
  <c r="L31" i="1"/>
  <c r="Q31" i="1" s="1"/>
  <c r="W31" i="1" s="1"/>
  <c r="AC31" i="1" s="1"/>
  <c r="AK31" i="1" s="1"/>
  <c r="K31" i="1"/>
  <c r="O31" i="1" s="1"/>
  <c r="V31" i="1" s="1"/>
  <c r="AB31" i="1" s="1"/>
  <c r="M46" i="1"/>
  <c r="L46" i="1"/>
  <c r="Q46" i="1" s="1"/>
  <c r="W46" i="1" s="1"/>
  <c r="AC46" i="1" s="1"/>
  <c r="AK46" i="1" s="1"/>
  <c r="Q20" i="1"/>
  <c r="W20" i="1" s="1"/>
  <c r="AC20" i="1" s="1"/>
  <c r="O18" i="1"/>
  <c r="V18" i="1" s="1"/>
  <c r="AB18" i="1" s="1"/>
  <c r="AF18" i="1" s="1"/>
  <c r="AJ18" i="1" s="1"/>
  <c r="AN18" i="1" s="1"/>
  <c r="Q18" i="1"/>
  <c r="P18" i="1" s="1"/>
  <c r="R18" i="1"/>
  <c r="X18" i="1" s="1"/>
  <c r="AD18" i="1" s="1"/>
  <c r="AL18" i="1" s="1"/>
  <c r="O19" i="1"/>
  <c r="Q19" i="1"/>
  <c r="R19" i="1"/>
  <c r="X19" i="1" s="1"/>
  <c r="AD19" i="1" s="1"/>
  <c r="AL19" i="1" s="1"/>
  <c r="O21" i="1"/>
  <c r="Q21" i="1"/>
  <c r="R21" i="1"/>
  <c r="X21" i="1" s="1"/>
  <c r="AD21" i="1" s="1"/>
  <c r="AL21" i="1" s="1"/>
  <c r="Q22" i="1"/>
  <c r="W22" i="1" s="1"/>
  <c r="AC22" i="1" s="1"/>
  <c r="AK22" i="1" s="1"/>
  <c r="R22" i="1"/>
  <c r="X22" i="1" s="1"/>
  <c r="AD22" i="1" s="1"/>
  <c r="AL22" i="1" s="1"/>
  <c r="O23" i="1"/>
  <c r="Q23" i="1"/>
  <c r="R23" i="1"/>
  <c r="X23" i="1" s="1"/>
  <c r="AD23" i="1" s="1"/>
  <c r="AL23" i="1" s="1"/>
  <c r="R24" i="1"/>
  <c r="X24" i="1" s="1"/>
  <c r="AD24" i="1" s="1"/>
  <c r="O26" i="1"/>
  <c r="Q26" i="1"/>
  <c r="R26" i="1"/>
  <c r="X26" i="1" s="1"/>
  <c r="AD26" i="1" s="1"/>
  <c r="AL26" i="1" s="1"/>
  <c r="O27" i="1"/>
  <c r="V27" i="1" s="1"/>
  <c r="AB27" i="1" s="1"/>
  <c r="AF27" i="1" s="1"/>
  <c r="AJ27" i="1" s="1"/>
  <c r="AN27" i="1" s="1"/>
  <c r="O30" i="1"/>
  <c r="N30" i="1" s="1"/>
  <c r="Q30" i="1"/>
  <c r="R30" i="1"/>
  <c r="X30" i="1" s="1"/>
  <c r="AD30" i="1" s="1"/>
  <c r="AL30" i="1" s="1"/>
  <c r="O32" i="1"/>
  <c r="Q32" i="1"/>
  <c r="R32" i="1"/>
  <c r="X32" i="1" s="1"/>
  <c r="AD32" i="1" s="1"/>
  <c r="AL32" i="1" s="1"/>
  <c r="Q35" i="1"/>
  <c r="P35" i="1" s="1"/>
  <c r="O36" i="1"/>
  <c r="N36" i="1" s="1"/>
  <c r="O38" i="1"/>
  <c r="N38" i="1" s="1"/>
  <c r="O40" i="1"/>
  <c r="V40" i="1" s="1"/>
  <c r="AB40" i="1" s="1"/>
  <c r="AF40" i="1" s="1"/>
  <c r="Q40" i="1"/>
  <c r="W40" i="1" s="1"/>
  <c r="AC40" i="1" s="1"/>
  <c r="AK40" i="1" s="1"/>
  <c r="R40" i="1"/>
  <c r="X40" i="1" s="1"/>
  <c r="AD40" i="1" s="1"/>
  <c r="AL40" i="1" s="1"/>
  <c r="O45" i="1"/>
  <c r="V45" i="1" s="1"/>
  <c r="AB45" i="1" s="1"/>
  <c r="AF45" i="1" s="1"/>
  <c r="AJ45" i="1" s="1"/>
  <c r="AN45" i="1" s="1"/>
  <c r="Q45" i="1"/>
  <c r="W45" i="1" s="1"/>
  <c r="AC45" i="1" s="1"/>
  <c r="AK45" i="1" s="1"/>
  <c r="R45" i="1"/>
  <c r="X45" i="1" s="1"/>
  <c r="AD45" i="1" s="1"/>
  <c r="AL45" i="1" s="1"/>
  <c r="R46" i="1"/>
  <c r="X46" i="1" s="1"/>
  <c r="AD46" i="1" s="1"/>
  <c r="AL46" i="1" s="1"/>
  <c r="R48" i="1"/>
  <c r="X48" i="1" s="1"/>
  <c r="AD48" i="1" s="1"/>
  <c r="AL48" i="1" s="1"/>
  <c r="O51" i="1"/>
  <c r="Q51" i="1"/>
  <c r="P51" i="1" s="1"/>
  <c r="R51" i="1"/>
  <c r="X51" i="1" s="1"/>
  <c r="AD51" i="1" s="1"/>
  <c r="AL51" i="1" s="1"/>
  <c r="O52" i="1"/>
  <c r="N52" i="1" s="1"/>
  <c r="Q52" i="1"/>
  <c r="W52" i="1" s="1"/>
  <c r="AC52" i="1" s="1"/>
  <c r="AK52" i="1" s="1"/>
  <c r="R52" i="1"/>
  <c r="X52" i="1" s="1"/>
  <c r="AD52" i="1" s="1"/>
  <c r="AL52" i="1" s="1"/>
  <c r="O53" i="1"/>
  <c r="Q53" i="1"/>
  <c r="P53" i="1" s="1"/>
  <c r="R53" i="1"/>
  <c r="X53" i="1" s="1"/>
  <c r="AD53" i="1" s="1"/>
  <c r="AL53" i="1" s="1"/>
  <c r="O54" i="1"/>
  <c r="V54" i="1" s="1"/>
  <c r="AB54" i="1" s="1"/>
  <c r="AF54" i="1" s="1"/>
  <c r="AJ54" i="1" s="1"/>
  <c r="AN54" i="1" s="1"/>
  <c r="Q54" i="1"/>
  <c r="W54" i="1" s="1"/>
  <c r="AC54" i="1" s="1"/>
  <c r="AK54" i="1" s="1"/>
  <c r="R54" i="1"/>
  <c r="X54" i="1" s="1"/>
  <c r="AD54" i="1" s="1"/>
  <c r="AL54" i="1" s="1"/>
  <c r="O55" i="1"/>
  <c r="Q55" i="1"/>
  <c r="P55" i="1" s="1"/>
  <c r="R55" i="1"/>
  <c r="X55" i="1" s="1"/>
  <c r="AD55" i="1" s="1"/>
  <c r="AL55" i="1" s="1"/>
  <c r="O57" i="1"/>
  <c r="V57" i="1" s="1"/>
  <c r="AB57" i="1" s="1"/>
  <c r="AF57" i="1" s="1"/>
  <c r="AJ57" i="1" s="1"/>
  <c r="AN57" i="1" s="1"/>
  <c r="Q57" i="1"/>
  <c r="W57" i="1" s="1"/>
  <c r="AC57" i="1" s="1"/>
  <c r="AK57" i="1" s="1"/>
  <c r="R57" i="1"/>
  <c r="X57" i="1" s="1"/>
  <c r="AD57" i="1" s="1"/>
  <c r="AL57" i="1" s="1"/>
  <c r="R58" i="1"/>
  <c r="X58" i="1" s="1"/>
  <c r="AD58" i="1" s="1"/>
  <c r="AL58" i="1" s="1"/>
  <c r="O59" i="1"/>
  <c r="V59" i="1" s="1"/>
  <c r="AB59" i="1" s="1"/>
  <c r="AF59" i="1" s="1"/>
  <c r="AJ59" i="1" s="1"/>
  <c r="AN59" i="1" s="1"/>
  <c r="Q59" i="1"/>
  <c r="W59" i="1" s="1"/>
  <c r="AC59" i="1" s="1"/>
  <c r="AK59" i="1" s="1"/>
  <c r="R59" i="1"/>
  <c r="X59" i="1" s="1"/>
  <c r="AD59" i="1" s="1"/>
  <c r="AL59" i="1" s="1"/>
  <c r="O62" i="1"/>
  <c r="V62" i="1" s="1"/>
  <c r="AB62" i="1" s="1"/>
  <c r="AF62" i="1" s="1"/>
  <c r="Q62" i="1"/>
  <c r="W62" i="1" s="1"/>
  <c r="AC62" i="1" s="1"/>
  <c r="AK62" i="1" s="1"/>
  <c r="R62" i="1"/>
  <c r="X62" i="1" s="1"/>
  <c r="AD62" i="1" s="1"/>
  <c r="AL62" i="1" s="1"/>
  <c r="O63" i="1"/>
  <c r="Q63" i="1"/>
  <c r="O65" i="1"/>
  <c r="Q65" i="1"/>
  <c r="P65" i="1" s="1"/>
  <c r="R65" i="1"/>
  <c r="X65" i="1" s="1"/>
  <c r="AD65" i="1" s="1"/>
  <c r="AL65" i="1" s="1"/>
  <c r="M50" i="1"/>
  <c r="L50" i="1"/>
  <c r="K50" i="1"/>
  <c r="L34" i="1"/>
  <c r="G49" i="1"/>
  <c r="H49" i="1" s="1"/>
  <c r="D49" i="1"/>
  <c r="D47" i="1" s="1"/>
  <c r="G45" i="1"/>
  <c r="G42" i="1" s="1"/>
  <c r="D45" i="1"/>
  <c r="D43" i="1"/>
  <c r="E43" i="1" s="1"/>
  <c r="D37" i="1"/>
  <c r="E37" i="1" s="1"/>
  <c r="J61" i="1"/>
  <c r="J56" i="1"/>
  <c r="J50" i="1"/>
  <c r="J47" i="1"/>
  <c r="J42" i="1"/>
  <c r="J39" i="1"/>
  <c r="J34" i="1"/>
  <c r="J28" i="1"/>
  <c r="J25" i="1"/>
  <c r="J17" i="1"/>
  <c r="H18" i="1"/>
  <c r="H19" i="1"/>
  <c r="H20" i="1"/>
  <c r="H21" i="1"/>
  <c r="H22" i="1"/>
  <c r="H23" i="1"/>
  <c r="H24" i="1"/>
  <c r="H26" i="1"/>
  <c r="H27" i="1"/>
  <c r="H30" i="1"/>
  <c r="H31" i="1"/>
  <c r="H32" i="1"/>
  <c r="H33" i="1"/>
  <c r="H35" i="1"/>
  <c r="H36" i="1"/>
  <c r="H37" i="1"/>
  <c r="H38" i="1"/>
  <c r="H40" i="1"/>
  <c r="H41" i="1"/>
  <c r="H43" i="1"/>
  <c r="H44" i="1"/>
  <c r="H46" i="1"/>
  <c r="H48" i="1"/>
  <c r="H51" i="1"/>
  <c r="H52" i="1"/>
  <c r="H53" i="1"/>
  <c r="H54" i="1"/>
  <c r="H55" i="1"/>
  <c r="H57" i="1"/>
  <c r="H58" i="1"/>
  <c r="H59" i="1"/>
  <c r="H60" i="1"/>
  <c r="H62" i="1"/>
  <c r="H63" i="1"/>
  <c r="H64" i="1"/>
  <c r="H65" i="1"/>
  <c r="I61" i="1"/>
  <c r="I56" i="1"/>
  <c r="I50" i="1"/>
  <c r="I47" i="1"/>
  <c r="I42" i="1"/>
  <c r="I39" i="1"/>
  <c r="I34" i="1"/>
  <c r="I28" i="1"/>
  <c r="I25" i="1"/>
  <c r="I17" i="1"/>
  <c r="G61" i="1"/>
  <c r="G56" i="1"/>
  <c r="G50" i="1"/>
  <c r="G39" i="1"/>
  <c r="G34" i="1"/>
  <c r="G28" i="1"/>
  <c r="H28" i="1" s="1"/>
  <c r="G25" i="1"/>
  <c r="G17" i="1"/>
  <c r="E18" i="1"/>
  <c r="E19" i="1"/>
  <c r="E20" i="1"/>
  <c r="E21" i="1"/>
  <c r="E22" i="1"/>
  <c r="E23" i="1"/>
  <c r="E24" i="1"/>
  <c r="E26" i="1"/>
  <c r="E27" i="1"/>
  <c r="E30" i="1"/>
  <c r="E31" i="1"/>
  <c r="E32" i="1"/>
  <c r="E33" i="1"/>
  <c r="E35" i="1"/>
  <c r="E36" i="1"/>
  <c r="E38" i="1"/>
  <c r="E40" i="1"/>
  <c r="E41" i="1"/>
  <c r="E44" i="1"/>
  <c r="E45" i="1"/>
  <c r="E46" i="1"/>
  <c r="E48" i="1"/>
  <c r="E51" i="1"/>
  <c r="E52" i="1"/>
  <c r="E53" i="1"/>
  <c r="E54" i="1"/>
  <c r="E55" i="1"/>
  <c r="E57" i="1"/>
  <c r="E58" i="1"/>
  <c r="E59" i="1"/>
  <c r="E60" i="1"/>
  <c r="E62" i="1"/>
  <c r="E63" i="1"/>
  <c r="E64" i="1"/>
  <c r="E65" i="1"/>
  <c r="F61" i="1"/>
  <c r="F56" i="1"/>
  <c r="F50" i="1"/>
  <c r="F47" i="1"/>
  <c r="F42" i="1"/>
  <c r="F39" i="1"/>
  <c r="F34" i="1"/>
  <c r="F28" i="1"/>
  <c r="F25" i="1"/>
  <c r="E25" i="1" s="1"/>
  <c r="F17" i="1"/>
  <c r="D61" i="1"/>
  <c r="D56" i="1"/>
  <c r="D50" i="1"/>
  <c r="D39" i="1"/>
  <c r="D28" i="1"/>
  <c r="D25" i="1"/>
  <c r="D17" i="1"/>
  <c r="AO61" i="1"/>
  <c r="AO56" i="1"/>
  <c r="AO50" i="1"/>
  <c r="AO47" i="1"/>
  <c r="AO42" i="1"/>
  <c r="AO39" i="1"/>
  <c r="AO34" i="1"/>
  <c r="AO25" i="1"/>
  <c r="AO17" i="1"/>
  <c r="K28" i="1"/>
  <c r="P38" i="1" l="1"/>
  <c r="P22" i="1"/>
  <c r="Q50" i="1"/>
  <c r="W50" i="1" s="1"/>
  <c r="AC50" i="1" s="1"/>
  <c r="AK50" i="1" s="1"/>
  <c r="P57" i="1"/>
  <c r="P54" i="1"/>
  <c r="P52" i="1"/>
  <c r="V52" i="1"/>
  <c r="AB52" i="1" s="1"/>
  <c r="AF52" i="1" s="1"/>
  <c r="AJ52" i="1" s="1"/>
  <c r="AN52" i="1" s="1"/>
  <c r="E47" i="1"/>
  <c r="N57" i="1"/>
  <c r="N54" i="1"/>
  <c r="E56" i="1"/>
  <c r="D42" i="1"/>
  <c r="E42" i="1" s="1"/>
  <c r="E49" i="1"/>
  <c r="H50" i="1"/>
  <c r="H56" i="1"/>
  <c r="P46" i="1"/>
  <c r="N33" i="1"/>
  <c r="N31" i="1"/>
  <c r="M56" i="1"/>
  <c r="AG42" i="1"/>
  <c r="Q34" i="1"/>
  <c r="J66" i="1"/>
  <c r="N45" i="1"/>
  <c r="N62" i="1"/>
  <c r="Q61" i="1"/>
  <c r="R25" i="1"/>
  <c r="AF37" i="1"/>
  <c r="AJ37" i="1" s="1"/>
  <c r="AN37" i="1" s="1"/>
  <c r="H42" i="1"/>
  <c r="K47" i="1"/>
  <c r="W65" i="1"/>
  <c r="AC65" i="1" s="1"/>
  <c r="AK65" i="1" s="1"/>
  <c r="O41" i="1"/>
  <c r="N41" i="1" s="1"/>
  <c r="N40" i="1"/>
  <c r="P31" i="1"/>
  <c r="R27" i="1"/>
  <c r="X27" i="1" s="1"/>
  <c r="AD27" i="1" s="1"/>
  <c r="AL27" i="1" s="1"/>
  <c r="AB33" i="1"/>
  <c r="AF33" i="1" s="1"/>
  <c r="AJ33" i="1" s="1"/>
  <c r="AN33" i="1" s="1"/>
  <c r="D34" i="1"/>
  <c r="D66" i="1" s="1"/>
  <c r="P59" i="1"/>
  <c r="P40" i="1"/>
  <c r="P20" i="1"/>
  <c r="L56" i="1"/>
  <c r="Q56" i="1" s="1"/>
  <c r="W56" i="1" s="1"/>
  <c r="AC56" i="1" s="1"/>
  <c r="AK56" i="1" s="1"/>
  <c r="V30" i="1"/>
  <c r="AB30" i="1" s="1"/>
  <c r="AF30" i="1" s="1"/>
  <c r="AJ30" i="1" s="1"/>
  <c r="AN30" i="1" s="1"/>
  <c r="AE34" i="1"/>
  <c r="AG28" i="1"/>
  <c r="AG25" i="1"/>
  <c r="V46" i="1"/>
  <c r="AB46" i="1" s="1"/>
  <c r="AF46" i="1" s="1"/>
  <c r="AJ46" i="1" s="1"/>
  <c r="AN46" i="1" s="1"/>
  <c r="N46" i="1"/>
  <c r="W33" i="1"/>
  <c r="AC33" i="1" s="1"/>
  <c r="AK33" i="1" s="1"/>
  <c r="P33" i="1"/>
  <c r="W36" i="1"/>
  <c r="AC36" i="1" s="1"/>
  <c r="AK36" i="1" s="1"/>
  <c r="P36" i="1"/>
  <c r="W24" i="1"/>
  <c r="AC24" i="1" s="1"/>
  <c r="AK24" i="1" s="1"/>
  <c r="P24" i="1"/>
  <c r="E28" i="1"/>
  <c r="H34" i="1"/>
  <c r="O25" i="1"/>
  <c r="N25" i="1" s="1"/>
  <c r="AJ40" i="1"/>
  <c r="AN40" i="1" s="1"/>
  <c r="AL31" i="1"/>
  <c r="M47" i="1"/>
  <c r="R47" i="1" s="1"/>
  <c r="X47" i="1" s="1"/>
  <c r="AD47" i="1" s="1"/>
  <c r="AL47" i="1" s="1"/>
  <c r="K56" i="1"/>
  <c r="O56" i="1" s="1"/>
  <c r="AE28" i="1"/>
  <c r="O28" i="1"/>
  <c r="V28" i="1" s="1"/>
  <c r="H39" i="1"/>
  <c r="M39" i="1"/>
  <c r="R39" i="1" s="1"/>
  <c r="X39" i="1" s="1"/>
  <c r="AD39" i="1" s="1"/>
  <c r="AL39" i="1" s="1"/>
  <c r="O58" i="1"/>
  <c r="N58" i="1" s="1"/>
  <c r="AL44" i="1"/>
  <c r="L17" i="1"/>
  <c r="Q17" i="1" s="1"/>
  <c r="W17" i="1" s="1"/>
  <c r="AC17" i="1" s="1"/>
  <c r="AK17" i="1" s="1"/>
  <c r="Q39" i="1"/>
  <c r="P39" i="1" s="1"/>
  <c r="U66" i="1"/>
  <c r="G47" i="1"/>
  <c r="H47" i="1" s="1"/>
  <c r="I66" i="1"/>
  <c r="L28" i="1"/>
  <c r="Q28" i="1" s="1"/>
  <c r="P28" i="1" s="1"/>
  <c r="L42" i="1"/>
  <c r="Q42" i="1" s="1"/>
  <c r="W42" i="1" s="1"/>
  <c r="AC42" i="1" s="1"/>
  <c r="AK42" i="1" s="1"/>
  <c r="R50" i="1"/>
  <c r="X50" i="1" s="1"/>
  <c r="AD50" i="1" s="1"/>
  <c r="P62" i="1"/>
  <c r="N59" i="1"/>
  <c r="Q41" i="1"/>
  <c r="P41" i="1" s="1"/>
  <c r="N18" i="1"/>
  <c r="L47" i="1"/>
  <c r="Q47" i="1" s="1"/>
  <c r="W47" i="1" s="1"/>
  <c r="AC47" i="1" s="1"/>
  <c r="AK47" i="1" s="1"/>
  <c r="V24" i="1"/>
  <c r="AB24" i="1" s="1"/>
  <c r="AF24" i="1" s="1"/>
  <c r="AJ24" i="1" s="1"/>
  <c r="AN24" i="1" s="1"/>
  <c r="S66" i="1"/>
  <c r="T66" i="1"/>
  <c r="V38" i="1"/>
  <c r="AB38" i="1" s="1"/>
  <c r="AF38" i="1" s="1"/>
  <c r="AJ38" i="1" s="1"/>
  <c r="AN38" i="1" s="1"/>
  <c r="AJ29" i="1"/>
  <c r="AN29" i="1" s="1"/>
  <c r="Y28" i="1"/>
  <c r="N49" i="1"/>
  <c r="V49" i="1"/>
  <c r="AB49" i="1" s="1"/>
  <c r="AF49" i="1" s="1"/>
  <c r="AJ49" i="1" s="1"/>
  <c r="AN49" i="1" s="1"/>
  <c r="N22" i="1"/>
  <c r="V22" i="1"/>
  <c r="AB22" i="1" s="1"/>
  <c r="AF22" i="1" s="1"/>
  <c r="AJ22" i="1" s="1"/>
  <c r="AN22" i="1" s="1"/>
  <c r="P58" i="1"/>
  <c r="W58" i="1"/>
  <c r="AC58" i="1" s="1"/>
  <c r="AK58" i="1" s="1"/>
  <c r="AG61" i="1"/>
  <c r="H17" i="1"/>
  <c r="X25" i="1"/>
  <c r="AD25" i="1" s="1"/>
  <c r="AL25" i="1" s="1"/>
  <c r="AJ62" i="1"/>
  <c r="AN62" i="1" s="1"/>
  <c r="AK20" i="1"/>
  <c r="W64" i="1"/>
  <c r="AC64" i="1" s="1"/>
  <c r="AK64" i="1" s="1"/>
  <c r="K17" i="1"/>
  <c r="H45" i="1"/>
  <c r="N37" i="1"/>
  <c r="R60" i="1"/>
  <c r="X60" i="1" s="1"/>
  <c r="AD60" i="1" s="1"/>
  <c r="AL60" i="1" s="1"/>
  <c r="AF31" i="1"/>
  <c r="AJ31" i="1" s="1"/>
  <c r="AN31" i="1" s="1"/>
  <c r="M42" i="1"/>
  <c r="R42" i="1" s="1"/>
  <c r="X42" i="1" s="1"/>
  <c r="AD42" i="1" s="1"/>
  <c r="AL42" i="1" s="1"/>
  <c r="K34" i="1"/>
  <c r="O34" i="1" s="1"/>
  <c r="W53" i="1"/>
  <c r="AC53" i="1" s="1"/>
  <c r="AK53" i="1" s="1"/>
  <c r="W18" i="1"/>
  <c r="AC18" i="1" s="1"/>
  <c r="AK18" i="1" s="1"/>
  <c r="Z66" i="1"/>
  <c r="AG34" i="1"/>
  <c r="AH28" i="1"/>
  <c r="AH66" i="1" s="1"/>
  <c r="AI50" i="1"/>
  <c r="AI17" i="1"/>
  <c r="N64" i="1"/>
  <c r="W44" i="1"/>
  <c r="AC44" i="1" s="1"/>
  <c r="AK44" i="1" s="1"/>
  <c r="V36" i="1"/>
  <c r="AB36" i="1" s="1"/>
  <c r="AF36" i="1" s="1"/>
  <c r="AJ36" i="1" s="1"/>
  <c r="AN36" i="1" s="1"/>
  <c r="E39" i="1"/>
  <c r="H25" i="1"/>
  <c r="H61" i="1"/>
  <c r="P45" i="1"/>
  <c r="M28" i="1"/>
  <c r="R28" i="1" s="1"/>
  <c r="X28" i="1" s="1"/>
  <c r="AD28" i="1" s="1"/>
  <c r="AL28" i="1" s="1"/>
  <c r="Q60" i="1"/>
  <c r="P60" i="1" s="1"/>
  <c r="P37" i="1"/>
  <c r="N27" i="1"/>
  <c r="N20" i="1"/>
  <c r="W48" i="1"/>
  <c r="AC48" i="1" s="1"/>
  <c r="AK48" i="1" s="1"/>
  <c r="AA66" i="1"/>
  <c r="E61" i="1"/>
  <c r="V65" i="1"/>
  <c r="AB65" i="1" s="1"/>
  <c r="AF65" i="1" s="1"/>
  <c r="AJ65" i="1" s="1"/>
  <c r="AN65" i="1" s="1"/>
  <c r="N65" i="1"/>
  <c r="W49" i="1"/>
  <c r="AC49" i="1" s="1"/>
  <c r="AK49" i="1" s="1"/>
  <c r="P49" i="1"/>
  <c r="V48" i="1"/>
  <c r="AB48" i="1" s="1"/>
  <c r="AF48" i="1" s="1"/>
  <c r="AJ48" i="1" s="1"/>
  <c r="AN48" i="1" s="1"/>
  <c r="N48" i="1"/>
  <c r="W35" i="1"/>
  <c r="AC35" i="1" s="1"/>
  <c r="AK35" i="1" s="1"/>
  <c r="N26" i="1"/>
  <c r="V26" i="1"/>
  <c r="AB26" i="1" s="1"/>
  <c r="AF26" i="1" s="1"/>
  <c r="AJ26" i="1" s="1"/>
  <c r="AN26" i="1" s="1"/>
  <c r="AO66" i="1"/>
  <c r="E17" i="1"/>
  <c r="O50" i="1"/>
  <c r="F66" i="1"/>
  <c r="W34" i="1"/>
  <c r="AC34" i="1" s="1"/>
  <c r="AK34" i="1" s="1"/>
  <c r="P34" i="1"/>
  <c r="W61" i="1"/>
  <c r="AC61" i="1" s="1"/>
  <c r="AK61" i="1" s="1"/>
  <c r="P61" i="1"/>
  <c r="R56" i="1"/>
  <c r="X56" i="1" s="1"/>
  <c r="AD56" i="1" s="1"/>
  <c r="AL56" i="1" s="1"/>
  <c r="N63" i="1"/>
  <c r="V63" i="1"/>
  <c r="AB63" i="1" s="1"/>
  <c r="AF63" i="1" s="1"/>
  <c r="AJ63" i="1" s="1"/>
  <c r="AN63" i="1" s="1"/>
  <c r="V60" i="1"/>
  <c r="AB60" i="1" s="1"/>
  <c r="AF60" i="1" s="1"/>
  <c r="AJ60" i="1" s="1"/>
  <c r="AN60" i="1" s="1"/>
  <c r="N60" i="1"/>
  <c r="V55" i="1"/>
  <c r="AB55" i="1" s="1"/>
  <c r="AF55" i="1" s="1"/>
  <c r="AJ55" i="1" s="1"/>
  <c r="AN55" i="1" s="1"/>
  <c r="N55" i="1"/>
  <c r="V53" i="1"/>
  <c r="AB53" i="1" s="1"/>
  <c r="AF53" i="1" s="1"/>
  <c r="AJ53" i="1" s="1"/>
  <c r="AN53" i="1" s="1"/>
  <c r="N53" i="1"/>
  <c r="V51" i="1"/>
  <c r="AB51" i="1" s="1"/>
  <c r="AF51" i="1" s="1"/>
  <c r="AJ51" i="1" s="1"/>
  <c r="AN51" i="1" s="1"/>
  <c r="N51" i="1"/>
  <c r="P32" i="1"/>
  <c r="W32" i="1"/>
  <c r="AC32" i="1" s="1"/>
  <c r="AK32" i="1" s="1"/>
  <c r="W30" i="1"/>
  <c r="AC30" i="1" s="1"/>
  <c r="AK30" i="1" s="1"/>
  <c r="P30" i="1"/>
  <c r="AE66" i="1"/>
  <c r="E50" i="1"/>
  <c r="P23" i="1"/>
  <c r="W23" i="1"/>
  <c r="AC23" i="1" s="1"/>
  <c r="AK23" i="1" s="1"/>
  <c r="P21" i="1"/>
  <c r="W21" i="1"/>
  <c r="AC21" i="1" s="1"/>
  <c r="AK21" i="1" s="1"/>
  <c r="N19" i="1"/>
  <c r="V19" i="1"/>
  <c r="AB19" i="1" s="1"/>
  <c r="AF19" i="1" s="1"/>
  <c r="AJ19" i="1" s="1"/>
  <c r="AN19" i="1" s="1"/>
  <c r="O47" i="1"/>
  <c r="V44" i="1"/>
  <c r="AB44" i="1" s="1"/>
  <c r="AF44" i="1" s="1"/>
  <c r="AJ44" i="1" s="1"/>
  <c r="AN44" i="1" s="1"/>
  <c r="N32" i="1"/>
  <c r="V32" i="1"/>
  <c r="AB32" i="1" s="1"/>
  <c r="AF32" i="1" s="1"/>
  <c r="AJ32" i="1" s="1"/>
  <c r="AN32" i="1" s="1"/>
  <c r="AL24" i="1"/>
  <c r="W19" i="1"/>
  <c r="AC19" i="1" s="1"/>
  <c r="AK19" i="1" s="1"/>
  <c r="P19" i="1"/>
  <c r="O43" i="1"/>
  <c r="K42" i="1"/>
  <c r="O42" i="1" s="1"/>
  <c r="M61" i="1"/>
  <c r="R61" i="1" s="1"/>
  <c r="X61" i="1" s="1"/>
  <c r="AD61" i="1" s="1"/>
  <c r="AL61" i="1" s="1"/>
  <c r="M34" i="1"/>
  <c r="R34" i="1" s="1"/>
  <c r="X34" i="1" s="1"/>
  <c r="AD34" i="1" s="1"/>
  <c r="AL34" i="1" s="1"/>
  <c r="R36" i="1"/>
  <c r="X36" i="1" s="1"/>
  <c r="AD36" i="1" s="1"/>
  <c r="AL36" i="1" s="1"/>
  <c r="R20" i="1"/>
  <c r="X20" i="1" s="1"/>
  <c r="AD20" i="1" s="1"/>
  <c r="AL20" i="1" s="1"/>
  <c r="M17" i="1"/>
  <c r="R17" i="1" s="1"/>
  <c r="X17" i="1" s="1"/>
  <c r="AD17" i="1" s="1"/>
  <c r="V25" i="1"/>
  <c r="AB25" i="1" s="1"/>
  <c r="AF25" i="1" s="1"/>
  <c r="W51" i="1"/>
  <c r="AC51" i="1" s="1"/>
  <c r="AK51" i="1" s="1"/>
  <c r="W41" i="1"/>
  <c r="AC41" i="1" s="1"/>
  <c r="AK41" i="1" s="1"/>
  <c r="Y34" i="1"/>
  <c r="O39" i="1"/>
  <c r="W63" i="1"/>
  <c r="AC63" i="1" s="1"/>
  <c r="AK63" i="1" s="1"/>
  <c r="P63" i="1"/>
  <c r="W43" i="1"/>
  <c r="AC43" i="1" s="1"/>
  <c r="AK43" i="1" s="1"/>
  <c r="P43" i="1"/>
  <c r="V35" i="1"/>
  <c r="AB35" i="1" s="1"/>
  <c r="AF35" i="1" s="1"/>
  <c r="AJ35" i="1" s="1"/>
  <c r="AN35" i="1" s="1"/>
  <c r="N35" i="1"/>
  <c r="W26" i="1"/>
  <c r="AC26" i="1" s="1"/>
  <c r="AK26" i="1" s="1"/>
  <c r="P26" i="1"/>
  <c r="N23" i="1"/>
  <c r="V23" i="1"/>
  <c r="AB23" i="1" s="1"/>
  <c r="AF23" i="1" s="1"/>
  <c r="AJ23" i="1" s="1"/>
  <c r="AN23" i="1" s="1"/>
  <c r="V21" i="1"/>
  <c r="AB21" i="1" s="1"/>
  <c r="AF21" i="1" s="1"/>
  <c r="AJ21" i="1" s="1"/>
  <c r="AN21" i="1" s="1"/>
  <c r="N21" i="1"/>
  <c r="K61" i="1"/>
  <c r="O61" i="1" s="1"/>
  <c r="Q27" i="1"/>
  <c r="L25" i="1"/>
  <c r="Q25" i="1" s="1"/>
  <c r="W55" i="1"/>
  <c r="AC55" i="1" s="1"/>
  <c r="AK55" i="1" s="1"/>
  <c r="AG50" i="1"/>
  <c r="O17" i="1"/>
  <c r="V58" i="1" l="1"/>
  <c r="AB58" i="1" s="1"/>
  <c r="AF58" i="1" s="1"/>
  <c r="AJ58" i="1" s="1"/>
  <c r="AN58" i="1" s="1"/>
  <c r="P50" i="1"/>
  <c r="W28" i="1"/>
  <c r="AC28" i="1" s="1"/>
  <c r="AK28" i="1"/>
  <c r="W39" i="1"/>
  <c r="AC39" i="1" s="1"/>
  <c r="AK39" i="1" s="1"/>
  <c r="AL50" i="1"/>
  <c r="P17" i="1"/>
  <c r="AJ25" i="1"/>
  <c r="AN25" i="1" s="1"/>
  <c r="E34" i="1"/>
  <c r="AB28" i="1"/>
  <c r="AF28" i="1" s="1"/>
  <c r="AJ28" i="1" s="1"/>
  <c r="AN28" i="1" s="1"/>
  <c r="V41" i="1"/>
  <c r="AB41" i="1" s="1"/>
  <c r="AF41" i="1" s="1"/>
  <c r="AJ41" i="1" s="1"/>
  <c r="AN41" i="1" s="1"/>
  <c r="P47" i="1"/>
  <c r="N28" i="1"/>
  <c r="P42" i="1"/>
  <c r="G66" i="1"/>
  <c r="H66" i="1" s="1"/>
  <c r="P56" i="1"/>
  <c r="AI66" i="1"/>
  <c r="Y66" i="1"/>
  <c r="W60" i="1"/>
  <c r="AC60" i="1" s="1"/>
  <c r="AK60" i="1" s="1"/>
  <c r="N56" i="1"/>
  <c r="V56" i="1"/>
  <c r="AB56" i="1" s="1"/>
  <c r="AF56" i="1" s="1"/>
  <c r="AJ56" i="1" s="1"/>
  <c r="AN56" i="1" s="1"/>
  <c r="AG66" i="1"/>
  <c r="K66" i="1"/>
  <c r="AL17" i="1"/>
  <c r="V42" i="1"/>
  <c r="AB42" i="1" s="1"/>
  <c r="AF42" i="1" s="1"/>
  <c r="AJ42" i="1" s="1"/>
  <c r="AN42" i="1" s="1"/>
  <c r="N42" i="1"/>
  <c r="V17" i="1"/>
  <c r="AB17" i="1" s="1"/>
  <c r="AF17" i="1" s="1"/>
  <c r="AJ17" i="1" s="1"/>
  <c r="AN17" i="1" s="1"/>
  <c r="N17" i="1"/>
  <c r="N61" i="1"/>
  <c r="V61" i="1"/>
  <c r="AB61" i="1" s="1"/>
  <c r="AF61" i="1" s="1"/>
  <c r="AJ61" i="1" s="1"/>
  <c r="AN61" i="1" s="1"/>
  <c r="V39" i="1"/>
  <c r="AB39" i="1" s="1"/>
  <c r="AF39" i="1" s="1"/>
  <c r="AJ39" i="1" s="1"/>
  <c r="AN39" i="1" s="1"/>
  <c r="N39" i="1"/>
  <c r="P27" i="1"/>
  <c r="W27" i="1"/>
  <c r="AC27" i="1" s="1"/>
  <c r="AK27" i="1" s="1"/>
  <c r="L66" i="1"/>
  <c r="Q66" i="1" s="1"/>
  <c r="M66" i="1"/>
  <c r="R66" i="1" s="1"/>
  <c r="X66" i="1" s="1"/>
  <c r="AD66" i="1" s="1"/>
  <c r="N47" i="1"/>
  <c r="V47" i="1"/>
  <c r="AB47" i="1" s="1"/>
  <c r="AF47" i="1" s="1"/>
  <c r="AJ47" i="1" s="1"/>
  <c r="AN47" i="1" s="1"/>
  <c r="E66" i="1"/>
  <c r="O66" i="1"/>
  <c r="V43" i="1"/>
  <c r="AB43" i="1" s="1"/>
  <c r="AF43" i="1" s="1"/>
  <c r="AJ43" i="1" s="1"/>
  <c r="AN43" i="1" s="1"/>
  <c r="N43" i="1"/>
  <c r="N50" i="1"/>
  <c r="V50" i="1"/>
  <c r="AB50" i="1" s="1"/>
  <c r="AF50" i="1" s="1"/>
  <c r="AJ50" i="1" s="1"/>
  <c r="AN50" i="1" s="1"/>
  <c r="W25" i="1"/>
  <c r="AC25" i="1" s="1"/>
  <c r="AK25" i="1" s="1"/>
  <c r="P25" i="1"/>
  <c r="V34" i="1"/>
  <c r="AB34" i="1" s="1"/>
  <c r="AF34" i="1" s="1"/>
  <c r="AJ34" i="1" s="1"/>
  <c r="AN34" i="1" s="1"/>
  <c r="N34" i="1"/>
  <c r="AL66" i="1" l="1"/>
  <c r="W66" i="1"/>
  <c r="AC66" i="1" s="1"/>
  <c r="AK66" i="1" s="1"/>
  <c r="P66" i="1"/>
  <c r="N66" i="1"/>
  <c r="V66" i="1"/>
  <c r="AB66" i="1" s="1"/>
  <c r="AF66" i="1" s="1"/>
  <c r="AJ66" i="1" s="1"/>
  <c r="AN66" i="1" s="1"/>
</calcChain>
</file>

<file path=xl/sharedStrings.xml><?xml version="1.0" encoding="utf-8"?>
<sst xmlns="http://schemas.openxmlformats.org/spreadsheetml/2006/main" count="198" uniqueCount="106">
  <si>
    <t>Раздел</t>
  </si>
  <si>
    <t>Подраз-дел</t>
  </si>
  <si>
    <t xml:space="preserve">Наименование </t>
  </si>
  <si>
    <t>2013 год (I чтение)</t>
  </si>
  <si>
    <t>2014 год (I чтение)</t>
  </si>
  <si>
    <t>Формулы</t>
  </si>
  <si>
    <t>изменения</t>
  </si>
  <si>
    <t>с учетом изменений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</si>
  <si>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</si>
  <si>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</si>
  <si>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</si>
  <si>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</si>
  <si>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муниципального образования</t>
  </si>
  <si>
    <t>03</t>
  </si>
  <si>
    <t>Функционирование законодательных (представительных) органов государственной 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</si>
  <si>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</si>
  <si>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</si>
  <si>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</si>
  <si>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</si>
  <si>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</si>
  <si>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</si>
  <si>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</si>
  <si>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</si>
  <si>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</si>
  <si>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</si>
  <si>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</si>
  <si>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</si>
  <si>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</si>
  <si>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</si>
  <si>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</si>
  <si>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</si>
  <si>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</si>
  <si>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</si>
  <si>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</si>
  <si>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</si>
  <si>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</si>
  <si>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</si>
  <si>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</si>
  <si>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</si>
  <si>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</si>
  <si>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</si>
  <si>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</si>
  <si>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</si>
  <si>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</si>
  <si>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</si>
  <si>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</si>
  <si>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</si>
  <si>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</si>
  <si>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 xml:space="preserve">Общее образование 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</si>
  <si>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</si>
  <si>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</si>
  <si>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</si>
  <si>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</si>
  <si>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</si>
  <si>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</si>
  <si>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</si>
  <si>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</si>
  <si>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</si>
  <si>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</si>
  <si>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</si>
  <si>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</si>
  <si>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</si>
  <si>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</si>
  <si>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</si>
  <si>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</si>
  <si>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</si>
  <si>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</si>
  <si>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</si>
  <si>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</si>
  <si>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</si>
  <si>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99</t>
  </si>
  <si>
    <t>Условно утвержденные расходы</t>
  </si>
  <si>
    <t>ВСЕГО</t>
  </si>
  <si>
    <t>2015 год (I чтение)</t>
  </si>
  <si>
    <t>2013 год (с учетом изменений РД № 250 в ноябре)</t>
  </si>
  <si>
    <t>2014 год (сучетом изменений в РД № 250 в ноябре)</t>
  </si>
  <si>
    <t>Поправки ко II чтению</t>
  </si>
  <si>
    <t>2013 год</t>
  </si>
  <si>
    <t xml:space="preserve">2014 год </t>
  </si>
  <si>
    <t>2015 год</t>
  </si>
  <si>
    <t>Функциональная структура расходов бюджета города Перми на 2013 год</t>
  </si>
  <si>
    <t>тыс. руб.</t>
  </si>
  <si>
    <t xml:space="preserve">2013 год </t>
  </si>
  <si>
    <t xml:space="preserve">2015 год </t>
  </si>
  <si>
    <t>2013 год (изменения)</t>
  </si>
  <si>
    <t>2014 год (изменения)</t>
  </si>
  <si>
    <t>2015 год (изменения)</t>
  </si>
  <si>
    <t>2013 год (февраль)</t>
  </si>
  <si>
    <t>2014 год (февраль)</t>
  </si>
  <si>
    <t>2015 год (февраль)</t>
  </si>
  <si>
    <t>2013 год (март)</t>
  </si>
  <si>
    <t>2014 год (март)</t>
  </si>
  <si>
    <t>2015 год (март)</t>
  </si>
  <si>
    <t>Водное хозяйство</t>
  </si>
  <si>
    <t>2013 год (март с учетом решения комитета)</t>
  </si>
  <si>
    <t>Решение комитета от 25.03.2013 № 16</t>
  </si>
  <si>
    <t>2014 год (апрель)</t>
  </si>
  <si>
    <t>2015 год (апрель)</t>
  </si>
  <si>
    <t>Пермской городской Думы</t>
  </si>
  <si>
    <t>от 18.12.2012 № 300</t>
  </si>
  <si>
    <t>комитет 18.04.13</t>
  </si>
  <si>
    <t>2013 год (проект)</t>
  </si>
  <si>
    <t>от 23.04.2013 № 80</t>
  </si>
  <si>
    <t>к решению</t>
  </si>
  <si>
    <t>тыс.руб.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</si>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</sst>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6"/>
  <sheetViews>
    <sheetView tabSelected="1" topLeftCell="A41" zoomScale="118" zoomScaleNormal="118" workbookViewId="0">
      <selection activeCell="C73" sqref="C73"/>
    </sheetView>
  </sheetViews>
  <sheetFormatPr defaultRowHeight="15.75" x14ac:dyDescent="0.25"/>
  <cols>
    <col min="1" max="1" width="8.140625" style="1" customWidth="1"/>
    <col min="2" max="2" width="8.7109375" style="2" customWidth="1"/>
    <col min="3" max="3" width="69.85546875" style="3" customWidth="1"/>
    <col min="4" max="4" width="16.85546875" style="1" hidden="1" customWidth="1"/>
    <col min="5" max="5" width="17.140625" style="1" hidden="1" customWidth="1"/>
    <col min="6" max="7" width="16.42578125" style="1" hidden="1" customWidth="1"/>
    <col min="8" max="8" width="17.28515625" style="1" hidden="1" customWidth="1"/>
    <col min="9" max="10" width="16.42578125" style="1" hidden="1" customWidth="1"/>
    <col min="11" max="13" width="14.42578125" style="1" hidden="1" customWidth="1"/>
    <col min="14" max="14" width="16.140625" style="1" hidden="1" customWidth="1"/>
    <col min="15" max="15" width="17" style="1" hidden="1" customWidth="1"/>
    <col min="16" max="16" width="16.5703125" style="1" hidden="1" customWidth="1"/>
    <col min="17" max="17" width="17" style="1" hidden="1" customWidth="1"/>
    <col min="18" max="18" width="18" style="1" hidden="1" customWidth="1"/>
    <col min="19" max="21" width="14.42578125" style="1" hidden="1" customWidth="1"/>
    <col min="22" max="22" width="17.140625" style="1" hidden="1" customWidth="1"/>
    <col min="23" max="23" width="16.28515625" style="1" hidden="1" customWidth="1"/>
    <col min="24" max="24" width="17.42578125" style="1" hidden="1" customWidth="1"/>
    <col min="25" max="25" width="15.140625" style="1" hidden="1" customWidth="1"/>
    <col min="26" max="27" width="14.42578125" style="1" hidden="1" customWidth="1"/>
    <col min="28" max="30" width="17.42578125" style="1" hidden="1" customWidth="1"/>
    <col min="31" max="31" width="14.42578125" style="1" hidden="1" customWidth="1"/>
    <col min="32" max="32" width="17.42578125" style="1" hidden="1" customWidth="1"/>
    <col min="33" max="33" width="16" style="1" hidden="1" customWidth="1"/>
    <col min="34" max="35" width="14.42578125" style="1" hidden="1" customWidth="1"/>
    <col min="36" max="36" width="17.140625" style="1" hidden="1" customWidth="1"/>
    <col min="37" max="37" width="16.7109375" style="1" hidden="1" customWidth="1"/>
    <col min="38" max="38" width="17.42578125" style="1" hidden="1" customWidth="1"/>
    <col min="39" max="39" width="15.85546875" style="1" hidden="1" customWidth="1"/>
    <col min="40" max="40" width="17.7109375" style="1" customWidth="1"/>
    <col min="41" max="41" width="10.7109375" style="1" hidden="1" customWidth="1"/>
    <col min="42" max="42" width="10.28515625" style="1" hidden="1" customWidth="1"/>
    <col min="43" max="16384" width="9.140625" style="1"/>
  </cols>
  <sheetData>
    <row r="1" spans="1:41" x14ac:dyDescent="0.25">
      <c r="C1" s="26" t="s">
        <v>105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</row>
    <row r="2" spans="1:41" x14ac:dyDescent="0.25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 t="s">
        <v>103</v>
      </c>
    </row>
    <row r="3" spans="1:41" x14ac:dyDescent="0.25">
      <c r="C3" s="26" t="s">
        <v>98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</row>
    <row r="4" spans="1:41" x14ac:dyDescent="0.25">
      <c r="C4" s="26" t="s">
        <v>102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</row>
    <row r="5" spans="1:41" x14ac:dyDescent="0.25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</row>
    <row r="6" spans="1:41" x14ac:dyDescent="0.25">
      <c r="C6" s="26" t="s">
        <v>105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</row>
    <row r="7" spans="1:41" x14ac:dyDescent="0.25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 t="s">
        <v>103</v>
      </c>
    </row>
    <row r="8" spans="1:41" x14ac:dyDescent="0.25">
      <c r="C8" s="26" t="s">
        <v>98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</row>
    <row r="9" spans="1:41" x14ac:dyDescent="0.25">
      <c r="C9" s="26" t="s">
        <v>99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</row>
    <row r="10" spans="1:41" hidden="1" x14ac:dyDescent="0.25">
      <c r="C10" s="22"/>
    </row>
    <row r="12" spans="1:41" ht="15.75" customHeight="1" x14ac:dyDescent="0.25">
      <c r="A12" s="25" t="s">
        <v>80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</row>
    <row r="13" spans="1:41" x14ac:dyDescent="0.25">
      <c r="A13" s="23"/>
      <c r="B13" s="23"/>
      <c r="C13" s="23"/>
      <c r="D13" s="23"/>
      <c r="E13" s="20"/>
      <c r="F13" s="20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1:41" x14ac:dyDescent="0.25">
      <c r="O14" s="22" t="s">
        <v>81</v>
      </c>
      <c r="AJ14" s="22" t="s">
        <v>81</v>
      </c>
      <c r="AN14" s="22" t="s">
        <v>104</v>
      </c>
    </row>
    <row r="15" spans="1:41" ht="35.25" customHeight="1" x14ac:dyDescent="0.25">
      <c r="A15" s="33" t="s">
        <v>0</v>
      </c>
      <c r="B15" s="33" t="s">
        <v>1</v>
      </c>
      <c r="C15" s="34" t="s">
        <v>2</v>
      </c>
      <c r="D15" s="27" t="s">
        <v>74</v>
      </c>
      <c r="E15" s="34" t="s">
        <v>3</v>
      </c>
      <c r="F15" s="34"/>
      <c r="G15" s="27" t="s">
        <v>75</v>
      </c>
      <c r="H15" s="34" t="s">
        <v>4</v>
      </c>
      <c r="I15" s="34"/>
      <c r="J15" s="27" t="s">
        <v>73</v>
      </c>
      <c r="K15" s="34" t="s">
        <v>76</v>
      </c>
      <c r="L15" s="34"/>
      <c r="M15" s="34"/>
      <c r="N15" s="29" t="s">
        <v>82</v>
      </c>
      <c r="O15" s="30"/>
      <c r="P15" s="29" t="s">
        <v>78</v>
      </c>
      <c r="Q15" s="30"/>
      <c r="R15" s="27" t="s">
        <v>83</v>
      </c>
      <c r="S15" s="27" t="s">
        <v>84</v>
      </c>
      <c r="T15" s="27" t="s">
        <v>85</v>
      </c>
      <c r="U15" s="27" t="s">
        <v>86</v>
      </c>
      <c r="V15" s="27" t="s">
        <v>87</v>
      </c>
      <c r="W15" s="27" t="s">
        <v>88</v>
      </c>
      <c r="X15" s="27" t="s">
        <v>89</v>
      </c>
      <c r="Y15" s="27" t="s">
        <v>84</v>
      </c>
      <c r="Z15" s="27" t="s">
        <v>85</v>
      </c>
      <c r="AA15" s="27" t="s">
        <v>86</v>
      </c>
      <c r="AB15" s="27" t="s">
        <v>90</v>
      </c>
      <c r="AC15" s="27" t="s">
        <v>91</v>
      </c>
      <c r="AD15" s="27" t="s">
        <v>92</v>
      </c>
      <c r="AE15" s="27" t="s">
        <v>95</v>
      </c>
      <c r="AF15" s="27" t="s">
        <v>94</v>
      </c>
      <c r="AG15" s="27" t="s">
        <v>84</v>
      </c>
      <c r="AH15" s="27" t="s">
        <v>85</v>
      </c>
      <c r="AI15" s="27" t="s">
        <v>86</v>
      </c>
      <c r="AJ15" s="27" t="s">
        <v>101</v>
      </c>
      <c r="AK15" s="27" t="s">
        <v>96</v>
      </c>
      <c r="AL15" s="27" t="s">
        <v>97</v>
      </c>
      <c r="AM15" s="27" t="s">
        <v>100</v>
      </c>
      <c r="AN15" s="27" t="s">
        <v>77</v>
      </c>
      <c r="AO15" s="27" t="s">
        <v>5</v>
      </c>
    </row>
    <row r="16" spans="1:41" ht="34.5" hidden="1" customHeight="1" x14ac:dyDescent="0.25">
      <c r="A16" s="33"/>
      <c r="B16" s="33"/>
      <c r="C16" s="34"/>
      <c r="D16" s="28"/>
      <c r="E16" s="24" t="s">
        <v>6</v>
      </c>
      <c r="F16" s="24" t="s">
        <v>7</v>
      </c>
      <c r="G16" s="28"/>
      <c r="H16" s="24" t="s">
        <v>6</v>
      </c>
      <c r="I16" s="24" t="s">
        <v>7</v>
      </c>
      <c r="J16" s="28"/>
      <c r="K16" s="24" t="s">
        <v>77</v>
      </c>
      <c r="L16" s="24" t="s">
        <v>78</v>
      </c>
      <c r="M16" s="24" t="s">
        <v>79</v>
      </c>
      <c r="N16" s="31"/>
      <c r="O16" s="32"/>
      <c r="P16" s="31"/>
      <c r="Q16" s="32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</row>
    <row r="17" spans="1:42" s="8" customFormat="1" x14ac:dyDescent="0.25">
      <c r="A17" s="4" t="s">
        <v>8</v>
      </c>
      <c r="B17" s="4" t="s">
        <v>9</v>
      </c>
      <c r="C17" s="5" t="s">
        <v>10</v>
      </c>
      <c r="D17" s="6">
        <f>SUM(D18:D24)</f>
        <v>1673604.7999999998</v>
      </c>
      <c r="E17" s="6">
        <f>F17-D17</f>
        <v>194371.05000000028</v>
      </c>
      <c r="F17" s="6">
        <f>SUM(F18:F24)</f>
        <v>1867975.85</v>
      </c>
      <c r="G17" s="6">
        <f>SUM(G18:G24)</f>
        <v>1706289.7000000002</v>
      </c>
      <c r="H17" s="6">
        <f>I17-G17</f>
        <v>135850.89999999991</v>
      </c>
      <c r="I17" s="6">
        <f>SUM(I18:I24)</f>
        <v>1842140.6</v>
      </c>
      <c r="J17" s="6">
        <f>SUM(J18:J24)</f>
        <v>1840909</v>
      </c>
      <c r="K17" s="6">
        <f>SUM(K18:K24)</f>
        <v>44224.30000000001</v>
      </c>
      <c r="L17" s="6">
        <f>SUM(L18:L24)</f>
        <v>26440.800000000003</v>
      </c>
      <c r="M17" s="6">
        <f>SUM(M18:M24)</f>
        <v>26724.999999999996</v>
      </c>
      <c r="N17" s="6">
        <f t="shared" ref="N17:N65" si="0">O17-D17</f>
        <v>238595.35000000033</v>
      </c>
      <c r="O17" s="6">
        <f t="shared" ref="O17:O65" si="1">F17+K17</f>
        <v>1912200.1500000001</v>
      </c>
      <c r="P17" s="6">
        <f t="shared" ref="P17:P65" si="2">Q17-G17</f>
        <v>162291.69999999995</v>
      </c>
      <c r="Q17" s="6">
        <f t="shared" ref="Q17:Q65" si="3">I17+L17</f>
        <v>1868581.4000000001</v>
      </c>
      <c r="R17" s="6">
        <f t="shared" ref="R17:R65" si="4">J17+M17</f>
        <v>1867634</v>
      </c>
      <c r="S17" s="6">
        <f>SUM(S18:S24)</f>
        <v>785.1</v>
      </c>
      <c r="T17" s="6">
        <f>SUM(T18:T24)</f>
        <v>78.400000000000006</v>
      </c>
      <c r="U17" s="6">
        <f>SUM(U18:U24)</f>
        <v>83.2</v>
      </c>
      <c r="V17" s="6">
        <f t="shared" ref="V17:V65" si="5">O17+S17</f>
        <v>1912985.2500000002</v>
      </c>
      <c r="W17" s="6">
        <f t="shared" ref="W17:W65" si="6">Q17+T17</f>
        <v>1868659.8</v>
      </c>
      <c r="X17" s="6">
        <f t="shared" ref="X17:X65" si="7">R17+U17</f>
        <v>1867717.2</v>
      </c>
      <c r="Y17" s="6">
        <f>SUM(Y18:Y24)</f>
        <v>0</v>
      </c>
      <c r="Z17" s="6">
        <f>SUM(Z18:Z24)</f>
        <v>0</v>
      </c>
      <c r="AA17" s="6">
        <f>SUM(AA18:AA24)</f>
        <v>0</v>
      </c>
      <c r="AB17" s="6">
        <f t="shared" ref="AB17:AB65" si="8">V17+Y17</f>
        <v>1912985.2500000002</v>
      </c>
      <c r="AC17" s="6">
        <f t="shared" ref="AC17:AC65" si="9">W17+Z17</f>
        <v>1868659.8</v>
      </c>
      <c r="AD17" s="6">
        <f t="shared" ref="AD17:AD65" si="10">X17+AA17</f>
        <v>1867717.2</v>
      </c>
      <c r="AE17" s="6">
        <f>SUM(AE18:AE24)</f>
        <v>87213.862999999998</v>
      </c>
      <c r="AF17" s="12">
        <f t="shared" ref="AF17:AF65" si="11">AB17+AE17</f>
        <v>2000199.1130000001</v>
      </c>
      <c r="AG17" s="6">
        <f>SUM(AG18:AG24)</f>
        <v>219361.74700000003</v>
      </c>
      <c r="AH17" s="6">
        <f>SUM(AH18:AH24)</f>
        <v>79.5</v>
      </c>
      <c r="AI17" s="6">
        <f>SUM(AI18:AI24)</f>
        <v>79.5</v>
      </c>
      <c r="AJ17" s="6">
        <f t="shared" ref="AJ17:AJ65" si="12">AF17+AG17</f>
        <v>2219560.8600000003</v>
      </c>
      <c r="AK17" s="6">
        <f t="shared" ref="AK17:AK65" si="13">AC17+AH17</f>
        <v>1868739.3</v>
      </c>
      <c r="AL17" s="6">
        <f t="shared" ref="AL17:AL65" si="14">AD17+AI17</f>
        <v>1867796.7</v>
      </c>
      <c r="AM17" s="6">
        <f>SUM(AM18:AM24)</f>
        <v>0</v>
      </c>
      <c r="AN17" s="6">
        <f>AJ17+AM17</f>
        <v>2219560.8600000003</v>
      </c>
      <c r="AO17" s="6">
        <f>SUM(AO18:AO24)</f>
        <v>0</v>
      </c>
      <c r="AP17" s="7"/>
    </row>
    <row r="18" spans="1:42" ht="31.5" x14ac:dyDescent="0.25">
      <c r="A18" s="9" t="s">
        <v>8</v>
      </c>
      <c r="B18" s="10" t="s">
        <v>11</v>
      </c>
      <c r="C18" s="11" t="s">
        <v>12</v>
      </c>
      <c r="D18" s="12">
        <v>2980.1</v>
      </c>
      <c r="E18" s="12">
        <f t="shared" ref="E18:E66" si="15">F18-D18</f>
        <v>384.20000000000027</v>
      </c>
      <c r="F18" s="12">
        <v>3364.3</v>
      </c>
      <c r="G18" s="12">
        <v>2980.1</v>
      </c>
      <c r="H18" s="12">
        <f t="shared" ref="H18:H66" si="16">I18-G18</f>
        <v>384.20000000000027</v>
      </c>
      <c r="I18" s="12">
        <v>3364.3</v>
      </c>
      <c r="J18" s="12">
        <v>3364.3</v>
      </c>
      <c r="K18" s="12"/>
      <c r="L18" s="12"/>
      <c r="M18" s="12"/>
      <c r="N18" s="12">
        <f t="shared" si="0"/>
        <v>384.20000000000027</v>
      </c>
      <c r="O18" s="12">
        <f t="shared" si="1"/>
        <v>3364.3</v>
      </c>
      <c r="P18" s="12">
        <f t="shared" si="2"/>
        <v>384.20000000000027</v>
      </c>
      <c r="Q18" s="12">
        <f t="shared" si="3"/>
        <v>3364.3</v>
      </c>
      <c r="R18" s="12">
        <f t="shared" si="4"/>
        <v>3364.3</v>
      </c>
      <c r="S18" s="12"/>
      <c r="T18" s="12"/>
      <c r="U18" s="12"/>
      <c r="V18" s="12">
        <f t="shared" si="5"/>
        <v>3364.3</v>
      </c>
      <c r="W18" s="12">
        <f t="shared" si="6"/>
        <v>3364.3</v>
      </c>
      <c r="X18" s="12">
        <f t="shared" si="7"/>
        <v>3364.3</v>
      </c>
      <c r="Y18" s="12"/>
      <c r="Z18" s="12"/>
      <c r="AA18" s="12"/>
      <c r="AB18" s="12">
        <f t="shared" si="8"/>
        <v>3364.3</v>
      </c>
      <c r="AC18" s="12">
        <f t="shared" si="9"/>
        <v>3364.3</v>
      </c>
      <c r="AD18" s="12">
        <f t="shared" si="10"/>
        <v>3364.3</v>
      </c>
      <c r="AE18" s="12"/>
      <c r="AF18" s="12">
        <f t="shared" si="11"/>
        <v>3364.3</v>
      </c>
      <c r="AG18" s="12"/>
      <c r="AH18" s="12"/>
      <c r="AI18" s="12"/>
      <c r="AJ18" s="12">
        <f t="shared" si="12"/>
        <v>3364.3</v>
      </c>
      <c r="AK18" s="12">
        <f t="shared" si="13"/>
        <v>3364.3</v>
      </c>
      <c r="AL18" s="12">
        <f t="shared" si="14"/>
        <v>3364.3</v>
      </c>
      <c r="AM18" s="12"/>
      <c r="AN18" s="12">
        <f t="shared" ref="AN18:AN66" si="17">AJ18+AM18</f>
        <v>3364.3</v>
      </c>
      <c r="AO18" s="12"/>
      <c r="AP18" s="7"/>
    </row>
    <row r="19" spans="1:42" ht="47.25" x14ac:dyDescent="0.25">
      <c r="A19" s="9" t="s">
        <v>8</v>
      </c>
      <c r="B19" s="10" t="s">
        <v>13</v>
      </c>
      <c r="C19" s="11" t="s">
        <v>14</v>
      </c>
      <c r="D19" s="12">
        <v>145564.9</v>
      </c>
      <c r="E19" s="12">
        <f t="shared" si="15"/>
        <v>-43365.2</v>
      </c>
      <c r="F19" s="12">
        <v>102199.7</v>
      </c>
      <c r="G19" s="12">
        <v>149553.70000000001</v>
      </c>
      <c r="H19" s="12">
        <f t="shared" si="16"/>
        <v>-47303.800000000017</v>
      </c>
      <c r="I19" s="12">
        <v>102249.9</v>
      </c>
      <c r="J19" s="12">
        <v>102879.5</v>
      </c>
      <c r="K19" s="12"/>
      <c r="L19" s="12"/>
      <c r="M19" s="12"/>
      <c r="N19" s="12">
        <f t="shared" si="0"/>
        <v>-43365.2</v>
      </c>
      <c r="O19" s="12">
        <f t="shared" si="1"/>
        <v>102199.7</v>
      </c>
      <c r="P19" s="12">
        <f t="shared" si="2"/>
        <v>-47303.800000000017</v>
      </c>
      <c r="Q19" s="12">
        <f t="shared" si="3"/>
        <v>102249.9</v>
      </c>
      <c r="R19" s="12">
        <f t="shared" si="4"/>
        <v>102879.5</v>
      </c>
      <c r="S19" s="12"/>
      <c r="T19" s="12"/>
      <c r="U19" s="12"/>
      <c r="V19" s="12">
        <f t="shared" si="5"/>
        <v>102199.7</v>
      </c>
      <c r="W19" s="12">
        <f t="shared" si="6"/>
        <v>102249.9</v>
      </c>
      <c r="X19" s="12">
        <f t="shared" si="7"/>
        <v>102879.5</v>
      </c>
      <c r="Y19" s="12"/>
      <c r="Z19" s="12"/>
      <c r="AA19" s="12"/>
      <c r="AB19" s="12">
        <f t="shared" si="8"/>
        <v>102199.7</v>
      </c>
      <c r="AC19" s="12">
        <f t="shared" si="9"/>
        <v>102249.9</v>
      </c>
      <c r="AD19" s="12">
        <f t="shared" si="10"/>
        <v>102879.5</v>
      </c>
      <c r="AE19" s="12"/>
      <c r="AF19" s="12">
        <f t="shared" si="11"/>
        <v>102199.7</v>
      </c>
      <c r="AG19" s="12"/>
      <c r="AH19" s="12"/>
      <c r="AI19" s="12"/>
      <c r="AJ19" s="12">
        <f t="shared" si="12"/>
        <v>102199.7</v>
      </c>
      <c r="AK19" s="12">
        <f t="shared" si="13"/>
        <v>102249.9</v>
      </c>
      <c r="AL19" s="12">
        <f t="shared" si="14"/>
        <v>102879.5</v>
      </c>
      <c r="AM19" s="12"/>
      <c r="AN19" s="12">
        <f t="shared" si="17"/>
        <v>102199.7</v>
      </c>
      <c r="AO19" s="12"/>
      <c r="AP19" s="7"/>
    </row>
    <row r="20" spans="1:42" ht="47.25" x14ac:dyDescent="0.25">
      <c r="A20" s="9" t="s">
        <v>8</v>
      </c>
      <c r="B20" s="10" t="s">
        <v>15</v>
      </c>
      <c r="C20" s="11" t="s">
        <v>16</v>
      </c>
      <c r="D20" s="12">
        <v>506937.27899999998</v>
      </c>
      <c r="E20" s="12">
        <f t="shared" si="15"/>
        <v>-21420.179000000004</v>
      </c>
      <c r="F20" s="12">
        <v>485517.1</v>
      </c>
      <c r="G20" s="12">
        <v>511305.64199999999</v>
      </c>
      <c r="H20" s="12">
        <f t="shared" si="16"/>
        <v>-31178.042000000016</v>
      </c>
      <c r="I20" s="12">
        <v>480127.6</v>
      </c>
      <c r="J20" s="12">
        <v>484691.3</v>
      </c>
      <c r="K20" s="12">
        <f>-214-126.6-280.7-14.5-30-515.4-267.9-3283.9-854.2-687.3-1181.9-10.7-187.2-43-1.5-1523.7-30-2357.5-44.1-451.8-45.2-1480.4-274.1-280.7-44.5-546.5-19.8-2729-44.5-8796.6-554.8</f>
        <v>-26921.999999999996</v>
      </c>
      <c r="L20" s="12">
        <f>-279.1-164.1-280.7-14.5-30-705.4-505.6-3449.1-854.2-723.8-1249.7-14.3-187.2-43-1.5-1792.2-30-2680.1-58.9-660.1-1681.9-365.4-280.7-44.5-546.5-19.8-2729-44.5-5900-637</f>
        <v>-25972.799999999999</v>
      </c>
      <c r="M20" s="12">
        <f>-279.1-164.1-280.7-15.5-30-705.4-515.6-3482.5-854.2-723.8-1263.9-14.3-187.2-43-2.5-1792.2-2739.4-58.9-660.1-1700.3-365.4-280.7-45.5-546.5-19.8-2729-45.5-9200-644</f>
        <v>-29389.1</v>
      </c>
      <c r="N20" s="12">
        <f t="shared" si="0"/>
        <v>-48342.179000000004</v>
      </c>
      <c r="O20" s="12">
        <f t="shared" si="1"/>
        <v>458595.1</v>
      </c>
      <c r="P20" s="12">
        <f t="shared" si="2"/>
        <v>-57150.842000000004</v>
      </c>
      <c r="Q20" s="12">
        <f t="shared" si="3"/>
        <v>454154.8</v>
      </c>
      <c r="R20" s="12">
        <f t="shared" si="4"/>
        <v>455302.2</v>
      </c>
      <c r="S20" s="12"/>
      <c r="T20" s="12"/>
      <c r="U20" s="12"/>
      <c r="V20" s="12">
        <f t="shared" si="5"/>
        <v>458595.1</v>
      </c>
      <c r="W20" s="12">
        <f t="shared" si="6"/>
        <v>454154.8</v>
      </c>
      <c r="X20" s="12">
        <f t="shared" si="7"/>
        <v>455302.2</v>
      </c>
      <c r="Y20" s="12"/>
      <c r="Z20" s="12"/>
      <c r="AA20" s="12"/>
      <c r="AB20" s="12">
        <f t="shared" si="8"/>
        <v>458595.1</v>
      </c>
      <c r="AC20" s="12">
        <f t="shared" si="9"/>
        <v>454154.8</v>
      </c>
      <c r="AD20" s="12">
        <f t="shared" si="10"/>
        <v>455302.2</v>
      </c>
      <c r="AE20" s="12"/>
      <c r="AF20" s="12">
        <f t="shared" si="11"/>
        <v>458595.1</v>
      </c>
      <c r="AG20" s="12">
        <f>39.7</f>
        <v>39.700000000000003</v>
      </c>
      <c r="AH20" s="12">
        <f>79.4</f>
        <v>79.400000000000006</v>
      </c>
      <c r="AI20" s="12">
        <f>79.4</f>
        <v>79.400000000000006</v>
      </c>
      <c r="AJ20" s="12">
        <f t="shared" si="12"/>
        <v>458634.8</v>
      </c>
      <c r="AK20" s="12">
        <f t="shared" si="13"/>
        <v>454234.2</v>
      </c>
      <c r="AL20" s="12">
        <f t="shared" si="14"/>
        <v>455381.60000000003</v>
      </c>
      <c r="AM20" s="12"/>
      <c r="AN20" s="12">
        <f t="shared" si="17"/>
        <v>458634.8</v>
      </c>
      <c r="AO20" s="12"/>
      <c r="AP20" s="7"/>
    </row>
    <row r="21" spans="1:42" ht="31.5" x14ac:dyDescent="0.25">
      <c r="A21" s="9" t="s">
        <v>8</v>
      </c>
      <c r="B21" s="10" t="s">
        <v>18</v>
      </c>
      <c r="C21" s="11" t="s">
        <v>19</v>
      </c>
      <c r="D21" s="12">
        <v>104775.09999999999</v>
      </c>
      <c r="E21" s="12">
        <f t="shared" si="15"/>
        <v>11729.700000000012</v>
      </c>
      <c r="F21" s="12">
        <v>116504.8</v>
      </c>
      <c r="G21" s="12">
        <v>105279.9</v>
      </c>
      <c r="H21" s="12">
        <f t="shared" si="16"/>
        <v>11224.900000000009</v>
      </c>
      <c r="I21" s="12">
        <v>116504.8</v>
      </c>
      <c r="J21" s="12">
        <v>116750.8</v>
      </c>
      <c r="K21" s="12">
        <v>915.7</v>
      </c>
      <c r="L21" s="12">
        <v>915.7</v>
      </c>
      <c r="M21" s="12">
        <v>915.7</v>
      </c>
      <c r="N21" s="12">
        <f t="shared" si="0"/>
        <v>12645.400000000009</v>
      </c>
      <c r="O21" s="12">
        <f t="shared" si="1"/>
        <v>117420.5</v>
      </c>
      <c r="P21" s="12">
        <f t="shared" si="2"/>
        <v>12140.600000000006</v>
      </c>
      <c r="Q21" s="12">
        <f t="shared" si="3"/>
        <v>117420.5</v>
      </c>
      <c r="R21" s="12">
        <f t="shared" si="4"/>
        <v>117666.5</v>
      </c>
      <c r="S21" s="12"/>
      <c r="T21" s="12"/>
      <c r="U21" s="12"/>
      <c r="V21" s="12">
        <f t="shared" si="5"/>
        <v>117420.5</v>
      </c>
      <c r="W21" s="12">
        <f t="shared" si="6"/>
        <v>117420.5</v>
      </c>
      <c r="X21" s="12">
        <f t="shared" si="7"/>
        <v>117666.5</v>
      </c>
      <c r="Y21" s="12"/>
      <c r="Z21" s="12"/>
      <c r="AA21" s="12"/>
      <c r="AB21" s="12">
        <f t="shared" si="8"/>
        <v>117420.5</v>
      </c>
      <c r="AC21" s="12">
        <f t="shared" si="9"/>
        <v>117420.5</v>
      </c>
      <c r="AD21" s="12">
        <f t="shared" si="10"/>
        <v>117666.5</v>
      </c>
      <c r="AE21" s="12"/>
      <c r="AF21" s="12">
        <f t="shared" si="11"/>
        <v>117420.5</v>
      </c>
      <c r="AG21" s="12">
        <f>464.026+30</f>
        <v>494.02600000000001</v>
      </c>
      <c r="AH21" s="12"/>
      <c r="AI21" s="12"/>
      <c r="AJ21" s="12">
        <f t="shared" si="12"/>
        <v>117914.526</v>
      </c>
      <c r="AK21" s="12">
        <f t="shared" si="13"/>
        <v>117420.5</v>
      </c>
      <c r="AL21" s="12">
        <f t="shared" si="14"/>
        <v>117666.5</v>
      </c>
      <c r="AM21" s="12"/>
      <c r="AN21" s="12">
        <f t="shared" si="17"/>
        <v>117914.526</v>
      </c>
      <c r="AO21" s="12"/>
      <c r="AP21" s="7"/>
    </row>
    <row r="22" spans="1:42" x14ac:dyDescent="0.25">
      <c r="A22" s="9" t="s">
        <v>8</v>
      </c>
      <c r="B22" s="10" t="s">
        <v>20</v>
      </c>
      <c r="C22" s="11" t="s">
        <v>21</v>
      </c>
      <c r="D22" s="12">
        <v>4918.7</v>
      </c>
      <c r="E22" s="12">
        <f t="shared" si="15"/>
        <v>580.60000000000036</v>
      </c>
      <c r="F22" s="12">
        <v>5499.3</v>
      </c>
      <c r="G22" s="12">
        <v>4930.3999999999996</v>
      </c>
      <c r="H22" s="12">
        <f t="shared" si="16"/>
        <v>567.90000000000055</v>
      </c>
      <c r="I22" s="12">
        <v>5498.3</v>
      </c>
      <c r="J22" s="12">
        <v>5502.9</v>
      </c>
      <c r="K22" s="12">
        <f>4855.5</f>
        <v>4855.5</v>
      </c>
      <c r="L22" s="12"/>
      <c r="M22" s="12"/>
      <c r="N22" s="12">
        <f t="shared" si="0"/>
        <v>5436.0999999999995</v>
      </c>
      <c r="O22" s="12">
        <f t="shared" si="1"/>
        <v>10354.799999999999</v>
      </c>
      <c r="P22" s="12">
        <f t="shared" si="2"/>
        <v>567.90000000000055</v>
      </c>
      <c r="Q22" s="12">
        <f t="shared" si="3"/>
        <v>5498.3</v>
      </c>
      <c r="R22" s="12">
        <f t="shared" si="4"/>
        <v>5502.9</v>
      </c>
      <c r="S22" s="12"/>
      <c r="T22" s="12"/>
      <c r="U22" s="12"/>
      <c r="V22" s="12">
        <f t="shared" si="5"/>
        <v>10354.799999999999</v>
      </c>
      <c r="W22" s="12">
        <f t="shared" si="6"/>
        <v>5498.3</v>
      </c>
      <c r="X22" s="12">
        <f t="shared" si="7"/>
        <v>5502.9</v>
      </c>
      <c r="Y22" s="12"/>
      <c r="Z22" s="12"/>
      <c r="AA22" s="12"/>
      <c r="AB22" s="12">
        <f t="shared" si="8"/>
        <v>10354.799999999999</v>
      </c>
      <c r="AC22" s="12">
        <f t="shared" si="9"/>
        <v>5498.3</v>
      </c>
      <c r="AD22" s="12">
        <f t="shared" si="10"/>
        <v>5502.9</v>
      </c>
      <c r="AE22" s="12"/>
      <c r="AF22" s="12">
        <f t="shared" si="11"/>
        <v>10354.799999999999</v>
      </c>
      <c r="AG22" s="12"/>
      <c r="AH22" s="12"/>
      <c r="AI22" s="12"/>
      <c r="AJ22" s="12">
        <f t="shared" si="12"/>
        <v>10354.799999999999</v>
      </c>
      <c r="AK22" s="12">
        <f t="shared" si="13"/>
        <v>5498.3</v>
      </c>
      <c r="AL22" s="12">
        <f t="shared" si="14"/>
        <v>5502.9</v>
      </c>
      <c r="AM22" s="12"/>
      <c r="AN22" s="12">
        <f t="shared" si="17"/>
        <v>10354.799999999999</v>
      </c>
      <c r="AO22" s="12"/>
      <c r="AP22" s="7"/>
    </row>
    <row r="23" spans="1:42" x14ac:dyDescent="0.25">
      <c r="A23" s="9" t="s">
        <v>8</v>
      </c>
      <c r="B23" s="10" t="s">
        <v>22</v>
      </c>
      <c r="C23" s="11" t="s">
        <v>23</v>
      </c>
      <c r="D23" s="12">
        <v>84530.2</v>
      </c>
      <c r="E23" s="12">
        <f t="shared" si="15"/>
        <v>-7090.6999999999971</v>
      </c>
      <c r="F23" s="12">
        <v>77439.5</v>
      </c>
      <c r="G23" s="12">
        <v>131271.1</v>
      </c>
      <c r="H23" s="12">
        <f t="shared" si="16"/>
        <v>-54141.3</v>
      </c>
      <c r="I23" s="12">
        <v>77129.8</v>
      </c>
      <c r="J23" s="12">
        <v>78672.399999999994</v>
      </c>
      <c r="K23" s="12"/>
      <c r="L23" s="12"/>
      <c r="M23" s="12"/>
      <c r="N23" s="12">
        <f t="shared" si="0"/>
        <v>-7090.6999999999971</v>
      </c>
      <c r="O23" s="12">
        <f t="shared" si="1"/>
        <v>77439.5</v>
      </c>
      <c r="P23" s="12">
        <f t="shared" si="2"/>
        <v>-54141.3</v>
      </c>
      <c r="Q23" s="12">
        <f t="shared" si="3"/>
        <v>77129.8</v>
      </c>
      <c r="R23" s="12">
        <f t="shared" si="4"/>
        <v>78672.399999999994</v>
      </c>
      <c r="S23" s="12"/>
      <c r="T23" s="12"/>
      <c r="U23" s="12"/>
      <c r="V23" s="12">
        <f t="shared" si="5"/>
        <v>77439.5</v>
      </c>
      <c r="W23" s="12">
        <f t="shared" si="6"/>
        <v>77129.8</v>
      </c>
      <c r="X23" s="12">
        <f t="shared" si="7"/>
        <v>78672.399999999994</v>
      </c>
      <c r="Y23" s="12"/>
      <c r="Z23" s="12"/>
      <c r="AA23" s="12"/>
      <c r="AB23" s="12">
        <f t="shared" si="8"/>
        <v>77439.5</v>
      </c>
      <c r="AC23" s="12">
        <f t="shared" si="9"/>
        <v>77129.8</v>
      </c>
      <c r="AD23" s="12">
        <f t="shared" si="10"/>
        <v>78672.399999999994</v>
      </c>
      <c r="AE23" s="12">
        <v>87213.862999999998</v>
      </c>
      <c r="AF23" s="12">
        <f t="shared" si="11"/>
        <v>164653.36300000001</v>
      </c>
      <c r="AG23" s="12">
        <v>-87213.862999999998</v>
      </c>
      <c r="AH23" s="12"/>
      <c r="AI23" s="12"/>
      <c r="AJ23" s="12">
        <f t="shared" si="12"/>
        <v>77439.500000000015</v>
      </c>
      <c r="AK23" s="12">
        <f t="shared" si="13"/>
        <v>77129.8</v>
      </c>
      <c r="AL23" s="12">
        <f t="shared" si="14"/>
        <v>78672.399999999994</v>
      </c>
      <c r="AM23" s="12"/>
      <c r="AN23" s="12">
        <f t="shared" si="17"/>
        <v>77439.500000000015</v>
      </c>
      <c r="AO23" s="12"/>
      <c r="AP23" s="7"/>
    </row>
    <row r="24" spans="1:42" x14ac:dyDescent="0.25">
      <c r="A24" s="9" t="s">
        <v>8</v>
      </c>
      <c r="B24" s="10" t="s">
        <v>24</v>
      </c>
      <c r="C24" s="11" t="s">
        <v>25</v>
      </c>
      <c r="D24" s="12">
        <v>823898.52100000007</v>
      </c>
      <c r="E24" s="12">
        <f t="shared" si="15"/>
        <v>253552.62899999984</v>
      </c>
      <c r="F24" s="12">
        <v>1077451.1499999999</v>
      </c>
      <c r="G24" s="12">
        <v>800968.85800000001</v>
      </c>
      <c r="H24" s="12">
        <f t="shared" si="16"/>
        <v>256297.0419999999</v>
      </c>
      <c r="I24" s="12">
        <v>1057265.8999999999</v>
      </c>
      <c r="J24" s="12">
        <v>1049047.8</v>
      </c>
      <c r="K24" s="12">
        <f>-1134.6-351-44.5+1520.5+80+53.5-351-25-19.5+842.1+133.5+2683.7+120.9+9493.7+1329.5+8796.6+9617.8+567.6+61.6+4165.1+188.3+27646.3</f>
        <v>65375.100000000006</v>
      </c>
      <c r="L24" s="12">
        <f>-285.2-351-44.5+1520.5+80+53.5-351-25-19.5+842.1+133.5+3452.1+505.6+10140.8+1476.7+5900+19124.1+565.4+61.6+8330.4+387.8</f>
        <v>51497.9</v>
      </c>
      <c r="M24" s="12">
        <f>-296.2-351-45.5+1520.5+81.6+54.9-351-26-19.5+842.1+136.5+3452.1+515.6+10240.1+1476.7+9200+19399.8+576.7+61.6+8330.4+399.1-0.1</f>
        <v>55198.399999999994</v>
      </c>
      <c r="N24" s="12">
        <f t="shared" si="0"/>
        <v>318927.72899999993</v>
      </c>
      <c r="O24" s="12">
        <f t="shared" si="1"/>
        <v>1142826.25</v>
      </c>
      <c r="P24" s="12">
        <f t="shared" si="2"/>
        <v>307794.94199999981</v>
      </c>
      <c r="Q24" s="12">
        <f t="shared" si="3"/>
        <v>1108763.7999999998</v>
      </c>
      <c r="R24" s="12">
        <f t="shared" si="4"/>
        <v>1104246.2</v>
      </c>
      <c r="S24" s="12">
        <f>73.1+712</f>
        <v>785.1</v>
      </c>
      <c r="T24" s="12">
        <v>78.400000000000006</v>
      </c>
      <c r="U24" s="12">
        <v>83.2</v>
      </c>
      <c r="V24" s="12">
        <f t="shared" si="5"/>
        <v>1143611.3500000001</v>
      </c>
      <c r="W24" s="12">
        <f t="shared" si="6"/>
        <v>1108842.1999999997</v>
      </c>
      <c r="X24" s="12">
        <f t="shared" si="7"/>
        <v>1104329.3999999999</v>
      </c>
      <c r="Y24" s="12"/>
      <c r="Z24" s="12"/>
      <c r="AA24" s="12"/>
      <c r="AB24" s="12">
        <f t="shared" si="8"/>
        <v>1143611.3500000001</v>
      </c>
      <c r="AC24" s="12">
        <f t="shared" si="9"/>
        <v>1108842.1999999997</v>
      </c>
      <c r="AD24" s="12">
        <f t="shared" si="10"/>
        <v>1104329.3999999999</v>
      </c>
      <c r="AE24" s="12"/>
      <c r="AF24" s="12">
        <f t="shared" si="11"/>
        <v>1143611.3500000001</v>
      </c>
      <c r="AG24" s="12">
        <f>495.319+66.96+1667.348+420.066+77.213+16+13778.885+16530.892+189939.763+4260.147+80+28211.841+497.45+50000</f>
        <v>306041.88400000002</v>
      </c>
      <c r="AH24" s="12">
        <f>0.1</f>
        <v>0.1</v>
      </c>
      <c r="AI24" s="12">
        <f>0.1</f>
        <v>0.1</v>
      </c>
      <c r="AJ24" s="12">
        <f t="shared" si="12"/>
        <v>1449653.2340000002</v>
      </c>
      <c r="AK24" s="12">
        <f t="shared" si="13"/>
        <v>1108842.2999999998</v>
      </c>
      <c r="AL24" s="12">
        <f t="shared" si="14"/>
        <v>1104329.5</v>
      </c>
      <c r="AM24" s="12"/>
      <c r="AN24" s="12">
        <f t="shared" si="17"/>
        <v>1449653.2340000002</v>
      </c>
      <c r="AO24" s="12"/>
      <c r="AP24" s="7"/>
    </row>
    <row r="25" spans="1:42" s="8" customFormat="1" ht="31.5" x14ac:dyDescent="0.25">
      <c r="A25" s="4" t="s">
        <v>13</v>
      </c>
      <c r="B25" s="4" t="s">
        <v>9</v>
      </c>
      <c r="C25" s="13" t="s">
        <v>26</v>
      </c>
      <c r="D25" s="6">
        <f>SUM(D26:D27)</f>
        <v>121639.9</v>
      </c>
      <c r="E25" s="6">
        <f t="shared" si="15"/>
        <v>26288.100000000006</v>
      </c>
      <c r="F25" s="6">
        <f>SUM(F26:F27)</f>
        <v>147928</v>
      </c>
      <c r="G25" s="6">
        <f>SUM(G26:G27)</f>
        <v>123144.40000000001</v>
      </c>
      <c r="H25" s="6">
        <f t="shared" si="16"/>
        <v>28005.199999999997</v>
      </c>
      <c r="I25" s="6">
        <f>SUM(I26:I27)</f>
        <v>151149.6</v>
      </c>
      <c r="J25" s="6">
        <f>SUM(J26:J27)</f>
        <v>140261.70000000001</v>
      </c>
      <c r="K25" s="6">
        <f>SUM(K26:K27)</f>
        <v>-1992.2000000000003</v>
      </c>
      <c r="L25" s="6">
        <f>SUM(L26:L27)</f>
        <v>-1852.3000000000004</v>
      </c>
      <c r="M25" s="6">
        <f>SUM(M26:M27)</f>
        <v>-1858.6000000000004</v>
      </c>
      <c r="N25" s="6">
        <f t="shared" si="0"/>
        <v>24295.899999999994</v>
      </c>
      <c r="O25" s="6">
        <f t="shared" si="1"/>
        <v>145935.79999999999</v>
      </c>
      <c r="P25" s="6">
        <f t="shared" si="2"/>
        <v>26152.900000000009</v>
      </c>
      <c r="Q25" s="6">
        <f t="shared" si="3"/>
        <v>149297.30000000002</v>
      </c>
      <c r="R25" s="6">
        <f t="shared" si="4"/>
        <v>138403.1</v>
      </c>
      <c r="S25" s="6">
        <f>SUM(S26:S27)</f>
        <v>-73.099999999999994</v>
      </c>
      <c r="T25" s="6">
        <f>SUM(T26:T27)</f>
        <v>-78.400000000000006</v>
      </c>
      <c r="U25" s="6">
        <f>SUM(U26:U27)</f>
        <v>-83.2</v>
      </c>
      <c r="V25" s="6">
        <f t="shared" si="5"/>
        <v>145862.69999999998</v>
      </c>
      <c r="W25" s="6">
        <f t="shared" si="6"/>
        <v>149218.90000000002</v>
      </c>
      <c r="X25" s="6">
        <f t="shared" si="7"/>
        <v>138319.9</v>
      </c>
      <c r="Y25" s="6">
        <f>SUM(Y26:Y27)</f>
        <v>0</v>
      </c>
      <c r="Z25" s="6">
        <f>SUM(Z26:Z27)</f>
        <v>0</v>
      </c>
      <c r="AA25" s="6">
        <f>SUM(AA26:AA27)</f>
        <v>0</v>
      </c>
      <c r="AB25" s="6">
        <f t="shared" si="8"/>
        <v>145862.69999999998</v>
      </c>
      <c r="AC25" s="6">
        <f t="shared" si="9"/>
        <v>149218.90000000002</v>
      </c>
      <c r="AD25" s="6">
        <f t="shared" si="10"/>
        <v>138319.9</v>
      </c>
      <c r="AE25" s="6">
        <f>SUM(AE26:AE27)</f>
        <v>0</v>
      </c>
      <c r="AF25" s="12">
        <f t="shared" si="11"/>
        <v>145862.69999999998</v>
      </c>
      <c r="AG25" s="6">
        <f>SUM(AG26:AG27)</f>
        <v>5743.6229999999996</v>
      </c>
      <c r="AH25" s="6">
        <f>SUM(AH26:AH27)</f>
        <v>0</v>
      </c>
      <c r="AI25" s="6">
        <f>SUM(AI26:AI27)</f>
        <v>0</v>
      </c>
      <c r="AJ25" s="6">
        <f t="shared" si="12"/>
        <v>151606.32299999997</v>
      </c>
      <c r="AK25" s="6">
        <f t="shared" si="13"/>
        <v>149218.90000000002</v>
      </c>
      <c r="AL25" s="6">
        <f t="shared" si="14"/>
        <v>138319.9</v>
      </c>
      <c r="AM25" s="6">
        <f>SUM(AM26:AM27)</f>
        <v>-2707.7579999999998</v>
      </c>
      <c r="AN25" s="6">
        <f t="shared" si="17"/>
        <v>148898.56499999997</v>
      </c>
      <c r="AO25" s="6">
        <f>SUM(AO26:AO27)</f>
        <v>0</v>
      </c>
      <c r="AP25" s="7"/>
    </row>
    <row r="26" spans="1:42" ht="31.5" x14ac:dyDescent="0.25">
      <c r="A26" s="9" t="s">
        <v>13</v>
      </c>
      <c r="B26" s="10" t="s">
        <v>27</v>
      </c>
      <c r="C26" s="14" t="s">
        <v>28</v>
      </c>
      <c r="D26" s="12">
        <v>108595.5</v>
      </c>
      <c r="E26" s="12">
        <f t="shared" si="15"/>
        <v>18064.899999999994</v>
      </c>
      <c r="F26" s="12">
        <v>126660.4</v>
      </c>
      <c r="G26" s="12">
        <v>109920.8</v>
      </c>
      <c r="H26" s="12">
        <f t="shared" si="16"/>
        <v>13001.699999999997</v>
      </c>
      <c r="I26" s="12">
        <v>122922.5</v>
      </c>
      <c r="J26" s="12">
        <v>117112.5</v>
      </c>
      <c r="K26" s="12"/>
      <c r="L26" s="12"/>
      <c r="M26" s="12"/>
      <c r="N26" s="12">
        <f t="shared" si="0"/>
        <v>18064.899999999994</v>
      </c>
      <c r="O26" s="12">
        <f t="shared" si="1"/>
        <v>126660.4</v>
      </c>
      <c r="P26" s="12">
        <f t="shared" si="2"/>
        <v>13001.699999999997</v>
      </c>
      <c r="Q26" s="12">
        <f t="shared" si="3"/>
        <v>122922.5</v>
      </c>
      <c r="R26" s="12">
        <f t="shared" si="4"/>
        <v>117112.5</v>
      </c>
      <c r="S26" s="12"/>
      <c r="T26" s="12"/>
      <c r="U26" s="12"/>
      <c r="V26" s="12">
        <f t="shared" si="5"/>
        <v>126660.4</v>
      </c>
      <c r="W26" s="12">
        <f t="shared" si="6"/>
        <v>122922.5</v>
      </c>
      <c r="X26" s="12">
        <f t="shared" si="7"/>
        <v>117112.5</v>
      </c>
      <c r="Y26" s="12"/>
      <c r="Z26" s="12"/>
      <c r="AA26" s="12"/>
      <c r="AB26" s="12">
        <f t="shared" si="8"/>
        <v>126660.4</v>
      </c>
      <c r="AC26" s="12">
        <f t="shared" si="9"/>
        <v>122922.5</v>
      </c>
      <c r="AD26" s="12">
        <f t="shared" si="10"/>
        <v>117112.5</v>
      </c>
      <c r="AE26" s="12"/>
      <c r="AF26" s="12">
        <f t="shared" si="11"/>
        <v>126660.4</v>
      </c>
      <c r="AG26" s="12">
        <f>1285.865+2707.758</f>
        <v>3993.6229999999996</v>
      </c>
      <c r="AH26" s="12"/>
      <c r="AI26" s="12"/>
      <c r="AJ26" s="12">
        <f t="shared" si="12"/>
        <v>130654.02299999999</v>
      </c>
      <c r="AK26" s="12">
        <f t="shared" si="13"/>
        <v>122922.5</v>
      </c>
      <c r="AL26" s="12">
        <f t="shared" si="14"/>
        <v>117112.5</v>
      </c>
      <c r="AM26" s="12">
        <v>-2707.7579999999998</v>
      </c>
      <c r="AN26" s="12">
        <f t="shared" si="17"/>
        <v>127946.26499999998</v>
      </c>
      <c r="AO26" s="12"/>
      <c r="AP26" s="7"/>
    </row>
    <row r="27" spans="1:42" ht="31.5" x14ac:dyDescent="0.25">
      <c r="A27" s="9" t="s">
        <v>13</v>
      </c>
      <c r="B27" s="10" t="s">
        <v>29</v>
      </c>
      <c r="C27" s="11" t="s">
        <v>30</v>
      </c>
      <c r="D27" s="12">
        <v>13044.4</v>
      </c>
      <c r="E27" s="12">
        <f t="shared" si="15"/>
        <v>8223.1999999999989</v>
      </c>
      <c r="F27" s="12">
        <v>21267.599999999999</v>
      </c>
      <c r="G27" s="12">
        <v>13223.6</v>
      </c>
      <c r="H27" s="12">
        <f t="shared" si="16"/>
        <v>15003.499999999998</v>
      </c>
      <c r="I27" s="12">
        <v>28227.1</v>
      </c>
      <c r="J27" s="12">
        <v>23149.200000000001</v>
      </c>
      <c r="K27" s="12">
        <f>-935.9-89+16.5-35.4-422.2-104.9-421.3</f>
        <v>-1992.2000000000003</v>
      </c>
      <c r="L27" s="12">
        <f>-935.9-89+29.3-35-379.1-9.7-84.9-9.7-338.3</f>
        <v>-1852.3000000000004</v>
      </c>
      <c r="M27" s="12">
        <f>-935.9-91+70+7.4-379.1-73.4-456.6</f>
        <v>-1858.6000000000004</v>
      </c>
      <c r="N27" s="12">
        <f t="shared" si="0"/>
        <v>6230.9999999999982</v>
      </c>
      <c r="O27" s="12">
        <f t="shared" si="1"/>
        <v>19275.399999999998</v>
      </c>
      <c r="P27" s="12">
        <f t="shared" si="2"/>
        <v>13151.199999999999</v>
      </c>
      <c r="Q27" s="12">
        <f t="shared" si="3"/>
        <v>26374.799999999999</v>
      </c>
      <c r="R27" s="12">
        <f t="shared" si="4"/>
        <v>21290.6</v>
      </c>
      <c r="S27" s="12">
        <v>-73.099999999999994</v>
      </c>
      <c r="T27" s="12">
        <v>-78.400000000000006</v>
      </c>
      <c r="U27" s="12">
        <v>-83.2</v>
      </c>
      <c r="V27" s="12">
        <f t="shared" si="5"/>
        <v>19202.3</v>
      </c>
      <c r="W27" s="12">
        <f t="shared" si="6"/>
        <v>26296.399999999998</v>
      </c>
      <c r="X27" s="12">
        <f t="shared" si="7"/>
        <v>21207.399999999998</v>
      </c>
      <c r="Y27" s="12"/>
      <c r="Z27" s="12"/>
      <c r="AA27" s="12"/>
      <c r="AB27" s="12">
        <f t="shared" si="8"/>
        <v>19202.3</v>
      </c>
      <c r="AC27" s="12">
        <f t="shared" si="9"/>
        <v>26296.399999999998</v>
      </c>
      <c r="AD27" s="12">
        <f t="shared" si="10"/>
        <v>21207.399999999998</v>
      </c>
      <c r="AE27" s="12"/>
      <c r="AF27" s="12">
        <f t="shared" si="11"/>
        <v>19202.3</v>
      </c>
      <c r="AG27" s="12">
        <f>1750</f>
        <v>1750</v>
      </c>
      <c r="AH27" s="12"/>
      <c r="AI27" s="12"/>
      <c r="AJ27" s="12">
        <f t="shared" si="12"/>
        <v>20952.3</v>
      </c>
      <c r="AK27" s="12">
        <f t="shared" si="13"/>
        <v>26296.399999999998</v>
      </c>
      <c r="AL27" s="12">
        <f t="shared" si="14"/>
        <v>21207.399999999998</v>
      </c>
      <c r="AM27" s="12"/>
      <c r="AN27" s="12">
        <f t="shared" si="17"/>
        <v>20952.3</v>
      </c>
      <c r="AO27" s="12"/>
      <c r="AP27" s="7"/>
    </row>
    <row r="28" spans="1:42" s="8" customFormat="1" x14ac:dyDescent="0.25">
      <c r="A28" s="4" t="s">
        <v>15</v>
      </c>
      <c r="B28" s="4" t="s">
        <v>9</v>
      </c>
      <c r="C28" s="5" t="s">
        <v>31</v>
      </c>
      <c r="D28" s="6">
        <f>SUM(D30:D33)</f>
        <v>3093055.1070000003</v>
      </c>
      <c r="E28" s="6">
        <f t="shared" si="15"/>
        <v>181185.6929999995</v>
      </c>
      <c r="F28" s="6">
        <f>SUM(F30:F33)</f>
        <v>3274240.8</v>
      </c>
      <c r="G28" s="6">
        <f>SUM(G30:G33)</f>
        <v>3453032.1300000004</v>
      </c>
      <c r="H28" s="6">
        <f t="shared" si="16"/>
        <v>-333234.33000000054</v>
      </c>
      <c r="I28" s="6">
        <f>SUM(I30:I33)</f>
        <v>3119797.8</v>
      </c>
      <c r="J28" s="6">
        <f>SUM(J30:J33)</f>
        <v>3024736.9</v>
      </c>
      <c r="K28" s="6">
        <f>SUM(K30:K33)</f>
        <v>-6056.3</v>
      </c>
      <c r="L28" s="6">
        <f>SUM(L30:L33)</f>
        <v>62772</v>
      </c>
      <c r="M28" s="6">
        <f>SUM(M30:M33)</f>
        <v>80489.7</v>
      </c>
      <c r="N28" s="6">
        <f t="shared" si="0"/>
        <v>175129.39299999969</v>
      </c>
      <c r="O28" s="6">
        <f t="shared" si="1"/>
        <v>3268184.5</v>
      </c>
      <c r="P28" s="6">
        <f t="shared" si="2"/>
        <v>-270462.33000000054</v>
      </c>
      <c r="Q28" s="6">
        <f t="shared" si="3"/>
        <v>3182569.8</v>
      </c>
      <c r="R28" s="6">
        <f t="shared" si="4"/>
        <v>3105226.6</v>
      </c>
      <c r="S28" s="6">
        <f>SUM(S30:S33)</f>
        <v>0</v>
      </c>
      <c r="T28" s="6">
        <f>SUM(T30:T33)</f>
        <v>0</v>
      </c>
      <c r="U28" s="6">
        <f>SUM(U30:U33)</f>
        <v>0</v>
      </c>
      <c r="V28" s="6">
        <f t="shared" si="5"/>
        <v>3268184.5</v>
      </c>
      <c r="W28" s="6">
        <f t="shared" si="6"/>
        <v>3182569.8</v>
      </c>
      <c r="X28" s="6">
        <f t="shared" si="7"/>
        <v>3105226.6</v>
      </c>
      <c r="Y28" s="6">
        <f>SUM(Y29:Y33)</f>
        <v>-4803.612000000001</v>
      </c>
      <c r="Z28" s="6">
        <f>SUM(Z29:Z33)</f>
        <v>0</v>
      </c>
      <c r="AA28" s="6">
        <f>SUM(AA29:AA33)</f>
        <v>0</v>
      </c>
      <c r="AB28" s="6">
        <f t="shared" si="8"/>
        <v>3263380.8879999998</v>
      </c>
      <c r="AC28" s="6">
        <f t="shared" si="9"/>
        <v>3182569.8</v>
      </c>
      <c r="AD28" s="6">
        <f t="shared" si="10"/>
        <v>3105226.6</v>
      </c>
      <c r="AE28" s="6">
        <f>SUM(AE29:AE33)</f>
        <v>-75267.521000000008</v>
      </c>
      <c r="AF28" s="12">
        <f t="shared" si="11"/>
        <v>3188113.3669999996</v>
      </c>
      <c r="AG28" s="6">
        <f>SUM(AG29:AG33)</f>
        <v>352091.88100000005</v>
      </c>
      <c r="AH28" s="6">
        <f>SUM(AH29:AH33)</f>
        <v>9836.9000000000015</v>
      </c>
      <c r="AI28" s="6">
        <f>SUM(AI29:AI33)</f>
        <v>11914.599999999999</v>
      </c>
      <c r="AJ28" s="6">
        <f t="shared" si="12"/>
        <v>3540205.2479999997</v>
      </c>
      <c r="AK28" s="6">
        <f t="shared" si="13"/>
        <v>3192406.6999999997</v>
      </c>
      <c r="AL28" s="6">
        <f t="shared" si="14"/>
        <v>3117141.2</v>
      </c>
      <c r="AM28" s="6">
        <f>SUM(AM29:AM33)</f>
        <v>-16610.560999999998</v>
      </c>
      <c r="AN28" s="6">
        <f t="shared" si="17"/>
        <v>3523594.6869999995</v>
      </c>
      <c r="AO28" s="6">
        <f>SUM(AO29:AO33)</f>
        <v>0</v>
      </c>
      <c r="AP28" s="7"/>
    </row>
    <row r="29" spans="1:42" x14ac:dyDescent="0.25">
      <c r="A29" s="9" t="s">
        <v>15</v>
      </c>
      <c r="B29" s="9" t="s">
        <v>18</v>
      </c>
      <c r="C29" s="11" t="s">
        <v>93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>
        <v>0</v>
      </c>
      <c r="W29" s="12">
        <v>0</v>
      </c>
      <c r="X29" s="12">
        <v>0</v>
      </c>
      <c r="Y29" s="12"/>
      <c r="Z29" s="12"/>
      <c r="AA29" s="12"/>
      <c r="AB29" s="12">
        <f>V29+Y29</f>
        <v>0</v>
      </c>
      <c r="AC29" s="12">
        <f>W29+Z29</f>
        <v>0</v>
      </c>
      <c r="AD29" s="12">
        <f>X29+AA29</f>
        <v>0</v>
      </c>
      <c r="AE29" s="12"/>
      <c r="AF29" s="12">
        <f t="shared" si="11"/>
        <v>0</v>
      </c>
      <c r="AG29" s="12">
        <f>3258</f>
        <v>3258</v>
      </c>
      <c r="AH29" s="12">
        <v>5771.1</v>
      </c>
      <c r="AI29" s="12">
        <v>7275</v>
      </c>
      <c r="AJ29" s="12">
        <f t="shared" si="12"/>
        <v>3258</v>
      </c>
      <c r="AK29" s="12">
        <f t="shared" si="13"/>
        <v>5771.1</v>
      </c>
      <c r="AL29" s="12">
        <f t="shared" si="14"/>
        <v>7275</v>
      </c>
      <c r="AM29" s="12"/>
      <c r="AN29" s="12">
        <f t="shared" si="17"/>
        <v>3258</v>
      </c>
      <c r="AO29" s="12"/>
      <c r="AP29" s="21"/>
    </row>
    <row r="30" spans="1:42" x14ac:dyDescent="0.25">
      <c r="A30" s="9" t="s">
        <v>15</v>
      </c>
      <c r="B30" s="10" t="s">
        <v>20</v>
      </c>
      <c r="C30" s="11" t="s">
        <v>32</v>
      </c>
      <c r="D30" s="12">
        <v>23222.3</v>
      </c>
      <c r="E30" s="12">
        <f t="shared" si="15"/>
        <v>11562.2</v>
      </c>
      <c r="F30" s="12">
        <v>34784.5</v>
      </c>
      <c r="G30" s="12">
        <v>23424.799999999999</v>
      </c>
      <c r="H30" s="12">
        <f t="shared" si="16"/>
        <v>9572.2999999999993</v>
      </c>
      <c r="I30" s="12">
        <v>32997.1</v>
      </c>
      <c r="J30" s="12">
        <v>31738.400000000001</v>
      </c>
      <c r="K30" s="12"/>
      <c r="L30" s="12"/>
      <c r="M30" s="12"/>
      <c r="N30" s="12">
        <f t="shared" si="0"/>
        <v>11562.2</v>
      </c>
      <c r="O30" s="12">
        <f t="shared" si="1"/>
        <v>34784.5</v>
      </c>
      <c r="P30" s="12">
        <f t="shared" si="2"/>
        <v>9572.2999999999993</v>
      </c>
      <c r="Q30" s="12">
        <f t="shared" si="3"/>
        <v>32997.1</v>
      </c>
      <c r="R30" s="12">
        <f t="shared" si="4"/>
        <v>31738.400000000001</v>
      </c>
      <c r="S30" s="12"/>
      <c r="T30" s="12"/>
      <c r="U30" s="12"/>
      <c r="V30" s="12">
        <f t="shared" si="5"/>
        <v>34784.5</v>
      </c>
      <c r="W30" s="12">
        <f t="shared" si="6"/>
        <v>32997.1</v>
      </c>
      <c r="X30" s="12">
        <f t="shared" si="7"/>
        <v>31738.400000000001</v>
      </c>
      <c r="Y30" s="12"/>
      <c r="Z30" s="12"/>
      <c r="AA30" s="12"/>
      <c r="AB30" s="12">
        <f t="shared" si="8"/>
        <v>34784.5</v>
      </c>
      <c r="AC30" s="12">
        <f t="shared" si="9"/>
        <v>32997.1</v>
      </c>
      <c r="AD30" s="12">
        <f t="shared" si="10"/>
        <v>31738.400000000001</v>
      </c>
      <c r="AE30" s="12"/>
      <c r="AF30" s="12">
        <f t="shared" si="11"/>
        <v>34784.5</v>
      </c>
      <c r="AG30" s="12">
        <f>1442.682+1227.87</f>
        <v>2670.5519999999997</v>
      </c>
      <c r="AH30" s="12"/>
      <c r="AI30" s="12"/>
      <c r="AJ30" s="12">
        <f t="shared" si="12"/>
        <v>37455.051999999996</v>
      </c>
      <c r="AK30" s="12">
        <f t="shared" si="13"/>
        <v>32997.1</v>
      </c>
      <c r="AL30" s="12">
        <f t="shared" si="14"/>
        <v>31738.400000000001</v>
      </c>
      <c r="AM30" s="12">
        <f>3242.6-1442.682</f>
        <v>1799.9179999999999</v>
      </c>
      <c r="AN30" s="12">
        <f t="shared" si="17"/>
        <v>39254.969999999994</v>
      </c>
      <c r="AO30" s="12"/>
      <c r="AP30" s="7"/>
    </row>
    <row r="31" spans="1:42" x14ac:dyDescent="0.25">
      <c r="A31" s="9" t="s">
        <v>15</v>
      </c>
      <c r="B31" s="10" t="s">
        <v>33</v>
      </c>
      <c r="C31" s="11" t="s">
        <v>34</v>
      </c>
      <c r="D31" s="12">
        <v>885194.5</v>
      </c>
      <c r="E31" s="12">
        <f t="shared" si="15"/>
        <v>-93348.599999999977</v>
      </c>
      <c r="F31" s="12">
        <v>791845.9</v>
      </c>
      <c r="G31" s="12">
        <v>915828.6</v>
      </c>
      <c r="H31" s="12">
        <f t="shared" si="16"/>
        <v>-78917</v>
      </c>
      <c r="I31" s="12">
        <v>836911.6</v>
      </c>
      <c r="J31" s="12">
        <v>836267.7</v>
      </c>
      <c r="K31" s="12">
        <f>-1193.3-89</f>
        <v>-1282.3</v>
      </c>
      <c r="L31" s="12">
        <f>-1193.3-89</f>
        <v>-1282.3</v>
      </c>
      <c r="M31" s="12">
        <f>-1193.3-91</f>
        <v>-1284.3</v>
      </c>
      <c r="N31" s="12">
        <f t="shared" si="0"/>
        <v>-94630.900000000023</v>
      </c>
      <c r="O31" s="12">
        <f t="shared" si="1"/>
        <v>790563.6</v>
      </c>
      <c r="P31" s="12">
        <f t="shared" si="2"/>
        <v>-80199.300000000047</v>
      </c>
      <c r="Q31" s="12">
        <f t="shared" si="3"/>
        <v>835629.29999999993</v>
      </c>
      <c r="R31" s="12">
        <f t="shared" si="4"/>
        <v>834983.39999999991</v>
      </c>
      <c r="S31" s="12"/>
      <c r="T31" s="12"/>
      <c r="U31" s="12"/>
      <c r="V31" s="12">
        <f t="shared" si="5"/>
        <v>790563.6</v>
      </c>
      <c r="W31" s="12">
        <f t="shared" si="6"/>
        <v>835629.29999999993</v>
      </c>
      <c r="X31" s="12">
        <f t="shared" si="7"/>
        <v>834983.39999999991</v>
      </c>
      <c r="Y31" s="12"/>
      <c r="Z31" s="12"/>
      <c r="AA31" s="12"/>
      <c r="AB31" s="12">
        <f t="shared" si="8"/>
        <v>790563.6</v>
      </c>
      <c r="AC31" s="12">
        <f t="shared" si="9"/>
        <v>835629.29999999993</v>
      </c>
      <c r="AD31" s="12">
        <f t="shared" si="10"/>
        <v>834983.39999999991</v>
      </c>
      <c r="AE31" s="12">
        <f>-7618.7-8526.4</f>
        <v>-16145.099999999999</v>
      </c>
      <c r="AF31" s="12">
        <f t="shared" si="11"/>
        <v>774418.5</v>
      </c>
      <c r="AG31" s="12">
        <f>0.1</f>
        <v>0.1</v>
      </c>
      <c r="AH31" s="12">
        <f>0.3</f>
        <v>0.3</v>
      </c>
      <c r="AI31" s="12">
        <f>0.2</f>
        <v>0.2</v>
      </c>
      <c r="AJ31" s="12">
        <f t="shared" si="12"/>
        <v>774418.6</v>
      </c>
      <c r="AK31" s="12">
        <f t="shared" si="13"/>
        <v>835629.6</v>
      </c>
      <c r="AL31" s="12">
        <f t="shared" si="14"/>
        <v>834983.59999999986</v>
      </c>
      <c r="AM31" s="12"/>
      <c r="AN31" s="12">
        <f t="shared" si="17"/>
        <v>774418.6</v>
      </c>
      <c r="AO31" s="12"/>
      <c r="AP31" s="7"/>
    </row>
    <row r="32" spans="1:42" x14ac:dyDescent="0.25">
      <c r="A32" s="9" t="s">
        <v>15</v>
      </c>
      <c r="B32" s="10" t="s">
        <v>27</v>
      </c>
      <c r="C32" s="11" t="s">
        <v>35</v>
      </c>
      <c r="D32" s="12">
        <v>2127534.9070000001</v>
      </c>
      <c r="E32" s="12">
        <f t="shared" si="15"/>
        <v>208676.49299999978</v>
      </c>
      <c r="F32" s="12">
        <v>2336211.4</v>
      </c>
      <c r="G32" s="12">
        <v>2454889.0300000003</v>
      </c>
      <c r="H32" s="12">
        <f t="shared" si="16"/>
        <v>-284331.43000000017</v>
      </c>
      <c r="I32" s="12">
        <v>2170557.6</v>
      </c>
      <c r="J32" s="12">
        <v>2091998.9</v>
      </c>
      <c r="K32" s="12">
        <f>-4647.9</f>
        <v>-4647.8999999999996</v>
      </c>
      <c r="L32" s="12"/>
      <c r="M32" s="12"/>
      <c r="N32" s="12">
        <f t="shared" si="0"/>
        <v>204028.59299999988</v>
      </c>
      <c r="O32" s="12">
        <f t="shared" si="1"/>
        <v>2331563.5</v>
      </c>
      <c r="P32" s="12">
        <f t="shared" si="2"/>
        <v>-284331.43000000017</v>
      </c>
      <c r="Q32" s="12">
        <f t="shared" si="3"/>
        <v>2170557.6</v>
      </c>
      <c r="R32" s="12">
        <f t="shared" si="4"/>
        <v>2091998.9</v>
      </c>
      <c r="S32" s="12"/>
      <c r="T32" s="12"/>
      <c r="U32" s="12"/>
      <c r="V32" s="12">
        <f t="shared" si="5"/>
        <v>2331563.5</v>
      </c>
      <c r="W32" s="12">
        <f t="shared" si="6"/>
        <v>2170557.6</v>
      </c>
      <c r="X32" s="12">
        <f t="shared" si="7"/>
        <v>2091998.9</v>
      </c>
      <c r="Y32" s="12">
        <f>-18628.478-27861.746+15612.994-12425.461-725.914-8660.72-2736.683-29.761+40538.047</f>
        <v>-14917.722000000002</v>
      </c>
      <c r="Z32" s="12"/>
      <c r="AA32" s="12"/>
      <c r="AB32" s="12">
        <f t="shared" si="8"/>
        <v>2316645.7779999999</v>
      </c>
      <c r="AC32" s="12">
        <f t="shared" si="9"/>
        <v>2170557.6</v>
      </c>
      <c r="AD32" s="12">
        <f t="shared" si="10"/>
        <v>2091998.9</v>
      </c>
      <c r="AE32" s="12">
        <f>-15612.994-40538.047</f>
        <v>-56151.040999999997</v>
      </c>
      <c r="AF32" s="12">
        <f t="shared" si="11"/>
        <v>2260494.7369999997</v>
      </c>
      <c r="AG32" s="12">
        <f>3696.1+39405.554+3674.477+8129.581+120.058+157.766+48.294+0.027+36935.021+1333.947+2.161+2562.731+2800+5000+10248.181+4693.673+29939.558+8372.165+99.5+14059.97+134889.881-2609.1</f>
        <v>303559.54500000004</v>
      </c>
      <c r="AH32" s="12">
        <f>4065.5</f>
        <v>4065.5</v>
      </c>
      <c r="AI32" s="12">
        <f>4639.4</f>
        <v>4639.3999999999996</v>
      </c>
      <c r="AJ32" s="12">
        <f t="shared" si="12"/>
        <v>2564054.2819999997</v>
      </c>
      <c r="AK32" s="12">
        <f t="shared" si="13"/>
        <v>2174623.1</v>
      </c>
      <c r="AL32" s="12">
        <f t="shared" si="14"/>
        <v>2096638.2999999998</v>
      </c>
      <c r="AM32" s="12">
        <f>-10248.181-4693.673-3242.6-5000-2800+9607.175</f>
        <v>-16377.278999999999</v>
      </c>
      <c r="AN32" s="12">
        <f t="shared" si="17"/>
        <v>2547677.0029999996</v>
      </c>
      <c r="AO32" s="12"/>
      <c r="AP32" s="7"/>
    </row>
    <row r="33" spans="1:42" x14ac:dyDescent="0.25">
      <c r="A33" s="9" t="s">
        <v>15</v>
      </c>
      <c r="B33" s="10" t="s">
        <v>36</v>
      </c>
      <c r="C33" s="11" t="s">
        <v>37</v>
      </c>
      <c r="D33" s="12">
        <v>57103.4</v>
      </c>
      <c r="E33" s="12">
        <f t="shared" si="15"/>
        <v>54295.6</v>
      </c>
      <c r="F33" s="12">
        <v>111399</v>
      </c>
      <c r="G33" s="12">
        <v>58889.7</v>
      </c>
      <c r="H33" s="12">
        <f t="shared" si="16"/>
        <v>20441.800000000003</v>
      </c>
      <c r="I33" s="12">
        <v>79331.5</v>
      </c>
      <c r="J33" s="12">
        <v>64731.9</v>
      </c>
      <c r="K33" s="12">
        <f>-126.1</f>
        <v>-126.1</v>
      </c>
      <c r="L33" s="12">
        <f>64172.9-118.6</f>
        <v>64054.3</v>
      </c>
      <c r="M33" s="12">
        <f>81930.2-156.2</f>
        <v>81774</v>
      </c>
      <c r="N33" s="12">
        <f t="shared" si="0"/>
        <v>54169.499999999993</v>
      </c>
      <c r="O33" s="12">
        <f t="shared" si="1"/>
        <v>111272.9</v>
      </c>
      <c r="P33" s="12">
        <f t="shared" si="2"/>
        <v>84496.099999999991</v>
      </c>
      <c r="Q33" s="12">
        <f t="shared" si="3"/>
        <v>143385.79999999999</v>
      </c>
      <c r="R33" s="12">
        <f t="shared" si="4"/>
        <v>146505.9</v>
      </c>
      <c r="S33" s="12"/>
      <c r="T33" s="12"/>
      <c r="U33" s="12"/>
      <c r="V33" s="12">
        <f t="shared" si="5"/>
        <v>111272.9</v>
      </c>
      <c r="W33" s="12">
        <f t="shared" si="6"/>
        <v>143385.79999999999</v>
      </c>
      <c r="X33" s="12">
        <f t="shared" si="7"/>
        <v>146505.9</v>
      </c>
      <c r="Y33" s="12">
        <f>10114.11</f>
        <v>10114.11</v>
      </c>
      <c r="Z33" s="12"/>
      <c r="AA33" s="12"/>
      <c r="AB33" s="12">
        <f t="shared" si="8"/>
        <v>121387.01</v>
      </c>
      <c r="AC33" s="12">
        <f t="shared" si="9"/>
        <v>143385.79999999999</v>
      </c>
      <c r="AD33" s="12">
        <f t="shared" si="10"/>
        <v>146505.9</v>
      </c>
      <c r="AE33" s="12">
        <f>-2971.38</f>
        <v>-2971.38</v>
      </c>
      <c r="AF33" s="12">
        <f t="shared" si="11"/>
        <v>118415.62999999999</v>
      </c>
      <c r="AG33" s="12">
        <f>459.1+33374.654+723.764+10.743+283.5+2715.723+2033.2+3003</f>
        <v>42603.684000000001</v>
      </c>
      <c r="AH33" s="12"/>
      <c r="AI33" s="12"/>
      <c r="AJ33" s="12">
        <f t="shared" si="12"/>
        <v>161019.31399999998</v>
      </c>
      <c r="AK33" s="12">
        <f t="shared" si="13"/>
        <v>143385.79999999999</v>
      </c>
      <c r="AL33" s="12">
        <f t="shared" si="14"/>
        <v>146505.9</v>
      </c>
      <c r="AM33" s="12">
        <v>-2033.2</v>
      </c>
      <c r="AN33" s="12">
        <f t="shared" si="17"/>
        <v>158986.11399999997</v>
      </c>
      <c r="AO33" s="12"/>
      <c r="AP33" s="7"/>
    </row>
    <row r="34" spans="1:42" s="8" customFormat="1" x14ac:dyDescent="0.25">
      <c r="A34" s="4" t="s">
        <v>17</v>
      </c>
      <c r="B34" s="4" t="s">
        <v>9</v>
      </c>
      <c r="C34" s="5" t="s">
        <v>38</v>
      </c>
      <c r="D34" s="6">
        <f>SUM(D35:D38)</f>
        <v>1681349.2030000002</v>
      </c>
      <c r="E34" s="6">
        <f t="shared" si="15"/>
        <v>180083.29699999979</v>
      </c>
      <c r="F34" s="6">
        <f>SUM(F35:F38)</f>
        <v>1861432.5</v>
      </c>
      <c r="G34" s="6">
        <f>SUM(G35:G38)</f>
        <v>1543615.1469999999</v>
      </c>
      <c r="H34" s="6">
        <f t="shared" si="16"/>
        <v>211156.45300000021</v>
      </c>
      <c r="I34" s="6">
        <f>SUM(I35:I38)</f>
        <v>1754771.6</v>
      </c>
      <c r="J34" s="6">
        <f>SUM(J35:J38)</f>
        <v>1469448.6</v>
      </c>
      <c r="K34" s="6">
        <f>SUM(K35:K38)</f>
        <v>181355.29999999996</v>
      </c>
      <c r="L34" s="6">
        <f>SUM(L35:L38)</f>
        <v>288079.19999999984</v>
      </c>
      <c r="M34" s="6">
        <f>SUM(M35:M38)</f>
        <v>194035</v>
      </c>
      <c r="N34" s="6">
        <f t="shared" si="0"/>
        <v>361438.59699999983</v>
      </c>
      <c r="O34" s="6">
        <f t="shared" si="1"/>
        <v>2042787.8</v>
      </c>
      <c r="P34" s="6">
        <f t="shared" si="2"/>
        <v>499235.65299999993</v>
      </c>
      <c r="Q34" s="6">
        <f t="shared" si="3"/>
        <v>2042850.7999999998</v>
      </c>
      <c r="R34" s="6">
        <f t="shared" si="4"/>
        <v>1663483.6</v>
      </c>
      <c r="S34" s="6">
        <f>SUM(S35:S38)</f>
        <v>0</v>
      </c>
      <c r="T34" s="6">
        <f>SUM(T35:T38)</f>
        <v>0</v>
      </c>
      <c r="U34" s="6">
        <f>SUM(U35:U38)</f>
        <v>0</v>
      </c>
      <c r="V34" s="6">
        <f t="shared" si="5"/>
        <v>2042787.8</v>
      </c>
      <c r="W34" s="6">
        <f t="shared" si="6"/>
        <v>2042850.7999999998</v>
      </c>
      <c r="X34" s="6">
        <f t="shared" si="7"/>
        <v>1663483.6</v>
      </c>
      <c r="Y34" s="6">
        <f>SUM(Y35:Y38)</f>
        <v>10809.121999999999</v>
      </c>
      <c r="Z34" s="6">
        <f>SUM(Z35:Z38)</f>
        <v>-4092.1</v>
      </c>
      <c r="AA34" s="6">
        <f>SUM(AA35:AA38)</f>
        <v>-4174</v>
      </c>
      <c r="AB34" s="6">
        <f t="shared" si="8"/>
        <v>2053596.922</v>
      </c>
      <c r="AC34" s="6">
        <f t="shared" si="9"/>
        <v>2038758.6999999997</v>
      </c>
      <c r="AD34" s="6">
        <f t="shared" si="10"/>
        <v>1659309.6</v>
      </c>
      <c r="AE34" s="6">
        <f>SUM(AE35:AE38)</f>
        <v>-14917.722</v>
      </c>
      <c r="AF34" s="12">
        <f t="shared" si="11"/>
        <v>2038679.2</v>
      </c>
      <c r="AG34" s="6">
        <f>SUM(AG35:AG38)</f>
        <v>571103.51599999995</v>
      </c>
      <c r="AH34" s="6">
        <f>SUM(AH35:AH38)</f>
        <v>0</v>
      </c>
      <c r="AI34" s="6">
        <f>SUM(AI35:AI38)</f>
        <v>0</v>
      </c>
      <c r="AJ34" s="6">
        <f t="shared" si="12"/>
        <v>2609782.716</v>
      </c>
      <c r="AK34" s="6">
        <f t="shared" si="13"/>
        <v>2038758.6999999997</v>
      </c>
      <c r="AL34" s="6">
        <f t="shared" si="14"/>
        <v>1659309.6</v>
      </c>
      <c r="AM34" s="6">
        <f>SUM(AM35:AM38)</f>
        <v>-15965.502999999999</v>
      </c>
      <c r="AN34" s="6">
        <f t="shared" si="17"/>
        <v>2593817.213</v>
      </c>
      <c r="AO34" s="6">
        <f>SUM(AO35:AO38)</f>
        <v>0</v>
      </c>
      <c r="AP34" s="7"/>
    </row>
    <row r="35" spans="1:42" x14ac:dyDescent="0.25">
      <c r="A35" s="9" t="s">
        <v>17</v>
      </c>
      <c r="B35" s="10" t="s">
        <v>8</v>
      </c>
      <c r="C35" s="11" t="s">
        <v>39</v>
      </c>
      <c r="D35" s="12">
        <v>277346.3</v>
      </c>
      <c r="E35" s="12">
        <f t="shared" si="15"/>
        <v>114495.40000000002</v>
      </c>
      <c r="F35" s="12">
        <v>391841.7</v>
      </c>
      <c r="G35" s="12">
        <v>248357.1</v>
      </c>
      <c r="H35" s="12">
        <f t="shared" si="16"/>
        <v>108368.80000000002</v>
      </c>
      <c r="I35" s="12">
        <v>356725.9</v>
      </c>
      <c r="J35" s="12">
        <v>233776.1</v>
      </c>
      <c r="K35" s="12">
        <f>-35355-1879.5+1926.5+50000-162.2</f>
        <v>14529.8</v>
      </c>
      <c r="L35" s="12">
        <f>-30662.1+1848.2+111489.5-162.2</f>
        <v>82513.400000000009</v>
      </c>
      <c r="M35" s="12">
        <f>-26086+5100+160908.2</f>
        <v>139922.20000000001</v>
      </c>
      <c r="N35" s="12">
        <f t="shared" si="0"/>
        <v>129025.20000000001</v>
      </c>
      <c r="O35" s="12">
        <f t="shared" si="1"/>
        <v>406371.5</v>
      </c>
      <c r="P35" s="12">
        <f t="shared" si="2"/>
        <v>190882.20000000004</v>
      </c>
      <c r="Q35" s="12">
        <f t="shared" si="3"/>
        <v>439239.30000000005</v>
      </c>
      <c r="R35" s="12">
        <f t="shared" si="4"/>
        <v>373698.30000000005</v>
      </c>
      <c r="S35" s="12"/>
      <c r="T35" s="12"/>
      <c r="U35" s="12"/>
      <c r="V35" s="12">
        <f t="shared" si="5"/>
        <v>406371.5</v>
      </c>
      <c r="W35" s="12">
        <f t="shared" si="6"/>
        <v>439239.30000000005</v>
      </c>
      <c r="X35" s="12">
        <f t="shared" si="7"/>
        <v>373698.30000000005</v>
      </c>
      <c r="Y35" s="12"/>
      <c r="Z35" s="12"/>
      <c r="AA35" s="12"/>
      <c r="AB35" s="12">
        <f t="shared" si="8"/>
        <v>406371.5</v>
      </c>
      <c r="AC35" s="12">
        <f t="shared" si="9"/>
        <v>439239.30000000005</v>
      </c>
      <c r="AD35" s="12">
        <f t="shared" si="10"/>
        <v>373698.30000000005</v>
      </c>
      <c r="AE35" s="12"/>
      <c r="AF35" s="12">
        <f t="shared" si="11"/>
        <v>406371.5</v>
      </c>
      <c r="AG35" s="12">
        <f>19+279.822+10433.298+98+26317.811+13423.458+594.822+50000+33764.274+24.44+97.606+982.158+60+0.883+135+99+153136.96+80838.533+471.3</f>
        <v>370776.36499999999</v>
      </c>
      <c r="AH35" s="12"/>
      <c r="AI35" s="12"/>
      <c r="AJ35" s="12">
        <f t="shared" si="12"/>
        <v>777147.86499999999</v>
      </c>
      <c r="AK35" s="12">
        <f t="shared" si="13"/>
        <v>439239.30000000005</v>
      </c>
      <c r="AL35" s="12">
        <f t="shared" si="14"/>
        <v>373698.30000000005</v>
      </c>
      <c r="AM35" s="12">
        <f>-9562.731-471.3</f>
        <v>-10034.030999999999</v>
      </c>
      <c r="AN35" s="12">
        <f t="shared" si="17"/>
        <v>767113.83400000003</v>
      </c>
      <c r="AO35" s="12"/>
      <c r="AP35" s="7"/>
    </row>
    <row r="36" spans="1:42" x14ac:dyDescent="0.25">
      <c r="A36" s="9" t="s">
        <v>17</v>
      </c>
      <c r="B36" s="10" t="s">
        <v>11</v>
      </c>
      <c r="C36" s="11" t="s">
        <v>40</v>
      </c>
      <c r="D36" s="12">
        <v>454110.05000000005</v>
      </c>
      <c r="E36" s="12">
        <f t="shared" si="15"/>
        <v>-62678.350000000035</v>
      </c>
      <c r="F36" s="12">
        <v>391431.7</v>
      </c>
      <c r="G36" s="12">
        <v>342719</v>
      </c>
      <c r="H36" s="12">
        <f t="shared" si="16"/>
        <v>65307.900000000023</v>
      </c>
      <c r="I36" s="12">
        <v>408026.9</v>
      </c>
      <c r="J36" s="12">
        <v>231300.1</v>
      </c>
      <c r="K36" s="12"/>
      <c r="L36" s="12">
        <f>-554.4</f>
        <v>-554.4</v>
      </c>
      <c r="M36" s="12">
        <f>-540.1-5115.4</f>
        <v>-5655.5</v>
      </c>
      <c r="N36" s="12">
        <f t="shared" si="0"/>
        <v>-62678.350000000035</v>
      </c>
      <c r="O36" s="12">
        <f t="shared" si="1"/>
        <v>391431.7</v>
      </c>
      <c r="P36" s="12">
        <f t="shared" si="2"/>
        <v>64753.5</v>
      </c>
      <c r="Q36" s="12">
        <f t="shared" si="3"/>
        <v>407472.5</v>
      </c>
      <c r="R36" s="12">
        <f t="shared" si="4"/>
        <v>225644.6</v>
      </c>
      <c r="S36" s="12"/>
      <c r="T36" s="12"/>
      <c r="U36" s="12"/>
      <c r="V36" s="12">
        <f t="shared" si="5"/>
        <v>391431.7</v>
      </c>
      <c r="W36" s="12">
        <f t="shared" si="6"/>
        <v>407472.5</v>
      </c>
      <c r="X36" s="12">
        <f t="shared" si="7"/>
        <v>225644.6</v>
      </c>
      <c r="Y36" s="12"/>
      <c r="Z36" s="12"/>
      <c r="AA36" s="12"/>
      <c r="AB36" s="12">
        <f t="shared" si="8"/>
        <v>391431.7</v>
      </c>
      <c r="AC36" s="12">
        <f t="shared" si="9"/>
        <v>407472.5</v>
      </c>
      <c r="AD36" s="12">
        <f t="shared" si="10"/>
        <v>225644.6</v>
      </c>
      <c r="AE36" s="12"/>
      <c r="AF36" s="12">
        <f t="shared" si="11"/>
        <v>391431.7</v>
      </c>
      <c r="AG36" s="12">
        <f>5994.051+2235.283+200+290.554+478.456</f>
        <v>9198.344000000001</v>
      </c>
      <c r="AH36" s="12"/>
      <c r="AI36" s="12"/>
      <c r="AJ36" s="12">
        <f t="shared" si="12"/>
        <v>400630.04399999999</v>
      </c>
      <c r="AK36" s="12">
        <f t="shared" si="13"/>
        <v>407472.5</v>
      </c>
      <c r="AL36" s="12">
        <f t="shared" si="14"/>
        <v>225644.6</v>
      </c>
      <c r="AM36" s="12">
        <v>-2235.2829999999999</v>
      </c>
      <c r="AN36" s="12">
        <f t="shared" si="17"/>
        <v>398394.761</v>
      </c>
      <c r="AO36" s="12"/>
      <c r="AP36" s="7"/>
    </row>
    <row r="37" spans="1:42" x14ac:dyDescent="0.25">
      <c r="A37" s="9" t="s">
        <v>17</v>
      </c>
      <c r="B37" s="10" t="s">
        <v>13</v>
      </c>
      <c r="C37" s="11" t="s">
        <v>41</v>
      </c>
      <c r="D37" s="12">
        <f>762736.853-100000</f>
        <v>662736.853</v>
      </c>
      <c r="E37" s="12">
        <f t="shared" si="15"/>
        <v>117910.04700000002</v>
      </c>
      <c r="F37" s="12">
        <v>780646.9</v>
      </c>
      <c r="G37" s="12">
        <v>669768.647</v>
      </c>
      <c r="H37" s="12">
        <f t="shared" si="16"/>
        <v>29694.753000000026</v>
      </c>
      <c r="I37" s="12">
        <v>699463.4</v>
      </c>
      <c r="J37" s="12">
        <v>716244.8</v>
      </c>
      <c r="K37" s="12">
        <f>5604.2+1.2+4108.6+97670.4+58500+16275.2+48930+8607.6+44007.7+527.6-16275.2-48930-8607.6-44007.7-527.6-1512.7-698-3690</f>
        <v>159983.69999999998</v>
      </c>
      <c r="L37" s="12">
        <f>4786.6+1.2+4092.1+30000+167601.3+28481.5+44916.4+48661.1+9012.1+43865.1+527.6-28481.5-44916.4-48661.1-9012.1-43865.1-527.6-1648-3675.3</f>
        <v>201157.89999999985</v>
      </c>
      <c r="M37" s="12">
        <f>4882.3+1.2+4174+50000+9012.1+45660.5+527.6-9012.1-45660.5-527.6-1597-2663.5</f>
        <v>54797.000000000007</v>
      </c>
      <c r="N37" s="12">
        <f t="shared" si="0"/>
        <v>277893.74699999997</v>
      </c>
      <c r="O37" s="12">
        <f t="shared" si="1"/>
        <v>940630.6</v>
      </c>
      <c r="P37" s="12">
        <f t="shared" si="2"/>
        <v>230852.65299999982</v>
      </c>
      <c r="Q37" s="12">
        <f t="shared" si="3"/>
        <v>900621.29999999981</v>
      </c>
      <c r="R37" s="12">
        <f t="shared" si="4"/>
        <v>771041.8</v>
      </c>
      <c r="S37" s="12"/>
      <c r="T37" s="12"/>
      <c r="U37" s="12"/>
      <c r="V37" s="12">
        <f t="shared" si="5"/>
        <v>940630.6</v>
      </c>
      <c r="W37" s="12">
        <f t="shared" si="6"/>
        <v>900621.29999999981</v>
      </c>
      <c r="X37" s="12">
        <f t="shared" si="7"/>
        <v>771041.8</v>
      </c>
      <c r="Y37" s="12">
        <f>500+11965.769-4108.6</f>
        <v>8357.1689999999999</v>
      </c>
      <c r="Z37" s="12">
        <v>-4092.1</v>
      </c>
      <c r="AA37" s="12">
        <v>-4174</v>
      </c>
      <c r="AB37" s="12">
        <f t="shared" si="8"/>
        <v>948987.76899999997</v>
      </c>
      <c r="AC37" s="12">
        <f t="shared" si="9"/>
        <v>896529.19999999984</v>
      </c>
      <c r="AD37" s="12">
        <f t="shared" si="10"/>
        <v>766867.8</v>
      </c>
      <c r="AE37" s="12">
        <f>-500-11965.769</f>
        <v>-12465.769</v>
      </c>
      <c r="AF37" s="12">
        <f t="shared" si="11"/>
        <v>936522</v>
      </c>
      <c r="AG37" s="12">
        <f>642.619+2019.108+695.089+14511.749+18710.653+495.015+2661.545+10714.998+13826.286+52082.224+3004.468+239.139+7+6.337+473.84+18929.254+30000+15495.617</f>
        <v>184514.94099999996</v>
      </c>
      <c r="AH37" s="12"/>
      <c r="AI37" s="12"/>
      <c r="AJ37" s="12">
        <f t="shared" si="12"/>
        <v>1121036.9409999999</v>
      </c>
      <c r="AK37" s="12">
        <f t="shared" si="13"/>
        <v>896529.19999999984</v>
      </c>
      <c r="AL37" s="12">
        <f t="shared" si="14"/>
        <v>766867.8</v>
      </c>
      <c r="AM37" s="12">
        <f>-473.84-18929.254+15706.905</f>
        <v>-3696.1890000000003</v>
      </c>
      <c r="AN37" s="12">
        <f t="shared" si="17"/>
        <v>1117340.7519999999</v>
      </c>
      <c r="AO37" s="12"/>
      <c r="AP37" s="7"/>
    </row>
    <row r="38" spans="1:42" x14ac:dyDescent="0.25">
      <c r="A38" s="9" t="s">
        <v>17</v>
      </c>
      <c r="B38" s="10" t="s">
        <v>17</v>
      </c>
      <c r="C38" s="11" t="s">
        <v>42</v>
      </c>
      <c r="D38" s="12">
        <v>287156</v>
      </c>
      <c r="E38" s="12">
        <f t="shared" si="15"/>
        <v>10356.200000000012</v>
      </c>
      <c r="F38" s="12">
        <v>297512.2</v>
      </c>
      <c r="G38" s="12">
        <v>282770.39999999997</v>
      </c>
      <c r="H38" s="12">
        <f t="shared" si="16"/>
        <v>7785.0000000000582</v>
      </c>
      <c r="I38" s="12">
        <v>290555.40000000002</v>
      </c>
      <c r="J38" s="12">
        <v>288127.59999999998</v>
      </c>
      <c r="K38" s="12">
        <f>4819.3+172+273-257.5+267.9-202.5-20.7-44.7+1879.5-44.5</f>
        <v>6841.8</v>
      </c>
      <c r="L38" s="12">
        <f>4819.3+42+403-257.5+296.5-202.5-19.1-74.9-44.5</f>
        <v>4962.3</v>
      </c>
      <c r="M38" s="12">
        <f>4819.3+42+413-257.5+275.9-202.5-19.4-54-45.5</f>
        <v>4971.3</v>
      </c>
      <c r="N38" s="12">
        <f t="shared" si="0"/>
        <v>17198</v>
      </c>
      <c r="O38" s="12">
        <f t="shared" si="1"/>
        <v>304354</v>
      </c>
      <c r="P38" s="12">
        <f t="shared" si="2"/>
        <v>12747.300000000047</v>
      </c>
      <c r="Q38" s="12">
        <f t="shared" si="3"/>
        <v>295517.7</v>
      </c>
      <c r="R38" s="12">
        <f t="shared" si="4"/>
        <v>293098.89999999997</v>
      </c>
      <c r="S38" s="12"/>
      <c r="T38" s="12"/>
      <c r="U38" s="12"/>
      <c r="V38" s="12">
        <f t="shared" si="5"/>
        <v>304354</v>
      </c>
      <c r="W38" s="12">
        <f t="shared" si="6"/>
        <v>295517.7</v>
      </c>
      <c r="X38" s="12">
        <f t="shared" si="7"/>
        <v>293098.89999999997</v>
      </c>
      <c r="Y38" s="12">
        <f>1535.772+0.645+170.087+745.449</f>
        <v>2451.953</v>
      </c>
      <c r="Z38" s="12"/>
      <c r="AA38" s="12"/>
      <c r="AB38" s="12">
        <f t="shared" si="8"/>
        <v>306805.95299999998</v>
      </c>
      <c r="AC38" s="12">
        <f t="shared" si="9"/>
        <v>295517.7</v>
      </c>
      <c r="AD38" s="12">
        <f t="shared" si="10"/>
        <v>293098.89999999997</v>
      </c>
      <c r="AE38" s="12">
        <f>-1535.772-0.645-170.087-745.449</f>
        <v>-2451.953</v>
      </c>
      <c r="AF38" s="12">
        <f t="shared" si="11"/>
        <v>304354</v>
      </c>
      <c r="AG38" s="12">
        <f>6610.637+3.229</f>
        <v>6613.866</v>
      </c>
      <c r="AH38" s="12"/>
      <c r="AI38" s="12"/>
      <c r="AJ38" s="12">
        <f t="shared" si="12"/>
        <v>310967.86599999998</v>
      </c>
      <c r="AK38" s="12">
        <f t="shared" si="13"/>
        <v>295517.7</v>
      </c>
      <c r="AL38" s="12">
        <f t="shared" si="14"/>
        <v>293098.89999999997</v>
      </c>
      <c r="AM38" s="12"/>
      <c r="AN38" s="12">
        <f t="shared" si="17"/>
        <v>310967.86599999998</v>
      </c>
      <c r="AO38" s="12"/>
      <c r="AP38" s="7"/>
    </row>
    <row r="39" spans="1:42" s="8" customFormat="1" x14ac:dyDescent="0.25">
      <c r="A39" s="4" t="s">
        <v>18</v>
      </c>
      <c r="B39" s="4" t="s">
        <v>9</v>
      </c>
      <c r="C39" s="5" t="s">
        <v>43</v>
      </c>
      <c r="D39" s="6">
        <f>SUM(D40:D41)</f>
        <v>42744.800000000003</v>
      </c>
      <c r="E39" s="6">
        <f t="shared" si="15"/>
        <v>-1013.2000000000044</v>
      </c>
      <c r="F39" s="6">
        <f>SUM(F40:F41)</f>
        <v>41731.599999999999</v>
      </c>
      <c r="G39" s="6">
        <f>SUM(G40:G41)</f>
        <v>42502.1</v>
      </c>
      <c r="H39" s="6">
        <f t="shared" si="16"/>
        <v>-932.29999999999563</v>
      </c>
      <c r="I39" s="6">
        <f>SUM(I40:I41)</f>
        <v>41569.800000000003</v>
      </c>
      <c r="J39" s="6">
        <f>SUM(J40:J41)</f>
        <v>42011.1</v>
      </c>
      <c r="K39" s="6">
        <f>SUM(K40:K41)</f>
        <v>2283.4</v>
      </c>
      <c r="L39" s="6">
        <f>SUM(L40:L41)</f>
        <v>2283.4</v>
      </c>
      <c r="M39" s="6">
        <f>SUM(M40:M41)</f>
        <v>2287.4</v>
      </c>
      <c r="N39" s="6">
        <f t="shared" si="0"/>
        <v>1270.1999999999971</v>
      </c>
      <c r="O39" s="6">
        <f t="shared" si="1"/>
        <v>44015</v>
      </c>
      <c r="P39" s="6">
        <f t="shared" si="2"/>
        <v>1351.1000000000058</v>
      </c>
      <c r="Q39" s="6">
        <f t="shared" si="3"/>
        <v>43853.200000000004</v>
      </c>
      <c r="R39" s="6">
        <f t="shared" si="4"/>
        <v>44298.5</v>
      </c>
      <c r="S39" s="6">
        <f>SUM(S40:S41)</f>
        <v>0</v>
      </c>
      <c r="T39" s="6">
        <f>SUM(T40:T41)</f>
        <v>0</v>
      </c>
      <c r="U39" s="6">
        <f>SUM(U40:U41)</f>
        <v>0</v>
      </c>
      <c r="V39" s="6">
        <f t="shared" si="5"/>
        <v>44015</v>
      </c>
      <c r="W39" s="6">
        <f t="shared" si="6"/>
        <v>43853.200000000004</v>
      </c>
      <c r="X39" s="6">
        <f t="shared" si="7"/>
        <v>44298.5</v>
      </c>
      <c r="Y39" s="6">
        <f>SUM(Y40:Y41)</f>
        <v>0</v>
      </c>
      <c r="Z39" s="6">
        <f>SUM(Z40:Z41)</f>
        <v>0</v>
      </c>
      <c r="AA39" s="6">
        <f>SUM(AA40:AA41)</f>
        <v>0</v>
      </c>
      <c r="AB39" s="6">
        <f t="shared" si="8"/>
        <v>44015</v>
      </c>
      <c r="AC39" s="6">
        <f t="shared" si="9"/>
        <v>43853.200000000004</v>
      </c>
      <c r="AD39" s="6">
        <f t="shared" si="10"/>
        <v>44298.5</v>
      </c>
      <c r="AE39" s="6">
        <f>SUM(AE40:AE41)</f>
        <v>0</v>
      </c>
      <c r="AF39" s="12">
        <f t="shared" si="11"/>
        <v>44015</v>
      </c>
      <c r="AG39" s="6">
        <f>SUM(AG40:AG41)</f>
        <v>4102.8130000000001</v>
      </c>
      <c r="AH39" s="6">
        <f>SUM(AH40:AH41)</f>
        <v>0</v>
      </c>
      <c r="AI39" s="6">
        <f>SUM(AI40:AI41)</f>
        <v>0</v>
      </c>
      <c r="AJ39" s="6">
        <f t="shared" si="12"/>
        <v>48117.813000000002</v>
      </c>
      <c r="AK39" s="6">
        <f t="shared" si="13"/>
        <v>43853.200000000004</v>
      </c>
      <c r="AL39" s="6">
        <f t="shared" si="14"/>
        <v>44298.5</v>
      </c>
      <c r="AM39" s="6">
        <f>SUM(AM40:AM41)</f>
        <v>0</v>
      </c>
      <c r="AN39" s="6">
        <f t="shared" si="17"/>
        <v>48117.813000000002</v>
      </c>
      <c r="AO39" s="6">
        <f>SUM(AO40:AO41)</f>
        <v>0</v>
      </c>
      <c r="AP39" s="7"/>
    </row>
    <row r="40" spans="1:42" ht="31.5" x14ac:dyDescent="0.25">
      <c r="A40" s="9" t="s">
        <v>18</v>
      </c>
      <c r="B40" s="10" t="s">
        <v>13</v>
      </c>
      <c r="C40" s="11" t="s">
        <v>44</v>
      </c>
      <c r="D40" s="12">
        <v>33132</v>
      </c>
      <c r="E40" s="12">
        <f t="shared" si="15"/>
        <v>-1904.5</v>
      </c>
      <c r="F40" s="12">
        <v>31227.5</v>
      </c>
      <c r="G40" s="12">
        <v>32838.1</v>
      </c>
      <c r="H40" s="12">
        <f t="shared" si="16"/>
        <v>-1762.6999999999971</v>
      </c>
      <c r="I40" s="12">
        <v>31075.4</v>
      </c>
      <c r="J40" s="12">
        <v>31492.799999999999</v>
      </c>
      <c r="K40" s="12"/>
      <c r="L40" s="12"/>
      <c r="M40" s="12"/>
      <c r="N40" s="12">
        <f t="shared" si="0"/>
        <v>-1904.5</v>
      </c>
      <c r="O40" s="12">
        <f t="shared" si="1"/>
        <v>31227.5</v>
      </c>
      <c r="P40" s="12">
        <f t="shared" si="2"/>
        <v>-1762.6999999999971</v>
      </c>
      <c r="Q40" s="12">
        <f t="shared" si="3"/>
        <v>31075.4</v>
      </c>
      <c r="R40" s="12">
        <f t="shared" si="4"/>
        <v>31492.799999999999</v>
      </c>
      <c r="S40" s="12"/>
      <c r="T40" s="12"/>
      <c r="U40" s="12"/>
      <c r="V40" s="12">
        <f t="shared" si="5"/>
        <v>31227.5</v>
      </c>
      <c r="W40" s="12">
        <f t="shared" si="6"/>
        <v>31075.4</v>
      </c>
      <c r="X40" s="12">
        <f t="shared" si="7"/>
        <v>31492.799999999999</v>
      </c>
      <c r="Y40" s="12"/>
      <c r="Z40" s="12"/>
      <c r="AA40" s="12"/>
      <c r="AB40" s="12">
        <f t="shared" si="8"/>
        <v>31227.5</v>
      </c>
      <c r="AC40" s="12">
        <f t="shared" si="9"/>
        <v>31075.4</v>
      </c>
      <c r="AD40" s="12">
        <f t="shared" si="10"/>
        <v>31492.799999999999</v>
      </c>
      <c r="AE40" s="12"/>
      <c r="AF40" s="12">
        <f t="shared" si="11"/>
        <v>31227.5</v>
      </c>
      <c r="AG40" s="12">
        <f>3902.813+200</f>
        <v>4102.8130000000001</v>
      </c>
      <c r="AH40" s="12"/>
      <c r="AI40" s="12"/>
      <c r="AJ40" s="12">
        <f t="shared" si="12"/>
        <v>35330.313000000002</v>
      </c>
      <c r="AK40" s="12">
        <f t="shared" si="13"/>
        <v>31075.4</v>
      </c>
      <c r="AL40" s="12">
        <f t="shared" si="14"/>
        <v>31492.799999999999</v>
      </c>
      <c r="AM40" s="12"/>
      <c r="AN40" s="12">
        <f t="shared" si="17"/>
        <v>35330.313000000002</v>
      </c>
      <c r="AO40" s="12"/>
      <c r="AP40" s="7"/>
    </row>
    <row r="41" spans="1:42" x14ac:dyDescent="0.25">
      <c r="A41" s="9" t="s">
        <v>18</v>
      </c>
      <c r="B41" s="10" t="s">
        <v>17</v>
      </c>
      <c r="C41" s="11" t="s">
        <v>45</v>
      </c>
      <c r="D41" s="12">
        <v>9612.7999999999993</v>
      </c>
      <c r="E41" s="12">
        <f t="shared" si="15"/>
        <v>891.30000000000109</v>
      </c>
      <c r="F41" s="12">
        <v>10504.1</v>
      </c>
      <c r="G41" s="12">
        <v>9664</v>
      </c>
      <c r="H41" s="12">
        <f t="shared" si="16"/>
        <v>830.39999999999964</v>
      </c>
      <c r="I41" s="12">
        <v>10494.4</v>
      </c>
      <c r="J41" s="12">
        <v>10518.3</v>
      </c>
      <c r="K41" s="12">
        <f>2105.4+168+10</f>
        <v>2283.4</v>
      </c>
      <c r="L41" s="12">
        <f>2105.4+168+10</f>
        <v>2283.4</v>
      </c>
      <c r="M41" s="12">
        <f>2105.4+172+10</f>
        <v>2287.4</v>
      </c>
      <c r="N41" s="12">
        <f t="shared" si="0"/>
        <v>3174.7000000000007</v>
      </c>
      <c r="O41" s="12">
        <f t="shared" si="1"/>
        <v>12787.5</v>
      </c>
      <c r="P41" s="12">
        <f t="shared" si="2"/>
        <v>3113.7999999999993</v>
      </c>
      <c r="Q41" s="12">
        <f t="shared" si="3"/>
        <v>12777.8</v>
      </c>
      <c r="R41" s="12">
        <f t="shared" si="4"/>
        <v>12805.699999999999</v>
      </c>
      <c r="S41" s="12"/>
      <c r="T41" s="12"/>
      <c r="U41" s="12"/>
      <c r="V41" s="12">
        <f t="shared" si="5"/>
        <v>12787.5</v>
      </c>
      <c r="W41" s="12">
        <f t="shared" si="6"/>
        <v>12777.8</v>
      </c>
      <c r="X41" s="12">
        <f t="shared" si="7"/>
        <v>12805.699999999999</v>
      </c>
      <c r="Y41" s="12"/>
      <c r="Z41" s="12"/>
      <c r="AA41" s="12"/>
      <c r="AB41" s="12">
        <f t="shared" si="8"/>
        <v>12787.5</v>
      </c>
      <c r="AC41" s="12">
        <f t="shared" si="9"/>
        <v>12777.8</v>
      </c>
      <c r="AD41" s="12">
        <f t="shared" si="10"/>
        <v>12805.699999999999</v>
      </c>
      <c r="AE41" s="12"/>
      <c r="AF41" s="12">
        <f t="shared" si="11"/>
        <v>12787.5</v>
      </c>
      <c r="AG41" s="12"/>
      <c r="AH41" s="12"/>
      <c r="AI41" s="12"/>
      <c r="AJ41" s="12">
        <f t="shared" si="12"/>
        <v>12787.5</v>
      </c>
      <c r="AK41" s="12">
        <f t="shared" si="13"/>
        <v>12777.8</v>
      </c>
      <c r="AL41" s="12">
        <f t="shared" si="14"/>
        <v>12805.699999999999</v>
      </c>
      <c r="AM41" s="12"/>
      <c r="AN41" s="12">
        <f t="shared" si="17"/>
        <v>12787.5</v>
      </c>
      <c r="AO41" s="12"/>
      <c r="AP41" s="7"/>
    </row>
    <row r="42" spans="1:42" s="8" customFormat="1" x14ac:dyDescent="0.25">
      <c r="A42" s="4" t="s">
        <v>20</v>
      </c>
      <c r="B42" s="4" t="s">
        <v>9</v>
      </c>
      <c r="C42" s="15" t="s">
        <v>46</v>
      </c>
      <c r="D42" s="6">
        <f>SUM(D43:D46)</f>
        <v>8261993.2149999999</v>
      </c>
      <c r="E42" s="6">
        <f t="shared" si="15"/>
        <v>1511529.4850000013</v>
      </c>
      <c r="F42" s="6">
        <f>SUM(F43:F46)</f>
        <v>9773522.7000000011</v>
      </c>
      <c r="G42" s="6">
        <f>SUM(G43:G46)</f>
        <v>8143054.7869999995</v>
      </c>
      <c r="H42" s="6">
        <f t="shared" si="16"/>
        <v>1851326.3130000001</v>
      </c>
      <c r="I42" s="6">
        <f>SUM(I43:I46)</f>
        <v>9994381.0999999996</v>
      </c>
      <c r="J42" s="6">
        <f>SUM(J43:J46)</f>
        <v>10623796</v>
      </c>
      <c r="K42" s="6">
        <f>SUM(K43:K46)</f>
        <v>63872.2</v>
      </c>
      <c r="L42" s="6">
        <f>SUM(L43:L46)</f>
        <v>-3578.1000000000004</v>
      </c>
      <c r="M42" s="6">
        <f>SUM(M43:M46)</f>
        <v>-2697.9000000000005</v>
      </c>
      <c r="N42" s="6">
        <f t="shared" si="0"/>
        <v>1575401.6850000005</v>
      </c>
      <c r="O42" s="6">
        <f t="shared" si="1"/>
        <v>9837394.9000000004</v>
      </c>
      <c r="P42" s="6">
        <f t="shared" si="2"/>
        <v>1847748.2130000005</v>
      </c>
      <c r="Q42" s="6">
        <f t="shared" si="3"/>
        <v>9990803</v>
      </c>
      <c r="R42" s="6">
        <f t="shared" si="4"/>
        <v>10621098.1</v>
      </c>
      <c r="S42" s="6">
        <f>SUM(S43:S46)</f>
        <v>-712</v>
      </c>
      <c r="T42" s="6">
        <f>SUM(T43:T46)</f>
        <v>0</v>
      </c>
      <c r="U42" s="6">
        <f>SUM(U43:U46)</f>
        <v>0</v>
      </c>
      <c r="V42" s="6">
        <f t="shared" si="5"/>
        <v>9836682.9000000004</v>
      </c>
      <c r="W42" s="6">
        <f t="shared" si="6"/>
        <v>9990803</v>
      </c>
      <c r="X42" s="6">
        <f t="shared" si="7"/>
        <v>10621098.1</v>
      </c>
      <c r="Y42" s="6">
        <f>SUM(Y43:Y46)</f>
        <v>0</v>
      </c>
      <c r="Z42" s="6">
        <f>SUM(Z43:Z46)</f>
        <v>0</v>
      </c>
      <c r="AA42" s="6">
        <f>SUM(AA43:AA46)</f>
        <v>0</v>
      </c>
      <c r="AB42" s="6">
        <f t="shared" si="8"/>
        <v>9836682.9000000004</v>
      </c>
      <c r="AC42" s="6">
        <f t="shared" si="9"/>
        <v>9990803</v>
      </c>
      <c r="AD42" s="6">
        <f t="shared" si="10"/>
        <v>10621098.1</v>
      </c>
      <c r="AE42" s="6">
        <f>SUM(AE43:AE46)</f>
        <v>0</v>
      </c>
      <c r="AF42" s="12">
        <f t="shared" si="11"/>
        <v>9836682.9000000004</v>
      </c>
      <c r="AG42" s="6">
        <f>SUM(AG43:AG46)</f>
        <v>217561.98800000001</v>
      </c>
      <c r="AH42" s="6">
        <f>SUM(AH43:AH46)</f>
        <v>16373.4</v>
      </c>
      <c r="AI42" s="6">
        <f>SUM(AI43:AI46)</f>
        <v>16832.400000000001</v>
      </c>
      <c r="AJ42" s="6">
        <f t="shared" si="12"/>
        <v>10054244.888</v>
      </c>
      <c r="AK42" s="6">
        <f t="shared" si="13"/>
        <v>10007176.4</v>
      </c>
      <c r="AL42" s="6">
        <f t="shared" si="14"/>
        <v>10637930.5</v>
      </c>
      <c r="AM42" s="6">
        <f>SUM(AM43:AM46)</f>
        <v>219662.20800000001</v>
      </c>
      <c r="AN42" s="6">
        <f t="shared" si="17"/>
        <v>10273907.096000001</v>
      </c>
      <c r="AO42" s="6">
        <f>SUM(AO43:AO46)</f>
        <v>0</v>
      </c>
      <c r="AP42" s="7"/>
    </row>
    <row r="43" spans="1:42" x14ac:dyDescent="0.25">
      <c r="A43" s="9" t="s">
        <v>20</v>
      </c>
      <c r="B43" s="10" t="s">
        <v>8</v>
      </c>
      <c r="C43" s="11" t="s">
        <v>47</v>
      </c>
      <c r="D43" s="12">
        <f>2597020+100000</f>
        <v>2697020</v>
      </c>
      <c r="E43" s="12">
        <f t="shared" si="15"/>
        <v>472709.60000000009</v>
      </c>
      <c r="F43" s="12">
        <v>3169729.6</v>
      </c>
      <c r="G43" s="12">
        <v>2671102.5</v>
      </c>
      <c r="H43" s="12">
        <f t="shared" si="16"/>
        <v>774504.10000000009</v>
      </c>
      <c r="I43" s="12">
        <v>3445606.6</v>
      </c>
      <c r="J43" s="12">
        <v>4049903.9</v>
      </c>
      <c r="K43" s="12">
        <f>-8000-4279.4+205500+165.7+170</f>
        <v>193556.30000000002</v>
      </c>
      <c r="L43" s="12">
        <f>-20026-4274.1+297.7+305.4</f>
        <v>-23696.999999999996</v>
      </c>
      <c r="M43" s="12">
        <f>-4300.8+359+368.3</f>
        <v>-3573.5</v>
      </c>
      <c r="N43" s="12">
        <f t="shared" si="0"/>
        <v>666265.89999999991</v>
      </c>
      <c r="O43" s="12">
        <f t="shared" si="1"/>
        <v>3363285.9</v>
      </c>
      <c r="P43" s="12">
        <f t="shared" si="2"/>
        <v>750807.10000000009</v>
      </c>
      <c r="Q43" s="12">
        <f t="shared" si="3"/>
        <v>3421909.6</v>
      </c>
      <c r="R43" s="12">
        <f t="shared" si="4"/>
        <v>4046330.4</v>
      </c>
      <c r="S43" s="12"/>
      <c r="T43" s="12"/>
      <c r="U43" s="12"/>
      <c r="V43" s="12">
        <f t="shared" si="5"/>
        <v>3363285.9</v>
      </c>
      <c r="W43" s="12">
        <f t="shared" si="6"/>
        <v>3421909.6</v>
      </c>
      <c r="X43" s="12">
        <f t="shared" si="7"/>
        <v>4046330.4</v>
      </c>
      <c r="Y43" s="12"/>
      <c r="Z43" s="12"/>
      <c r="AA43" s="12"/>
      <c r="AB43" s="12">
        <f t="shared" si="8"/>
        <v>3363285.9</v>
      </c>
      <c r="AC43" s="12">
        <f t="shared" si="9"/>
        <v>3421909.6</v>
      </c>
      <c r="AD43" s="12">
        <f t="shared" si="10"/>
        <v>4046330.4</v>
      </c>
      <c r="AE43" s="12"/>
      <c r="AF43" s="12">
        <f t="shared" si="11"/>
        <v>3363285.9</v>
      </c>
      <c r="AG43" s="12">
        <f>579.799+5985.5+7939.784</f>
        <v>14505.082999999999</v>
      </c>
      <c r="AH43" s="12"/>
      <c r="AI43" s="12"/>
      <c r="AJ43" s="12">
        <f t="shared" si="12"/>
        <v>3377790.983</v>
      </c>
      <c r="AK43" s="12">
        <f t="shared" si="13"/>
        <v>3421909.6</v>
      </c>
      <c r="AL43" s="12">
        <f t="shared" si="14"/>
        <v>4046330.4</v>
      </c>
      <c r="AM43" s="12">
        <f>222926.1-3263.892</f>
        <v>219662.20800000001</v>
      </c>
      <c r="AN43" s="12">
        <f t="shared" si="17"/>
        <v>3597453.1910000001</v>
      </c>
      <c r="AO43" s="12"/>
      <c r="AP43" s="7"/>
    </row>
    <row r="44" spans="1:42" x14ac:dyDescent="0.25">
      <c r="A44" s="9" t="s">
        <v>20</v>
      </c>
      <c r="B44" s="10" t="s">
        <v>11</v>
      </c>
      <c r="C44" s="11" t="s">
        <v>48</v>
      </c>
      <c r="D44" s="12">
        <v>5205441.6149999993</v>
      </c>
      <c r="E44" s="12">
        <f t="shared" si="15"/>
        <v>961233.68500000052</v>
      </c>
      <c r="F44" s="12">
        <v>6166675.2999999998</v>
      </c>
      <c r="G44" s="12">
        <v>5126560.3870000001</v>
      </c>
      <c r="H44" s="12">
        <f t="shared" si="16"/>
        <v>908850.51300000027</v>
      </c>
      <c r="I44" s="12">
        <v>6035410.9000000004</v>
      </c>
      <c r="J44" s="12">
        <v>6076167.5</v>
      </c>
      <c r="K44" s="12">
        <f>1500+70000+4279.4-205500+353.5+119.9+59.1-1797.8-5220.4</f>
        <v>-136206.30000000002</v>
      </c>
      <c r="L44" s="12">
        <f>20026+4274.1+635.1+54.1+33.7-3527.2</f>
        <v>21495.799999999996</v>
      </c>
      <c r="M44" s="12">
        <f>4300.8+765.9+374.7+186.2-3418</f>
        <v>2209.5999999999995</v>
      </c>
      <c r="N44" s="12">
        <f t="shared" si="0"/>
        <v>825027.38500000071</v>
      </c>
      <c r="O44" s="12">
        <f t="shared" si="1"/>
        <v>6030469</v>
      </c>
      <c r="P44" s="12">
        <f t="shared" si="2"/>
        <v>930346.31300000008</v>
      </c>
      <c r="Q44" s="12">
        <f t="shared" si="3"/>
        <v>6056906.7000000002</v>
      </c>
      <c r="R44" s="12">
        <f t="shared" si="4"/>
        <v>6078377.0999999996</v>
      </c>
      <c r="S44" s="12">
        <f>-712</f>
        <v>-712</v>
      </c>
      <c r="T44" s="12"/>
      <c r="U44" s="12"/>
      <c r="V44" s="12">
        <f t="shared" si="5"/>
        <v>6029757</v>
      </c>
      <c r="W44" s="12">
        <f t="shared" si="6"/>
        <v>6056906.7000000002</v>
      </c>
      <c r="X44" s="12">
        <f t="shared" si="7"/>
        <v>6078377.0999999996</v>
      </c>
      <c r="Y44" s="12"/>
      <c r="Z44" s="12"/>
      <c r="AA44" s="12"/>
      <c r="AB44" s="12">
        <f t="shared" si="8"/>
        <v>6029757</v>
      </c>
      <c r="AC44" s="12">
        <f t="shared" si="9"/>
        <v>6056906.7000000002</v>
      </c>
      <c r="AD44" s="12">
        <f t="shared" si="10"/>
        <v>6078377.0999999996</v>
      </c>
      <c r="AE44" s="12"/>
      <c r="AF44" s="12">
        <f t="shared" si="11"/>
        <v>6029757</v>
      </c>
      <c r="AG44" s="12">
        <f>14468.866+55892.234+2811.2+1349.3+49377.546+216.561+4584.016+210+1659.622+1350.762+2658.733+8136.241+30082.074+26200+4059.75</f>
        <v>203056.905</v>
      </c>
      <c r="AH44" s="12">
        <f>14491+1882.4</f>
        <v>16373.4</v>
      </c>
      <c r="AI44" s="12">
        <f>15058.9+1773.5</f>
        <v>16832.400000000001</v>
      </c>
      <c r="AJ44" s="12">
        <f t="shared" si="12"/>
        <v>6232813.9050000003</v>
      </c>
      <c r="AK44" s="12">
        <f t="shared" si="13"/>
        <v>6073280.1000000006</v>
      </c>
      <c r="AL44" s="12">
        <f t="shared" si="14"/>
        <v>6095209.5</v>
      </c>
      <c r="AM44" s="12"/>
      <c r="AN44" s="12">
        <f t="shared" si="17"/>
        <v>6232813.9050000003</v>
      </c>
      <c r="AO44" s="12"/>
      <c r="AP44" s="7"/>
    </row>
    <row r="45" spans="1:42" x14ac:dyDescent="0.25">
      <c r="A45" s="9" t="s">
        <v>20</v>
      </c>
      <c r="B45" s="10" t="s">
        <v>20</v>
      </c>
      <c r="C45" s="11" t="s">
        <v>49</v>
      </c>
      <c r="D45" s="12">
        <f>196679.8-4103.9</f>
        <v>192575.9</v>
      </c>
      <c r="E45" s="12">
        <f t="shared" si="15"/>
        <v>25973.399999999994</v>
      </c>
      <c r="F45" s="12">
        <v>218549.3</v>
      </c>
      <c r="G45" s="12">
        <f>200423.6-4120.5</f>
        <v>196303.1</v>
      </c>
      <c r="H45" s="12">
        <f t="shared" si="16"/>
        <v>23071</v>
      </c>
      <c r="I45" s="12">
        <v>219374.1</v>
      </c>
      <c r="J45" s="12">
        <v>221523.20000000001</v>
      </c>
      <c r="K45" s="12">
        <v>127.5</v>
      </c>
      <c r="L45" s="12">
        <v>228.4</v>
      </c>
      <c r="M45" s="12">
        <v>275.3</v>
      </c>
      <c r="N45" s="12">
        <f t="shared" si="0"/>
        <v>26100.899999999994</v>
      </c>
      <c r="O45" s="12">
        <f t="shared" si="1"/>
        <v>218676.8</v>
      </c>
      <c r="P45" s="12">
        <f t="shared" si="2"/>
        <v>23299.399999999994</v>
      </c>
      <c r="Q45" s="12">
        <f t="shared" si="3"/>
        <v>219602.5</v>
      </c>
      <c r="R45" s="12">
        <f t="shared" si="4"/>
        <v>221798.5</v>
      </c>
      <c r="S45" s="12"/>
      <c r="T45" s="12"/>
      <c r="U45" s="12"/>
      <c r="V45" s="12">
        <f t="shared" si="5"/>
        <v>218676.8</v>
      </c>
      <c r="W45" s="12">
        <f t="shared" si="6"/>
        <v>219602.5</v>
      </c>
      <c r="X45" s="12">
        <f t="shared" si="7"/>
        <v>221798.5</v>
      </c>
      <c r="Y45" s="12"/>
      <c r="Z45" s="12"/>
      <c r="AA45" s="12"/>
      <c r="AB45" s="12">
        <f t="shared" si="8"/>
        <v>218676.8</v>
      </c>
      <c r="AC45" s="12">
        <f t="shared" si="9"/>
        <v>219602.5</v>
      </c>
      <c r="AD45" s="12">
        <f t="shared" si="10"/>
        <v>221798.5</v>
      </c>
      <c r="AE45" s="12"/>
      <c r="AF45" s="12">
        <f t="shared" si="11"/>
        <v>218676.8</v>
      </c>
      <c r="AG45" s="12"/>
      <c r="AH45" s="12"/>
      <c r="AI45" s="12"/>
      <c r="AJ45" s="12">
        <f t="shared" si="12"/>
        <v>218676.8</v>
      </c>
      <c r="AK45" s="12">
        <f t="shared" si="13"/>
        <v>219602.5</v>
      </c>
      <c r="AL45" s="12">
        <f t="shared" si="14"/>
        <v>221798.5</v>
      </c>
      <c r="AM45" s="12"/>
      <c r="AN45" s="12">
        <f t="shared" si="17"/>
        <v>218676.8</v>
      </c>
      <c r="AO45" s="12"/>
      <c r="AP45" s="7"/>
    </row>
    <row r="46" spans="1:42" x14ac:dyDescent="0.25">
      <c r="A46" s="9" t="s">
        <v>20</v>
      </c>
      <c r="B46" s="10" t="s">
        <v>27</v>
      </c>
      <c r="C46" s="11" t="s">
        <v>50</v>
      </c>
      <c r="D46" s="12">
        <v>166955.70000000001</v>
      </c>
      <c r="E46" s="12">
        <f t="shared" si="15"/>
        <v>51612.799999999988</v>
      </c>
      <c r="F46" s="12">
        <v>218568.5</v>
      </c>
      <c r="G46" s="12">
        <v>149088.80000000002</v>
      </c>
      <c r="H46" s="12">
        <f t="shared" si="16"/>
        <v>144900.69999999998</v>
      </c>
      <c r="I46" s="12">
        <v>293989.5</v>
      </c>
      <c r="J46" s="12">
        <v>276201.40000000002</v>
      </c>
      <c r="K46" s="12">
        <f>-1427.3-168-10+8000</f>
        <v>6394.7</v>
      </c>
      <c r="L46" s="12">
        <f>-1427.3-168-10</f>
        <v>-1605.3</v>
      </c>
      <c r="M46" s="12">
        <f>-1427.3-172-10</f>
        <v>-1609.3</v>
      </c>
      <c r="N46" s="12">
        <f t="shared" si="0"/>
        <v>58007.5</v>
      </c>
      <c r="O46" s="12">
        <f t="shared" si="1"/>
        <v>224963.20000000001</v>
      </c>
      <c r="P46" s="12">
        <f t="shared" si="2"/>
        <v>143295.4</v>
      </c>
      <c r="Q46" s="12">
        <f t="shared" si="3"/>
        <v>292384.2</v>
      </c>
      <c r="R46" s="12">
        <f t="shared" si="4"/>
        <v>274592.10000000003</v>
      </c>
      <c r="S46" s="12"/>
      <c r="T46" s="12"/>
      <c r="U46" s="12"/>
      <c r="V46" s="12">
        <f t="shared" si="5"/>
        <v>224963.20000000001</v>
      </c>
      <c r="W46" s="12">
        <f t="shared" si="6"/>
        <v>292384.2</v>
      </c>
      <c r="X46" s="12">
        <f t="shared" si="7"/>
        <v>274592.10000000003</v>
      </c>
      <c r="Y46" s="12"/>
      <c r="Z46" s="12"/>
      <c r="AA46" s="12"/>
      <c r="AB46" s="12">
        <f t="shared" si="8"/>
        <v>224963.20000000001</v>
      </c>
      <c r="AC46" s="12">
        <f t="shared" si="9"/>
        <v>292384.2</v>
      </c>
      <c r="AD46" s="12">
        <f t="shared" si="10"/>
        <v>274592.10000000003</v>
      </c>
      <c r="AE46" s="12"/>
      <c r="AF46" s="12">
        <f t="shared" si="11"/>
        <v>224963.20000000001</v>
      </c>
      <c r="AG46" s="12"/>
      <c r="AH46" s="12"/>
      <c r="AI46" s="12"/>
      <c r="AJ46" s="12">
        <f t="shared" si="12"/>
        <v>224963.20000000001</v>
      </c>
      <c r="AK46" s="12">
        <f t="shared" si="13"/>
        <v>292384.2</v>
      </c>
      <c r="AL46" s="12">
        <f t="shared" si="14"/>
        <v>274592.10000000003</v>
      </c>
      <c r="AM46" s="12"/>
      <c r="AN46" s="12">
        <f t="shared" si="17"/>
        <v>224963.20000000001</v>
      </c>
      <c r="AO46" s="12"/>
      <c r="AP46" s="7"/>
    </row>
    <row r="47" spans="1:42" s="8" customFormat="1" x14ac:dyDescent="0.25">
      <c r="A47" s="4" t="s">
        <v>33</v>
      </c>
      <c r="B47" s="4" t="s">
        <v>9</v>
      </c>
      <c r="C47" s="5" t="s">
        <v>51</v>
      </c>
      <c r="D47" s="6">
        <f>SUM(D48:D49)</f>
        <v>603427.69000000006</v>
      </c>
      <c r="E47" s="6">
        <f t="shared" si="15"/>
        <v>111616.20999999996</v>
      </c>
      <c r="F47" s="6">
        <f>SUM(F48:F49)</f>
        <v>715043.9</v>
      </c>
      <c r="G47" s="6">
        <f>SUM(G48:G49)</f>
        <v>611257.223</v>
      </c>
      <c r="H47" s="6">
        <f t="shared" si="16"/>
        <v>305777.277</v>
      </c>
      <c r="I47" s="6">
        <f>SUM(I48:I49)</f>
        <v>917034.5</v>
      </c>
      <c r="J47" s="6">
        <f>SUM(J48:J49)</f>
        <v>597761.20000000007</v>
      </c>
      <c r="K47" s="6">
        <f>SUM(K48:K49)</f>
        <v>-155334.29999999999</v>
      </c>
      <c r="L47" s="6">
        <f>SUM(L48:L49)</f>
        <v>-205888.99999999997</v>
      </c>
      <c r="M47" s="6">
        <f>SUM(M48:M49)</f>
        <v>-58467.3</v>
      </c>
      <c r="N47" s="6">
        <f t="shared" si="0"/>
        <v>-43718.089999999967</v>
      </c>
      <c r="O47" s="6">
        <f t="shared" si="1"/>
        <v>559709.60000000009</v>
      </c>
      <c r="P47" s="6">
        <f t="shared" si="2"/>
        <v>99888.277000000002</v>
      </c>
      <c r="Q47" s="6">
        <f t="shared" si="3"/>
        <v>711145.5</v>
      </c>
      <c r="R47" s="6">
        <f t="shared" si="4"/>
        <v>539293.9</v>
      </c>
      <c r="S47" s="6">
        <f>SUM(S48:S49)</f>
        <v>0</v>
      </c>
      <c r="T47" s="6">
        <f>SUM(T48:T49)</f>
        <v>0</v>
      </c>
      <c r="U47" s="6">
        <f>SUM(U48:U49)</f>
        <v>0</v>
      </c>
      <c r="V47" s="6">
        <f t="shared" si="5"/>
        <v>559709.60000000009</v>
      </c>
      <c r="W47" s="6">
        <f t="shared" si="6"/>
        <v>711145.5</v>
      </c>
      <c r="X47" s="6">
        <f t="shared" si="7"/>
        <v>539293.9</v>
      </c>
      <c r="Y47" s="6">
        <f>SUM(Y48:Y49)</f>
        <v>97508.880999999994</v>
      </c>
      <c r="Z47" s="6">
        <f>SUM(Z48:Z49)</f>
        <v>4092.1</v>
      </c>
      <c r="AA47" s="6">
        <f>SUM(AA48:AA49)</f>
        <v>4174</v>
      </c>
      <c r="AB47" s="6">
        <f t="shared" si="8"/>
        <v>657218.48100000015</v>
      </c>
      <c r="AC47" s="6">
        <f t="shared" si="9"/>
        <v>715237.6</v>
      </c>
      <c r="AD47" s="6">
        <f t="shared" si="10"/>
        <v>543467.9</v>
      </c>
      <c r="AE47" s="6">
        <f>SUM(AE48:AE49)</f>
        <v>2971.38</v>
      </c>
      <c r="AF47" s="12">
        <f t="shared" si="11"/>
        <v>660189.86100000015</v>
      </c>
      <c r="AG47" s="6">
        <f>SUM(AG48:AG49)</f>
        <v>26777.152000000006</v>
      </c>
      <c r="AH47" s="6">
        <f>SUM(AH48:AH49)</f>
        <v>0</v>
      </c>
      <c r="AI47" s="6">
        <f>SUM(AI48:AI49)</f>
        <v>0</v>
      </c>
      <c r="AJ47" s="6">
        <f t="shared" si="12"/>
        <v>686967.01300000015</v>
      </c>
      <c r="AK47" s="6">
        <f t="shared" si="13"/>
        <v>715237.6</v>
      </c>
      <c r="AL47" s="6">
        <f t="shared" si="14"/>
        <v>543467.9</v>
      </c>
      <c r="AM47" s="6">
        <f>SUM(AM48:AM49)</f>
        <v>-4362.43</v>
      </c>
      <c r="AN47" s="6">
        <f t="shared" si="17"/>
        <v>682604.5830000001</v>
      </c>
      <c r="AO47" s="6">
        <f>SUM(AO48:AO49)</f>
        <v>0</v>
      </c>
      <c r="AP47" s="7"/>
    </row>
    <row r="48" spans="1:42" x14ac:dyDescent="0.25">
      <c r="A48" s="9" t="s">
        <v>33</v>
      </c>
      <c r="B48" s="10" t="s">
        <v>8</v>
      </c>
      <c r="C48" s="11" t="s">
        <v>52</v>
      </c>
      <c r="D48" s="12">
        <v>588442.89</v>
      </c>
      <c r="E48" s="12">
        <f t="shared" si="15"/>
        <v>110179.01000000001</v>
      </c>
      <c r="F48" s="12">
        <v>698621.9</v>
      </c>
      <c r="G48" s="12">
        <v>596204.723</v>
      </c>
      <c r="H48" s="12">
        <f t="shared" si="16"/>
        <v>304407.17700000003</v>
      </c>
      <c r="I48" s="12">
        <v>900611.9</v>
      </c>
      <c r="J48" s="12">
        <v>581304.9</v>
      </c>
      <c r="K48" s="12">
        <f>1849.6+4150.4+2000+957.9+1000-9712.8-1.2-97670.4-58500+647.6+245.6+631+4.2+17.6+38.8+53.9+79.1+16.4</f>
        <v>-154192.29999999999</v>
      </c>
      <c r="L48" s="12">
        <f>-8878.7-1.2-30000-167601.3+647.6+245.6+631+4.2+17.6+38.8+53.9+79.1+16.4</f>
        <v>-204746.99999999997</v>
      </c>
      <c r="M48" s="12">
        <f>-9056.3-1.2-50000+647.6+245.6+631+4.2+17.6+38.8+53.9+79.1+16.4</f>
        <v>-57323.3</v>
      </c>
      <c r="N48" s="12">
        <f t="shared" si="0"/>
        <v>-44013.289999999921</v>
      </c>
      <c r="O48" s="12">
        <f t="shared" si="1"/>
        <v>544429.60000000009</v>
      </c>
      <c r="P48" s="12">
        <f t="shared" si="2"/>
        <v>99660.177000000025</v>
      </c>
      <c r="Q48" s="12">
        <f t="shared" si="3"/>
        <v>695864.9</v>
      </c>
      <c r="R48" s="12">
        <f t="shared" si="4"/>
        <v>523981.60000000003</v>
      </c>
      <c r="S48" s="12"/>
      <c r="T48" s="12"/>
      <c r="U48" s="12"/>
      <c r="V48" s="12">
        <f t="shared" si="5"/>
        <v>544429.60000000009</v>
      </c>
      <c r="W48" s="12">
        <f t="shared" si="6"/>
        <v>695864.9</v>
      </c>
      <c r="X48" s="12">
        <f t="shared" si="7"/>
        <v>523981.60000000003</v>
      </c>
      <c r="Y48" s="12">
        <f>4108.6+30449.292+62950.989</f>
        <v>97508.880999999994</v>
      </c>
      <c r="Z48" s="12">
        <v>4092.1</v>
      </c>
      <c r="AA48" s="12">
        <v>4174</v>
      </c>
      <c r="AB48" s="12">
        <f t="shared" si="8"/>
        <v>641938.48100000015</v>
      </c>
      <c r="AC48" s="12">
        <f t="shared" si="9"/>
        <v>699957</v>
      </c>
      <c r="AD48" s="12">
        <f t="shared" si="10"/>
        <v>528155.60000000009</v>
      </c>
      <c r="AE48" s="12">
        <f>2971.38</f>
        <v>2971.38</v>
      </c>
      <c r="AF48" s="12">
        <f t="shared" si="11"/>
        <v>644909.86100000015</v>
      </c>
      <c r="AG48" s="12">
        <f>13482.751+6689.9+3688.147+515.4+1000+1263.2+37.7+28.669+64.758+6.627</f>
        <v>26777.152000000006</v>
      </c>
      <c r="AH48" s="12"/>
      <c r="AI48" s="12"/>
      <c r="AJ48" s="12">
        <f t="shared" si="12"/>
        <v>671687.01300000015</v>
      </c>
      <c r="AK48" s="12">
        <f t="shared" si="13"/>
        <v>699957</v>
      </c>
      <c r="AL48" s="12">
        <f t="shared" si="14"/>
        <v>528155.60000000009</v>
      </c>
      <c r="AM48" s="12">
        <f>-2437.83-409.2-1515.4</f>
        <v>-4362.43</v>
      </c>
      <c r="AN48" s="12">
        <f t="shared" si="17"/>
        <v>667324.5830000001</v>
      </c>
      <c r="AO48" s="12"/>
      <c r="AP48" s="7"/>
    </row>
    <row r="49" spans="1:42" x14ac:dyDescent="0.25">
      <c r="A49" s="9" t="s">
        <v>33</v>
      </c>
      <c r="B49" s="10" t="s">
        <v>15</v>
      </c>
      <c r="C49" s="11" t="s">
        <v>53</v>
      </c>
      <c r="D49" s="12">
        <f>10880.9+4103.9</f>
        <v>14984.8</v>
      </c>
      <c r="E49" s="12">
        <f t="shared" si="15"/>
        <v>1437.2000000000007</v>
      </c>
      <c r="F49" s="12">
        <v>16422</v>
      </c>
      <c r="G49" s="12">
        <f>10932+4120.5</f>
        <v>15052.5</v>
      </c>
      <c r="H49" s="12">
        <f t="shared" si="16"/>
        <v>1370.0999999999985</v>
      </c>
      <c r="I49" s="12">
        <v>16422.599999999999</v>
      </c>
      <c r="J49" s="12">
        <v>16456.3</v>
      </c>
      <c r="K49" s="12">
        <f>-1053-89</f>
        <v>-1142</v>
      </c>
      <c r="L49" s="12">
        <f>-1053-89</f>
        <v>-1142</v>
      </c>
      <c r="M49" s="12">
        <f>-1053-91</f>
        <v>-1144</v>
      </c>
      <c r="N49" s="12">
        <f t="shared" si="0"/>
        <v>295.20000000000073</v>
      </c>
      <c r="O49" s="12">
        <f t="shared" si="1"/>
        <v>15280</v>
      </c>
      <c r="P49" s="12">
        <f t="shared" si="2"/>
        <v>228.09999999999854</v>
      </c>
      <c r="Q49" s="12">
        <f t="shared" si="3"/>
        <v>15280.599999999999</v>
      </c>
      <c r="R49" s="12">
        <f t="shared" si="4"/>
        <v>15312.3</v>
      </c>
      <c r="S49" s="12"/>
      <c r="T49" s="12"/>
      <c r="U49" s="12"/>
      <c r="V49" s="12">
        <f t="shared" si="5"/>
        <v>15280</v>
      </c>
      <c r="W49" s="12">
        <f t="shared" si="6"/>
        <v>15280.599999999999</v>
      </c>
      <c r="X49" s="12">
        <f t="shared" si="7"/>
        <v>15312.3</v>
      </c>
      <c r="Y49" s="12"/>
      <c r="Z49" s="12"/>
      <c r="AA49" s="12"/>
      <c r="AB49" s="12">
        <f t="shared" si="8"/>
        <v>15280</v>
      </c>
      <c r="AC49" s="12">
        <f t="shared" si="9"/>
        <v>15280.599999999999</v>
      </c>
      <c r="AD49" s="12">
        <f t="shared" si="10"/>
        <v>15312.3</v>
      </c>
      <c r="AE49" s="12"/>
      <c r="AF49" s="12">
        <f t="shared" si="11"/>
        <v>15280</v>
      </c>
      <c r="AG49" s="12"/>
      <c r="AH49" s="12"/>
      <c r="AI49" s="12"/>
      <c r="AJ49" s="12">
        <f t="shared" si="12"/>
        <v>15280</v>
      </c>
      <c r="AK49" s="12">
        <f t="shared" si="13"/>
        <v>15280.599999999999</v>
      </c>
      <c r="AL49" s="12">
        <f t="shared" si="14"/>
        <v>15312.3</v>
      </c>
      <c r="AM49" s="12"/>
      <c r="AN49" s="12">
        <f t="shared" si="17"/>
        <v>15280</v>
      </c>
      <c r="AO49" s="12"/>
      <c r="AP49" s="7"/>
    </row>
    <row r="50" spans="1:42" s="8" customFormat="1" x14ac:dyDescent="0.25">
      <c r="A50" s="4" t="s">
        <v>27</v>
      </c>
      <c r="B50" s="4" t="s">
        <v>9</v>
      </c>
      <c r="C50" s="5" t="s">
        <v>54</v>
      </c>
      <c r="D50" s="6">
        <f>SUM(D51:D55)</f>
        <v>1162118.4669999999</v>
      </c>
      <c r="E50" s="6">
        <f t="shared" si="15"/>
        <v>-212164.56699999992</v>
      </c>
      <c r="F50" s="6">
        <f>SUM(F51:F55)</f>
        <v>949953.9</v>
      </c>
      <c r="G50" s="6">
        <f>SUM(G51:G55)</f>
        <v>1183951.2470000002</v>
      </c>
      <c r="H50" s="6">
        <f t="shared" si="16"/>
        <v>-146167.44700000016</v>
      </c>
      <c r="I50" s="6">
        <f>SUM(I51:I55)</f>
        <v>1037783.8</v>
      </c>
      <c r="J50" s="6">
        <f>SUM(J51:J55)</f>
        <v>1125481.5</v>
      </c>
      <c r="K50" s="6">
        <f>SUM(K51:K55)</f>
        <v>0</v>
      </c>
      <c r="L50" s="6">
        <f>SUM(L51:L55)</f>
        <v>0</v>
      </c>
      <c r="M50" s="6">
        <f>SUM(M51:M55)</f>
        <v>0</v>
      </c>
      <c r="N50" s="6">
        <f t="shared" si="0"/>
        <v>-212164.56699999992</v>
      </c>
      <c r="O50" s="6">
        <f t="shared" si="1"/>
        <v>949953.9</v>
      </c>
      <c r="P50" s="6">
        <f t="shared" si="2"/>
        <v>-146167.44700000016</v>
      </c>
      <c r="Q50" s="6">
        <f t="shared" si="3"/>
        <v>1037783.8</v>
      </c>
      <c r="R50" s="6">
        <f t="shared" si="4"/>
        <v>1125481.5</v>
      </c>
      <c r="S50" s="6">
        <f>SUM(S51:S55)</f>
        <v>0</v>
      </c>
      <c r="T50" s="6">
        <f>SUM(T51:T55)</f>
        <v>0</v>
      </c>
      <c r="U50" s="6">
        <f>SUM(U51:U55)</f>
        <v>0</v>
      </c>
      <c r="V50" s="6">
        <f t="shared" si="5"/>
        <v>949953.9</v>
      </c>
      <c r="W50" s="6">
        <f t="shared" si="6"/>
        <v>1037783.8</v>
      </c>
      <c r="X50" s="6">
        <f t="shared" si="7"/>
        <v>1125481.5</v>
      </c>
      <c r="Y50" s="6">
        <f>SUM(Y51:Y55)</f>
        <v>0</v>
      </c>
      <c r="Z50" s="6">
        <f>SUM(Z51:Z55)</f>
        <v>0</v>
      </c>
      <c r="AA50" s="6">
        <f>SUM(AA51:AA55)</f>
        <v>0</v>
      </c>
      <c r="AB50" s="6">
        <f t="shared" si="8"/>
        <v>949953.9</v>
      </c>
      <c r="AC50" s="6">
        <f t="shared" si="9"/>
        <v>1037783.8</v>
      </c>
      <c r="AD50" s="6">
        <f t="shared" si="10"/>
        <v>1125481.5</v>
      </c>
      <c r="AE50" s="6">
        <f>SUM(AE51:AE55)</f>
        <v>0</v>
      </c>
      <c r="AF50" s="12">
        <f t="shared" si="11"/>
        <v>949953.9</v>
      </c>
      <c r="AG50" s="6">
        <f>SUM(AG51:AG55)</f>
        <v>100472.781</v>
      </c>
      <c r="AH50" s="6">
        <f>SUM(AH51:AH55)</f>
        <v>14490</v>
      </c>
      <c r="AI50" s="6">
        <f>SUM(AI51:AI55)</f>
        <v>15714.8</v>
      </c>
      <c r="AJ50" s="6">
        <f t="shared" si="12"/>
        <v>1050426.6810000001</v>
      </c>
      <c r="AK50" s="6">
        <f t="shared" si="13"/>
        <v>1052273.8</v>
      </c>
      <c r="AL50" s="6">
        <f t="shared" si="14"/>
        <v>1141196.3</v>
      </c>
      <c r="AM50" s="6">
        <f>SUM(AM51:AM55)</f>
        <v>0</v>
      </c>
      <c r="AN50" s="6">
        <f t="shared" si="17"/>
        <v>1050426.6810000001</v>
      </c>
      <c r="AO50" s="6">
        <f>SUM(AO51:AO55)</f>
        <v>0</v>
      </c>
      <c r="AP50" s="7"/>
    </row>
    <row r="51" spans="1:42" x14ac:dyDescent="0.25">
      <c r="A51" s="9" t="s">
        <v>27</v>
      </c>
      <c r="B51" s="10" t="s">
        <v>8</v>
      </c>
      <c r="C51" s="11" t="s">
        <v>55</v>
      </c>
      <c r="D51" s="12">
        <v>118584.71100000001</v>
      </c>
      <c r="E51" s="12">
        <f t="shared" si="15"/>
        <v>16151.78899999999</v>
      </c>
      <c r="F51" s="12">
        <v>134736.5</v>
      </c>
      <c r="G51" s="12">
        <v>118705.291</v>
      </c>
      <c r="H51" s="12">
        <f t="shared" si="16"/>
        <v>29138.309000000008</v>
      </c>
      <c r="I51" s="12">
        <v>147843.6</v>
      </c>
      <c r="J51" s="12">
        <v>160788.5</v>
      </c>
      <c r="K51" s="12"/>
      <c r="L51" s="12"/>
      <c r="M51" s="12"/>
      <c r="N51" s="12">
        <f t="shared" si="0"/>
        <v>16151.78899999999</v>
      </c>
      <c r="O51" s="12">
        <f t="shared" si="1"/>
        <v>134736.5</v>
      </c>
      <c r="P51" s="12">
        <f t="shared" si="2"/>
        <v>29138.309000000008</v>
      </c>
      <c r="Q51" s="12">
        <f t="shared" si="3"/>
        <v>147843.6</v>
      </c>
      <c r="R51" s="12">
        <f t="shared" si="4"/>
        <v>160788.5</v>
      </c>
      <c r="S51" s="12"/>
      <c r="T51" s="12"/>
      <c r="U51" s="12"/>
      <c r="V51" s="12">
        <f t="shared" si="5"/>
        <v>134736.5</v>
      </c>
      <c r="W51" s="12">
        <f t="shared" si="6"/>
        <v>147843.6</v>
      </c>
      <c r="X51" s="12">
        <f t="shared" si="7"/>
        <v>160788.5</v>
      </c>
      <c r="Y51" s="12"/>
      <c r="Z51" s="12"/>
      <c r="AA51" s="12"/>
      <c r="AB51" s="12">
        <f t="shared" si="8"/>
        <v>134736.5</v>
      </c>
      <c r="AC51" s="12">
        <f t="shared" si="9"/>
        <v>147843.6</v>
      </c>
      <c r="AD51" s="12">
        <f t="shared" si="10"/>
        <v>160788.5</v>
      </c>
      <c r="AE51" s="12"/>
      <c r="AF51" s="12">
        <f t="shared" si="11"/>
        <v>134736.5</v>
      </c>
      <c r="AG51" s="12"/>
      <c r="AH51" s="12">
        <f>4113.27</f>
        <v>4113.2700000000004</v>
      </c>
      <c r="AI51" s="12">
        <f>4864.07</f>
        <v>4864.07</v>
      </c>
      <c r="AJ51" s="12">
        <f t="shared" si="12"/>
        <v>134736.5</v>
      </c>
      <c r="AK51" s="12">
        <f t="shared" si="13"/>
        <v>151956.87</v>
      </c>
      <c r="AL51" s="12">
        <f t="shared" si="14"/>
        <v>165652.57</v>
      </c>
      <c r="AM51" s="12"/>
      <c r="AN51" s="12">
        <f t="shared" si="17"/>
        <v>134736.5</v>
      </c>
      <c r="AO51" s="12"/>
      <c r="AP51" s="7"/>
    </row>
    <row r="52" spans="1:42" x14ac:dyDescent="0.25">
      <c r="A52" s="9" t="s">
        <v>27</v>
      </c>
      <c r="B52" s="10" t="s">
        <v>11</v>
      </c>
      <c r="C52" s="11" t="s">
        <v>56</v>
      </c>
      <c r="D52" s="12">
        <v>315940.43099999998</v>
      </c>
      <c r="E52" s="12">
        <f t="shared" si="15"/>
        <v>104784.26900000003</v>
      </c>
      <c r="F52" s="12">
        <v>420724.7</v>
      </c>
      <c r="G52" s="12">
        <v>315940.43099999998</v>
      </c>
      <c r="H52" s="12">
        <f t="shared" si="16"/>
        <v>140767.46900000004</v>
      </c>
      <c r="I52" s="12">
        <v>456707.9</v>
      </c>
      <c r="J52" s="12">
        <v>496290.7</v>
      </c>
      <c r="K52" s="12"/>
      <c r="L52" s="12"/>
      <c r="M52" s="12"/>
      <c r="N52" s="12">
        <f t="shared" si="0"/>
        <v>104784.26900000003</v>
      </c>
      <c r="O52" s="12">
        <f t="shared" si="1"/>
        <v>420724.7</v>
      </c>
      <c r="P52" s="12">
        <f t="shared" si="2"/>
        <v>140767.46900000004</v>
      </c>
      <c r="Q52" s="12">
        <f t="shared" si="3"/>
        <v>456707.9</v>
      </c>
      <c r="R52" s="12">
        <f t="shared" si="4"/>
        <v>496290.7</v>
      </c>
      <c r="S52" s="12"/>
      <c r="T52" s="12"/>
      <c r="U52" s="12"/>
      <c r="V52" s="12">
        <f t="shared" si="5"/>
        <v>420724.7</v>
      </c>
      <c r="W52" s="12">
        <f t="shared" si="6"/>
        <v>456707.9</v>
      </c>
      <c r="X52" s="12">
        <f t="shared" si="7"/>
        <v>496290.7</v>
      </c>
      <c r="Y52" s="12"/>
      <c r="Z52" s="12"/>
      <c r="AA52" s="12"/>
      <c r="AB52" s="12">
        <f t="shared" si="8"/>
        <v>420724.7</v>
      </c>
      <c r="AC52" s="12">
        <f t="shared" si="9"/>
        <v>456707.9</v>
      </c>
      <c r="AD52" s="12">
        <f t="shared" si="10"/>
        <v>496290.7</v>
      </c>
      <c r="AE52" s="12"/>
      <c r="AF52" s="12">
        <f t="shared" si="11"/>
        <v>420724.7</v>
      </c>
      <c r="AG52" s="12">
        <f>74410.948+15164.948+1790.692+404.25</f>
        <v>91770.838000000003</v>
      </c>
      <c r="AH52" s="12"/>
      <c r="AI52" s="12"/>
      <c r="AJ52" s="12">
        <f t="shared" si="12"/>
        <v>512495.538</v>
      </c>
      <c r="AK52" s="12">
        <f t="shared" si="13"/>
        <v>456707.9</v>
      </c>
      <c r="AL52" s="12">
        <f t="shared" si="14"/>
        <v>496290.7</v>
      </c>
      <c r="AM52" s="12"/>
      <c r="AN52" s="12">
        <f t="shared" si="17"/>
        <v>512495.538</v>
      </c>
      <c r="AO52" s="12"/>
      <c r="AP52" s="7"/>
    </row>
    <row r="53" spans="1:42" x14ac:dyDescent="0.25">
      <c r="A53" s="9" t="s">
        <v>27</v>
      </c>
      <c r="B53" s="10" t="s">
        <v>15</v>
      </c>
      <c r="C53" s="11" t="s">
        <v>57</v>
      </c>
      <c r="D53" s="12">
        <v>523602.821</v>
      </c>
      <c r="E53" s="12">
        <f t="shared" si="15"/>
        <v>-292287.02100000001</v>
      </c>
      <c r="F53" s="12">
        <v>231315.8</v>
      </c>
      <c r="G53" s="12">
        <v>533868.63500000001</v>
      </c>
      <c r="H53" s="12">
        <f t="shared" si="16"/>
        <v>-280083.53500000003</v>
      </c>
      <c r="I53" s="12">
        <v>253785.1</v>
      </c>
      <c r="J53" s="12">
        <v>275812.7</v>
      </c>
      <c r="K53" s="12"/>
      <c r="L53" s="12"/>
      <c r="M53" s="12"/>
      <c r="N53" s="12">
        <f t="shared" si="0"/>
        <v>-292287.02100000001</v>
      </c>
      <c r="O53" s="12">
        <f t="shared" si="1"/>
        <v>231315.8</v>
      </c>
      <c r="P53" s="12">
        <f t="shared" si="2"/>
        <v>-280083.53500000003</v>
      </c>
      <c r="Q53" s="12">
        <f t="shared" si="3"/>
        <v>253785.1</v>
      </c>
      <c r="R53" s="12">
        <f t="shared" si="4"/>
        <v>275812.7</v>
      </c>
      <c r="S53" s="12"/>
      <c r="T53" s="12"/>
      <c r="U53" s="12"/>
      <c r="V53" s="12">
        <f t="shared" si="5"/>
        <v>231315.8</v>
      </c>
      <c r="W53" s="12">
        <f t="shared" si="6"/>
        <v>253785.1</v>
      </c>
      <c r="X53" s="12">
        <f t="shared" si="7"/>
        <v>275812.7</v>
      </c>
      <c r="Y53" s="12"/>
      <c r="Z53" s="12"/>
      <c r="AA53" s="12"/>
      <c r="AB53" s="12">
        <f t="shared" si="8"/>
        <v>231315.8</v>
      </c>
      <c r="AC53" s="12">
        <f t="shared" si="9"/>
        <v>253785.1</v>
      </c>
      <c r="AD53" s="12">
        <f t="shared" si="10"/>
        <v>275812.7</v>
      </c>
      <c r="AE53" s="12"/>
      <c r="AF53" s="12">
        <f t="shared" si="11"/>
        <v>231315.8</v>
      </c>
      <c r="AG53" s="12">
        <f>48.343</f>
        <v>48.343000000000004</v>
      </c>
      <c r="AH53" s="12">
        <f>1750</f>
        <v>1750</v>
      </c>
      <c r="AI53" s="12">
        <v>2200</v>
      </c>
      <c r="AJ53" s="12">
        <f t="shared" si="12"/>
        <v>231364.14299999998</v>
      </c>
      <c r="AK53" s="12">
        <f t="shared" si="13"/>
        <v>255535.1</v>
      </c>
      <c r="AL53" s="12">
        <f t="shared" si="14"/>
        <v>278012.7</v>
      </c>
      <c r="AM53" s="12"/>
      <c r="AN53" s="12">
        <f t="shared" si="17"/>
        <v>231364.14299999998</v>
      </c>
      <c r="AO53" s="12"/>
      <c r="AP53" s="7"/>
    </row>
    <row r="54" spans="1:42" x14ac:dyDescent="0.25">
      <c r="A54" s="9" t="s">
        <v>27</v>
      </c>
      <c r="B54" s="10" t="s">
        <v>17</v>
      </c>
      <c r="C54" s="11" t="s">
        <v>58</v>
      </c>
      <c r="D54" s="12">
        <v>117798.109</v>
      </c>
      <c r="E54" s="12">
        <f t="shared" si="15"/>
        <v>6646.1910000000062</v>
      </c>
      <c r="F54" s="12">
        <v>124444.3</v>
      </c>
      <c r="G54" s="12">
        <v>117798.109</v>
      </c>
      <c r="H54" s="12">
        <f t="shared" si="16"/>
        <v>19285.290999999997</v>
      </c>
      <c r="I54" s="12">
        <v>137083.4</v>
      </c>
      <c r="J54" s="12">
        <v>146622.29999999999</v>
      </c>
      <c r="K54" s="12"/>
      <c r="L54" s="12"/>
      <c r="M54" s="12"/>
      <c r="N54" s="12">
        <f t="shared" si="0"/>
        <v>6646.1910000000062</v>
      </c>
      <c r="O54" s="12">
        <f t="shared" si="1"/>
        <v>124444.3</v>
      </c>
      <c r="P54" s="12">
        <f t="shared" si="2"/>
        <v>19285.290999999997</v>
      </c>
      <c r="Q54" s="12">
        <f t="shared" si="3"/>
        <v>137083.4</v>
      </c>
      <c r="R54" s="12">
        <f t="shared" si="4"/>
        <v>146622.29999999999</v>
      </c>
      <c r="S54" s="12"/>
      <c r="T54" s="12"/>
      <c r="U54" s="12"/>
      <c r="V54" s="12">
        <f t="shared" si="5"/>
        <v>124444.3</v>
      </c>
      <c r="W54" s="12">
        <f t="shared" si="6"/>
        <v>137083.4</v>
      </c>
      <c r="X54" s="12">
        <f t="shared" si="7"/>
        <v>146622.29999999999</v>
      </c>
      <c r="Y54" s="12"/>
      <c r="Z54" s="12"/>
      <c r="AA54" s="12"/>
      <c r="AB54" s="12">
        <f t="shared" si="8"/>
        <v>124444.3</v>
      </c>
      <c r="AC54" s="12">
        <f t="shared" si="9"/>
        <v>137083.4</v>
      </c>
      <c r="AD54" s="12">
        <f t="shared" si="10"/>
        <v>146622.29999999999</v>
      </c>
      <c r="AE54" s="12"/>
      <c r="AF54" s="12">
        <f t="shared" si="11"/>
        <v>124444.3</v>
      </c>
      <c r="AG54" s="12"/>
      <c r="AH54" s="12"/>
      <c r="AI54" s="12"/>
      <c r="AJ54" s="12">
        <f t="shared" si="12"/>
        <v>124444.3</v>
      </c>
      <c r="AK54" s="12">
        <f t="shared" si="13"/>
        <v>137083.4</v>
      </c>
      <c r="AL54" s="12">
        <f t="shared" si="14"/>
        <v>146622.29999999999</v>
      </c>
      <c r="AM54" s="12"/>
      <c r="AN54" s="12">
        <f t="shared" si="17"/>
        <v>124444.3</v>
      </c>
      <c r="AO54" s="12"/>
      <c r="AP54" s="7"/>
    </row>
    <row r="55" spans="1:42" x14ac:dyDescent="0.25">
      <c r="A55" s="9" t="s">
        <v>27</v>
      </c>
      <c r="B55" s="10" t="s">
        <v>27</v>
      </c>
      <c r="C55" s="11" t="s">
        <v>59</v>
      </c>
      <c r="D55" s="12">
        <v>86192.395000000019</v>
      </c>
      <c r="E55" s="12">
        <f t="shared" si="15"/>
        <v>-47459.79500000002</v>
      </c>
      <c r="F55" s="12">
        <v>38732.6</v>
      </c>
      <c r="G55" s="12">
        <v>97638.781000000192</v>
      </c>
      <c r="H55" s="12">
        <f t="shared" si="16"/>
        <v>-55274.981000000189</v>
      </c>
      <c r="I55" s="12">
        <v>42363.8</v>
      </c>
      <c r="J55" s="12">
        <v>45967.3</v>
      </c>
      <c r="K55" s="12"/>
      <c r="L55" s="12"/>
      <c r="M55" s="12"/>
      <c r="N55" s="12">
        <f t="shared" si="0"/>
        <v>-47459.79500000002</v>
      </c>
      <c r="O55" s="12">
        <f t="shared" si="1"/>
        <v>38732.6</v>
      </c>
      <c r="P55" s="12">
        <f t="shared" si="2"/>
        <v>-55274.981000000189</v>
      </c>
      <c r="Q55" s="12">
        <f t="shared" si="3"/>
        <v>42363.8</v>
      </c>
      <c r="R55" s="12">
        <f t="shared" si="4"/>
        <v>45967.3</v>
      </c>
      <c r="S55" s="12"/>
      <c r="T55" s="12"/>
      <c r="U55" s="12"/>
      <c r="V55" s="12">
        <f t="shared" si="5"/>
        <v>38732.6</v>
      </c>
      <c r="W55" s="12">
        <f t="shared" si="6"/>
        <v>42363.8</v>
      </c>
      <c r="X55" s="12">
        <f t="shared" si="7"/>
        <v>45967.3</v>
      </c>
      <c r="Y55" s="12"/>
      <c r="Z55" s="12"/>
      <c r="AA55" s="12"/>
      <c r="AB55" s="12">
        <f t="shared" si="8"/>
        <v>38732.6</v>
      </c>
      <c r="AC55" s="12">
        <f t="shared" si="9"/>
        <v>42363.8</v>
      </c>
      <c r="AD55" s="12">
        <f t="shared" si="10"/>
        <v>45967.3</v>
      </c>
      <c r="AE55" s="12"/>
      <c r="AF55" s="12">
        <f t="shared" si="11"/>
        <v>38732.6</v>
      </c>
      <c r="AG55" s="12">
        <f>6584+1.69+74.1+736.757+1210.782+46.271</f>
        <v>8653.6</v>
      </c>
      <c r="AH55" s="12">
        <f>6584+1.69+680+1314.769+46.271</f>
        <v>8626.73</v>
      </c>
      <c r="AI55" s="12">
        <f>6584+1.69+680+1338.769+46.271</f>
        <v>8650.73</v>
      </c>
      <c r="AJ55" s="12">
        <f t="shared" si="12"/>
        <v>47386.2</v>
      </c>
      <c r="AK55" s="12">
        <f t="shared" si="13"/>
        <v>50990.53</v>
      </c>
      <c r="AL55" s="12">
        <f t="shared" si="14"/>
        <v>54618.03</v>
      </c>
      <c r="AM55" s="12"/>
      <c r="AN55" s="12">
        <f t="shared" si="17"/>
        <v>47386.2</v>
      </c>
      <c r="AO55" s="12"/>
      <c r="AP55" s="7"/>
    </row>
    <row r="56" spans="1:42" s="8" customFormat="1" x14ac:dyDescent="0.25">
      <c r="A56" s="4" t="s">
        <v>60</v>
      </c>
      <c r="B56" s="4" t="s">
        <v>9</v>
      </c>
      <c r="C56" s="5" t="s">
        <v>61</v>
      </c>
      <c r="D56" s="6">
        <f>SUM(D57:D60)</f>
        <v>1602881.2999999998</v>
      </c>
      <c r="E56" s="6">
        <f t="shared" si="15"/>
        <v>966641.64999999991</v>
      </c>
      <c r="F56" s="6">
        <f>SUM(F57:F60)</f>
        <v>2569522.9499999997</v>
      </c>
      <c r="G56" s="6">
        <f>SUM(G57:G60)</f>
        <v>1643715.3999999997</v>
      </c>
      <c r="H56" s="6">
        <f t="shared" si="16"/>
        <v>881799.0000000007</v>
      </c>
      <c r="I56" s="6">
        <f>SUM(I57:I60)</f>
        <v>2525514.4000000004</v>
      </c>
      <c r="J56" s="6">
        <f>SUM(J57:J60)</f>
        <v>2437970.4</v>
      </c>
      <c r="K56" s="6">
        <f>SUM(K57:K60)</f>
        <v>35512.799999999996</v>
      </c>
      <c r="L56" s="6">
        <f>SUM(L57:L60)</f>
        <v>31138.5</v>
      </c>
      <c r="M56" s="6">
        <f>SUM(M57:M60)</f>
        <v>26782.400000000001</v>
      </c>
      <c r="N56" s="6">
        <f t="shared" si="0"/>
        <v>1002154.4499999997</v>
      </c>
      <c r="O56" s="6">
        <f t="shared" si="1"/>
        <v>2605035.7499999995</v>
      </c>
      <c r="P56" s="6">
        <f t="shared" si="2"/>
        <v>912937.5000000007</v>
      </c>
      <c r="Q56" s="6">
        <f t="shared" si="3"/>
        <v>2556652.9000000004</v>
      </c>
      <c r="R56" s="6">
        <f t="shared" si="4"/>
        <v>2464752.7999999998</v>
      </c>
      <c r="S56" s="6">
        <f>SUM(S57:S60)</f>
        <v>0</v>
      </c>
      <c r="T56" s="6">
        <f>SUM(T57:T60)</f>
        <v>0</v>
      </c>
      <c r="U56" s="6">
        <f>SUM(U57:U60)</f>
        <v>0</v>
      </c>
      <c r="V56" s="6">
        <f t="shared" si="5"/>
        <v>2605035.7499999995</v>
      </c>
      <c r="W56" s="6">
        <f t="shared" si="6"/>
        <v>2556652.9000000004</v>
      </c>
      <c r="X56" s="6">
        <f t="shared" si="7"/>
        <v>2464752.7999999998</v>
      </c>
      <c r="Y56" s="6">
        <f>SUM(Y57:Y60)</f>
        <v>0</v>
      </c>
      <c r="Z56" s="6">
        <f>SUM(Z57:Z60)</f>
        <v>0</v>
      </c>
      <c r="AA56" s="6">
        <f>SUM(AA57:AA60)</f>
        <v>0</v>
      </c>
      <c r="AB56" s="6">
        <f t="shared" si="8"/>
        <v>2605035.7499999995</v>
      </c>
      <c r="AC56" s="6">
        <f t="shared" si="9"/>
        <v>2556652.9000000004</v>
      </c>
      <c r="AD56" s="6">
        <f t="shared" si="10"/>
        <v>2464752.7999999998</v>
      </c>
      <c r="AE56" s="6">
        <f>SUM(AE57:AE60)</f>
        <v>0</v>
      </c>
      <c r="AF56" s="12">
        <f t="shared" si="11"/>
        <v>2605035.7499999995</v>
      </c>
      <c r="AG56" s="6">
        <f>SUM(AG57:AG60)</f>
        <v>28955.055999999997</v>
      </c>
      <c r="AH56" s="6">
        <f>SUM(AH57:AH60)</f>
        <v>798.90000000000009</v>
      </c>
      <c r="AI56" s="6">
        <f>SUM(AI57:AI60)</f>
        <v>1198.8</v>
      </c>
      <c r="AJ56" s="6">
        <f t="shared" si="12"/>
        <v>2633990.8059999994</v>
      </c>
      <c r="AK56" s="6">
        <f t="shared" si="13"/>
        <v>2557451.8000000003</v>
      </c>
      <c r="AL56" s="6">
        <f t="shared" si="14"/>
        <v>2465951.5999999996</v>
      </c>
      <c r="AM56" s="6">
        <f>SUM(AM57:AM60)</f>
        <v>0</v>
      </c>
      <c r="AN56" s="6">
        <f t="shared" si="17"/>
        <v>2633990.8059999994</v>
      </c>
      <c r="AO56" s="6">
        <f>SUM(AO57:AO60)</f>
        <v>0</v>
      </c>
      <c r="AP56" s="7"/>
    </row>
    <row r="57" spans="1:42" x14ac:dyDescent="0.25">
      <c r="A57" s="9" t="s">
        <v>60</v>
      </c>
      <c r="B57" s="10" t="s">
        <v>8</v>
      </c>
      <c r="C57" s="11" t="s">
        <v>62</v>
      </c>
      <c r="D57" s="12">
        <v>34712.1</v>
      </c>
      <c r="E57" s="12">
        <f t="shared" si="15"/>
        <v>4202.7000000000044</v>
      </c>
      <c r="F57" s="12">
        <v>38914.800000000003</v>
      </c>
      <c r="G57" s="12">
        <v>35576.400000000001</v>
      </c>
      <c r="H57" s="12">
        <f t="shared" si="16"/>
        <v>4589.5999999999985</v>
      </c>
      <c r="I57" s="12">
        <v>40166</v>
      </c>
      <c r="J57" s="12">
        <v>41417.300000000003</v>
      </c>
      <c r="K57" s="12"/>
      <c r="L57" s="12"/>
      <c r="M57" s="12"/>
      <c r="N57" s="12">
        <f t="shared" si="0"/>
        <v>4202.7000000000044</v>
      </c>
      <c r="O57" s="12">
        <f t="shared" si="1"/>
        <v>38914.800000000003</v>
      </c>
      <c r="P57" s="12">
        <f t="shared" si="2"/>
        <v>4589.5999999999985</v>
      </c>
      <c r="Q57" s="12">
        <f t="shared" si="3"/>
        <v>40166</v>
      </c>
      <c r="R57" s="12">
        <f t="shared" si="4"/>
        <v>41417.300000000003</v>
      </c>
      <c r="S57" s="12"/>
      <c r="T57" s="12"/>
      <c r="U57" s="12"/>
      <c r="V57" s="12">
        <f t="shared" si="5"/>
        <v>38914.800000000003</v>
      </c>
      <c r="W57" s="12">
        <f t="shared" si="6"/>
        <v>40166</v>
      </c>
      <c r="X57" s="12">
        <f t="shared" si="7"/>
        <v>41417.300000000003</v>
      </c>
      <c r="Y57" s="12"/>
      <c r="Z57" s="12"/>
      <c r="AA57" s="12"/>
      <c r="AB57" s="12">
        <f t="shared" si="8"/>
        <v>38914.800000000003</v>
      </c>
      <c r="AC57" s="12">
        <f t="shared" si="9"/>
        <v>40166</v>
      </c>
      <c r="AD57" s="12">
        <f t="shared" si="10"/>
        <v>41417.300000000003</v>
      </c>
      <c r="AE57" s="12"/>
      <c r="AF57" s="12">
        <f t="shared" si="11"/>
        <v>38914.800000000003</v>
      </c>
      <c r="AG57" s="12"/>
      <c r="AH57" s="12"/>
      <c r="AI57" s="12"/>
      <c r="AJ57" s="12">
        <f t="shared" si="12"/>
        <v>38914.800000000003</v>
      </c>
      <c r="AK57" s="12">
        <f t="shared" si="13"/>
        <v>40166</v>
      </c>
      <c r="AL57" s="12">
        <f t="shared" si="14"/>
        <v>41417.300000000003</v>
      </c>
      <c r="AM57" s="12"/>
      <c r="AN57" s="12">
        <f t="shared" si="17"/>
        <v>38914.800000000003</v>
      </c>
      <c r="AO57" s="12"/>
      <c r="AP57" s="7"/>
    </row>
    <row r="58" spans="1:42" x14ac:dyDescent="0.25">
      <c r="A58" s="9" t="s">
        <v>60</v>
      </c>
      <c r="B58" s="10" t="s">
        <v>13</v>
      </c>
      <c r="C58" s="11" t="s">
        <v>63</v>
      </c>
      <c r="D58" s="12">
        <v>1125853.7</v>
      </c>
      <c r="E58" s="12">
        <f t="shared" si="15"/>
        <v>961829.45</v>
      </c>
      <c r="F58" s="12">
        <v>2087683.15</v>
      </c>
      <c r="G58" s="12">
        <v>1164153.7</v>
      </c>
      <c r="H58" s="12">
        <f t="shared" si="16"/>
        <v>877561</v>
      </c>
      <c r="I58" s="12">
        <v>2041714.7</v>
      </c>
      <c r="J58" s="12">
        <v>1952726.2</v>
      </c>
      <c r="K58" s="12">
        <f>0.1+24.9+42.6-0.4</f>
        <v>67.199999999999989</v>
      </c>
      <c r="L58" s="12">
        <f>0.3+44.9+80.4-0.4</f>
        <v>125.19999999999999</v>
      </c>
      <c r="M58" s="12">
        <f>0.2+54.1+100.2-4.1</f>
        <v>150.4</v>
      </c>
      <c r="N58" s="12">
        <f t="shared" si="0"/>
        <v>961896.64999999991</v>
      </c>
      <c r="O58" s="12">
        <f t="shared" si="1"/>
        <v>2087750.3499999999</v>
      </c>
      <c r="P58" s="12">
        <f t="shared" si="2"/>
        <v>877686.2</v>
      </c>
      <c r="Q58" s="12">
        <f t="shared" si="3"/>
        <v>2041839.9</v>
      </c>
      <c r="R58" s="12">
        <f t="shared" si="4"/>
        <v>1952876.5999999999</v>
      </c>
      <c r="S58" s="12"/>
      <c r="T58" s="12"/>
      <c r="U58" s="12"/>
      <c r="V58" s="12">
        <f t="shared" si="5"/>
        <v>2087750.3499999999</v>
      </c>
      <c r="W58" s="12">
        <f t="shared" si="6"/>
        <v>2041839.9</v>
      </c>
      <c r="X58" s="12">
        <f t="shared" si="7"/>
        <v>1952876.5999999999</v>
      </c>
      <c r="Y58" s="12"/>
      <c r="Z58" s="12"/>
      <c r="AA58" s="12"/>
      <c r="AB58" s="12">
        <f t="shared" si="8"/>
        <v>2087750.3499999999</v>
      </c>
      <c r="AC58" s="12">
        <f t="shared" si="9"/>
        <v>2041839.9</v>
      </c>
      <c r="AD58" s="12">
        <f t="shared" si="10"/>
        <v>1952876.5999999999</v>
      </c>
      <c r="AE58" s="12"/>
      <c r="AF58" s="12">
        <f t="shared" si="11"/>
        <v>2087750.3499999999</v>
      </c>
      <c r="AG58" s="12">
        <f>2.1+11.1+113.4+157.5-0.034+20219.782+8451.208</f>
        <v>28955.055999999997</v>
      </c>
      <c r="AH58" s="12">
        <f>3.9+19.9+302.1+473</f>
        <v>798.90000000000009</v>
      </c>
      <c r="AI58" s="12">
        <f>4.7+24+449.3+720.8</f>
        <v>1198.8</v>
      </c>
      <c r="AJ58" s="12">
        <f t="shared" si="12"/>
        <v>2116705.406</v>
      </c>
      <c r="AK58" s="12">
        <f t="shared" si="13"/>
        <v>2042638.7999999998</v>
      </c>
      <c r="AL58" s="12">
        <f t="shared" si="14"/>
        <v>1954075.4</v>
      </c>
      <c r="AM58" s="12"/>
      <c r="AN58" s="12">
        <f t="shared" si="17"/>
        <v>2116705.406</v>
      </c>
      <c r="AO58" s="12"/>
      <c r="AP58" s="7"/>
    </row>
    <row r="59" spans="1:42" x14ac:dyDescent="0.25">
      <c r="A59" s="9" t="s">
        <v>60</v>
      </c>
      <c r="B59" s="9" t="s">
        <v>15</v>
      </c>
      <c r="C59" s="11" t="s">
        <v>64</v>
      </c>
      <c r="D59" s="12">
        <v>283108.09999999998</v>
      </c>
      <c r="E59" s="12">
        <f t="shared" si="15"/>
        <v>-5932.8999999999651</v>
      </c>
      <c r="F59" s="12">
        <v>277175.2</v>
      </c>
      <c r="G59" s="12">
        <v>283173.59999999998</v>
      </c>
      <c r="H59" s="12">
        <f t="shared" si="16"/>
        <v>-7345.0999999999767</v>
      </c>
      <c r="I59" s="12">
        <v>275828.5</v>
      </c>
      <c r="J59" s="12">
        <v>273107.90000000002</v>
      </c>
      <c r="K59" s="12"/>
      <c r="L59" s="12"/>
      <c r="M59" s="12"/>
      <c r="N59" s="12">
        <f t="shared" si="0"/>
        <v>-5932.8999999999651</v>
      </c>
      <c r="O59" s="12">
        <f t="shared" si="1"/>
        <v>277175.2</v>
      </c>
      <c r="P59" s="12">
        <f t="shared" si="2"/>
        <v>-7345.0999999999767</v>
      </c>
      <c r="Q59" s="12">
        <f t="shared" si="3"/>
        <v>275828.5</v>
      </c>
      <c r="R59" s="12">
        <f t="shared" si="4"/>
        <v>273107.90000000002</v>
      </c>
      <c r="S59" s="12"/>
      <c r="T59" s="12"/>
      <c r="U59" s="12"/>
      <c r="V59" s="12">
        <f t="shared" si="5"/>
        <v>277175.2</v>
      </c>
      <c r="W59" s="12">
        <f t="shared" si="6"/>
        <v>275828.5</v>
      </c>
      <c r="X59" s="12">
        <f t="shared" si="7"/>
        <v>273107.90000000002</v>
      </c>
      <c r="Y59" s="12"/>
      <c r="Z59" s="12"/>
      <c r="AA59" s="12"/>
      <c r="AB59" s="12">
        <f t="shared" si="8"/>
        <v>277175.2</v>
      </c>
      <c r="AC59" s="12">
        <f t="shared" si="9"/>
        <v>275828.5</v>
      </c>
      <c r="AD59" s="12">
        <f t="shared" si="10"/>
        <v>273107.90000000002</v>
      </c>
      <c r="AE59" s="12"/>
      <c r="AF59" s="12">
        <f t="shared" si="11"/>
        <v>277175.2</v>
      </c>
      <c r="AG59" s="12"/>
      <c r="AH59" s="12"/>
      <c r="AI59" s="12"/>
      <c r="AJ59" s="12">
        <f t="shared" si="12"/>
        <v>277175.2</v>
      </c>
      <c r="AK59" s="12">
        <f t="shared" si="13"/>
        <v>275828.5</v>
      </c>
      <c r="AL59" s="12">
        <f t="shared" si="14"/>
        <v>273107.90000000002</v>
      </c>
      <c r="AM59" s="12"/>
      <c r="AN59" s="12">
        <f t="shared" si="17"/>
        <v>277175.2</v>
      </c>
      <c r="AO59" s="12"/>
      <c r="AP59" s="7"/>
    </row>
    <row r="60" spans="1:42" x14ac:dyDescent="0.25">
      <c r="A60" s="9" t="s">
        <v>60</v>
      </c>
      <c r="B60" s="10" t="s">
        <v>18</v>
      </c>
      <c r="C60" s="11" t="s">
        <v>65</v>
      </c>
      <c r="D60" s="12">
        <v>159207.4</v>
      </c>
      <c r="E60" s="12">
        <f t="shared" si="15"/>
        <v>6542.3999999999942</v>
      </c>
      <c r="F60" s="12">
        <v>165749.79999999999</v>
      </c>
      <c r="G60" s="12">
        <v>160811.70000000001</v>
      </c>
      <c r="H60" s="12">
        <f t="shared" si="16"/>
        <v>6993.5</v>
      </c>
      <c r="I60" s="12">
        <v>167805.2</v>
      </c>
      <c r="J60" s="12">
        <v>170719</v>
      </c>
      <c r="K60" s="12">
        <f>35355+90.6</f>
        <v>35445.599999999999</v>
      </c>
      <c r="L60" s="12">
        <f>30662.1+351.2</f>
        <v>31013.3</v>
      </c>
      <c r="M60" s="12">
        <f>26086+546</f>
        <v>26632</v>
      </c>
      <c r="N60" s="12">
        <f t="shared" si="0"/>
        <v>41988</v>
      </c>
      <c r="O60" s="12">
        <f t="shared" si="1"/>
        <v>201195.4</v>
      </c>
      <c r="P60" s="12">
        <f t="shared" si="2"/>
        <v>38006.799999999988</v>
      </c>
      <c r="Q60" s="12">
        <f t="shared" si="3"/>
        <v>198818.5</v>
      </c>
      <c r="R60" s="12">
        <f t="shared" si="4"/>
        <v>197351</v>
      </c>
      <c r="S60" s="12"/>
      <c r="T60" s="12"/>
      <c r="U60" s="12"/>
      <c r="V60" s="12">
        <f t="shared" si="5"/>
        <v>201195.4</v>
      </c>
      <c r="W60" s="12">
        <f t="shared" si="6"/>
        <v>198818.5</v>
      </c>
      <c r="X60" s="12">
        <f t="shared" si="7"/>
        <v>197351</v>
      </c>
      <c r="Y60" s="12"/>
      <c r="Z60" s="12"/>
      <c r="AA60" s="12"/>
      <c r="AB60" s="12">
        <f t="shared" si="8"/>
        <v>201195.4</v>
      </c>
      <c r="AC60" s="12">
        <f t="shared" si="9"/>
        <v>198818.5</v>
      </c>
      <c r="AD60" s="12">
        <f t="shared" si="10"/>
        <v>197351</v>
      </c>
      <c r="AE60" s="12"/>
      <c r="AF60" s="12">
        <f t="shared" si="11"/>
        <v>201195.4</v>
      </c>
      <c r="AG60" s="12"/>
      <c r="AH60" s="12"/>
      <c r="AI60" s="12"/>
      <c r="AJ60" s="12">
        <f t="shared" si="12"/>
        <v>201195.4</v>
      </c>
      <c r="AK60" s="12">
        <f t="shared" si="13"/>
        <v>198818.5</v>
      </c>
      <c r="AL60" s="12">
        <f t="shared" si="14"/>
        <v>197351</v>
      </c>
      <c r="AM60" s="12"/>
      <c r="AN60" s="12">
        <f t="shared" si="17"/>
        <v>201195.4</v>
      </c>
      <c r="AO60" s="12"/>
      <c r="AP60" s="7"/>
    </row>
    <row r="61" spans="1:42" s="8" customFormat="1" x14ac:dyDescent="0.25">
      <c r="A61" s="16">
        <v>11</v>
      </c>
      <c r="B61" s="17" t="s">
        <v>9</v>
      </c>
      <c r="C61" s="5" t="s">
        <v>66</v>
      </c>
      <c r="D61" s="6">
        <f>D63+D64+D62</f>
        <v>285132.98499999999</v>
      </c>
      <c r="E61" s="6">
        <f t="shared" si="15"/>
        <v>-2172.6849999999977</v>
      </c>
      <c r="F61" s="6">
        <f>F63+F64+F62</f>
        <v>282960.3</v>
      </c>
      <c r="G61" s="6">
        <f>G63+G64+G62</f>
        <v>287259.913</v>
      </c>
      <c r="H61" s="6">
        <f t="shared" si="16"/>
        <v>-131810.11300000001</v>
      </c>
      <c r="I61" s="6">
        <f>I63+I64+I62</f>
        <v>155449.79999999999</v>
      </c>
      <c r="J61" s="6">
        <f>J63+J64+J62</f>
        <v>74396.899999999994</v>
      </c>
      <c r="K61" s="6">
        <f>K63+K64+K62</f>
        <v>31283</v>
      </c>
      <c r="L61" s="6">
        <f>L63+L64+L62</f>
        <v>7633.8</v>
      </c>
      <c r="M61" s="6">
        <f>M63+M64+M62</f>
        <v>7633.8</v>
      </c>
      <c r="N61" s="6">
        <f t="shared" si="0"/>
        <v>29110.315000000002</v>
      </c>
      <c r="O61" s="6">
        <f t="shared" si="1"/>
        <v>314243.3</v>
      </c>
      <c r="P61" s="6">
        <f t="shared" si="2"/>
        <v>-124176.31300000002</v>
      </c>
      <c r="Q61" s="6">
        <f t="shared" si="3"/>
        <v>163083.59999999998</v>
      </c>
      <c r="R61" s="6">
        <f t="shared" si="4"/>
        <v>82030.7</v>
      </c>
      <c r="S61" s="6">
        <f>S63+S64+S62</f>
        <v>0</v>
      </c>
      <c r="T61" s="6">
        <f>T63+T64+T62</f>
        <v>0</v>
      </c>
      <c r="U61" s="6">
        <f>U63+U64+U62</f>
        <v>0</v>
      </c>
      <c r="V61" s="6">
        <f t="shared" si="5"/>
        <v>314243.3</v>
      </c>
      <c r="W61" s="6">
        <f t="shared" si="6"/>
        <v>163083.59999999998</v>
      </c>
      <c r="X61" s="6">
        <f t="shared" si="7"/>
        <v>82030.7</v>
      </c>
      <c r="Y61" s="6">
        <f>Y63+Y64+Y62</f>
        <v>0</v>
      </c>
      <c r="Z61" s="6">
        <f>Z63+Z64+Z62</f>
        <v>0</v>
      </c>
      <c r="AA61" s="6">
        <f>AA63+AA64+AA62</f>
        <v>0</v>
      </c>
      <c r="AB61" s="6">
        <f t="shared" si="8"/>
        <v>314243.3</v>
      </c>
      <c r="AC61" s="6">
        <f t="shared" si="9"/>
        <v>163083.59999999998</v>
      </c>
      <c r="AD61" s="6">
        <f t="shared" si="10"/>
        <v>82030.7</v>
      </c>
      <c r="AE61" s="6">
        <f>AE63+AE64+AE62</f>
        <v>0</v>
      </c>
      <c r="AF61" s="12">
        <f t="shared" si="11"/>
        <v>314243.3</v>
      </c>
      <c r="AG61" s="6">
        <f>AG63+AG64+AG62</f>
        <v>100050.92600000001</v>
      </c>
      <c r="AH61" s="6">
        <f>AH63+AH64+AH62</f>
        <v>0</v>
      </c>
      <c r="AI61" s="6">
        <f>AI63+AI64+AI62</f>
        <v>0</v>
      </c>
      <c r="AJ61" s="6">
        <f t="shared" si="12"/>
        <v>414294.22600000002</v>
      </c>
      <c r="AK61" s="6">
        <f t="shared" si="13"/>
        <v>163083.59999999998</v>
      </c>
      <c r="AL61" s="6">
        <f t="shared" si="14"/>
        <v>82030.7</v>
      </c>
      <c r="AM61" s="6">
        <f>AM63+AM64+AM62</f>
        <v>-10947.866</v>
      </c>
      <c r="AN61" s="6">
        <f t="shared" si="17"/>
        <v>403346.36000000004</v>
      </c>
      <c r="AO61" s="6">
        <f>AO63+AO64+AO62</f>
        <v>0</v>
      </c>
      <c r="AP61" s="7"/>
    </row>
    <row r="62" spans="1:42" x14ac:dyDescent="0.25">
      <c r="A62" s="18">
        <v>11</v>
      </c>
      <c r="B62" s="10" t="s">
        <v>8</v>
      </c>
      <c r="C62" s="11" t="s">
        <v>67</v>
      </c>
      <c r="D62" s="12">
        <v>26928.300000000003</v>
      </c>
      <c r="E62" s="12">
        <f t="shared" si="15"/>
        <v>19660.099999999999</v>
      </c>
      <c r="F62" s="12">
        <v>46588.4</v>
      </c>
      <c r="G62" s="12">
        <v>27138.699999999997</v>
      </c>
      <c r="H62" s="12">
        <f t="shared" si="16"/>
        <v>-2886.7999999999956</v>
      </c>
      <c r="I62" s="12">
        <v>24251.9</v>
      </c>
      <c r="J62" s="12">
        <v>27339.599999999999</v>
      </c>
      <c r="K62" s="12"/>
      <c r="L62" s="12"/>
      <c r="M62" s="12"/>
      <c r="N62" s="12">
        <f t="shared" si="0"/>
        <v>19660.099999999999</v>
      </c>
      <c r="O62" s="12">
        <f t="shared" si="1"/>
        <v>46588.4</v>
      </c>
      <c r="P62" s="12">
        <f t="shared" si="2"/>
        <v>-2886.7999999999956</v>
      </c>
      <c r="Q62" s="12">
        <f t="shared" si="3"/>
        <v>24251.9</v>
      </c>
      <c r="R62" s="12">
        <f t="shared" si="4"/>
        <v>27339.599999999999</v>
      </c>
      <c r="S62" s="12"/>
      <c r="T62" s="12"/>
      <c r="U62" s="12"/>
      <c r="V62" s="12">
        <f t="shared" si="5"/>
        <v>46588.4</v>
      </c>
      <c r="W62" s="12">
        <f t="shared" si="6"/>
        <v>24251.9</v>
      </c>
      <c r="X62" s="12">
        <f t="shared" si="7"/>
        <v>27339.599999999999</v>
      </c>
      <c r="Y62" s="12"/>
      <c r="Z62" s="12"/>
      <c r="AA62" s="12"/>
      <c r="AB62" s="12">
        <f t="shared" si="8"/>
        <v>46588.4</v>
      </c>
      <c r="AC62" s="12">
        <f t="shared" si="9"/>
        <v>24251.9</v>
      </c>
      <c r="AD62" s="12">
        <f t="shared" si="10"/>
        <v>27339.599999999999</v>
      </c>
      <c r="AE62" s="12"/>
      <c r="AF62" s="12">
        <f t="shared" si="11"/>
        <v>46588.4</v>
      </c>
      <c r="AG62" s="12">
        <f>3937.83+10695.888</f>
        <v>14633.718000000001</v>
      </c>
      <c r="AH62" s="12"/>
      <c r="AI62" s="12"/>
      <c r="AJ62" s="12">
        <f t="shared" si="12"/>
        <v>61222.118000000002</v>
      </c>
      <c r="AK62" s="12">
        <f t="shared" si="13"/>
        <v>24251.9</v>
      </c>
      <c r="AL62" s="12">
        <f t="shared" si="14"/>
        <v>27339.599999999999</v>
      </c>
      <c r="AM62" s="12">
        <v>-1500</v>
      </c>
      <c r="AN62" s="12">
        <f t="shared" si="17"/>
        <v>59722.118000000002</v>
      </c>
      <c r="AO62" s="12"/>
      <c r="AP62" s="7"/>
    </row>
    <row r="63" spans="1:42" x14ac:dyDescent="0.25">
      <c r="A63" s="18">
        <v>11</v>
      </c>
      <c r="B63" s="10" t="s">
        <v>11</v>
      </c>
      <c r="C63" s="11" t="s">
        <v>68</v>
      </c>
      <c r="D63" s="12">
        <v>250443.28499999997</v>
      </c>
      <c r="E63" s="12">
        <f t="shared" si="15"/>
        <v>-23127.484999999986</v>
      </c>
      <c r="F63" s="12">
        <v>227315.8</v>
      </c>
      <c r="G63" s="12">
        <v>252327.81299999999</v>
      </c>
      <c r="H63" s="12">
        <f t="shared" si="16"/>
        <v>-130186.01299999999</v>
      </c>
      <c r="I63" s="12">
        <v>122141.8</v>
      </c>
      <c r="J63" s="12">
        <v>37985.199999999997</v>
      </c>
      <c r="K63" s="12">
        <f>25000+5815.2</f>
        <v>30815.200000000001</v>
      </c>
      <c r="L63" s="12">
        <f>7166</f>
        <v>7166</v>
      </c>
      <c r="M63" s="12">
        <f>7166</f>
        <v>7166</v>
      </c>
      <c r="N63" s="12">
        <f t="shared" si="0"/>
        <v>7687.7150000000256</v>
      </c>
      <c r="O63" s="12">
        <f t="shared" si="1"/>
        <v>258131</v>
      </c>
      <c r="P63" s="12">
        <f t="shared" si="2"/>
        <v>-123020.01299999999</v>
      </c>
      <c r="Q63" s="12">
        <f t="shared" si="3"/>
        <v>129307.8</v>
      </c>
      <c r="R63" s="12">
        <f t="shared" si="4"/>
        <v>45151.199999999997</v>
      </c>
      <c r="S63" s="12"/>
      <c r="T63" s="12"/>
      <c r="U63" s="12"/>
      <c r="V63" s="12">
        <f t="shared" si="5"/>
        <v>258131</v>
      </c>
      <c r="W63" s="12">
        <f t="shared" si="6"/>
        <v>129307.8</v>
      </c>
      <c r="X63" s="12">
        <f t="shared" si="7"/>
        <v>45151.199999999997</v>
      </c>
      <c r="Y63" s="12"/>
      <c r="Z63" s="12"/>
      <c r="AA63" s="12"/>
      <c r="AB63" s="12">
        <f t="shared" si="8"/>
        <v>258131</v>
      </c>
      <c r="AC63" s="12">
        <f t="shared" si="9"/>
        <v>129307.8</v>
      </c>
      <c r="AD63" s="12">
        <f t="shared" si="10"/>
        <v>45151.199999999997</v>
      </c>
      <c r="AE63" s="12"/>
      <c r="AF63" s="12">
        <f t="shared" si="11"/>
        <v>258131</v>
      </c>
      <c r="AG63" s="12">
        <f>42+724.08+203.162+9447.866+0.1+75000</f>
        <v>85417.207999999999</v>
      </c>
      <c r="AH63" s="12"/>
      <c r="AI63" s="12"/>
      <c r="AJ63" s="12">
        <f t="shared" si="12"/>
        <v>343548.20799999998</v>
      </c>
      <c r="AK63" s="12">
        <f t="shared" si="13"/>
        <v>129307.8</v>
      </c>
      <c r="AL63" s="12">
        <f t="shared" si="14"/>
        <v>45151.199999999997</v>
      </c>
      <c r="AM63" s="12">
        <v>-9447.866</v>
      </c>
      <c r="AN63" s="12">
        <f t="shared" si="17"/>
        <v>334100.342</v>
      </c>
      <c r="AO63" s="12"/>
      <c r="AP63" s="7"/>
    </row>
    <row r="64" spans="1:42" x14ac:dyDescent="0.25">
      <c r="A64" s="18">
        <v>11</v>
      </c>
      <c r="B64" s="10" t="s">
        <v>17</v>
      </c>
      <c r="C64" s="11" t="s">
        <v>69</v>
      </c>
      <c r="D64" s="12">
        <v>7761.4</v>
      </c>
      <c r="E64" s="12">
        <f t="shared" si="15"/>
        <v>1294.7000000000007</v>
      </c>
      <c r="F64" s="12">
        <v>9056.1</v>
      </c>
      <c r="G64" s="12">
        <v>7793.4</v>
      </c>
      <c r="H64" s="12">
        <f t="shared" si="16"/>
        <v>1262.7000000000007</v>
      </c>
      <c r="I64" s="12">
        <v>9056.1</v>
      </c>
      <c r="J64" s="12">
        <v>9072.1</v>
      </c>
      <c r="K64" s="12">
        <f>467.8</f>
        <v>467.8</v>
      </c>
      <c r="L64" s="12">
        <f>467.8</f>
        <v>467.8</v>
      </c>
      <c r="M64" s="12">
        <f>467.8</f>
        <v>467.8</v>
      </c>
      <c r="N64" s="12">
        <f t="shared" si="0"/>
        <v>1762.5</v>
      </c>
      <c r="O64" s="12">
        <f t="shared" si="1"/>
        <v>9523.9</v>
      </c>
      <c r="P64" s="12">
        <f t="shared" si="2"/>
        <v>1730.5</v>
      </c>
      <c r="Q64" s="12">
        <f t="shared" si="3"/>
        <v>9523.9</v>
      </c>
      <c r="R64" s="12">
        <f t="shared" si="4"/>
        <v>9539.9</v>
      </c>
      <c r="S64" s="12"/>
      <c r="T64" s="12"/>
      <c r="U64" s="12"/>
      <c r="V64" s="12">
        <f t="shared" si="5"/>
        <v>9523.9</v>
      </c>
      <c r="W64" s="12">
        <f t="shared" si="6"/>
        <v>9523.9</v>
      </c>
      <c r="X64" s="12">
        <f t="shared" si="7"/>
        <v>9539.9</v>
      </c>
      <c r="Y64" s="12"/>
      <c r="Z64" s="12"/>
      <c r="AA64" s="12"/>
      <c r="AB64" s="12">
        <f t="shared" si="8"/>
        <v>9523.9</v>
      </c>
      <c r="AC64" s="12">
        <f t="shared" si="9"/>
        <v>9523.9</v>
      </c>
      <c r="AD64" s="12">
        <f t="shared" si="10"/>
        <v>9539.9</v>
      </c>
      <c r="AE64" s="12"/>
      <c r="AF64" s="12">
        <f t="shared" si="11"/>
        <v>9523.9</v>
      </c>
      <c r="AG64" s="12"/>
      <c r="AH64" s="12"/>
      <c r="AI64" s="12"/>
      <c r="AJ64" s="12">
        <f t="shared" si="12"/>
        <v>9523.9</v>
      </c>
      <c r="AK64" s="12">
        <f t="shared" si="13"/>
        <v>9523.9</v>
      </c>
      <c r="AL64" s="12">
        <f t="shared" si="14"/>
        <v>9539.9</v>
      </c>
      <c r="AM64" s="12"/>
      <c r="AN64" s="12">
        <f t="shared" si="17"/>
        <v>9523.9</v>
      </c>
      <c r="AO64" s="12"/>
      <c r="AP64" s="7"/>
    </row>
    <row r="65" spans="1:42" s="8" customFormat="1" hidden="1" x14ac:dyDescent="0.25">
      <c r="A65" s="17" t="s">
        <v>70</v>
      </c>
      <c r="B65" s="17" t="s">
        <v>70</v>
      </c>
      <c r="C65" s="5" t="s">
        <v>71</v>
      </c>
      <c r="D65" s="6">
        <v>475076.19999999995</v>
      </c>
      <c r="E65" s="6">
        <f t="shared" si="15"/>
        <v>-475076.19999999995</v>
      </c>
      <c r="F65" s="6"/>
      <c r="G65" s="6">
        <v>986201.79999999993</v>
      </c>
      <c r="H65" s="6">
        <f t="shared" si="16"/>
        <v>-433904.49999999988</v>
      </c>
      <c r="I65" s="6">
        <v>552297.30000000005</v>
      </c>
      <c r="J65" s="6">
        <v>1125093.3999999999</v>
      </c>
      <c r="K65" s="6"/>
      <c r="L65" s="6">
        <v>6724.4</v>
      </c>
      <c r="M65" s="6">
        <v>17391.3</v>
      </c>
      <c r="N65" s="6">
        <f t="shared" si="0"/>
        <v>-475076.19999999995</v>
      </c>
      <c r="O65" s="6">
        <f t="shared" si="1"/>
        <v>0</v>
      </c>
      <c r="P65" s="6">
        <f t="shared" si="2"/>
        <v>-427180.09999999986</v>
      </c>
      <c r="Q65" s="6">
        <f t="shared" si="3"/>
        <v>559021.70000000007</v>
      </c>
      <c r="R65" s="6">
        <f t="shared" si="4"/>
        <v>1142484.7</v>
      </c>
      <c r="S65" s="6"/>
      <c r="T65" s="6"/>
      <c r="U65" s="6"/>
      <c r="V65" s="6">
        <f t="shared" si="5"/>
        <v>0</v>
      </c>
      <c r="W65" s="6">
        <f t="shared" si="6"/>
        <v>559021.70000000007</v>
      </c>
      <c r="X65" s="6">
        <f t="shared" si="7"/>
        <v>1142484.7</v>
      </c>
      <c r="Y65" s="6"/>
      <c r="Z65" s="6"/>
      <c r="AA65" s="6"/>
      <c r="AB65" s="6">
        <f t="shared" si="8"/>
        <v>0</v>
      </c>
      <c r="AC65" s="6">
        <f t="shared" si="9"/>
        <v>559021.70000000007</v>
      </c>
      <c r="AD65" s="6">
        <f t="shared" si="10"/>
        <v>1142484.7</v>
      </c>
      <c r="AE65" s="6"/>
      <c r="AF65" s="12">
        <f t="shared" si="11"/>
        <v>0</v>
      </c>
      <c r="AG65" s="6"/>
      <c r="AH65" s="6">
        <v>489.2</v>
      </c>
      <c r="AI65" s="6">
        <v>563.6</v>
      </c>
      <c r="AJ65" s="6">
        <f t="shared" si="12"/>
        <v>0</v>
      </c>
      <c r="AK65" s="6">
        <f t="shared" si="13"/>
        <v>559510.9</v>
      </c>
      <c r="AL65" s="6">
        <f t="shared" si="14"/>
        <v>1143048.3</v>
      </c>
      <c r="AM65" s="6"/>
      <c r="AN65" s="12">
        <f t="shared" si="17"/>
        <v>0</v>
      </c>
      <c r="AO65" s="6"/>
      <c r="AP65" s="7"/>
    </row>
    <row r="66" spans="1:42" s="8" customFormat="1" x14ac:dyDescent="0.25">
      <c r="A66" s="19"/>
      <c r="B66" s="4"/>
      <c r="C66" s="5" t="s">
        <v>72</v>
      </c>
      <c r="D66" s="6">
        <f>D65+D56+D50+D47+D42+D39+D34+D28+D25+D17+D61</f>
        <v>19003023.666999999</v>
      </c>
      <c r="E66" s="6">
        <f t="shared" si="15"/>
        <v>2481288.8330000043</v>
      </c>
      <c r="F66" s="6">
        <f>F65+F56+F50+F47+F42+F39+F34+F28+F25+F17+F61</f>
        <v>21484312.500000004</v>
      </c>
      <c r="G66" s="6">
        <f>G65+G56+G50+G47+G42+G39+G34+G28+G25+G17+G61</f>
        <v>19724023.846999995</v>
      </c>
      <c r="H66" s="6">
        <f t="shared" si="16"/>
        <v>2367866.4530000091</v>
      </c>
      <c r="I66" s="6">
        <f>I65+I56+I50+I47+I42+I39+I34+I28+I25+I17+I61</f>
        <v>22091890.300000004</v>
      </c>
      <c r="J66" s="6">
        <f>J65+J56+J50+J47+J42+J39+J34+J28+J25+J17+J61</f>
        <v>22501866.699999996</v>
      </c>
      <c r="K66" s="6">
        <f>K65+K56+K50+K47+K42+K39+K34+K28+K25+K17+K61</f>
        <v>195148.19999999998</v>
      </c>
      <c r="L66" s="6">
        <f>L65+L56+L50+L47+L42+L39+L34+L28+L25+L17+L61</f>
        <v>213752.69999999984</v>
      </c>
      <c r="M66" s="6">
        <f>M65+M56+M50+M47+M42+M39+M34+M28+M25+M17+M61</f>
        <v>292320.79999999993</v>
      </c>
      <c r="N66" s="6">
        <f>O66-D66</f>
        <v>2676437.0330000035</v>
      </c>
      <c r="O66" s="6">
        <f>F66+K66</f>
        <v>21679460.700000003</v>
      </c>
      <c r="P66" s="6">
        <f>Q66-G66</f>
        <v>2581619.1530000083</v>
      </c>
      <c r="Q66" s="6">
        <f>I66+L66</f>
        <v>22305643.000000004</v>
      </c>
      <c r="R66" s="6">
        <f>J66+M66</f>
        <v>22794187.499999996</v>
      </c>
      <c r="S66" s="6">
        <f>S65+S56+S50+S47+S42+S39+S34+S28+S25+S17+S61</f>
        <v>0</v>
      </c>
      <c r="T66" s="6">
        <f>T65+T56+T50+T47+T42+T39+T34+T28+T25+T17+T61</f>
        <v>0</v>
      </c>
      <c r="U66" s="6">
        <f>U65+U56+U50+U47+U42+U39+U34+U28+U25+U17+U61</f>
        <v>0</v>
      </c>
      <c r="V66" s="6">
        <f>O66+S66</f>
        <v>21679460.700000003</v>
      </c>
      <c r="W66" s="6">
        <f>Q66+T66</f>
        <v>22305643.000000004</v>
      </c>
      <c r="X66" s="6">
        <f>R66+U66</f>
        <v>22794187.499999996</v>
      </c>
      <c r="Y66" s="6">
        <f>Y65+Y56+Y50+Y47+Y42+Y39+Y34+Y28+Y25+Y17+Y61</f>
        <v>103514.391</v>
      </c>
      <c r="Z66" s="6">
        <f>Z65+Z56+Z50+Z47+Z42+Z39+Z34+Z28+Z25+Z17+Z61</f>
        <v>0</v>
      </c>
      <c r="AA66" s="6">
        <f>AA65+AA56+AA50+AA47+AA42+AA39+AA34+AA28+AA25+AA17+AA61</f>
        <v>0</v>
      </c>
      <c r="AB66" s="6">
        <f>V66+Y66</f>
        <v>21782975.091000002</v>
      </c>
      <c r="AC66" s="6">
        <f>W66+Z66</f>
        <v>22305643.000000004</v>
      </c>
      <c r="AD66" s="6">
        <f>X66+AA66</f>
        <v>22794187.499999996</v>
      </c>
      <c r="AE66" s="6">
        <f>AE65+AE56+AE50+AE47+AE42+AE39+AE34+AE28+AE25+AE17+AE61</f>
        <v>-1.4551915228366852E-11</v>
      </c>
      <c r="AF66" s="12">
        <f>AB66+AE66</f>
        <v>21782975.091000002</v>
      </c>
      <c r="AG66" s="6">
        <f>AG65+AG56+AG50+AG47+AG42+AG39+AG34+AG28+AG25+AG17+AG61</f>
        <v>1626221.4829999998</v>
      </c>
      <c r="AH66" s="6">
        <f>AH65+AH56+AH50+AH47+AH42+AH39+AH34+AH28+AH25+AH17+AH61</f>
        <v>42067.9</v>
      </c>
      <c r="AI66" s="6">
        <f>AI65+AI56+AI50+AI47+AI42+AI39+AI34+AI28+AI25+AI17+AI61</f>
        <v>46303.700000000004</v>
      </c>
      <c r="AJ66" s="6">
        <f>AF66+AG66</f>
        <v>23409196.574000001</v>
      </c>
      <c r="AK66" s="6">
        <f>AC66+AH66</f>
        <v>22347710.900000002</v>
      </c>
      <c r="AL66" s="6">
        <f>AD66+AI66</f>
        <v>22840491.199999996</v>
      </c>
      <c r="AM66" s="6">
        <f>AM65+AM56+AM50+AM47+AM42+AM39+AM34+AM28+AM25+AM17+AM61</f>
        <v>169068.09000000003</v>
      </c>
      <c r="AN66" s="6">
        <f t="shared" si="17"/>
        <v>23578264.664000001</v>
      </c>
      <c r="AO66" s="6">
        <f>AO65+AO56+AO50+AO47+AO42+AO39+AO34+AO28+AO25+AO17+AO61</f>
        <v>0</v>
      </c>
      <c r="AP66" s="7"/>
    </row>
  </sheetData>
  <sheetProtection password="CF5C" sheet="1" objects="1" scenarios="1"/>
  <autoFilter ref="A16:AP66"/>
  <mergeCells count="42">
    <mergeCell ref="AE15:AE16"/>
    <mergeCell ref="AF15:AF16"/>
    <mergeCell ref="AO15:AO16"/>
    <mergeCell ref="Y15:Y16"/>
    <mergeCell ref="Z15:Z16"/>
    <mergeCell ref="AA15:AA16"/>
    <mergeCell ref="AB15:AB16"/>
    <mergeCell ref="AK15:AK16"/>
    <mergeCell ref="AL15:AL16"/>
    <mergeCell ref="AH15:AH16"/>
    <mergeCell ref="AI15:AI16"/>
    <mergeCell ref="AG15:AG16"/>
    <mergeCell ref="AJ15:AJ16"/>
    <mergeCell ref="AM15:AM16"/>
    <mergeCell ref="AN15:AN16"/>
    <mergeCell ref="A15:A16"/>
    <mergeCell ref="AC15:AC16"/>
    <mergeCell ref="AD15:AD16"/>
    <mergeCell ref="B15:B16"/>
    <mergeCell ref="C15:C16"/>
    <mergeCell ref="R15:R16"/>
    <mergeCell ref="K15:M15"/>
    <mergeCell ref="E15:F15"/>
    <mergeCell ref="G15:G16"/>
    <mergeCell ref="H15:I15"/>
    <mergeCell ref="T15:T16"/>
    <mergeCell ref="U15:U16"/>
    <mergeCell ref="V15:V16"/>
    <mergeCell ref="W15:W16"/>
    <mergeCell ref="X15:X16"/>
    <mergeCell ref="J15:J16"/>
    <mergeCell ref="S15:S16"/>
    <mergeCell ref="P15:Q16"/>
    <mergeCell ref="D15:D16"/>
    <mergeCell ref="N15:O16"/>
    <mergeCell ref="A12:AN12"/>
    <mergeCell ref="C1:AN1"/>
    <mergeCell ref="C3:AN3"/>
    <mergeCell ref="C6:AN6"/>
    <mergeCell ref="C8:AN8"/>
    <mergeCell ref="C9:AN9"/>
    <mergeCell ref="C4:AN4"/>
  </mergeCells>
  <pageMargins left="0.70866141732283472" right="0.19685039370078741" top="0.15748031496062992" bottom="0.47244094488188981" header="0.31496062992125984" footer="0.19685039370078741"/>
  <pageSetup paperSize="9" scale="89" fitToHeight="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Dep_Fin</dc:creator>
  <cp:lastModifiedBy>Колышкина Елена Владимировна</cp:lastModifiedBy>
  <cp:lastPrinted>2013-04-24T11:45:51Z</cp:lastPrinted>
  <dcterms:created xsi:type="dcterms:W3CDTF">2012-09-04T09:51:40Z</dcterms:created>
  <dcterms:modified xsi:type="dcterms:W3CDTF">2013-04-24T11:50:01Z</dcterms:modified>
</cp:coreProperties>
</file>