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2132"/>
  </bookViews>
  <sheets>
    <sheet name="2018" sheetId="2" r:id="rId1"/>
  </sheets>
  <definedNames>
    <definedName name="_xlnm._FilterDatabase" localSheetId="0" hidden="1">'2018'!$A$17:$AB$196</definedName>
    <definedName name="_xlnm.Print_Titles" localSheetId="0">'2018'!$16:$17</definedName>
    <definedName name="_xlnm.Print_Area" localSheetId="0">'2018'!$A$1:$Z$194</definedName>
  </definedNames>
  <calcPr calcId="14562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79" i="2" l="1"/>
  <c r="Y89" i="2"/>
  <c r="Y196" i="2"/>
  <c r="Y195" i="2"/>
  <c r="Y193" i="2"/>
  <c r="Y192" i="2"/>
  <c r="Y189" i="2"/>
  <c r="Y186" i="2"/>
  <c r="Y177" i="2"/>
  <c r="Y154" i="2"/>
  <c r="Y147" i="2"/>
  <c r="Y144" i="2"/>
  <c r="Y131" i="2"/>
  <c r="Y127" i="2"/>
  <c r="Y123" i="2"/>
  <c r="Y119" i="2"/>
  <c r="Y115" i="2"/>
  <c r="Y111" i="2"/>
  <c r="Y110" i="2"/>
  <c r="Y182" i="2" s="1"/>
  <c r="Y109" i="2"/>
  <c r="Y105" i="2"/>
  <c r="Y95" i="2"/>
  <c r="Y93" i="2" s="1"/>
  <c r="Y77" i="2"/>
  <c r="Y67" i="2"/>
  <c r="Y66" i="2"/>
  <c r="Y65" i="2"/>
  <c r="Y55" i="2"/>
  <c r="Y39" i="2"/>
  <c r="Y34" i="2"/>
  <c r="Y188" i="2" s="1"/>
  <c r="Y30" i="2"/>
  <c r="Y23" i="2"/>
  <c r="Y22" i="2"/>
  <c r="Y21" i="2"/>
  <c r="Y183" i="2" s="1"/>
  <c r="Y20" i="2"/>
  <c r="Y107" i="2" l="1"/>
  <c r="Y190" i="2"/>
  <c r="Y194" i="2"/>
  <c r="Y18" i="2"/>
  <c r="Y63" i="2"/>
  <c r="Y184" i="2"/>
  <c r="Y187" i="2"/>
  <c r="Y191" i="2"/>
  <c r="W20" i="2"/>
  <c r="W196" i="2"/>
  <c r="W195" i="2"/>
  <c r="W193" i="2"/>
  <c r="W192" i="2"/>
  <c r="W189" i="2"/>
  <c r="W186" i="2"/>
  <c r="W177" i="2"/>
  <c r="W154" i="2"/>
  <c r="W147" i="2"/>
  <c r="W144" i="2"/>
  <c r="W131" i="2"/>
  <c r="W127" i="2"/>
  <c r="W123" i="2"/>
  <c r="W119" i="2"/>
  <c r="W115" i="2"/>
  <c r="W111" i="2"/>
  <c r="W110" i="2"/>
  <c r="W182" i="2" s="1"/>
  <c r="W109" i="2"/>
  <c r="W105" i="2"/>
  <c r="W95" i="2"/>
  <c r="W93" i="2" s="1"/>
  <c r="W89" i="2"/>
  <c r="W77" i="2"/>
  <c r="W67" i="2"/>
  <c r="W66" i="2"/>
  <c r="W65" i="2"/>
  <c r="W55" i="2"/>
  <c r="W39" i="2"/>
  <c r="W34" i="2"/>
  <c r="W188" i="2" s="1"/>
  <c r="W30" i="2"/>
  <c r="W23" i="2"/>
  <c r="W190" i="2" s="1"/>
  <c r="W22" i="2"/>
  <c r="W21" i="2"/>
  <c r="W183" i="2" s="1"/>
  <c r="W187" i="2" l="1"/>
  <c r="W107" i="2"/>
  <c r="W191" i="2"/>
  <c r="W184" i="2"/>
  <c r="W194" i="2"/>
  <c r="Y180" i="2"/>
  <c r="W63" i="2"/>
  <c r="W18" i="2"/>
  <c r="U186" i="2"/>
  <c r="U20" i="2"/>
  <c r="V62" i="2"/>
  <c r="X62" i="2" s="1"/>
  <c r="Z62" i="2" s="1"/>
  <c r="W180" i="2" l="1"/>
  <c r="U154" i="2"/>
  <c r="V167" i="2"/>
  <c r="X167" i="2" s="1"/>
  <c r="Z167" i="2" s="1"/>
  <c r="V168" i="2"/>
  <c r="X168" i="2" s="1"/>
  <c r="Z168" i="2" s="1"/>
  <c r="V169" i="2"/>
  <c r="X169" i="2" s="1"/>
  <c r="Z169" i="2" s="1"/>
  <c r="V170" i="2"/>
  <c r="X170" i="2" s="1"/>
  <c r="Z170" i="2" s="1"/>
  <c r="V171" i="2"/>
  <c r="X171" i="2" s="1"/>
  <c r="Z171" i="2" s="1"/>
  <c r="V172" i="2"/>
  <c r="X172" i="2" s="1"/>
  <c r="Z172" i="2" s="1"/>
  <c r="V173" i="2"/>
  <c r="X173" i="2" s="1"/>
  <c r="Z173" i="2" s="1"/>
  <c r="V174" i="2"/>
  <c r="X174" i="2" s="1"/>
  <c r="Z174" i="2" s="1"/>
  <c r="V175" i="2"/>
  <c r="X175" i="2" s="1"/>
  <c r="Z175" i="2" s="1"/>
  <c r="V176" i="2"/>
  <c r="X176" i="2" s="1"/>
  <c r="Z176" i="2" s="1"/>
  <c r="U196" i="2" l="1"/>
  <c r="U195" i="2"/>
  <c r="U193" i="2"/>
  <c r="U192" i="2"/>
  <c r="U189" i="2"/>
  <c r="U177" i="2"/>
  <c r="U147" i="2"/>
  <c r="U144" i="2"/>
  <c r="U131" i="2"/>
  <c r="U127" i="2"/>
  <c r="U123" i="2"/>
  <c r="U119" i="2"/>
  <c r="U115" i="2"/>
  <c r="U111" i="2"/>
  <c r="U110" i="2"/>
  <c r="U182" i="2" s="1"/>
  <c r="U109" i="2"/>
  <c r="U105" i="2"/>
  <c r="U95" i="2"/>
  <c r="U93" i="2" s="1"/>
  <c r="U89" i="2"/>
  <c r="U77" i="2"/>
  <c r="U67" i="2"/>
  <c r="U66" i="2"/>
  <c r="U65" i="2"/>
  <c r="U55" i="2"/>
  <c r="U39" i="2"/>
  <c r="U34" i="2"/>
  <c r="U30" i="2"/>
  <c r="U23" i="2"/>
  <c r="U190" i="2" s="1"/>
  <c r="U22" i="2"/>
  <c r="U21" i="2"/>
  <c r="U194" i="2" l="1"/>
  <c r="U187" i="2"/>
  <c r="U191" i="2"/>
  <c r="U107" i="2"/>
  <c r="U18" i="2"/>
  <c r="U63" i="2"/>
  <c r="U184" i="2"/>
  <c r="U183" i="2"/>
  <c r="U188" i="2"/>
  <c r="S196" i="2"/>
  <c r="S195" i="2"/>
  <c r="S193" i="2"/>
  <c r="S192" i="2"/>
  <c r="S189" i="2"/>
  <c r="S186" i="2"/>
  <c r="S177" i="2"/>
  <c r="S154" i="2"/>
  <c r="S147" i="2"/>
  <c r="S144" i="2"/>
  <c r="S131" i="2"/>
  <c r="S127" i="2"/>
  <c r="S123" i="2"/>
  <c r="S119" i="2"/>
  <c r="S115" i="2"/>
  <c r="S111" i="2"/>
  <c r="S110" i="2"/>
  <c r="S105" i="2"/>
  <c r="S95" i="2"/>
  <c r="S89" i="2"/>
  <c r="S77" i="2"/>
  <c r="S67" i="2"/>
  <c r="S66" i="2"/>
  <c r="S65" i="2"/>
  <c r="S22" i="2"/>
  <c r="S39" i="2"/>
  <c r="S34" i="2"/>
  <c r="S30" i="2"/>
  <c r="S23" i="2"/>
  <c r="U180" i="2" l="1"/>
  <c r="S194" i="2"/>
  <c r="S93" i="2"/>
  <c r="S63" i="2"/>
  <c r="S187" i="2"/>
  <c r="S184" i="2"/>
  <c r="S182" i="2"/>
  <c r="S191" i="2"/>
  <c r="S55" i="2"/>
  <c r="S109" i="2"/>
  <c r="S188" i="2"/>
  <c r="S20" i="2"/>
  <c r="S21" i="2"/>
  <c r="Q25" i="2"/>
  <c r="S190" i="2" l="1"/>
  <c r="S18" i="2"/>
  <c r="S183" i="2"/>
  <c r="S107" i="2"/>
  <c r="Q196" i="2"/>
  <c r="R196" i="2" s="1"/>
  <c r="T196" i="2" s="1"/>
  <c r="V196" i="2" s="1"/>
  <c r="X196" i="2" s="1"/>
  <c r="Z196" i="2" s="1"/>
  <c r="Q105" i="2"/>
  <c r="R106" i="2"/>
  <c r="Q113" i="2"/>
  <c r="R105" i="2" l="1"/>
  <c r="T106" i="2"/>
  <c r="V106" i="2" s="1"/>
  <c r="S180" i="2"/>
  <c r="Q79" i="2"/>
  <c r="V105" i="2" l="1"/>
  <c r="X106" i="2"/>
  <c r="T105" i="2"/>
  <c r="Q26" i="2"/>
  <c r="X105" i="2" l="1"/>
  <c r="Z106" i="2"/>
  <c r="Z105" i="2" s="1"/>
  <c r="Q58" i="2"/>
  <c r="Q21" i="2" s="1"/>
  <c r="R61" i="2" l="1"/>
  <c r="T61" i="2" s="1"/>
  <c r="V61" i="2" s="1"/>
  <c r="X61" i="2" s="1"/>
  <c r="Z61" i="2" s="1"/>
  <c r="Q59" i="2" l="1"/>
  <c r="Q57" i="2"/>
  <c r="Q22" i="2"/>
  <c r="Q23" i="2"/>
  <c r="P23" i="2"/>
  <c r="R26" i="2"/>
  <c r="T26" i="2" s="1"/>
  <c r="V26" i="2" s="1"/>
  <c r="X26" i="2" s="1"/>
  <c r="Z26" i="2" s="1"/>
  <c r="R27" i="2"/>
  <c r="T27" i="2" s="1"/>
  <c r="V27" i="2" s="1"/>
  <c r="X27" i="2" s="1"/>
  <c r="Z27" i="2" s="1"/>
  <c r="R25" i="2" l="1"/>
  <c r="T25" i="2" s="1"/>
  <c r="V25" i="2" s="1"/>
  <c r="X25" i="2" s="1"/>
  <c r="Z25" i="2" s="1"/>
  <c r="R23" i="2"/>
  <c r="T23" i="2" s="1"/>
  <c r="V23" i="2" s="1"/>
  <c r="X23" i="2" s="1"/>
  <c r="Z23" i="2" s="1"/>
  <c r="Q32" i="2"/>
  <c r="Q20" i="2" s="1"/>
  <c r="Q18" i="2" s="1"/>
  <c r="Q195" i="2"/>
  <c r="Q193" i="2"/>
  <c r="Q192" i="2"/>
  <c r="Q189" i="2"/>
  <c r="Q186" i="2"/>
  <c r="Q177" i="2"/>
  <c r="Q154" i="2"/>
  <c r="Q147" i="2"/>
  <c r="Q144" i="2"/>
  <c r="Q131" i="2"/>
  <c r="Q127" i="2"/>
  <c r="Q123" i="2"/>
  <c r="Q119" i="2"/>
  <c r="Q115" i="2"/>
  <c r="Q111" i="2"/>
  <c r="Q110" i="2"/>
  <c r="Q182" i="2" s="1"/>
  <c r="Q109" i="2"/>
  <c r="Q95" i="2"/>
  <c r="Q93" i="2" s="1"/>
  <c r="Q89" i="2"/>
  <c r="Q77" i="2"/>
  <c r="Q67" i="2"/>
  <c r="Q66" i="2"/>
  <c r="Q183" i="2" s="1"/>
  <c r="Q65" i="2"/>
  <c r="Q55" i="2"/>
  <c r="Q39" i="2"/>
  <c r="Q34" i="2"/>
  <c r="Q188" i="2" s="1"/>
  <c r="Q30" i="2" l="1"/>
  <c r="Q194" i="2" s="1"/>
  <c r="Q63" i="2"/>
  <c r="Q107" i="2"/>
  <c r="Q191" i="2"/>
  <c r="Q187" i="2"/>
  <c r="Q184" i="2"/>
  <c r="Q190" i="2"/>
  <c r="O195" i="2"/>
  <c r="O193" i="2"/>
  <c r="O192" i="2"/>
  <c r="O189" i="2"/>
  <c r="O177" i="2"/>
  <c r="O154" i="2"/>
  <c r="O147" i="2"/>
  <c r="O144" i="2"/>
  <c r="O131" i="2"/>
  <c r="O127" i="2"/>
  <c r="O123" i="2"/>
  <c r="O119" i="2"/>
  <c r="O115" i="2"/>
  <c r="O111" i="2"/>
  <c r="O110" i="2"/>
  <c r="O109" i="2"/>
  <c r="O95" i="2"/>
  <c r="O93" i="2" s="1"/>
  <c r="O89" i="2"/>
  <c r="O77" i="2"/>
  <c r="O65" i="2"/>
  <c r="O67" i="2"/>
  <c r="O66" i="2"/>
  <c r="O55" i="2"/>
  <c r="O190" i="2" s="1"/>
  <c r="O21" i="2"/>
  <c r="O39" i="2"/>
  <c r="O34" i="2"/>
  <c r="O30" i="2"/>
  <c r="O22" i="2"/>
  <c r="O20" i="2"/>
  <c r="Q180" i="2" l="1"/>
  <c r="O107" i="2"/>
  <c r="O187" i="2"/>
  <c r="O191" i="2"/>
  <c r="O18" i="2"/>
  <c r="O184" i="2"/>
  <c r="O183" i="2"/>
  <c r="O188" i="2"/>
  <c r="O63" i="2"/>
  <c r="O186" i="2"/>
  <c r="O194" i="2"/>
  <c r="O182" i="2"/>
  <c r="E186" i="2"/>
  <c r="E188" i="2"/>
  <c r="O180" i="2" l="1"/>
  <c r="M22" i="2"/>
  <c r="M42" i="2"/>
  <c r="M21" i="2" s="1"/>
  <c r="M41" i="2"/>
  <c r="N60" i="2"/>
  <c r="P60" i="2" s="1"/>
  <c r="R60" i="2" s="1"/>
  <c r="T60" i="2" s="1"/>
  <c r="V60" i="2" s="1"/>
  <c r="X60" i="2" s="1"/>
  <c r="Z60" i="2" s="1"/>
  <c r="N57" i="2"/>
  <c r="P57" i="2" s="1"/>
  <c r="R57" i="2" s="1"/>
  <c r="T57" i="2" s="1"/>
  <c r="V57" i="2" s="1"/>
  <c r="X57" i="2" s="1"/>
  <c r="Z57" i="2" s="1"/>
  <c r="N58" i="2"/>
  <c r="P58" i="2" s="1"/>
  <c r="R58" i="2" s="1"/>
  <c r="T58" i="2" s="1"/>
  <c r="V58" i="2" s="1"/>
  <c r="X58" i="2" s="1"/>
  <c r="Z58" i="2" s="1"/>
  <c r="N59" i="2"/>
  <c r="P59" i="2" s="1"/>
  <c r="R59" i="2" s="1"/>
  <c r="T59" i="2" s="1"/>
  <c r="V59" i="2" s="1"/>
  <c r="X59" i="2" s="1"/>
  <c r="Z59" i="2" s="1"/>
  <c r="M55" i="2"/>
  <c r="N55" i="2" s="1"/>
  <c r="P55" i="2" s="1"/>
  <c r="R55" i="2" s="1"/>
  <c r="T55" i="2" s="1"/>
  <c r="V55" i="2" s="1"/>
  <c r="X55" i="2" s="1"/>
  <c r="Z55" i="2" s="1"/>
  <c r="M47" i="2"/>
  <c r="N43" i="2"/>
  <c r="P43" i="2" s="1"/>
  <c r="R43" i="2" s="1"/>
  <c r="T43" i="2" s="1"/>
  <c r="V43" i="2" s="1"/>
  <c r="X43" i="2" s="1"/>
  <c r="Z43" i="2" s="1"/>
  <c r="K20" i="2"/>
  <c r="I20" i="2"/>
  <c r="D20" i="2"/>
  <c r="M32" i="2"/>
  <c r="M30" i="2" s="1"/>
  <c r="N33" i="2"/>
  <c r="P33" i="2" s="1"/>
  <c r="R33" i="2" s="1"/>
  <c r="T33" i="2" s="1"/>
  <c r="V33" i="2" s="1"/>
  <c r="X33" i="2" s="1"/>
  <c r="Z33" i="2" s="1"/>
  <c r="G30" i="2"/>
  <c r="F32" i="2"/>
  <c r="H32" i="2" s="1"/>
  <c r="J32" i="2" s="1"/>
  <c r="L32" i="2" s="1"/>
  <c r="E30" i="2"/>
  <c r="D30" i="2"/>
  <c r="M190" i="2" l="1"/>
  <c r="F30" i="2"/>
  <c r="H30" i="2" s="1"/>
  <c r="J30" i="2" s="1"/>
  <c r="L30" i="2" s="1"/>
  <c r="N30" i="2" s="1"/>
  <c r="P30" i="2" s="1"/>
  <c r="R30" i="2" s="1"/>
  <c r="T30" i="2" s="1"/>
  <c r="V30" i="2" s="1"/>
  <c r="X30" i="2" s="1"/>
  <c r="Z30" i="2" s="1"/>
  <c r="M39" i="2"/>
  <c r="M194" i="2" s="1"/>
  <c r="N32" i="2"/>
  <c r="P32" i="2" s="1"/>
  <c r="R32" i="2" s="1"/>
  <c r="T32" i="2" s="1"/>
  <c r="V32" i="2" s="1"/>
  <c r="X32" i="2" s="1"/>
  <c r="Z32" i="2" s="1"/>
  <c r="N22" i="2" l="1"/>
  <c r="P22" i="2" s="1"/>
  <c r="R22" i="2" s="1"/>
  <c r="T22" i="2" s="1"/>
  <c r="V22" i="2" s="1"/>
  <c r="X22" i="2" s="1"/>
  <c r="Z22" i="2" s="1"/>
  <c r="M36" i="2"/>
  <c r="M20" i="2" s="1"/>
  <c r="N37" i="2"/>
  <c r="P37" i="2" s="1"/>
  <c r="R37" i="2" s="1"/>
  <c r="T37" i="2" s="1"/>
  <c r="V37" i="2" s="1"/>
  <c r="X37" i="2" s="1"/>
  <c r="Z37" i="2" s="1"/>
  <c r="N38" i="2"/>
  <c r="P38" i="2" s="1"/>
  <c r="R38" i="2" s="1"/>
  <c r="T38" i="2" s="1"/>
  <c r="V38" i="2" s="1"/>
  <c r="X38" i="2" s="1"/>
  <c r="Z38" i="2" s="1"/>
  <c r="G34" i="2"/>
  <c r="F36" i="2"/>
  <c r="H36" i="2" s="1"/>
  <c r="J36" i="2" s="1"/>
  <c r="L36" i="2" s="1"/>
  <c r="N36" i="2" s="1"/>
  <c r="P36" i="2" s="1"/>
  <c r="R36" i="2" s="1"/>
  <c r="T36" i="2" s="1"/>
  <c r="V36" i="2" s="1"/>
  <c r="X36" i="2" s="1"/>
  <c r="Z36" i="2" s="1"/>
  <c r="D34" i="2"/>
  <c r="F34" i="2" s="1"/>
  <c r="H34" i="2" l="1"/>
  <c r="J34" i="2" s="1"/>
  <c r="M34" i="2"/>
  <c r="M188" i="2" s="1"/>
  <c r="M18" i="2"/>
  <c r="M117" i="2"/>
  <c r="M95" i="2" l="1"/>
  <c r="N104" i="2"/>
  <c r="P104" i="2" s="1"/>
  <c r="R104" i="2" s="1"/>
  <c r="T104" i="2" s="1"/>
  <c r="V104" i="2" s="1"/>
  <c r="X104" i="2" s="1"/>
  <c r="Z104" i="2" s="1"/>
  <c r="M75" i="2"/>
  <c r="M195" i="2" l="1"/>
  <c r="M193" i="2"/>
  <c r="M192" i="2"/>
  <c r="M189" i="2"/>
  <c r="M186" i="2"/>
  <c r="M177" i="2"/>
  <c r="M154" i="2"/>
  <c r="M147" i="2"/>
  <c r="M144" i="2"/>
  <c r="M131" i="2"/>
  <c r="M127" i="2"/>
  <c r="M123" i="2"/>
  <c r="M119" i="2"/>
  <c r="M115" i="2"/>
  <c r="M111" i="2"/>
  <c r="M110" i="2"/>
  <c r="M182" i="2" s="1"/>
  <c r="M109" i="2"/>
  <c r="M93" i="2"/>
  <c r="M89" i="2"/>
  <c r="M77" i="2"/>
  <c r="M67" i="2"/>
  <c r="M184" i="2" s="1"/>
  <c r="M66" i="2"/>
  <c r="M65" i="2"/>
  <c r="M187" i="2" l="1"/>
  <c r="M107" i="2"/>
  <c r="M191" i="2"/>
  <c r="M63" i="2"/>
  <c r="M183" i="2"/>
  <c r="M180" i="2" l="1"/>
  <c r="K79" i="2"/>
  <c r="K65" i="2" s="1"/>
  <c r="K195" i="2" l="1"/>
  <c r="K193" i="2"/>
  <c r="K192" i="2"/>
  <c r="K190" i="2"/>
  <c r="K189" i="2"/>
  <c r="K188" i="2"/>
  <c r="K186" i="2"/>
  <c r="K177" i="2"/>
  <c r="K154" i="2"/>
  <c r="K147" i="2"/>
  <c r="K144" i="2"/>
  <c r="K131" i="2"/>
  <c r="K127" i="2"/>
  <c r="K123" i="2"/>
  <c r="K119" i="2"/>
  <c r="K115" i="2"/>
  <c r="K111" i="2"/>
  <c r="K110" i="2"/>
  <c r="K182" i="2" s="1"/>
  <c r="K109" i="2"/>
  <c r="K95" i="2"/>
  <c r="K93" i="2" s="1"/>
  <c r="K89" i="2"/>
  <c r="K77" i="2"/>
  <c r="K67" i="2"/>
  <c r="K66" i="2"/>
  <c r="K39" i="2"/>
  <c r="K194" i="2" s="1"/>
  <c r="K21" i="2"/>
  <c r="K107" i="2" l="1"/>
  <c r="K191" i="2"/>
  <c r="K187" i="2"/>
  <c r="K18" i="2"/>
  <c r="K63" i="2"/>
  <c r="K183" i="2"/>
  <c r="K184" i="2"/>
  <c r="K180" i="2" l="1"/>
  <c r="I195" i="2"/>
  <c r="I192" i="2"/>
  <c r="I190" i="2"/>
  <c r="I189" i="2"/>
  <c r="I188" i="2"/>
  <c r="I177" i="2"/>
  <c r="I193" i="2"/>
  <c r="I147" i="2"/>
  <c r="I144" i="2"/>
  <c r="I109" i="2"/>
  <c r="I131" i="2"/>
  <c r="I127" i="2"/>
  <c r="I123" i="2"/>
  <c r="I119" i="2"/>
  <c r="I115" i="2"/>
  <c r="I111" i="2"/>
  <c r="I110" i="2"/>
  <c r="I182" i="2" s="1"/>
  <c r="I95" i="2"/>
  <c r="I93" i="2" s="1"/>
  <c r="I89" i="2"/>
  <c r="I77" i="2"/>
  <c r="I65" i="2"/>
  <c r="I67" i="2"/>
  <c r="I66" i="2"/>
  <c r="I39" i="2"/>
  <c r="I194" i="2" s="1"/>
  <c r="I21" i="2"/>
  <c r="I187" i="2" l="1"/>
  <c r="I18" i="2"/>
  <c r="I107" i="2"/>
  <c r="I63" i="2"/>
  <c r="I191" i="2"/>
  <c r="I183" i="2"/>
  <c r="I154" i="2"/>
  <c r="I186" i="2"/>
  <c r="I184" i="2"/>
  <c r="H54" i="2"/>
  <c r="J54" i="2" s="1"/>
  <c r="L54" i="2" s="1"/>
  <c r="N54" i="2" s="1"/>
  <c r="P54" i="2" s="1"/>
  <c r="R54" i="2" s="1"/>
  <c r="T54" i="2" s="1"/>
  <c r="V54" i="2" s="1"/>
  <c r="X54" i="2" s="1"/>
  <c r="Z54" i="2" s="1"/>
  <c r="I180" i="2" l="1"/>
  <c r="G66" i="2"/>
  <c r="G79" i="2"/>
  <c r="G77" i="2" s="1"/>
  <c r="G47" i="2"/>
  <c r="G68" i="2"/>
  <c r="G190" i="2"/>
  <c r="H53" i="2"/>
  <c r="J53" i="2" s="1"/>
  <c r="L53" i="2" s="1"/>
  <c r="N53" i="2" s="1"/>
  <c r="P53" i="2" s="1"/>
  <c r="R53" i="2" s="1"/>
  <c r="T53" i="2" s="1"/>
  <c r="V53" i="2" s="1"/>
  <c r="X53" i="2" s="1"/>
  <c r="Z53" i="2" s="1"/>
  <c r="G65" i="2" l="1"/>
  <c r="H91" i="2"/>
  <c r="J91" i="2" s="1"/>
  <c r="L91" i="2" s="1"/>
  <c r="N91" i="2" s="1"/>
  <c r="P91" i="2" s="1"/>
  <c r="R91" i="2" s="1"/>
  <c r="T91" i="2" s="1"/>
  <c r="V91" i="2" s="1"/>
  <c r="X91" i="2" s="1"/>
  <c r="Z91" i="2" s="1"/>
  <c r="H92" i="2"/>
  <c r="J92" i="2" s="1"/>
  <c r="L92" i="2" s="1"/>
  <c r="N92" i="2" s="1"/>
  <c r="P92" i="2" s="1"/>
  <c r="R92" i="2" s="1"/>
  <c r="T92" i="2" s="1"/>
  <c r="V92" i="2" s="1"/>
  <c r="X92" i="2" s="1"/>
  <c r="Z92" i="2" s="1"/>
  <c r="H80" i="2"/>
  <c r="J80" i="2" s="1"/>
  <c r="L80" i="2" s="1"/>
  <c r="N80" i="2" s="1"/>
  <c r="P80" i="2" s="1"/>
  <c r="R80" i="2" s="1"/>
  <c r="T80" i="2" s="1"/>
  <c r="V80" i="2" s="1"/>
  <c r="X80" i="2" s="1"/>
  <c r="Z80" i="2" s="1"/>
  <c r="G89" i="2"/>
  <c r="H89" i="2" s="1"/>
  <c r="J89" i="2" s="1"/>
  <c r="L89" i="2" s="1"/>
  <c r="N89" i="2" s="1"/>
  <c r="P89" i="2" s="1"/>
  <c r="R89" i="2" s="1"/>
  <c r="T89" i="2" s="1"/>
  <c r="V89" i="2" s="1"/>
  <c r="X89" i="2" s="1"/>
  <c r="Z89" i="2" s="1"/>
  <c r="G188" i="2"/>
  <c r="H52" i="2"/>
  <c r="J52" i="2" s="1"/>
  <c r="L52" i="2" s="1"/>
  <c r="N52" i="2" s="1"/>
  <c r="P52" i="2" s="1"/>
  <c r="R52" i="2" s="1"/>
  <c r="T52" i="2" s="1"/>
  <c r="V52" i="2" s="1"/>
  <c r="X52" i="2" s="1"/>
  <c r="Z52" i="2" s="1"/>
  <c r="H51" i="2"/>
  <c r="J51" i="2" s="1"/>
  <c r="L51" i="2" s="1"/>
  <c r="N51" i="2" s="1"/>
  <c r="P51" i="2" s="1"/>
  <c r="R51" i="2" s="1"/>
  <c r="T51" i="2" s="1"/>
  <c r="V51" i="2" s="1"/>
  <c r="X51" i="2" s="1"/>
  <c r="Z51" i="2" s="1"/>
  <c r="G191" i="2" l="1"/>
  <c r="H50" i="2"/>
  <c r="J50" i="2" s="1"/>
  <c r="L50" i="2" s="1"/>
  <c r="N50" i="2" s="1"/>
  <c r="P50" i="2" s="1"/>
  <c r="R50" i="2" s="1"/>
  <c r="T50" i="2" s="1"/>
  <c r="V50" i="2" s="1"/>
  <c r="X50" i="2" s="1"/>
  <c r="Z50" i="2" s="1"/>
  <c r="H143" i="2" l="1"/>
  <c r="J143" i="2" s="1"/>
  <c r="L143" i="2" s="1"/>
  <c r="N143" i="2" s="1"/>
  <c r="P143" i="2" s="1"/>
  <c r="R143" i="2" s="1"/>
  <c r="T143" i="2" s="1"/>
  <c r="V143" i="2" s="1"/>
  <c r="X143" i="2" s="1"/>
  <c r="Z143" i="2" s="1"/>
  <c r="G95" i="2"/>
  <c r="G140" i="2"/>
  <c r="G109" i="2" s="1"/>
  <c r="H47" i="2"/>
  <c r="J47" i="2" s="1"/>
  <c r="L47" i="2" s="1"/>
  <c r="N47" i="2" s="1"/>
  <c r="P47" i="2" s="1"/>
  <c r="R47" i="2" s="1"/>
  <c r="T47" i="2" s="1"/>
  <c r="V47" i="2" s="1"/>
  <c r="X47" i="2" s="1"/>
  <c r="Z47" i="2" s="1"/>
  <c r="H48" i="2"/>
  <c r="J48" i="2" s="1"/>
  <c r="L48" i="2" s="1"/>
  <c r="N48" i="2" s="1"/>
  <c r="P48" i="2" s="1"/>
  <c r="R48" i="2" s="1"/>
  <c r="T48" i="2" s="1"/>
  <c r="V48" i="2" s="1"/>
  <c r="X48" i="2" s="1"/>
  <c r="Z48" i="2" s="1"/>
  <c r="H49" i="2"/>
  <c r="J49" i="2" s="1"/>
  <c r="L49" i="2" s="1"/>
  <c r="N49" i="2" s="1"/>
  <c r="P49" i="2" s="1"/>
  <c r="R49" i="2" s="1"/>
  <c r="T49" i="2" s="1"/>
  <c r="V49" i="2" s="1"/>
  <c r="X49" i="2" s="1"/>
  <c r="Z49" i="2" s="1"/>
  <c r="G41" i="2" l="1"/>
  <c r="G20" i="2" s="1"/>
  <c r="G160" i="2"/>
  <c r="G154" i="2" s="1"/>
  <c r="H166" i="2"/>
  <c r="J166" i="2" s="1"/>
  <c r="L166" i="2" s="1"/>
  <c r="N166" i="2" s="1"/>
  <c r="P166" i="2" s="1"/>
  <c r="R166" i="2" s="1"/>
  <c r="T166" i="2" s="1"/>
  <c r="V166" i="2" s="1"/>
  <c r="X166" i="2" s="1"/>
  <c r="Z166" i="2" s="1"/>
  <c r="H165" i="2"/>
  <c r="J165" i="2" s="1"/>
  <c r="L165" i="2" s="1"/>
  <c r="N165" i="2" s="1"/>
  <c r="P165" i="2" s="1"/>
  <c r="R165" i="2" s="1"/>
  <c r="T165" i="2" s="1"/>
  <c r="V165" i="2" s="1"/>
  <c r="X165" i="2" s="1"/>
  <c r="Z165" i="2" s="1"/>
  <c r="G186" i="2"/>
  <c r="H88" i="2"/>
  <c r="J88" i="2" s="1"/>
  <c r="L88" i="2" s="1"/>
  <c r="N88" i="2" s="1"/>
  <c r="P88" i="2" s="1"/>
  <c r="R88" i="2" s="1"/>
  <c r="T88" i="2" s="1"/>
  <c r="V88" i="2" s="1"/>
  <c r="X88" i="2" s="1"/>
  <c r="Z88" i="2" s="1"/>
  <c r="H141" i="2" l="1"/>
  <c r="J141" i="2" s="1"/>
  <c r="L141" i="2" s="1"/>
  <c r="N141" i="2" s="1"/>
  <c r="P141" i="2" s="1"/>
  <c r="R141" i="2" s="1"/>
  <c r="T141" i="2" s="1"/>
  <c r="V141" i="2" s="1"/>
  <c r="X141" i="2" s="1"/>
  <c r="Z141" i="2" s="1"/>
  <c r="H142" i="2"/>
  <c r="J142" i="2" s="1"/>
  <c r="L142" i="2" s="1"/>
  <c r="N142" i="2" s="1"/>
  <c r="P142" i="2" s="1"/>
  <c r="R142" i="2" s="1"/>
  <c r="T142" i="2" s="1"/>
  <c r="V142" i="2" s="1"/>
  <c r="X142" i="2" s="1"/>
  <c r="Z142" i="2" s="1"/>
  <c r="G193" i="2" l="1"/>
  <c r="H163" i="2"/>
  <c r="J163" i="2" s="1"/>
  <c r="L163" i="2" s="1"/>
  <c r="N163" i="2" s="1"/>
  <c r="P163" i="2" s="1"/>
  <c r="R163" i="2" s="1"/>
  <c r="T163" i="2" s="1"/>
  <c r="V163" i="2" s="1"/>
  <c r="X163" i="2" s="1"/>
  <c r="Z163" i="2" s="1"/>
  <c r="H164" i="2"/>
  <c r="J164" i="2" s="1"/>
  <c r="L164" i="2" s="1"/>
  <c r="N164" i="2" s="1"/>
  <c r="P164" i="2" s="1"/>
  <c r="R164" i="2" s="1"/>
  <c r="T164" i="2" s="1"/>
  <c r="V164" i="2" s="1"/>
  <c r="X164" i="2" s="1"/>
  <c r="Z164" i="2" s="1"/>
  <c r="G147" i="2"/>
  <c r="H162" i="2"/>
  <c r="J162" i="2" s="1"/>
  <c r="L162" i="2" s="1"/>
  <c r="N162" i="2" s="1"/>
  <c r="P162" i="2" s="1"/>
  <c r="R162" i="2" s="1"/>
  <c r="T162" i="2" s="1"/>
  <c r="V162" i="2" s="1"/>
  <c r="X162" i="2" s="1"/>
  <c r="Z162" i="2" s="1"/>
  <c r="G39" i="2" l="1"/>
  <c r="G194" i="2" s="1"/>
  <c r="G195" i="2" l="1"/>
  <c r="G192" i="2"/>
  <c r="G189" i="2"/>
  <c r="G177" i="2"/>
  <c r="G144" i="2"/>
  <c r="G131" i="2"/>
  <c r="G127" i="2"/>
  <c r="G123" i="2"/>
  <c r="G119" i="2"/>
  <c r="G115" i="2"/>
  <c r="G111" i="2"/>
  <c r="G110" i="2"/>
  <c r="G182" i="2" s="1"/>
  <c r="G93" i="2"/>
  <c r="G67" i="2"/>
  <c r="G21" i="2"/>
  <c r="G18" i="2" s="1"/>
  <c r="G187" i="2" l="1"/>
  <c r="G107" i="2"/>
  <c r="G183" i="2"/>
  <c r="G184" i="2"/>
  <c r="G63" i="2"/>
  <c r="E147" i="2"/>
  <c r="G180" i="2" l="1"/>
  <c r="E195" i="2"/>
  <c r="E193" i="2"/>
  <c r="E192" i="2"/>
  <c r="E191" i="2"/>
  <c r="E190" i="2"/>
  <c r="E189" i="2"/>
  <c r="E131" i="2"/>
  <c r="E127" i="2"/>
  <c r="E123" i="2"/>
  <c r="E119" i="2"/>
  <c r="E115" i="2"/>
  <c r="E111" i="2"/>
  <c r="E95" i="2"/>
  <c r="E93" i="2" s="1"/>
  <c r="E177" i="2"/>
  <c r="E154" i="2"/>
  <c r="E144" i="2"/>
  <c r="E110" i="2"/>
  <c r="E182" i="2" s="1"/>
  <c r="E109" i="2"/>
  <c r="E67" i="2"/>
  <c r="E184" i="2" s="1"/>
  <c r="E66" i="2"/>
  <c r="E65" i="2"/>
  <c r="E21" i="2"/>
  <c r="E183" i="2" l="1"/>
  <c r="E187" i="2"/>
  <c r="E107" i="2"/>
  <c r="E63" i="2"/>
  <c r="F151" i="2"/>
  <c r="H151" i="2" s="1"/>
  <c r="J151" i="2" s="1"/>
  <c r="L151" i="2" s="1"/>
  <c r="N151" i="2" s="1"/>
  <c r="P151" i="2" s="1"/>
  <c r="R151" i="2" s="1"/>
  <c r="T151" i="2" s="1"/>
  <c r="V151" i="2" s="1"/>
  <c r="X151" i="2" s="1"/>
  <c r="Z151" i="2" s="1"/>
  <c r="F146" i="2"/>
  <c r="H146" i="2" s="1"/>
  <c r="J146" i="2" s="1"/>
  <c r="L146" i="2" s="1"/>
  <c r="N146" i="2" s="1"/>
  <c r="P146" i="2" s="1"/>
  <c r="R146" i="2" s="1"/>
  <c r="T146" i="2" s="1"/>
  <c r="V146" i="2" s="1"/>
  <c r="X146" i="2" s="1"/>
  <c r="Z146" i="2" s="1"/>
  <c r="E41" i="2"/>
  <c r="E20" i="2" s="1"/>
  <c r="F20" i="2" s="1"/>
  <c r="E39" i="2" l="1"/>
  <c r="E194" i="2" s="1"/>
  <c r="E18" i="2"/>
  <c r="E180" i="2" s="1"/>
  <c r="F179" i="2" l="1"/>
  <c r="H179" i="2" s="1"/>
  <c r="J179" i="2" s="1"/>
  <c r="L179" i="2" s="1"/>
  <c r="N179" i="2" s="1"/>
  <c r="P179" i="2" s="1"/>
  <c r="R179" i="2" s="1"/>
  <c r="T179" i="2" s="1"/>
  <c r="V179" i="2" s="1"/>
  <c r="X179" i="2" s="1"/>
  <c r="Z179" i="2" s="1"/>
  <c r="F23" i="2" l="1"/>
  <c r="H23" i="2" s="1"/>
  <c r="J23" i="2" s="1"/>
  <c r="L23" i="2" s="1"/>
  <c r="N23" i="2" s="1"/>
  <c r="F28" i="2"/>
  <c r="H28" i="2" s="1"/>
  <c r="J28" i="2" s="1"/>
  <c r="L28" i="2" s="1"/>
  <c r="N28" i="2" s="1"/>
  <c r="P28" i="2" s="1"/>
  <c r="R28" i="2" s="1"/>
  <c r="T28" i="2" s="1"/>
  <c r="V28" i="2" s="1"/>
  <c r="X28" i="2" s="1"/>
  <c r="Z28" i="2" s="1"/>
  <c r="F29" i="2"/>
  <c r="H29" i="2" s="1"/>
  <c r="J29" i="2" s="1"/>
  <c r="L29" i="2" s="1"/>
  <c r="N29" i="2" s="1"/>
  <c r="P29" i="2" s="1"/>
  <c r="R29" i="2" s="1"/>
  <c r="T29" i="2" s="1"/>
  <c r="V29" i="2" s="1"/>
  <c r="X29" i="2" s="1"/>
  <c r="Z29" i="2" s="1"/>
  <c r="L34" i="2"/>
  <c r="N34" i="2" s="1"/>
  <c r="P34" i="2" s="1"/>
  <c r="R34" i="2" s="1"/>
  <c r="T34" i="2" s="1"/>
  <c r="V34" i="2" s="1"/>
  <c r="X34" i="2" s="1"/>
  <c r="Z34" i="2" s="1"/>
  <c r="F41" i="2"/>
  <c r="H41" i="2" s="1"/>
  <c r="J41" i="2" s="1"/>
  <c r="L41" i="2" s="1"/>
  <c r="N41" i="2" s="1"/>
  <c r="P41" i="2" s="1"/>
  <c r="R41" i="2" s="1"/>
  <c r="T41" i="2" s="1"/>
  <c r="V41" i="2" s="1"/>
  <c r="X41" i="2" s="1"/>
  <c r="Z41" i="2" s="1"/>
  <c r="F42" i="2"/>
  <c r="H42" i="2" s="1"/>
  <c r="J42" i="2" s="1"/>
  <c r="L42" i="2" s="1"/>
  <c r="N42" i="2" s="1"/>
  <c r="P42" i="2" s="1"/>
  <c r="R42" i="2" s="1"/>
  <c r="T42" i="2" s="1"/>
  <c r="V42" i="2" s="1"/>
  <c r="X42" i="2" s="1"/>
  <c r="Z42" i="2" s="1"/>
  <c r="F44" i="2"/>
  <c r="H44" i="2" s="1"/>
  <c r="J44" i="2" s="1"/>
  <c r="L44" i="2" s="1"/>
  <c r="N44" i="2" s="1"/>
  <c r="P44" i="2" s="1"/>
  <c r="R44" i="2" s="1"/>
  <c r="T44" i="2" s="1"/>
  <c r="V44" i="2" s="1"/>
  <c r="X44" i="2" s="1"/>
  <c r="Z44" i="2" s="1"/>
  <c r="F45" i="2"/>
  <c r="H45" i="2" s="1"/>
  <c r="J45" i="2" s="1"/>
  <c r="L45" i="2" s="1"/>
  <c r="N45" i="2" s="1"/>
  <c r="P45" i="2" s="1"/>
  <c r="R45" i="2" s="1"/>
  <c r="T45" i="2" s="1"/>
  <c r="V45" i="2" s="1"/>
  <c r="X45" i="2" s="1"/>
  <c r="Z45" i="2" s="1"/>
  <c r="F46" i="2"/>
  <c r="H46" i="2" s="1"/>
  <c r="J46" i="2" s="1"/>
  <c r="L46" i="2" s="1"/>
  <c r="N46" i="2" s="1"/>
  <c r="P46" i="2" s="1"/>
  <c r="R46" i="2" s="1"/>
  <c r="T46" i="2" s="1"/>
  <c r="V46" i="2" s="1"/>
  <c r="X46" i="2" s="1"/>
  <c r="Z46" i="2" s="1"/>
  <c r="F68" i="2"/>
  <c r="H68" i="2" s="1"/>
  <c r="J68" i="2" s="1"/>
  <c r="L68" i="2" s="1"/>
  <c r="N68" i="2" s="1"/>
  <c r="P68" i="2" s="1"/>
  <c r="R68" i="2" s="1"/>
  <c r="T68" i="2" s="1"/>
  <c r="V68" i="2" s="1"/>
  <c r="X68" i="2" s="1"/>
  <c r="Z68" i="2" s="1"/>
  <c r="F69" i="2"/>
  <c r="H69" i="2" s="1"/>
  <c r="J69" i="2" s="1"/>
  <c r="L69" i="2" s="1"/>
  <c r="N69" i="2" s="1"/>
  <c r="P69" i="2" s="1"/>
  <c r="R69" i="2" s="1"/>
  <c r="T69" i="2" s="1"/>
  <c r="V69" i="2" s="1"/>
  <c r="X69" i="2" s="1"/>
  <c r="Z69" i="2" s="1"/>
  <c r="F70" i="2"/>
  <c r="H70" i="2" s="1"/>
  <c r="J70" i="2" s="1"/>
  <c r="L70" i="2" s="1"/>
  <c r="N70" i="2" s="1"/>
  <c r="P70" i="2" s="1"/>
  <c r="R70" i="2" s="1"/>
  <c r="T70" i="2" s="1"/>
  <c r="V70" i="2" s="1"/>
  <c r="X70" i="2" s="1"/>
  <c r="Z70" i="2" s="1"/>
  <c r="F71" i="2"/>
  <c r="H71" i="2" s="1"/>
  <c r="J71" i="2" s="1"/>
  <c r="L71" i="2" s="1"/>
  <c r="N71" i="2" s="1"/>
  <c r="P71" i="2" s="1"/>
  <c r="R71" i="2" s="1"/>
  <c r="T71" i="2" s="1"/>
  <c r="V71" i="2" s="1"/>
  <c r="X71" i="2" s="1"/>
  <c r="Z71" i="2" s="1"/>
  <c r="F72" i="2"/>
  <c r="H72" i="2" s="1"/>
  <c r="J72" i="2" s="1"/>
  <c r="L72" i="2" s="1"/>
  <c r="N72" i="2" s="1"/>
  <c r="P72" i="2" s="1"/>
  <c r="R72" i="2" s="1"/>
  <c r="T72" i="2" s="1"/>
  <c r="V72" i="2" s="1"/>
  <c r="X72" i="2" s="1"/>
  <c r="Z72" i="2" s="1"/>
  <c r="F73" i="2"/>
  <c r="H73" i="2" s="1"/>
  <c r="J73" i="2" s="1"/>
  <c r="L73" i="2" s="1"/>
  <c r="N73" i="2" s="1"/>
  <c r="P73" i="2" s="1"/>
  <c r="R73" i="2" s="1"/>
  <c r="T73" i="2" s="1"/>
  <c r="V73" i="2" s="1"/>
  <c r="X73" i="2" s="1"/>
  <c r="Z73" i="2" s="1"/>
  <c r="F74" i="2"/>
  <c r="H74" i="2" s="1"/>
  <c r="J74" i="2" s="1"/>
  <c r="L74" i="2" s="1"/>
  <c r="N74" i="2" s="1"/>
  <c r="P74" i="2" s="1"/>
  <c r="R74" i="2" s="1"/>
  <c r="T74" i="2" s="1"/>
  <c r="V74" i="2" s="1"/>
  <c r="X74" i="2" s="1"/>
  <c r="Z74" i="2" s="1"/>
  <c r="F75" i="2"/>
  <c r="H75" i="2" s="1"/>
  <c r="J75" i="2" s="1"/>
  <c r="L75" i="2" s="1"/>
  <c r="N75" i="2" s="1"/>
  <c r="P75" i="2" s="1"/>
  <c r="R75" i="2" s="1"/>
  <c r="T75" i="2" s="1"/>
  <c r="V75" i="2" s="1"/>
  <c r="X75" i="2" s="1"/>
  <c r="Z75" i="2" s="1"/>
  <c r="F76" i="2"/>
  <c r="H76" i="2" s="1"/>
  <c r="J76" i="2" s="1"/>
  <c r="L76" i="2" s="1"/>
  <c r="N76" i="2" s="1"/>
  <c r="P76" i="2" s="1"/>
  <c r="R76" i="2" s="1"/>
  <c r="T76" i="2" s="1"/>
  <c r="V76" i="2" s="1"/>
  <c r="X76" i="2" s="1"/>
  <c r="Z76" i="2" s="1"/>
  <c r="F77" i="2"/>
  <c r="F81" i="2"/>
  <c r="H81" i="2" s="1"/>
  <c r="J81" i="2" s="1"/>
  <c r="L81" i="2" s="1"/>
  <c r="N81" i="2" s="1"/>
  <c r="P81" i="2" s="1"/>
  <c r="R81" i="2" s="1"/>
  <c r="T81" i="2" s="1"/>
  <c r="V81" i="2" s="1"/>
  <c r="X81" i="2" s="1"/>
  <c r="Z81" i="2" s="1"/>
  <c r="F84" i="2"/>
  <c r="H84" i="2" s="1"/>
  <c r="J84" i="2" s="1"/>
  <c r="L84" i="2" s="1"/>
  <c r="N84" i="2" s="1"/>
  <c r="P84" i="2" s="1"/>
  <c r="R84" i="2" s="1"/>
  <c r="T84" i="2" s="1"/>
  <c r="V84" i="2" s="1"/>
  <c r="X84" i="2" s="1"/>
  <c r="Z84" i="2" s="1"/>
  <c r="F87" i="2"/>
  <c r="H87" i="2" s="1"/>
  <c r="J87" i="2" s="1"/>
  <c r="L87" i="2" s="1"/>
  <c r="N87" i="2" s="1"/>
  <c r="P87" i="2" s="1"/>
  <c r="R87" i="2" s="1"/>
  <c r="T87" i="2" s="1"/>
  <c r="V87" i="2" s="1"/>
  <c r="X87" i="2" s="1"/>
  <c r="Z87" i="2" s="1"/>
  <c r="F96" i="2"/>
  <c r="H96" i="2" s="1"/>
  <c r="J96" i="2" s="1"/>
  <c r="L96" i="2" s="1"/>
  <c r="N96" i="2" s="1"/>
  <c r="P96" i="2" s="1"/>
  <c r="R96" i="2" s="1"/>
  <c r="T96" i="2" s="1"/>
  <c r="V96" i="2" s="1"/>
  <c r="X96" i="2" s="1"/>
  <c r="Z96" i="2" s="1"/>
  <c r="F97" i="2"/>
  <c r="H97" i="2" s="1"/>
  <c r="J97" i="2" s="1"/>
  <c r="L97" i="2" s="1"/>
  <c r="N97" i="2" s="1"/>
  <c r="P97" i="2" s="1"/>
  <c r="R97" i="2" s="1"/>
  <c r="T97" i="2" s="1"/>
  <c r="V97" i="2" s="1"/>
  <c r="X97" i="2" s="1"/>
  <c r="Z97" i="2" s="1"/>
  <c r="F98" i="2"/>
  <c r="H98" i="2" s="1"/>
  <c r="J98" i="2" s="1"/>
  <c r="L98" i="2" s="1"/>
  <c r="N98" i="2" s="1"/>
  <c r="P98" i="2" s="1"/>
  <c r="R98" i="2" s="1"/>
  <c r="T98" i="2" s="1"/>
  <c r="V98" i="2" s="1"/>
  <c r="X98" i="2" s="1"/>
  <c r="Z98" i="2" s="1"/>
  <c r="F99" i="2"/>
  <c r="H99" i="2" s="1"/>
  <c r="J99" i="2" s="1"/>
  <c r="L99" i="2" s="1"/>
  <c r="N99" i="2" s="1"/>
  <c r="P99" i="2" s="1"/>
  <c r="R99" i="2" s="1"/>
  <c r="T99" i="2" s="1"/>
  <c r="V99" i="2" s="1"/>
  <c r="X99" i="2" s="1"/>
  <c r="Z99" i="2" s="1"/>
  <c r="F100" i="2"/>
  <c r="H100" i="2" s="1"/>
  <c r="J100" i="2" s="1"/>
  <c r="L100" i="2" s="1"/>
  <c r="N100" i="2" s="1"/>
  <c r="P100" i="2" s="1"/>
  <c r="R100" i="2" s="1"/>
  <c r="T100" i="2" s="1"/>
  <c r="V100" i="2" s="1"/>
  <c r="X100" i="2" s="1"/>
  <c r="Z100" i="2" s="1"/>
  <c r="F101" i="2"/>
  <c r="H101" i="2" s="1"/>
  <c r="J101" i="2" s="1"/>
  <c r="L101" i="2" s="1"/>
  <c r="N101" i="2" s="1"/>
  <c r="P101" i="2" s="1"/>
  <c r="R101" i="2" s="1"/>
  <c r="T101" i="2" s="1"/>
  <c r="V101" i="2" s="1"/>
  <c r="X101" i="2" s="1"/>
  <c r="Z101" i="2" s="1"/>
  <c r="F102" i="2"/>
  <c r="H102" i="2" s="1"/>
  <c r="J102" i="2" s="1"/>
  <c r="L102" i="2" s="1"/>
  <c r="N102" i="2" s="1"/>
  <c r="P102" i="2" s="1"/>
  <c r="R102" i="2" s="1"/>
  <c r="T102" i="2" s="1"/>
  <c r="V102" i="2" s="1"/>
  <c r="X102" i="2" s="1"/>
  <c r="Z102" i="2" s="1"/>
  <c r="F103" i="2"/>
  <c r="H103" i="2" s="1"/>
  <c r="J103" i="2" s="1"/>
  <c r="L103" i="2" s="1"/>
  <c r="N103" i="2" s="1"/>
  <c r="P103" i="2" s="1"/>
  <c r="R103" i="2" s="1"/>
  <c r="T103" i="2" s="1"/>
  <c r="V103" i="2" s="1"/>
  <c r="X103" i="2" s="1"/>
  <c r="Z103" i="2" s="1"/>
  <c r="F113" i="2"/>
  <c r="H113" i="2" s="1"/>
  <c r="J113" i="2" s="1"/>
  <c r="L113" i="2" s="1"/>
  <c r="N113" i="2" s="1"/>
  <c r="P113" i="2" s="1"/>
  <c r="R113" i="2" s="1"/>
  <c r="T113" i="2" s="1"/>
  <c r="V113" i="2" s="1"/>
  <c r="X113" i="2" s="1"/>
  <c r="Z113" i="2" s="1"/>
  <c r="F114" i="2"/>
  <c r="H114" i="2" s="1"/>
  <c r="J114" i="2" s="1"/>
  <c r="L114" i="2" s="1"/>
  <c r="N114" i="2" s="1"/>
  <c r="P114" i="2" s="1"/>
  <c r="R114" i="2" s="1"/>
  <c r="T114" i="2" s="1"/>
  <c r="V114" i="2" s="1"/>
  <c r="X114" i="2" s="1"/>
  <c r="Z114" i="2" s="1"/>
  <c r="F117" i="2"/>
  <c r="H117" i="2" s="1"/>
  <c r="J117" i="2" s="1"/>
  <c r="L117" i="2" s="1"/>
  <c r="N117" i="2" s="1"/>
  <c r="P117" i="2" s="1"/>
  <c r="R117" i="2" s="1"/>
  <c r="T117" i="2" s="1"/>
  <c r="V117" i="2" s="1"/>
  <c r="X117" i="2" s="1"/>
  <c r="Z117" i="2" s="1"/>
  <c r="F118" i="2"/>
  <c r="H118" i="2" s="1"/>
  <c r="J118" i="2" s="1"/>
  <c r="L118" i="2" s="1"/>
  <c r="N118" i="2" s="1"/>
  <c r="P118" i="2" s="1"/>
  <c r="R118" i="2" s="1"/>
  <c r="T118" i="2" s="1"/>
  <c r="V118" i="2" s="1"/>
  <c r="X118" i="2" s="1"/>
  <c r="Z118" i="2" s="1"/>
  <c r="F121" i="2"/>
  <c r="H121" i="2" s="1"/>
  <c r="J121" i="2" s="1"/>
  <c r="L121" i="2" s="1"/>
  <c r="N121" i="2" s="1"/>
  <c r="P121" i="2" s="1"/>
  <c r="R121" i="2" s="1"/>
  <c r="T121" i="2" s="1"/>
  <c r="V121" i="2" s="1"/>
  <c r="X121" i="2" s="1"/>
  <c r="Z121" i="2" s="1"/>
  <c r="F122" i="2"/>
  <c r="H122" i="2" s="1"/>
  <c r="J122" i="2" s="1"/>
  <c r="L122" i="2" s="1"/>
  <c r="N122" i="2" s="1"/>
  <c r="P122" i="2" s="1"/>
  <c r="R122" i="2" s="1"/>
  <c r="T122" i="2" s="1"/>
  <c r="V122" i="2" s="1"/>
  <c r="X122" i="2" s="1"/>
  <c r="Z122" i="2" s="1"/>
  <c r="F125" i="2"/>
  <c r="H125" i="2" s="1"/>
  <c r="J125" i="2" s="1"/>
  <c r="L125" i="2" s="1"/>
  <c r="N125" i="2" s="1"/>
  <c r="P125" i="2" s="1"/>
  <c r="R125" i="2" s="1"/>
  <c r="T125" i="2" s="1"/>
  <c r="V125" i="2" s="1"/>
  <c r="X125" i="2" s="1"/>
  <c r="Z125" i="2" s="1"/>
  <c r="F126" i="2"/>
  <c r="H126" i="2" s="1"/>
  <c r="J126" i="2" s="1"/>
  <c r="L126" i="2" s="1"/>
  <c r="N126" i="2" s="1"/>
  <c r="P126" i="2" s="1"/>
  <c r="R126" i="2" s="1"/>
  <c r="T126" i="2" s="1"/>
  <c r="V126" i="2" s="1"/>
  <c r="X126" i="2" s="1"/>
  <c r="Z126" i="2" s="1"/>
  <c r="F129" i="2"/>
  <c r="H129" i="2" s="1"/>
  <c r="J129" i="2" s="1"/>
  <c r="L129" i="2" s="1"/>
  <c r="N129" i="2" s="1"/>
  <c r="P129" i="2" s="1"/>
  <c r="R129" i="2" s="1"/>
  <c r="T129" i="2" s="1"/>
  <c r="V129" i="2" s="1"/>
  <c r="X129" i="2" s="1"/>
  <c r="Z129" i="2" s="1"/>
  <c r="F130" i="2"/>
  <c r="H130" i="2" s="1"/>
  <c r="J130" i="2" s="1"/>
  <c r="L130" i="2" s="1"/>
  <c r="N130" i="2" s="1"/>
  <c r="P130" i="2" s="1"/>
  <c r="R130" i="2" s="1"/>
  <c r="T130" i="2" s="1"/>
  <c r="V130" i="2" s="1"/>
  <c r="X130" i="2" s="1"/>
  <c r="Z130" i="2" s="1"/>
  <c r="F133" i="2"/>
  <c r="H133" i="2" s="1"/>
  <c r="J133" i="2" s="1"/>
  <c r="L133" i="2" s="1"/>
  <c r="N133" i="2" s="1"/>
  <c r="P133" i="2" s="1"/>
  <c r="R133" i="2" s="1"/>
  <c r="T133" i="2" s="1"/>
  <c r="V133" i="2" s="1"/>
  <c r="X133" i="2" s="1"/>
  <c r="Z133" i="2" s="1"/>
  <c r="F134" i="2"/>
  <c r="H134" i="2" s="1"/>
  <c r="J134" i="2" s="1"/>
  <c r="L134" i="2" s="1"/>
  <c r="N134" i="2" s="1"/>
  <c r="P134" i="2" s="1"/>
  <c r="R134" i="2" s="1"/>
  <c r="T134" i="2" s="1"/>
  <c r="V134" i="2" s="1"/>
  <c r="X134" i="2" s="1"/>
  <c r="Z134" i="2" s="1"/>
  <c r="F135" i="2"/>
  <c r="H135" i="2" s="1"/>
  <c r="J135" i="2" s="1"/>
  <c r="L135" i="2" s="1"/>
  <c r="N135" i="2" s="1"/>
  <c r="P135" i="2" s="1"/>
  <c r="R135" i="2" s="1"/>
  <c r="T135" i="2" s="1"/>
  <c r="V135" i="2" s="1"/>
  <c r="X135" i="2" s="1"/>
  <c r="Z135" i="2" s="1"/>
  <c r="F136" i="2"/>
  <c r="H136" i="2" s="1"/>
  <c r="J136" i="2" s="1"/>
  <c r="L136" i="2" s="1"/>
  <c r="N136" i="2" s="1"/>
  <c r="P136" i="2" s="1"/>
  <c r="R136" i="2" s="1"/>
  <c r="T136" i="2" s="1"/>
  <c r="V136" i="2" s="1"/>
  <c r="X136" i="2" s="1"/>
  <c r="Z136" i="2" s="1"/>
  <c r="F137" i="2"/>
  <c r="H137" i="2" s="1"/>
  <c r="J137" i="2" s="1"/>
  <c r="L137" i="2" s="1"/>
  <c r="N137" i="2" s="1"/>
  <c r="P137" i="2" s="1"/>
  <c r="R137" i="2" s="1"/>
  <c r="T137" i="2" s="1"/>
  <c r="V137" i="2" s="1"/>
  <c r="X137" i="2" s="1"/>
  <c r="Z137" i="2" s="1"/>
  <c r="F138" i="2"/>
  <c r="H138" i="2" s="1"/>
  <c r="J138" i="2" s="1"/>
  <c r="L138" i="2" s="1"/>
  <c r="N138" i="2" s="1"/>
  <c r="P138" i="2" s="1"/>
  <c r="R138" i="2" s="1"/>
  <c r="T138" i="2" s="1"/>
  <c r="V138" i="2" s="1"/>
  <c r="X138" i="2" s="1"/>
  <c r="Z138" i="2" s="1"/>
  <c r="F139" i="2"/>
  <c r="H139" i="2" s="1"/>
  <c r="J139" i="2" s="1"/>
  <c r="L139" i="2" s="1"/>
  <c r="N139" i="2" s="1"/>
  <c r="P139" i="2" s="1"/>
  <c r="R139" i="2" s="1"/>
  <c r="T139" i="2" s="1"/>
  <c r="V139" i="2" s="1"/>
  <c r="X139" i="2" s="1"/>
  <c r="Z139" i="2" s="1"/>
  <c r="F140" i="2"/>
  <c r="H140" i="2" s="1"/>
  <c r="J140" i="2" s="1"/>
  <c r="L140" i="2" s="1"/>
  <c r="N140" i="2" s="1"/>
  <c r="P140" i="2" s="1"/>
  <c r="R140" i="2" s="1"/>
  <c r="T140" i="2" s="1"/>
  <c r="V140" i="2" s="1"/>
  <c r="X140" i="2" s="1"/>
  <c r="Z140" i="2" s="1"/>
  <c r="F145" i="2"/>
  <c r="H145" i="2" s="1"/>
  <c r="J145" i="2" s="1"/>
  <c r="L145" i="2" s="1"/>
  <c r="N145" i="2" s="1"/>
  <c r="P145" i="2" s="1"/>
  <c r="R145" i="2" s="1"/>
  <c r="T145" i="2" s="1"/>
  <c r="V145" i="2" s="1"/>
  <c r="X145" i="2" s="1"/>
  <c r="Z145" i="2" s="1"/>
  <c r="F148" i="2"/>
  <c r="H148" i="2" s="1"/>
  <c r="J148" i="2" s="1"/>
  <c r="L148" i="2" s="1"/>
  <c r="N148" i="2" s="1"/>
  <c r="P148" i="2" s="1"/>
  <c r="R148" i="2" s="1"/>
  <c r="T148" i="2" s="1"/>
  <c r="V148" i="2" s="1"/>
  <c r="X148" i="2" s="1"/>
  <c r="Z148" i="2" s="1"/>
  <c r="F149" i="2"/>
  <c r="H149" i="2" s="1"/>
  <c r="J149" i="2" s="1"/>
  <c r="L149" i="2" s="1"/>
  <c r="N149" i="2" s="1"/>
  <c r="P149" i="2" s="1"/>
  <c r="R149" i="2" s="1"/>
  <c r="T149" i="2" s="1"/>
  <c r="V149" i="2" s="1"/>
  <c r="X149" i="2" s="1"/>
  <c r="Z149" i="2" s="1"/>
  <c r="F150" i="2"/>
  <c r="H150" i="2" s="1"/>
  <c r="J150" i="2" s="1"/>
  <c r="L150" i="2" s="1"/>
  <c r="N150" i="2" s="1"/>
  <c r="P150" i="2" s="1"/>
  <c r="R150" i="2" s="1"/>
  <c r="T150" i="2" s="1"/>
  <c r="V150" i="2" s="1"/>
  <c r="X150" i="2" s="1"/>
  <c r="Z150" i="2" s="1"/>
  <c r="F152" i="2"/>
  <c r="H152" i="2" s="1"/>
  <c r="J152" i="2" s="1"/>
  <c r="L152" i="2" s="1"/>
  <c r="N152" i="2" s="1"/>
  <c r="P152" i="2" s="1"/>
  <c r="R152" i="2" s="1"/>
  <c r="T152" i="2" s="1"/>
  <c r="V152" i="2" s="1"/>
  <c r="X152" i="2" s="1"/>
  <c r="Z152" i="2" s="1"/>
  <c r="F153" i="2"/>
  <c r="H153" i="2" s="1"/>
  <c r="J153" i="2" s="1"/>
  <c r="L153" i="2" s="1"/>
  <c r="N153" i="2" s="1"/>
  <c r="P153" i="2" s="1"/>
  <c r="R153" i="2" s="1"/>
  <c r="T153" i="2" s="1"/>
  <c r="V153" i="2" s="1"/>
  <c r="X153" i="2" s="1"/>
  <c r="Z153" i="2" s="1"/>
  <c r="F155" i="2"/>
  <c r="H155" i="2" s="1"/>
  <c r="J155" i="2" s="1"/>
  <c r="L155" i="2" s="1"/>
  <c r="N155" i="2" s="1"/>
  <c r="P155" i="2" s="1"/>
  <c r="R155" i="2" s="1"/>
  <c r="T155" i="2" s="1"/>
  <c r="V155" i="2" s="1"/>
  <c r="X155" i="2" s="1"/>
  <c r="Z155" i="2" s="1"/>
  <c r="F156" i="2"/>
  <c r="H156" i="2" s="1"/>
  <c r="J156" i="2" s="1"/>
  <c r="L156" i="2" s="1"/>
  <c r="N156" i="2" s="1"/>
  <c r="P156" i="2" s="1"/>
  <c r="R156" i="2" s="1"/>
  <c r="T156" i="2" s="1"/>
  <c r="V156" i="2" s="1"/>
  <c r="X156" i="2" s="1"/>
  <c r="Z156" i="2" s="1"/>
  <c r="F157" i="2"/>
  <c r="H157" i="2" s="1"/>
  <c r="J157" i="2" s="1"/>
  <c r="L157" i="2" s="1"/>
  <c r="N157" i="2" s="1"/>
  <c r="P157" i="2" s="1"/>
  <c r="R157" i="2" s="1"/>
  <c r="T157" i="2" s="1"/>
  <c r="V157" i="2" s="1"/>
  <c r="X157" i="2" s="1"/>
  <c r="Z157" i="2" s="1"/>
  <c r="F158" i="2"/>
  <c r="H158" i="2" s="1"/>
  <c r="J158" i="2" s="1"/>
  <c r="L158" i="2" s="1"/>
  <c r="N158" i="2" s="1"/>
  <c r="P158" i="2" s="1"/>
  <c r="R158" i="2" s="1"/>
  <c r="T158" i="2" s="1"/>
  <c r="V158" i="2" s="1"/>
  <c r="X158" i="2" s="1"/>
  <c r="Z158" i="2" s="1"/>
  <c r="F159" i="2"/>
  <c r="H159" i="2" s="1"/>
  <c r="J159" i="2" s="1"/>
  <c r="L159" i="2" s="1"/>
  <c r="N159" i="2" s="1"/>
  <c r="P159" i="2" s="1"/>
  <c r="R159" i="2" s="1"/>
  <c r="T159" i="2" s="1"/>
  <c r="V159" i="2" s="1"/>
  <c r="X159" i="2" s="1"/>
  <c r="Z159" i="2" s="1"/>
  <c r="F160" i="2"/>
  <c r="H160" i="2" s="1"/>
  <c r="J160" i="2" s="1"/>
  <c r="L160" i="2" s="1"/>
  <c r="N160" i="2" s="1"/>
  <c r="P160" i="2" s="1"/>
  <c r="R160" i="2" s="1"/>
  <c r="T160" i="2" s="1"/>
  <c r="V160" i="2" s="1"/>
  <c r="X160" i="2" s="1"/>
  <c r="Z160" i="2" s="1"/>
  <c r="F161" i="2"/>
  <c r="H161" i="2" s="1"/>
  <c r="J161" i="2" s="1"/>
  <c r="L161" i="2" s="1"/>
  <c r="N161" i="2" s="1"/>
  <c r="P161" i="2" s="1"/>
  <c r="R161" i="2" s="1"/>
  <c r="T161" i="2" s="1"/>
  <c r="V161" i="2" s="1"/>
  <c r="X161" i="2" s="1"/>
  <c r="Z161" i="2" s="1"/>
  <c r="F178" i="2"/>
  <c r="H178" i="2" s="1"/>
  <c r="J178" i="2" s="1"/>
  <c r="L178" i="2" s="1"/>
  <c r="N178" i="2" s="1"/>
  <c r="P178" i="2" s="1"/>
  <c r="R178" i="2" s="1"/>
  <c r="T178" i="2" s="1"/>
  <c r="V178" i="2" s="1"/>
  <c r="X178" i="2" s="1"/>
  <c r="Z178" i="2" s="1"/>
  <c r="H79" i="2" l="1"/>
  <c r="D188" i="2"/>
  <c r="F188" i="2" s="1"/>
  <c r="H188" i="2" s="1"/>
  <c r="J188" i="2" s="1"/>
  <c r="L188" i="2" s="1"/>
  <c r="N188" i="2" s="1"/>
  <c r="P188" i="2" s="1"/>
  <c r="R188" i="2" s="1"/>
  <c r="T188" i="2" s="1"/>
  <c r="V188" i="2" s="1"/>
  <c r="X188" i="2" s="1"/>
  <c r="Z188" i="2" s="1"/>
  <c r="H20" i="2"/>
  <c r="J20" i="2" s="1"/>
  <c r="L20" i="2" s="1"/>
  <c r="N20" i="2" s="1"/>
  <c r="P20" i="2" s="1"/>
  <c r="R20" i="2" s="1"/>
  <c r="T20" i="2" s="1"/>
  <c r="V20" i="2" s="1"/>
  <c r="X20" i="2" s="1"/>
  <c r="Z20" i="2" s="1"/>
  <c r="J79" i="2" l="1"/>
  <c r="L79" i="2" s="1"/>
  <c r="N79" i="2" s="1"/>
  <c r="P79" i="2" s="1"/>
  <c r="R79" i="2" s="1"/>
  <c r="T79" i="2" s="1"/>
  <c r="V79" i="2" s="1"/>
  <c r="X79" i="2" s="1"/>
  <c r="Z79" i="2" s="1"/>
  <c r="H77" i="2"/>
  <c r="J77" i="2" s="1"/>
  <c r="L77" i="2" s="1"/>
  <c r="N77" i="2" s="1"/>
  <c r="P77" i="2" s="1"/>
  <c r="R77" i="2" s="1"/>
  <c r="T77" i="2" s="1"/>
  <c r="V77" i="2" s="1"/>
  <c r="X77" i="2" s="1"/>
  <c r="Z77" i="2" s="1"/>
  <c r="D39" i="2"/>
  <c r="D194" i="2" s="1"/>
  <c r="F194" i="2" l="1"/>
  <c r="H194" i="2" s="1"/>
  <c r="J194" i="2" s="1"/>
  <c r="L194" i="2" s="1"/>
  <c r="N194" i="2" s="1"/>
  <c r="P194" i="2" s="1"/>
  <c r="R194" i="2" s="1"/>
  <c r="T194" i="2" s="1"/>
  <c r="V194" i="2" s="1"/>
  <c r="X194" i="2" s="1"/>
  <c r="Z194" i="2" s="1"/>
  <c r="F39" i="2"/>
  <c r="H39" i="2" s="1"/>
  <c r="J39" i="2" s="1"/>
  <c r="L39" i="2" s="1"/>
  <c r="N39" i="2" s="1"/>
  <c r="P39" i="2" s="1"/>
  <c r="R39" i="2" s="1"/>
  <c r="T39" i="2" s="1"/>
  <c r="V39" i="2" s="1"/>
  <c r="X39" i="2" s="1"/>
  <c r="Z39" i="2" s="1"/>
  <c r="D192" i="2"/>
  <c r="F192" i="2" s="1"/>
  <c r="H192" i="2" s="1"/>
  <c r="J192" i="2" s="1"/>
  <c r="L192" i="2" s="1"/>
  <c r="N192" i="2" s="1"/>
  <c r="P192" i="2" s="1"/>
  <c r="R192" i="2" s="1"/>
  <c r="T192" i="2" s="1"/>
  <c r="V192" i="2" s="1"/>
  <c r="X192" i="2" s="1"/>
  <c r="Z192" i="2" s="1"/>
  <c r="D144" i="2"/>
  <c r="F144" i="2" s="1"/>
  <c r="H144" i="2" s="1"/>
  <c r="J144" i="2" s="1"/>
  <c r="L144" i="2" s="1"/>
  <c r="N144" i="2" s="1"/>
  <c r="P144" i="2" s="1"/>
  <c r="R144" i="2" s="1"/>
  <c r="T144" i="2" s="1"/>
  <c r="V144" i="2" s="1"/>
  <c r="X144" i="2" s="1"/>
  <c r="Z144" i="2" s="1"/>
  <c r="D193" i="2" l="1"/>
  <c r="F193" i="2" s="1"/>
  <c r="H193" i="2" s="1"/>
  <c r="J193" i="2" s="1"/>
  <c r="L193" i="2" s="1"/>
  <c r="N193" i="2" s="1"/>
  <c r="P193" i="2" s="1"/>
  <c r="R193" i="2" s="1"/>
  <c r="T193" i="2" s="1"/>
  <c r="V193" i="2" s="1"/>
  <c r="X193" i="2" s="1"/>
  <c r="Z193" i="2" s="1"/>
  <c r="D154" i="2"/>
  <c r="F154" i="2" s="1"/>
  <c r="H154" i="2" s="1"/>
  <c r="J154" i="2" s="1"/>
  <c r="L154" i="2" s="1"/>
  <c r="N154" i="2" s="1"/>
  <c r="P154" i="2" s="1"/>
  <c r="R154" i="2" s="1"/>
  <c r="T154" i="2" s="1"/>
  <c r="V154" i="2" s="1"/>
  <c r="X154" i="2" s="1"/>
  <c r="Z154" i="2" s="1"/>
  <c r="D190" i="2" l="1"/>
  <c r="F190" i="2" s="1"/>
  <c r="H190" i="2" s="1"/>
  <c r="J190" i="2" s="1"/>
  <c r="L190" i="2" s="1"/>
  <c r="N190" i="2" s="1"/>
  <c r="P190" i="2" s="1"/>
  <c r="R190" i="2" s="1"/>
  <c r="T190" i="2" s="1"/>
  <c r="V190" i="2" s="1"/>
  <c r="X190" i="2" s="1"/>
  <c r="Z190" i="2" s="1"/>
  <c r="D21" i="2" l="1"/>
  <c r="D95" i="2"/>
  <c r="D109" i="2"/>
  <c r="F109" i="2" s="1"/>
  <c r="H109" i="2" s="1"/>
  <c r="J109" i="2" s="1"/>
  <c r="L109" i="2" s="1"/>
  <c r="N109" i="2" s="1"/>
  <c r="P109" i="2" s="1"/>
  <c r="R109" i="2" s="1"/>
  <c r="T109" i="2" s="1"/>
  <c r="V109" i="2" s="1"/>
  <c r="X109" i="2" s="1"/>
  <c r="Z109" i="2" s="1"/>
  <c r="D189" i="2"/>
  <c r="F189" i="2" s="1"/>
  <c r="H189" i="2" s="1"/>
  <c r="J189" i="2" s="1"/>
  <c r="L189" i="2" s="1"/>
  <c r="N189" i="2" s="1"/>
  <c r="P189" i="2" s="1"/>
  <c r="R189" i="2" s="1"/>
  <c r="T189" i="2" s="1"/>
  <c r="V189" i="2" s="1"/>
  <c r="X189" i="2" s="1"/>
  <c r="Z189" i="2" s="1"/>
  <c r="D147" i="2"/>
  <c r="F147" i="2" s="1"/>
  <c r="H147" i="2" s="1"/>
  <c r="J147" i="2" s="1"/>
  <c r="L147" i="2" s="1"/>
  <c r="N147" i="2" s="1"/>
  <c r="P147" i="2" s="1"/>
  <c r="R147" i="2" s="1"/>
  <c r="T147" i="2" s="1"/>
  <c r="V147" i="2" s="1"/>
  <c r="X147" i="2" s="1"/>
  <c r="Z147" i="2" s="1"/>
  <c r="D195" i="2"/>
  <c r="F195" i="2" s="1"/>
  <c r="H195" i="2" s="1"/>
  <c r="J195" i="2" s="1"/>
  <c r="L195" i="2" s="1"/>
  <c r="N195" i="2" s="1"/>
  <c r="P195" i="2" s="1"/>
  <c r="R195" i="2" s="1"/>
  <c r="T195" i="2" s="1"/>
  <c r="V195" i="2" s="1"/>
  <c r="X195" i="2" s="1"/>
  <c r="Z195" i="2" s="1"/>
  <c r="D110" i="2"/>
  <c r="D131" i="2"/>
  <c r="F131" i="2" s="1"/>
  <c r="H131" i="2" s="1"/>
  <c r="J131" i="2" s="1"/>
  <c r="L131" i="2" s="1"/>
  <c r="N131" i="2" s="1"/>
  <c r="P131" i="2" s="1"/>
  <c r="R131" i="2" s="1"/>
  <c r="T131" i="2" s="1"/>
  <c r="V131" i="2" s="1"/>
  <c r="X131" i="2" s="1"/>
  <c r="Z131" i="2" s="1"/>
  <c r="D127" i="2"/>
  <c r="F127" i="2" s="1"/>
  <c r="H127" i="2" s="1"/>
  <c r="J127" i="2" s="1"/>
  <c r="L127" i="2" s="1"/>
  <c r="N127" i="2" s="1"/>
  <c r="P127" i="2" s="1"/>
  <c r="R127" i="2" s="1"/>
  <c r="T127" i="2" s="1"/>
  <c r="V127" i="2" s="1"/>
  <c r="X127" i="2" s="1"/>
  <c r="Z127" i="2" s="1"/>
  <c r="F21" i="2" l="1"/>
  <c r="H21" i="2" s="1"/>
  <c r="J21" i="2" s="1"/>
  <c r="L21" i="2" s="1"/>
  <c r="N21" i="2" s="1"/>
  <c r="P21" i="2" s="1"/>
  <c r="R21" i="2" s="1"/>
  <c r="T21" i="2" s="1"/>
  <c r="V21" i="2" s="1"/>
  <c r="X21" i="2" s="1"/>
  <c r="Z21" i="2" s="1"/>
  <c r="D18" i="2"/>
  <c r="D182" i="2"/>
  <c r="F182" i="2" s="1"/>
  <c r="H182" i="2" s="1"/>
  <c r="J182" i="2" s="1"/>
  <c r="L182" i="2" s="1"/>
  <c r="N182" i="2" s="1"/>
  <c r="P182" i="2" s="1"/>
  <c r="R182" i="2" s="1"/>
  <c r="T182" i="2" s="1"/>
  <c r="V182" i="2" s="1"/>
  <c r="X182" i="2" s="1"/>
  <c r="Z182" i="2" s="1"/>
  <c r="F110" i="2"/>
  <c r="H110" i="2" s="1"/>
  <c r="J110" i="2" s="1"/>
  <c r="L110" i="2" s="1"/>
  <c r="N110" i="2" s="1"/>
  <c r="P110" i="2" s="1"/>
  <c r="R110" i="2" s="1"/>
  <c r="T110" i="2" s="1"/>
  <c r="V110" i="2" s="1"/>
  <c r="X110" i="2" s="1"/>
  <c r="Z110" i="2" s="1"/>
  <c r="D93" i="2"/>
  <c r="F93" i="2" s="1"/>
  <c r="H93" i="2" s="1"/>
  <c r="J93" i="2" s="1"/>
  <c r="L93" i="2" s="1"/>
  <c r="N93" i="2" s="1"/>
  <c r="P93" i="2" s="1"/>
  <c r="R93" i="2" s="1"/>
  <c r="T93" i="2" s="1"/>
  <c r="V93" i="2" s="1"/>
  <c r="X93" i="2" s="1"/>
  <c r="Z93" i="2" s="1"/>
  <c r="F95" i="2"/>
  <c r="H95" i="2" s="1"/>
  <c r="J95" i="2" s="1"/>
  <c r="L95" i="2" s="1"/>
  <c r="N95" i="2" s="1"/>
  <c r="P95" i="2" s="1"/>
  <c r="R95" i="2" s="1"/>
  <c r="T95" i="2" s="1"/>
  <c r="V95" i="2" s="1"/>
  <c r="X95" i="2" s="1"/>
  <c r="Z95" i="2" s="1"/>
  <c r="D107" i="2"/>
  <c r="F107" i="2" s="1"/>
  <c r="H107" i="2" s="1"/>
  <c r="J107" i="2" s="1"/>
  <c r="L107" i="2" s="1"/>
  <c r="N107" i="2" s="1"/>
  <c r="P107" i="2" s="1"/>
  <c r="R107" i="2" s="1"/>
  <c r="T107" i="2" s="1"/>
  <c r="V107" i="2" s="1"/>
  <c r="X107" i="2" s="1"/>
  <c r="Z107" i="2" s="1"/>
  <c r="D123" i="2" l="1"/>
  <c r="F123" i="2" s="1"/>
  <c r="H123" i="2" s="1"/>
  <c r="J123" i="2" s="1"/>
  <c r="L123" i="2" s="1"/>
  <c r="N123" i="2" s="1"/>
  <c r="P123" i="2" s="1"/>
  <c r="R123" i="2" s="1"/>
  <c r="T123" i="2" s="1"/>
  <c r="V123" i="2" s="1"/>
  <c r="X123" i="2" s="1"/>
  <c r="Z123" i="2" s="1"/>
  <c r="D119" i="2"/>
  <c r="F119" i="2" s="1"/>
  <c r="H119" i="2" s="1"/>
  <c r="J119" i="2" s="1"/>
  <c r="L119" i="2" s="1"/>
  <c r="N119" i="2" s="1"/>
  <c r="P119" i="2" s="1"/>
  <c r="R119" i="2" s="1"/>
  <c r="T119" i="2" s="1"/>
  <c r="V119" i="2" s="1"/>
  <c r="X119" i="2" s="1"/>
  <c r="Z119" i="2" s="1"/>
  <c r="D115" i="2" l="1"/>
  <c r="F115" i="2" s="1"/>
  <c r="H115" i="2" s="1"/>
  <c r="J115" i="2" s="1"/>
  <c r="L115" i="2" s="1"/>
  <c r="N115" i="2" s="1"/>
  <c r="P115" i="2" s="1"/>
  <c r="R115" i="2" s="1"/>
  <c r="T115" i="2" s="1"/>
  <c r="V115" i="2" s="1"/>
  <c r="X115" i="2" s="1"/>
  <c r="Z115" i="2" s="1"/>
  <c r="D111" i="2"/>
  <c r="F111" i="2" s="1"/>
  <c r="H111" i="2" s="1"/>
  <c r="J111" i="2" s="1"/>
  <c r="L111" i="2" s="1"/>
  <c r="N111" i="2" s="1"/>
  <c r="P111" i="2" s="1"/>
  <c r="R111" i="2" s="1"/>
  <c r="T111" i="2" s="1"/>
  <c r="V111" i="2" s="1"/>
  <c r="X111" i="2" s="1"/>
  <c r="Z111" i="2" s="1"/>
  <c r="D187" i="2" l="1"/>
  <c r="F187" i="2" s="1"/>
  <c r="H187" i="2" s="1"/>
  <c r="J187" i="2" s="1"/>
  <c r="L187" i="2" s="1"/>
  <c r="N187" i="2" s="1"/>
  <c r="P187" i="2" s="1"/>
  <c r="R187" i="2" s="1"/>
  <c r="T187" i="2" s="1"/>
  <c r="V187" i="2" s="1"/>
  <c r="X187" i="2" s="1"/>
  <c r="Z187" i="2" s="1"/>
  <c r="D66" i="2"/>
  <c r="D65" i="2"/>
  <c r="F65" i="2" s="1"/>
  <c r="H65" i="2" s="1"/>
  <c r="J65" i="2" s="1"/>
  <c r="L65" i="2" s="1"/>
  <c r="N65" i="2" s="1"/>
  <c r="P65" i="2" s="1"/>
  <c r="R65" i="2" s="1"/>
  <c r="T65" i="2" s="1"/>
  <c r="V65" i="2" s="1"/>
  <c r="X65" i="2" s="1"/>
  <c r="Z65" i="2" s="1"/>
  <c r="D183" i="2" l="1"/>
  <c r="F183" i="2" s="1"/>
  <c r="H183" i="2" s="1"/>
  <c r="J183" i="2" s="1"/>
  <c r="L183" i="2" s="1"/>
  <c r="N183" i="2" s="1"/>
  <c r="P183" i="2" s="1"/>
  <c r="R183" i="2" s="1"/>
  <c r="T183" i="2" s="1"/>
  <c r="V183" i="2" s="1"/>
  <c r="X183" i="2" s="1"/>
  <c r="Z183" i="2" s="1"/>
  <c r="F66" i="2"/>
  <c r="H66" i="2" s="1"/>
  <c r="J66" i="2" s="1"/>
  <c r="L66" i="2" s="1"/>
  <c r="N66" i="2" s="1"/>
  <c r="P66" i="2" s="1"/>
  <c r="R66" i="2" s="1"/>
  <c r="T66" i="2" s="1"/>
  <c r="V66" i="2" s="1"/>
  <c r="X66" i="2" s="1"/>
  <c r="Z66" i="2" s="1"/>
  <c r="D67" i="2"/>
  <c r="F67" i="2" s="1"/>
  <c r="H67" i="2" s="1"/>
  <c r="J67" i="2" s="1"/>
  <c r="L67" i="2" s="1"/>
  <c r="N67" i="2" s="1"/>
  <c r="P67" i="2" s="1"/>
  <c r="R67" i="2" s="1"/>
  <c r="T67" i="2" s="1"/>
  <c r="V67" i="2" s="1"/>
  <c r="X67" i="2" s="1"/>
  <c r="Z67" i="2" s="1"/>
  <c r="D85" i="2"/>
  <c r="F85" i="2" s="1"/>
  <c r="H85" i="2" s="1"/>
  <c r="J85" i="2" s="1"/>
  <c r="L85" i="2" s="1"/>
  <c r="N85" i="2" s="1"/>
  <c r="P85" i="2" s="1"/>
  <c r="R85" i="2" s="1"/>
  <c r="T85" i="2" s="1"/>
  <c r="V85" i="2" s="1"/>
  <c r="X85" i="2" s="1"/>
  <c r="Z85" i="2" s="1"/>
  <c r="D82" i="2"/>
  <c r="F82" i="2" s="1"/>
  <c r="H82" i="2" s="1"/>
  <c r="J82" i="2" s="1"/>
  <c r="L82" i="2" s="1"/>
  <c r="N82" i="2" s="1"/>
  <c r="P82" i="2" s="1"/>
  <c r="R82" i="2" s="1"/>
  <c r="T82" i="2" s="1"/>
  <c r="V82" i="2" s="1"/>
  <c r="X82" i="2" s="1"/>
  <c r="Z82" i="2" s="1"/>
  <c r="D191" i="2" l="1"/>
  <c r="F191" i="2" s="1"/>
  <c r="H191" i="2" s="1"/>
  <c r="J191" i="2" s="1"/>
  <c r="L191" i="2" s="1"/>
  <c r="N191" i="2" s="1"/>
  <c r="P191" i="2" s="1"/>
  <c r="R191" i="2" s="1"/>
  <c r="T191" i="2" s="1"/>
  <c r="V191" i="2" s="1"/>
  <c r="X191" i="2" s="1"/>
  <c r="Z191" i="2" s="1"/>
  <c r="D63" i="2"/>
  <c r="F63" i="2" s="1"/>
  <c r="H63" i="2" s="1"/>
  <c r="J63" i="2" s="1"/>
  <c r="L63" i="2" s="1"/>
  <c r="N63" i="2" s="1"/>
  <c r="P63" i="2" s="1"/>
  <c r="R63" i="2" s="1"/>
  <c r="T63" i="2" s="1"/>
  <c r="V63" i="2" s="1"/>
  <c r="X63" i="2" s="1"/>
  <c r="Z63" i="2" s="1"/>
  <c r="D184" i="2"/>
  <c r="F184" i="2" s="1"/>
  <c r="H184" i="2" s="1"/>
  <c r="J184" i="2" s="1"/>
  <c r="L184" i="2" s="1"/>
  <c r="N184" i="2" s="1"/>
  <c r="P184" i="2" s="1"/>
  <c r="R184" i="2" s="1"/>
  <c r="T184" i="2" s="1"/>
  <c r="V184" i="2" s="1"/>
  <c r="X184" i="2" s="1"/>
  <c r="Z184" i="2" s="1"/>
  <c r="D186" i="2"/>
  <c r="F186" i="2" s="1"/>
  <c r="H186" i="2" s="1"/>
  <c r="J186" i="2" s="1"/>
  <c r="L186" i="2" s="1"/>
  <c r="N186" i="2" s="1"/>
  <c r="P186" i="2" s="1"/>
  <c r="R186" i="2" s="1"/>
  <c r="T186" i="2" s="1"/>
  <c r="V186" i="2" s="1"/>
  <c r="X186" i="2" s="1"/>
  <c r="Z186" i="2" s="1"/>
  <c r="D177" i="2" l="1"/>
  <c r="F177" i="2" s="1"/>
  <c r="H177" i="2" s="1"/>
  <c r="J177" i="2" s="1"/>
  <c r="L177" i="2" s="1"/>
  <c r="N177" i="2" s="1"/>
  <c r="P177" i="2" s="1"/>
  <c r="R177" i="2" s="1"/>
  <c r="T177" i="2" s="1"/>
  <c r="V177" i="2" s="1"/>
  <c r="X177" i="2" s="1"/>
  <c r="Z177" i="2" s="1"/>
  <c r="D180" i="2" l="1"/>
  <c r="F180" i="2" s="1"/>
  <c r="H180" i="2" s="1"/>
  <c r="J180" i="2" s="1"/>
  <c r="L180" i="2" s="1"/>
  <c r="N180" i="2" s="1"/>
  <c r="P180" i="2" s="1"/>
  <c r="R180" i="2" s="1"/>
  <c r="T180" i="2" s="1"/>
  <c r="V180" i="2" s="1"/>
  <c r="X180" i="2" s="1"/>
  <c r="Z180" i="2" s="1"/>
  <c r="F18" i="2"/>
  <c r="H18" i="2" s="1"/>
  <c r="J18" i="2" s="1"/>
  <c r="L18" i="2" s="1"/>
  <c r="N18" i="2" s="1"/>
  <c r="P18" i="2" s="1"/>
  <c r="R18" i="2" s="1"/>
  <c r="T18" i="2" s="1"/>
  <c r="V18" i="2" s="1"/>
  <c r="X18" i="2" s="1"/>
  <c r="Z18" i="2" s="1"/>
</calcChain>
</file>

<file path=xl/sharedStrings.xml><?xml version="1.0" encoding="utf-8"?>
<sst xmlns="http://schemas.openxmlformats.org/spreadsheetml/2006/main" count="464" uniqueCount="272">
  <si>
    <t>№ п/п</t>
  </si>
  <si>
    <t>Образование</t>
  </si>
  <si>
    <t>в том числе:</t>
  </si>
  <si>
    <t>местный бюджет</t>
  </si>
  <si>
    <t>Жилищно-коммунальное хозяйство</t>
  </si>
  <si>
    <t>Департамент жилищно-коммунального хозяйства</t>
  </si>
  <si>
    <t>Внешнее благоустройство</t>
  </si>
  <si>
    <t>Управление внешнего благоустройства</t>
  </si>
  <si>
    <t>Дорожное хозяйство</t>
  </si>
  <si>
    <t>Физическая культура и спорт</t>
  </si>
  <si>
    <t xml:space="preserve">Комитет по физической культуре и спорту </t>
  </si>
  <si>
    <t>Всего:</t>
  </si>
  <si>
    <t>в том числе</t>
  </si>
  <si>
    <t>Департамент образования</t>
  </si>
  <si>
    <t>Управление жилищных отношений</t>
  </si>
  <si>
    <t>Исполнитель</t>
  </si>
  <si>
    <t>в разрезе исполнителей</t>
  </si>
  <si>
    <t>Департамент имущественных отношений</t>
  </si>
  <si>
    <t>краевой бюджет</t>
  </si>
  <si>
    <t>Департамент культуры и молодежной политики</t>
  </si>
  <si>
    <t>Объект</t>
  </si>
  <si>
    <t>Департамент общественной безопасности</t>
  </si>
  <si>
    <t xml:space="preserve">Управление капитального строительства </t>
  </si>
  <si>
    <t>Общественная безопасность</t>
  </si>
  <si>
    <t>федеральный бюджет</t>
  </si>
  <si>
    <t>к решению</t>
  </si>
  <si>
    <t>Пермской городской Думы</t>
  </si>
  <si>
    <t>тыс. руб.</t>
  </si>
  <si>
    <t>2018 год</t>
  </si>
  <si>
    <t>Реконструкция системы очистки сточных вод в микрорайоне «Крым» Кировского района города Перми</t>
  </si>
  <si>
    <t>Расширение и реконструкция (3 очередь) канализации города Перми</t>
  </si>
  <si>
    <t>Строительство сетей водоснабжения и водоотведения в микрорайоне «Заозерье» для земельных участков многодетных семей</t>
  </si>
  <si>
    <t>Строительство водопроводных сетей в микрорайоне «Висим» Мотовилихинского района города Перми</t>
  </si>
  <si>
    <t>Строительство водопроводных сетей в микрорайоне «Вышка-1» Мотовилихинского района города Перми</t>
  </si>
  <si>
    <t>Строительство скважин для обеспечения населения города Перми резервным водоснабжением, при возникновении чрезвычайных ситуаций</t>
  </si>
  <si>
    <t>Строительство газопроводов в микрорайонах индивидуальной застройки города Перми</t>
  </si>
  <si>
    <t>Строительство блочной модульной котельной в микрорайоне «Южный»</t>
  </si>
  <si>
    <t>Строительство блочной модульной котельной по адресу: г. Пермь, ул. Докучаева, 27</t>
  </si>
  <si>
    <t>1710141090</t>
  </si>
  <si>
    <t>1710141130</t>
  </si>
  <si>
    <t>1710141140</t>
  </si>
  <si>
    <t>1710141210</t>
  </si>
  <si>
    <t>1710141220</t>
  </si>
  <si>
    <t>1710141320</t>
  </si>
  <si>
    <t>1710241100</t>
  </si>
  <si>
    <t>1710541240</t>
  </si>
  <si>
    <t>1710541310</t>
  </si>
  <si>
    <t>Строительство многоквартирного жилого дома по адресу: ул. Маяковского, 57 для обеспечения жильем граждан</t>
  </si>
  <si>
    <t>Управление капитального строительства</t>
  </si>
  <si>
    <t>1510341900</t>
  </si>
  <si>
    <t>Приобретение жилых помещений для реализации мероприятий, связанных с переселением граждан из непригодного для проживания и аварийного жилищного фонда</t>
  </si>
  <si>
    <t>Строительство и приобретение жилых помещений для формирования специализированного жилищного фонда для обеспечения жилыми помещениями детей-сирот и детей, оставшихся без попечения родителей, лиц из числа детей-сирот и детей, оставшихся без попечения родителей, по договорам найма специализированных жилых помещений</t>
  </si>
  <si>
    <t>Обеспечение жильем граждан, уволенных с военной службы (службы), и приравненных к ним лиц</t>
  </si>
  <si>
    <t>153032С080</t>
  </si>
  <si>
    <t>9190054850</t>
  </si>
  <si>
    <t>краевой дорожный фонд</t>
  </si>
  <si>
    <t>Реконструкция пересечения ул. Героев Хасана и Транссибирской магистрали (включая тоннель)</t>
  </si>
  <si>
    <t>Реконструкция ул. Революции от ЦКР до ул. Сибирской с обустройством трамвайной линии. 1 этап</t>
  </si>
  <si>
    <t xml:space="preserve">Реконструкция ул. Карпинского от ул. Архитектора Свиязева до ул. Советской Армии </t>
  </si>
  <si>
    <t>Строительство автомобильной дороги Переход ул. Строителей – площадь Гайдара</t>
  </si>
  <si>
    <t>1020141520, 10201SТ045</t>
  </si>
  <si>
    <t>10201SТ046</t>
  </si>
  <si>
    <t>Реконструкция ул. Героев Хасана от ул. Хлебозаводская до ул. Василия Васильева</t>
  </si>
  <si>
    <t>Строительство автомобильной дороги по ул. Журналиста Дементьева от ул. Лядовская до дома № 147 по ул. Журналиста Дементьева</t>
  </si>
  <si>
    <t>Реконструкция ул. Революции от ул. Куйбышева до ул. Попова (в т. ч. ул. Пушкина от ЦКР до Комсомольского проспекта; площадь центрального колхозного рынка; ул. Куйбышева от ул. Революции до ул. Пушкина)</t>
  </si>
  <si>
    <t>Строительство подходов к перрону остановочного пункта городской электрички на ул. Попова</t>
  </si>
  <si>
    <t>Строительство транспортной инфраструктуры на земельных участках, предоставляемых на бесплатной основе многодетным семьям, включая затраты на технологическое присоединение</t>
  </si>
  <si>
    <t>Строительство надземного пешеходного перехода по ул. Соликамской в районе остановки общественного транспорта «Промкомбинат»</t>
  </si>
  <si>
    <t>Строительство пешеходного перехода из микрорайона Владимирский в микрорайон Юбилейный</t>
  </si>
  <si>
    <t>Строительство (реконструкция) сетей наружного освещения</t>
  </si>
  <si>
    <t>Строительство сквера по ул. Гашкова, 20</t>
  </si>
  <si>
    <t>Реконструкция центральной площадки города Перми - эспланада, 64-й квартал, участок 1 (от здания Пермского академического Театра-Театра ул. Борчанинова)</t>
  </si>
  <si>
    <t>Строительство сквера по ул. Калгановской, 62</t>
  </si>
  <si>
    <t>1110541810</t>
  </si>
  <si>
    <t>Строительство сквера по ул. Екатерининской, 171</t>
  </si>
  <si>
    <t>1110541840</t>
  </si>
  <si>
    <t>Строительство Парка Победы</t>
  </si>
  <si>
    <t>1110541860</t>
  </si>
  <si>
    <t>Реконструкция кладбища «Северное»</t>
  </si>
  <si>
    <t>1120441540</t>
  </si>
  <si>
    <t>Реконструкция здания МАУ «Дворец молодежи» г. Перми</t>
  </si>
  <si>
    <t>0410241910</t>
  </si>
  <si>
    <t>Санитарно-эпидемиологическое благополучие</t>
  </si>
  <si>
    <t xml:space="preserve">Управление по экологии и природопользованию </t>
  </si>
  <si>
    <t>9150041010</t>
  </si>
  <si>
    <t>0510141420</t>
  </si>
  <si>
    <t>0510141440</t>
  </si>
  <si>
    <t>Строительство объектов недвижимого имущества и инженерной инфраструктуры на территории Экстрим-парка</t>
  </si>
  <si>
    <t xml:space="preserve">Комитет физической культуры и спорта </t>
  </si>
  <si>
    <t>0510141430</t>
  </si>
  <si>
    <t>0510141460</t>
  </si>
  <si>
    <t>0510141560</t>
  </si>
  <si>
    <t>2420141180</t>
  </si>
  <si>
    <t xml:space="preserve">Строительство нового корпуса МАОУ «СОШ № 59» г. Перми
</t>
  </si>
  <si>
    <t>2420141170, 24201SР042</t>
  </si>
  <si>
    <t>Строительство спортивной площадки МАОУ «СОШ № 115» г. Перми</t>
  </si>
  <si>
    <t xml:space="preserve">Строительство спортивной площадки МАОУ «СОШ № 135» г. Перми
</t>
  </si>
  <si>
    <t>2420241730</t>
  </si>
  <si>
    <t>2420241190</t>
  </si>
  <si>
    <t>2420241770</t>
  </si>
  <si>
    <t>Строительство пожарного водоема в микрорайоне Оборино Кировского района города Перми</t>
  </si>
  <si>
    <t>1420341050</t>
  </si>
  <si>
    <t>1420341110</t>
  </si>
  <si>
    <t>Строительство пожарного водоема в микрорайоне Бумкомбинат по ул. Малореченской Орджоникидзевского района города Перми</t>
  </si>
  <si>
    <t>1420341340</t>
  </si>
  <si>
    <t>Строительство пожарного водоема в микрорайоне Камский на пересечении ул. Сурикова и Кислотной Орджоникидзевского района города Перми</t>
  </si>
  <si>
    <t>1420341350</t>
  </si>
  <si>
    <t>Строительство пожарного водоема по ул. Островского в поселке Новые Ляды города Перми</t>
  </si>
  <si>
    <t>1420341570</t>
  </si>
  <si>
    <t>Строительство противооползневого сооружения в районе жилых домов по ул. КИМ, 5, 7, ул. Ивановской, 19 и ул. Чехова, 2, 4, 6, 8, 10</t>
  </si>
  <si>
    <t>1410241030</t>
  </si>
  <si>
    <t>Строительство берегоукрепительного сооружения в районе жилых домов по ул. Куфонина 30, 32</t>
  </si>
  <si>
    <t>1410241410</t>
  </si>
  <si>
    <t>1.</t>
  </si>
  <si>
    <t>2.</t>
  </si>
  <si>
    <t>4.</t>
  </si>
  <si>
    <t>5.</t>
  </si>
  <si>
    <t>6.</t>
  </si>
  <si>
    <t>7.</t>
  </si>
  <si>
    <t>8.</t>
  </si>
  <si>
    <t>9.</t>
  </si>
  <si>
    <t>10.</t>
  </si>
  <si>
    <t>11.</t>
  </si>
  <si>
    <t>17.</t>
  </si>
  <si>
    <t>12.</t>
  </si>
  <si>
    <t>13.</t>
  </si>
  <si>
    <t>14.</t>
  </si>
  <si>
    <t>15.</t>
  </si>
  <si>
    <t>16.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</si>
  <si>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</si>
  <si>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</si>
  <si>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</si>
  <si>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</si>
  <si>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</si>
  <si>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</si>
  <si>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</si>
  <si>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</si>
  <si>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</si>
  <si>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</si>
  <si>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</si>
  <si>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</si>
  <si>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</si>
  <si>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</si>
  <si>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</si>
  <si>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</si>
  <si>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</si>
  <si>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</si>
  <si>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</si>
  <si>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</si>
  <si>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</si>
  <si>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</si>
  <si>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</si>
  <si>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</si>
  <si>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</si>
  <si>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44.</t>
  </si>
  <si>
    <t>43.</t>
  </si>
  <si>
    <t>46.</t>
  </si>
  <si>
    <t>45.</t>
  </si>
  <si>
    <t>47.</t>
  </si>
  <si>
    <t>48.</t>
  </si>
  <si>
    <t>49.</t>
  </si>
  <si>
    <t>50.</t>
  </si>
  <si>
    <t>51.</t>
  </si>
  <si>
    <t>52.</t>
  </si>
  <si>
    <t>53.</t>
  </si>
  <si>
    <t>54.</t>
  </si>
  <si>
    <t>1020141510, 10201SТ043</t>
  </si>
  <si>
    <t xml:space="preserve">Приобретение в собственность муниципального образования здания для размещения дошкольного образовательного учреждения по ул. Грибоедова, 68в
</t>
  </si>
  <si>
    <t>Культура и молодежная политика</t>
  </si>
  <si>
    <t>Строительство плавательного бассейна по адресу: ул. Сысольская, 10/5</t>
  </si>
  <si>
    <t>Приобретение физкультурно-оздоровительного комплекса по адресу: ул. Рабочая, 9</t>
  </si>
  <si>
    <t>Строительство спортивной базы «Летающий лыжник» г. Перми, ул. Тихая, 22</t>
  </si>
  <si>
    <t xml:space="preserve">Строительство спортивной площадки МАОУ «СОШ № 82» г. Перми
</t>
  </si>
  <si>
    <t>Приобретение физкультурно-оздоровительного комплекса по адресу: ул. Транспортная, 7</t>
  </si>
  <si>
    <t>Реконструкция автомобильной дороги от ул. Героев Хасана до дома № 151а по ул. Героев Хасана с обустройством площадки для разворота общественного транспорта</t>
  </si>
  <si>
    <t>Строительство сквера на ул. Краснополянской, 12</t>
  </si>
  <si>
    <t>Строительство пожарного водоема в микрорайоне Верхняя Курья по ул. 9-й линии, 70 Мотовилихинского района города Перми</t>
  </si>
  <si>
    <t>ПРИЛОЖЕНИЕ 13</t>
  </si>
  <si>
    <t>Изменение ко 2 чтение</t>
  </si>
  <si>
    <t>10201SТ040</t>
  </si>
  <si>
    <t>Уточнение февраль</t>
  </si>
  <si>
    <t>от 19.12.2017 № 250</t>
  </si>
  <si>
    <t>ПЕРЕЧЕНЬ</t>
  </si>
  <si>
    <t>объектов капитального строительства муниципальной собственности и объектов недвижимого имущества, приобретаемых в муниципальную собственность, на 2018 год</t>
  </si>
  <si>
    <t>Строительство пожарного водоема в микрорайоне Новобродовский Свердловского района города Перми</t>
  </si>
  <si>
    <t>Строительство пожарного водоема в микрорайоне Шустовка Орджоникидзевского района города Перми</t>
  </si>
  <si>
    <t>10201ST042, 1020141500</t>
  </si>
  <si>
    <t>10201SТ041, 1020141920</t>
  </si>
  <si>
    <t>Реконструкция ул. Социалистической от ПК7 до ПК10+50 с разворотным кольцом</t>
  </si>
  <si>
    <t>10201SТ047, 1020141270</t>
  </si>
  <si>
    <t>Реконструкция ул. Карпинского от ул. Мира до Шоссе Космонавтов</t>
  </si>
  <si>
    <t>10201ST044</t>
  </si>
  <si>
    <t>Строительство резервуара для воды емкостью 5000 кубических метров на территории насосной станции "Заречная" города Перми</t>
  </si>
  <si>
    <t>Реконструкция здания МАОУ "СОШ N 93" г. Перми (пристройка нового корпуса)</t>
  </si>
  <si>
    <t>Строительство пожарного водоема в микрорайоне Налимиха на перекрестке улиц Налимихинской и Грушевой Кировского района города Перми</t>
  </si>
  <si>
    <t>Строительство спортивной площадки МАОУ «СОШ № 131» г. Перми</t>
  </si>
  <si>
    <t>Строительство спортивной площадки МАОУ «СОШ № 122» г. Перми</t>
  </si>
  <si>
    <t>Строительство тротуара по ул. Таежной в микрорайоне Соболи</t>
  </si>
  <si>
    <t>Строительство спортивной площадки МАОУ «СОШ № 41» г. Перми</t>
  </si>
  <si>
    <t>Приобретение в собственность муниципального образования город Пермь жилых помещений</t>
  </si>
  <si>
    <t>15104SP040</t>
  </si>
  <si>
    <t>15104SP045</t>
  </si>
  <si>
    <t>Приобретение в собственность муниципального образования здания для размещения дошкольного образовательного учреждения по ул. Чернышевского, 17в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</si>
  <si>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</si>
  <si>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</si>
  <si>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</si>
  <si>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</si>
  <si>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</si>
  <si>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</si>
  <si>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</si>
  <si>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</si>
  <si>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</si>
  <si>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</si>
  <si>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</si>
  <si>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</si>
  <si>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68.</t>
  </si>
  <si>
    <t>69.</t>
  </si>
  <si>
    <t>Строительство здания для размещения дошкольного образовательного учреждения по ул. Евгения Пермяка/Целинной</t>
  </si>
  <si>
    <t>Строительство пожарного водоема в микрорайоне Январский по ул. Рубцовской Орджоникидзевского района города Перми</t>
  </si>
  <si>
    <t>Комитет февраль</t>
  </si>
  <si>
    <t>Строительство приюта для содержания безнадзорных животных по ул. Верхне-Муллинской, 106а г. Перми</t>
  </si>
  <si>
    <t>Уточнение апрель</t>
  </si>
  <si>
    <t>1510121480, 1530100000, 15101SЖ160, 1510142010</t>
  </si>
  <si>
    <t>Уточнение май</t>
  </si>
  <si>
    <t>67.</t>
  </si>
  <si>
    <t>24201L5200</t>
  </si>
  <si>
    <t>24201SР040</t>
  </si>
  <si>
    <t>2420141180, 24201SР041</t>
  </si>
  <si>
    <t>2420141590, 24201SН071</t>
  </si>
  <si>
    <t>Строительство спортивной площадки МАОУ «Гимназия № 31» г. Перми</t>
  </si>
  <si>
    <t>3.</t>
  </si>
  <si>
    <t>74.</t>
  </si>
  <si>
    <t>75.</t>
  </si>
  <si>
    <t>Реконструкция сквера в 68 квартале, эспланада</t>
  </si>
  <si>
    <t>24201SP040, 24201L5200</t>
  </si>
  <si>
    <t>Уточнение август</t>
  </si>
  <si>
    <t>24101L1590</t>
  </si>
  <si>
    <t>2410141670, 24101L1591</t>
  </si>
  <si>
    <t>24101L1121, 24101L1593</t>
  </si>
  <si>
    <t>24101L1120, 24101L1590</t>
  </si>
  <si>
    <t>Реконструкция здания МБОУ «Гимназия № 17» г. Перми (пристройка нового корпуса)</t>
  </si>
  <si>
    <t>24101L1590, 24101LН070</t>
  </si>
  <si>
    <t>Строительство здания для размещения дошкольного образовательного учреждения по ул. Желябова, 16б</t>
  </si>
  <si>
    <t>Транспорт</t>
  </si>
  <si>
    <t>Строительство скоростной трамвайной линии</t>
  </si>
  <si>
    <t xml:space="preserve">Департамент дорог и транспорта </t>
  </si>
  <si>
    <t>70.</t>
  </si>
  <si>
    <t>Комитет август</t>
  </si>
  <si>
    <t>Уточнение октябрь</t>
  </si>
  <si>
    <t>Строительство нового корпуса здания МАОУ «СОШ № 42» г. Перми по адресу: ул. Нестерова, 18 в г. Перми</t>
  </si>
  <si>
    <t>Реконструкция здания муниципального автономного учреждения дополнительного образования «Детско-юношеский центр имени Василия Соломина»</t>
  </si>
  <si>
    <t>Строительство пожарного водоема в микрорайоне Кировский по ул. Мореходной Кировского района города Перми</t>
  </si>
  <si>
    <t>Строительство пожарного водоема в микрорайоне Вышка-2 по ул.6-й Новгородской Мотовилихинского района города Перми</t>
  </si>
  <si>
    <t>Строительство пожарного водоема в микрорайоне Вышка-2 по ул. Омской Мотовилихинского района города Перми</t>
  </si>
  <si>
    <t>Строительство пожарного водоема в микрорайоне Средняя Курья по ул. Торфяной Ленинского района города Перми</t>
  </si>
  <si>
    <t>Строительство пожарного водоема в микрорайоне Нижняя Курья по ул. Борцов Революции Ленинского района города Перми</t>
  </si>
  <si>
    <t>Строительство пожарного водоема в микрорайоне Новобродовский по ул. Летней Свердловского района города Перми</t>
  </si>
  <si>
    <t>Строительство пожарного водоема в микрорайоне Бахаревка на пересечении ул. 1-й Бахаревской и ул. Пристанционной Свердловского района города Перми</t>
  </si>
  <si>
    <t>Строительство здания для размещения дошкольного образователь-ного учреждения по ул. Плеханова, 63</t>
  </si>
  <si>
    <t>71.</t>
  </si>
  <si>
    <t>72.</t>
  </si>
  <si>
    <t>73.</t>
  </si>
  <si>
    <t>76.</t>
  </si>
  <si>
    <t>77.</t>
  </si>
  <si>
    <t>Строительство пожарного водоема в микрорайоне Пихтовая стрелка по ул. Лебяжьей Мотовилихинского района города Перми</t>
  </si>
  <si>
    <t>Строительство пожарного водоема в микрорайоне Центральная усадьба по ул. Бобруйской Мотовилихинского района города Перми</t>
  </si>
  <si>
    <t>Строительство пожарного водоема в микрорайоне Липовая Гора по ул. 4-й Липогорской Свердловского района города Перми</t>
  </si>
  <si>
    <t>Комитет октябрь</t>
  </si>
  <si>
    <t>Декабрь</t>
  </si>
  <si>
    <t>Реконструкция здания МАДОУ "Детский сад "IT мир" г. Перми</t>
  </si>
  <si>
    <t>ПРИЛОЖЕНИЕ 5</t>
  </si>
  <si>
    <t>от 18.12.2018 № 260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</si>
</sst>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#,##0.0"/>
  </numFmts>
  <fonts count="8" x14ac:knownFonts="1">
    <font>
      <sz val="10"/>
      <name val="Arial Cyr"/>
      <charset val="204"/>
    </font>
    <font>
      <sz val="14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Arial Cyr"/>
      <charset val="204"/>
    </font>
    <font>
      <b/>
      <sz val="10"/>
      <name val="Arial Cyr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3" fillId="2" borderId="1" xfId="0" applyFont="1" applyFill="1" applyBorder="1" applyAlignment="1">
      <alignment horizontal="center" vertical="top"/>
    </xf>
    <xf numFmtId="0" fontId="1" fillId="2" borderId="0" xfId="0" applyFont="1" applyFill="1"/>
    <xf numFmtId="164" fontId="3" fillId="2" borderId="1" xfId="0" applyNumberFormat="1" applyFont="1" applyFill="1" applyBorder="1" applyAlignment="1">
      <alignment horizontal="left" vertical="center" wrapText="1"/>
    </xf>
    <xf numFmtId="164" fontId="3" fillId="2" borderId="5" xfId="0" applyNumberFormat="1" applyFont="1" applyFill="1" applyBorder="1" applyAlignment="1">
      <alignment horizontal="left" vertical="center" wrapText="1"/>
    </xf>
    <xf numFmtId="164" fontId="3" fillId="2" borderId="1" xfId="0" applyNumberFormat="1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1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right"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 vertical="center"/>
    </xf>
    <xf numFmtId="164" fontId="3" fillId="2" borderId="1" xfId="0" applyNumberFormat="1" applyFont="1" applyFill="1" applyBorder="1" applyAlignment="1">
      <alignment horizontal="left" vertical="center"/>
    </xf>
    <xf numFmtId="164" fontId="3" fillId="2" borderId="1" xfId="0" applyNumberFormat="1" applyFont="1" applyFill="1" applyBorder="1" applyAlignment="1">
      <alignment horizontal="left" vertical="top"/>
    </xf>
    <xf numFmtId="0" fontId="1" fillId="2" borderId="1" xfId="0" applyFont="1" applyFill="1" applyBorder="1"/>
    <xf numFmtId="0" fontId="3" fillId="2" borderId="0" xfId="0" applyFont="1" applyFill="1" applyAlignment="1">
      <alignment vertical="center"/>
    </xf>
    <xf numFmtId="0" fontId="4" fillId="2" borderId="0" xfId="0" applyFont="1" applyFill="1"/>
    <xf numFmtId="0" fontId="4" fillId="2" borderId="0" xfId="0" applyFont="1" applyFill="1" applyBorder="1"/>
    <xf numFmtId="165" fontId="4" fillId="2" borderId="0" xfId="0" applyNumberFormat="1" applyFont="1" applyFill="1"/>
    <xf numFmtId="0" fontId="4" fillId="2" borderId="0" xfId="0" applyFont="1" applyFill="1" applyAlignment="1">
      <alignment horizontal="left"/>
    </xf>
    <xf numFmtId="164" fontId="3" fillId="2" borderId="2" xfId="0" applyNumberFormat="1" applyFont="1" applyFill="1" applyBorder="1" applyAlignment="1">
      <alignment horizontal="left" vertical="top"/>
    </xf>
    <xf numFmtId="164" fontId="3" fillId="2" borderId="1" xfId="0" applyNumberFormat="1" applyFont="1" applyFill="1" applyBorder="1" applyAlignment="1">
      <alignment horizontal="right" vertical="center"/>
    </xf>
    <xf numFmtId="164" fontId="3" fillId="2" borderId="1" xfId="0" applyNumberFormat="1" applyFont="1" applyFill="1" applyBorder="1" applyAlignment="1"/>
    <xf numFmtId="164" fontId="3" fillId="2" borderId="1" xfId="0" applyNumberFormat="1" applyFont="1" applyFill="1" applyBorder="1" applyAlignment="1">
      <alignment horizontal="right" vertical="center" wrapText="1"/>
    </xf>
    <xf numFmtId="164" fontId="3" fillId="2" borderId="1" xfId="0" applyNumberFormat="1" applyFont="1" applyFill="1" applyBorder="1" applyAlignment="1">
      <alignment vertical="center" wrapText="1"/>
    </xf>
    <xf numFmtId="164" fontId="3" fillId="2" borderId="4" xfId="0" applyNumberFormat="1" applyFont="1" applyFill="1" applyBorder="1" applyAlignment="1">
      <alignment horizontal="right" vertical="center"/>
    </xf>
    <xf numFmtId="164" fontId="3" fillId="2" borderId="4" xfId="0" applyNumberFormat="1" applyFont="1" applyFill="1" applyBorder="1" applyAlignment="1">
      <alignment vertical="center"/>
    </xf>
    <xf numFmtId="164" fontId="3" fillId="2" borderId="4" xfId="0" applyNumberFormat="1" applyFont="1" applyFill="1" applyBorder="1" applyAlignment="1"/>
    <xf numFmtId="0" fontId="1" fillId="2" borderId="0" xfId="0" applyFont="1" applyFill="1" applyAlignment="1">
      <alignment horizontal="left"/>
    </xf>
    <xf numFmtId="165" fontId="1" fillId="2" borderId="0" xfId="0" applyNumberFormat="1" applyFont="1" applyFill="1" applyAlignment="1">
      <alignment horizontal="left"/>
    </xf>
    <xf numFmtId="164" fontId="3" fillId="2" borderId="1" xfId="0" applyNumberFormat="1" applyFont="1" applyFill="1" applyBorder="1" applyAlignment="1">
      <alignment vertical="center"/>
    </xf>
    <xf numFmtId="0" fontId="0" fillId="2" borderId="0" xfId="0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center" wrapText="1"/>
    </xf>
    <xf numFmtId="0" fontId="3" fillId="3" borderId="0" xfId="0" applyFont="1" applyFill="1" applyAlignment="1">
      <alignment vertical="center"/>
    </xf>
    <xf numFmtId="0" fontId="3" fillId="3" borderId="0" xfId="0" applyFont="1" applyFill="1" applyAlignment="1">
      <alignment horizontal="right" vertical="center"/>
    </xf>
    <xf numFmtId="0" fontId="1" fillId="3" borderId="0" xfId="0" applyFont="1" applyFill="1" applyAlignment="1">
      <alignment vertical="center"/>
    </xf>
    <xf numFmtId="0" fontId="0" fillId="3" borderId="0" xfId="0" applyFill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right" vertical="center"/>
    </xf>
    <xf numFmtId="164" fontId="3" fillId="3" borderId="1" xfId="0" applyNumberFormat="1" applyFont="1" applyFill="1" applyBorder="1" applyAlignment="1"/>
    <xf numFmtId="164" fontId="3" fillId="3" borderId="1" xfId="0" applyNumberFormat="1" applyFont="1" applyFill="1" applyBorder="1" applyAlignment="1">
      <alignment horizontal="right" vertical="center" wrapText="1"/>
    </xf>
    <xf numFmtId="164" fontId="3" fillId="3" borderId="1" xfId="0" applyNumberFormat="1" applyFont="1" applyFill="1" applyBorder="1" applyAlignment="1">
      <alignment vertical="center" wrapText="1"/>
    </xf>
    <xf numFmtId="164" fontId="3" fillId="3" borderId="1" xfId="0" applyNumberFormat="1" applyFont="1" applyFill="1" applyBorder="1" applyAlignment="1">
      <alignment vertical="center"/>
    </xf>
    <xf numFmtId="164" fontId="3" fillId="4" borderId="1" xfId="0" applyNumberFormat="1" applyFont="1" applyFill="1" applyBorder="1" applyAlignment="1">
      <alignment horizontal="right" vertical="center"/>
    </xf>
    <xf numFmtId="0" fontId="4" fillId="4" borderId="0" xfId="0" applyFont="1" applyFill="1"/>
    <xf numFmtId="0" fontId="1" fillId="4" borderId="0" xfId="0" applyFont="1" applyFill="1" applyAlignment="1">
      <alignment horizontal="left"/>
    </xf>
    <xf numFmtId="0" fontId="1" fillId="4" borderId="0" xfId="0" applyFont="1" applyFill="1"/>
    <xf numFmtId="0" fontId="4" fillId="4" borderId="0" xfId="0" applyFont="1" applyFill="1" applyAlignment="1">
      <alignment horizontal="left"/>
    </xf>
    <xf numFmtId="0" fontId="4" fillId="2" borderId="0" xfId="0" applyFont="1" applyFill="1" applyAlignment="1">
      <alignment horizontal="left" wrapText="1"/>
    </xf>
    <xf numFmtId="0" fontId="4" fillId="3" borderId="0" xfId="0" applyFont="1" applyFill="1" applyAlignment="1">
      <alignment horizontal="left" wrapText="1"/>
    </xf>
    <xf numFmtId="0" fontId="0" fillId="2" borderId="0" xfId="0" applyFill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165" fontId="4" fillId="3" borderId="0" xfId="0" applyNumberFormat="1" applyFont="1" applyFill="1"/>
    <xf numFmtId="0" fontId="0" fillId="2" borderId="0" xfId="0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center" wrapText="1"/>
    </xf>
    <xf numFmtId="0" fontId="0" fillId="2" borderId="0" xfId="0" applyFill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top"/>
    </xf>
    <xf numFmtId="164" fontId="3" fillId="4" borderId="1" xfId="0" applyNumberFormat="1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left" vertical="center" wrapText="1"/>
    </xf>
    <xf numFmtId="0" fontId="0" fillId="2" borderId="0" xfId="0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164" fontId="3" fillId="2" borderId="3" xfId="0" applyNumberFormat="1" applyFont="1" applyFill="1" applyBorder="1" applyAlignment="1">
      <alignment horizontal="left" vertical="top" wrapText="1"/>
    </xf>
    <xf numFmtId="164" fontId="3" fillId="2" borderId="2" xfId="0" applyNumberFormat="1" applyFont="1" applyFill="1" applyBorder="1" applyAlignment="1">
      <alignment horizontal="left" vertical="top" wrapText="1"/>
    </xf>
    <xf numFmtId="164" fontId="3" fillId="2" borderId="1" xfId="0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left" vertical="center" wrapText="1"/>
    </xf>
    <xf numFmtId="164" fontId="3" fillId="2" borderId="1" xfId="0" applyNumberFormat="1" applyFont="1" applyFill="1" applyBorder="1" applyAlignment="1">
      <alignment vertical="top"/>
    </xf>
    <xf numFmtId="0" fontId="3" fillId="2" borderId="1" xfId="0" applyNumberFormat="1" applyFont="1" applyFill="1" applyBorder="1" applyAlignment="1">
      <alignment horizontal="left" vertical="top" wrapText="1"/>
    </xf>
    <xf numFmtId="0" fontId="3" fillId="2" borderId="1" xfId="0" applyNumberFormat="1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right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right" vertical="center"/>
    </xf>
    <xf numFmtId="164" fontId="3" fillId="2" borderId="6" xfId="0" applyNumberFormat="1" applyFont="1" applyFill="1" applyBorder="1" applyAlignment="1">
      <alignment horizontal="center" vertical="center" wrapText="1"/>
    </xf>
    <xf numFmtId="164" fontId="3" fillId="2" borderId="7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top"/>
    </xf>
    <xf numFmtId="0" fontId="0" fillId="2" borderId="8" xfId="0" applyFill="1" applyBorder="1" applyAlignment="1">
      <alignment horizontal="center" vertical="top"/>
    </xf>
    <xf numFmtId="164" fontId="3" fillId="2" borderId="2" xfId="0" applyNumberFormat="1" applyFont="1" applyFill="1" applyBorder="1" applyAlignment="1">
      <alignment horizontal="left" vertical="top" wrapText="1"/>
    </xf>
    <xf numFmtId="0" fontId="0" fillId="2" borderId="8" xfId="0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vertical="top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center" vertical="center" wrapText="1"/>
    </xf>
    <xf numFmtId="164" fontId="3" fillId="3" borderId="6" xfId="0" applyNumberFormat="1" applyFont="1" applyFill="1" applyBorder="1" applyAlignment="1">
      <alignment horizontal="center" vertical="center" wrapText="1"/>
    </xf>
    <xf numFmtId="164" fontId="3" fillId="3" borderId="7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2" borderId="0" xfId="0" applyFill="1" applyAlignment="1">
      <alignment vertical="center"/>
    </xf>
    <xf numFmtId="0" fontId="2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3" fillId="2" borderId="3" xfId="0" applyNumberFormat="1" applyFont="1" applyFill="1" applyBorder="1" applyAlignment="1">
      <alignment horizontal="left" vertical="top" wrapText="1"/>
    </xf>
    <xf numFmtId="164" fontId="3" fillId="2" borderId="5" xfId="0" applyNumberFormat="1" applyFont="1" applyFill="1" applyBorder="1" applyAlignment="1">
      <alignment horizontal="center" vertical="center" wrapText="1"/>
    </xf>
    <xf numFmtId="164" fontId="3" fillId="2" borderId="3" xfId="0" applyNumberFormat="1" applyFont="1" applyFill="1" applyBorder="1" applyAlignment="1">
      <alignment vertical="top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D6F2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AC196"/>
  <sheetViews>
    <sheetView tabSelected="1" topLeftCell="A37" zoomScale="70" zoomScaleNormal="70" workbookViewId="0">
      <selection activeCell="B45" sqref="B45"/>
    </sheetView>
  </sheetViews>
  <sheetFormatPr defaultColWidth="9.109375" defaultRowHeight="18" x14ac:dyDescent="0.3"/>
  <cols>
    <col min="1" max="1" width="5.44140625" style="2" customWidth="1"/>
    <col min="2" max="2" width="76.88671875" style="2" customWidth="1"/>
    <col min="3" max="3" width="20.33203125" style="7" customWidth="1"/>
    <col min="4" max="24" width="17.5546875" style="15" hidden="1" customWidth="1"/>
    <col min="25" max="25" width="17.5546875" style="35" hidden="1" customWidth="1"/>
    <col min="26" max="26" width="17.5546875" style="15" customWidth="1"/>
    <col min="27" max="27" width="26.6640625" style="16" hidden="1" customWidth="1"/>
    <col min="28" max="28" width="7.5546875" style="28" hidden="1" customWidth="1"/>
    <col min="29" max="29" width="20.88671875" style="2" hidden="1" customWidth="1"/>
    <col min="30" max="46" width="20.88671875" style="2" customWidth="1"/>
    <col min="47" max="16384" width="9.109375" style="2"/>
  </cols>
  <sheetData>
    <row r="1" spans="1:27" x14ac:dyDescent="0.3">
      <c r="H1" s="8"/>
      <c r="J1" s="8"/>
      <c r="L1" s="8"/>
      <c r="N1" s="8"/>
      <c r="P1" s="8"/>
      <c r="R1" s="8"/>
      <c r="T1" s="8"/>
      <c r="V1" s="8"/>
      <c r="X1" s="8"/>
      <c r="Z1" s="8" t="s">
        <v>270</v>
      </c>
    </row>
    <row r="2" spans="1:27" x14ac:dyDescent="0.3">
      <c r="H2" s="8"/>
      <c r="J2" s="8"/>
      <c r="L2" s="8"/>
      <c r="N2" s="8"/>
      <c r="P2" s="8"/>
      <c r="R2" s="8"/>
      <c r="T2" s="8"/>
      <c r="V2" s="8"/>
      <c r="X2" s="8"/>
      <c r="Z2" s="8" t="s">
        <v>25</v>
      </c>
    </row>
    <row r="3" spans="1:27" x14ac:dyDescent="0.3">
      <c r="H3" s="8"/>
      <c r="J3" s="8"/>
      <c r="L3" s="8"/>
      <c r="N3" s="8"/>
      <c r="P3" s="8"/>
      <c r="R3" s="8"/>
      <c r="T3" s="8"/>
      <c r="V3" s="8"/>
      <c r="X3" s="8"/>
      <c r="Z3" s="8" t="s">
        <v>26</v>
      </c>
    </row>
    <row r="4" spans="1:27" ht="18" customHeight="1" x14ac:dyDescent="0.3">
      <c r="C4" s="74" t="s">
        <v>271</v>
      </c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6"/>
    </row>
    <row r="6" spans="1:27" x14ac:dyDescent="0.3"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36"/>
      <c r="Z6" s="8" t="s">
        <v>177</v>
      </c>
    </row>
    <row r="7" spans="1:27" x14ac:dyDescent="0.3"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36"/>
      <c r="Z7" s="8" t="s">
        <v>25</v>
      </c>
    </row>
    <row r="8" spans="1:27" x14ac:dyDescent="0.3"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36"/>
      <c r="Z8" s="8" t="s">
        <v>26</v>
      </c>
    </row>
    <row r="9" spans="1:27" x14ac:dyDescent="0.3">
      <c r="H9" s="8"/>
      <c r="J9" s="8"/>
      <c r="L9" s="8"/>
      <c r="N9" s="8"/>
      <c r="P9" s="8"/>
      <c r="R9" s="8"/>
      <c r="T9" s="8"/>
      <c r="V9" s="8"/>
      <c r="X9" s="8"/>
      <c r="Z9" s="8" t="s">
        <v>181</v>
      </c>
    </row>
    <row r="10" spans="1:27" x14ac:dyDescent="0.3"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U10" s="9"/>
      <c r="W10" s="9"/>
      <c r="Y10" s="37"/>
    </row>
    <row r="11" spans="1:27" ht="17.399999999999999" x14ac:dyDescent="0.3">
      <c r="A11" s="95" t="s">
        <v>182</v>
      </c>
      <c r="B11" s="96"/>
      <c r="C11" s="96"/>
      <c r="D11" s="97"/>
      <c r="E11" s="97"/>
      <c r="F11" s="97"/>
      <c r="G11" s="97"/>
      <c r="H11" s="96"/>
      <c r="I11" s="98"/>
      <c r="J11" s="98"/>
      <c r="K11" s="98"/>
      <c r="L11" s="98"/>
      <c r="M11" s="99"/>
      <c r="N11" s="98"/>
      <c r="O11" s="99"/>
      <c r="P11" s="99"/>
      <c r="Q11" s="99"/>
      <c r="R11" s="99"/>
      <c r="S11" s="100"/>
      <c r="T11" s="100"/>
      <c r="U11" s="100"/>
      <c r="V11" s="101"/>
      <c r="W11" s="100"/>
      <c r="X11" s="100"/>
      <c r="Y11" s="100"/>
      <c r="Z11" s="101"/>
    </row>
    <row r="12" spans="1:27" ht="18.75" customHeight="1" x14ac:dyDescent="0.3">
      <c r="A12" s="102" t="s">
        <v>183</v>
      </c>
      <c r="B12" s="103"/>
      <c r="C12" s="103"/>
      <c r="D12" s="104"/>
      <c r="E12" s="104"/>
      <c r="F12" s="104"/>
      <c r="G12" s="104"/>
      <c r="H12" s="103"/>
      <c r="I12" s="104"/>
      <c r="J12" s="104"/>
      <c r="K12" s="104"/>
      <c r="L12" s="104"/>
      <c r="M12" s="105"/>
      <c r="N12" s="104"/>
      <c r="O12" s="105"/>
      <c r="P12" s="105"/>
      <c r="Q12" s="105"/>
      <c r="R12" s="105"/>
      <c r="S12" s="100"/>
      <c r="T12" s="100"/>
      <c r="U12" s="100"/>
      <c r="V12" s="101"/>
      <c r="W12" s="100"/>
      <c r="X12" s="100"/>
      <c r="Y12" s="100"/>
      <c r="Z12" s="101"/>
    </row>
    <row r="13" spans="1:27" ht="15.75" customHeight="1" x14ac:dyDescent="0.3">
      <c r="A13" s="103"/>
      <c r="B13" s="103"/>
      <c r="C13" s="103"/>
      <c r="D13" s="104"/>
      <c r="E13" s="104"/>
      <c r="F13" s="104"/>
      <c r="G13" s="104"/>
      <c r="H13" s="103"/>
      <c r="I13" s="104"/>
      <c r="J13" s="104"/>
      <c r="K13" s="104"/>
      <c r="L13" s="104"/>
      <c r="M13" s="105"/>
      <c r="N13" s="104"/>
      <c r="O13" s="105"/>
      <c r="P13" s="105"/>
      <c r="Q13" s="105"/>
      <c r="R13" s="105"/>
      <c r="S13" s="100"/>
      <c r="T13" s="100"/>
      <c r="U13" s="100"/>
      <c r="V13" s="101"/>
      <c r="W13" s="100"/>
      <c r="X13" s="100"/>
      <c r="Y13" s="100"/>
      <c r="Z13" s="101"/>
    </row>
    <row r="14" spans="1:27" ht="19.5" customHeight="1" x14ac:dyDescent="0.3">
      <c r="A14" s="66"/>
      <c r="B14" s="66"/>
      <c r="C14" s="66"/>
      <c r="D14" s="32"/>
      <c r="E14" s="31"/>
      <c r="F14" s="31"/>
      <c r="G14" s="31"/>
      <c r="H14" s="31"/>
      <c r="I14" s="31"/>
      <c r="J14" s="31"/>
      <c r="K14" s="31"/>
      <c r="L14" s="31"/>
      <c r="M14" s="54"/>
      <c r="N14" s="51"/>
      <c r="O14" s="55"/>
      <c r="P14" s="54"/>
      <c r="Q14" s="59"/>
      <c r="R14" s="56"/>
      <c r="S14" s="63"/>
      <c r="U14" s="64"/>
      <c r="W14" s="65"/>
      <c r="Y14" s="38"/>
    </row>
    <row r="15" spans="1:27" x14ac:dyDescent="0.3">
      <c r="A15" s="10"/>
      <c r="B15" s="11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36"/>
      <c r="Z15" s="8" t="s">
        <v>27</v>
      </c>
      <c r="AA15" s="17"/>
    </row>
    <row r="16" spans="1:27" ht="36" customHeight="1" x14ac:dyDescent="0.3">
      <c r="A16" s="83" t="s">
        <v>0</v>
      </c>
      <c r="B16" s="83" t="s">
        <v>20</v>
      </c>
      <c r="C16" s="83" t="s">
        <v>15</v>
      </c>
      <c r="D16" s="77" t="s">
        <v>28</v>
      </c>
      <c r="E16" s="77" t="s">
        <v>178</v>
      </c>
      <c r="F16" s="77" t="s">
        <v>28</v>
      </c>
      <c r="G16" s="77" t="s">
        <v>180</v>
      </c>
      <c r="H16" s="77" t="s">
        <v>28</v>
      </c>
      <c r="I16" s="77" t="s">
        <v>219</v>
      </c>
      <c r="J16" s="77" t="s">
        <v>28</v>
      </c>
      <c r="K16" s="77" t="s">
        <v>221</v>
      </c>
      <c r="L16" s="77" t="s">
        <v>28</v>
      </c>
      <c r="M16" s="77" t="s">
        <v>223</v>
      </c>
      <c r="N16" s="77" t="s">
        <v>28</v>
      </c>
      <c r="O16" s="77" t="s">
        <v>223</v>
      </c>
      <c r="P16" s="77" t="s">
        <v>28</v>
      </c>
      <c r="Q16" s="77" t="s">
        <v>235</v>
      </c>
      <c r="R16" s="77" t="s">
        <v>28</v>
      </c>
      <c r="S16" s="77" t="s">
        <v>247</v>
      </c>
      <c r="T16" s="77" t="s">
        <v>28</v>
      </c>
      <c r="U16" s="77" t="s">
        <v>248</v>
      </c>
      <c r="V16" s="77" t="s">
        <v>28</v>
      </c>
      <c r="W16" s="77" t="s">
        <v>267</v>
      </c>
      <c r="X16" s="77" t="s">
        <v>28</v>
      </c>
      <c r="Y16" s="93" t="s">
        <v>268</v>
      </c>
      <c r="Z16" s="77" t="s">
        <v>28</v>
      </c>
    </row>
    <row r="17" spans="1:29" ht="0.6" customHeight="1" x14ac:dyDescent="0.3">
      <c r="A17" s="110"/>
      <c r="B17" s="84"/>
      <c r="C17" s="85"/>
      <c r="D17" s="78"/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94"/>
      <c r="Z17" s="78"/>
    </row>
    <row r="18" spans="1:29" x14ac:dyDescent="0.3">
      <c r="A18" s="1"/>
      <c r="B18" s="71" t="s">
        <v>1</v>
      </c>
      <c r="C18" s="12"/>
      <c r="D18" s="44">
        <f>D20+D21</f>
        <v>889879.10000000009</v>
      </c>
      <c r="E18" s="44">
        <f>E20+E21</f>
        <v>-17302</v>
      </c>
      <c r="F18" s="44">
        <f>D18+E18</f>
        <v>872577.10000000009</v>
      </c>
      <c r="G18" s="44">
        <f>G20+G21</f>
        <v>253354.47899999999</v>
      </c>
      <c r="H18" s="44">
        <f>F18+G18</f>
        <v>1125931.5790000001</v>
      </c>
      <c r="I18" s="44">
        <f>I20+I21</f>
        <v>-108000</v>
      </c>
      <c r="J18" s="44">
        <f>H18+I18</f>
        <v>1017931.5790000001</v>
      </c>
      <c r="K18" s="44">
        <f>K20+K21</f>
        <v>40000</v>
      </c>
      <c r="L18" s="44">
        <f>J18+K18</f>
        <v>1057931.5790000001</v>
      </c>
      <c r="M18" s="44">
        <f>M20+M21+M22</f>
        <v>170124.084</v>
      </c>
      <c r="N18" s="44">
        <f>L18+M18</f>
        <v>1228055.6630000002</v>
      </c>
      <c r="O18" s="44">
        <f>O20+O21+O22</f>
        <v>0</v>
      </c>
      <c r="P18" s="44">
        <f>N18+O18</f>
        <v>1228055.6630000002</v>
      </c>
      <c r="Q18" s="44">
        <f>Q20+Q21+Q22</f>
        <v>-1542.9730000000272</v>
      </c>
      <c r="R18" s="44">
        <f>P18+Q18</f>
        <v>1226512.6900000002</v>
      </c>
      <c r="S18" s="44">
        <f>S20+S21+S22</f>
        <v>0</v>
      </c>
      <c r="T18" s="44">
        <f>R18+S18</f>
        <v>1226512.6900000002</v>
      </c>
      <c r="U18" s="44">
        <f>U20+U21+U22</f>
        <v>-22160.916000000001</v>
      </c>
      <c r="V18" s="44">
        <f>T18+U18</f>
        <v>1204351.7740000002</v>
      </c>
      <c r="W18" s="44">
        <f>W20+W21+W22</f>
        <v>0</v>
      </c>
      <c r="X18" s="44">
        <f>V18+W18</f>
        <v>1204351.7740000002</v>
      </c>
      <c r="Y18" s="44">
        <f>Y20+Y21+Y22</f>
        <v>-30281.934000000001</v>
      </c>
      <c r="Z18" s="21">
        <f>X18+Y18</f>
        <v>1174069.8400000003</v>
      </c>
      <c r="AA18" s="45"/>
      <c r="AB18" s="46"/>
      <c r="AC18" s="47"/>
    </row>
    <row r="19" spans="1:29" x14ac:dyDescent="0.3">
      <c r="A19" s="1"/>
      <c r="B19" s="20" t="s">
        <v>2</v>
      </c>
      <c r="C19" s="12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39"/>
      <c r="Z19" s="21"/>
    </row>
    <row r="20" spans="1:29" hidden="1" x14ac:dyDescent="0.35">
      <c r="A20" s="1"/>
      <c r="B20" s="20" t="s">
        <v>3</v>
      </c>
      <c r="C20" s="13"/>
      <c r="D20" s="22">
        <f>D23+D28+D41+D44+D45+D46+D29+D36+D32</f>
        <v>628376.80000000005</v>
      </c>
      <c r="E20" s="22">
        <f>E23+E28+E29+E34+E41+E44+E45+E46+E32</f>
        <v>-17302</v>
      </c>
      <c r="F20" s="21">
        <f>D20+E20</f>
        <v>611074.80000000005</v>
      </c>
      <c r="G20" s="22">
        <f>G23+G28+G29+G34+G41+G44+G45+G46+G47+G48+G49+G50+G51+G52+G53+G54+G32</f>
        <v>253354.47899999999</v>
      </c>
      <c r="H20" s="21">
        <f>F20+G20</f>
        <v>864429.2790000001</v>
      </c>
      <c r="I20" s="22">
        <f>I23+I28+I29+I34+I41+I44+I45+I46+I47+I48+I49+I50+I51+I52+I53+I54+I32</f>
        <v>-108000</v>
      </c>
      <c r="J20" s="21">
        <f>H20+I20</f>
        <v>756429.2790000001</v>
      </c>
      <c r="K20" s="22">
        <f>K23+K28+K29+K34+K41+K44+K45+K46+K47+K48+K49+K50+K51+K52+K53+K54+K32</f>
        <v>40000</v>
      </c>
      <c r="L20" s="21">
        <f>J20+K20</f>
        <v>796429.2790000001</v>
      </c>
      <c r="M20" s="22">
        <f>M23+M28+M29+M41+M44+M45+M46+M47+M48+M49+M50+M51+M52+M53+M54+M36+M32+M57+M60</f>
        <v>-95074.106000000014</v>
      </c>
      <c r="N20" s="21">
        <f>L20+M20</f>
        <v>701355.17300000007</v>
      </c>
      <c r="O20" s="22">
        <f>O23+O28+O29+O41+O44+O45+O46+O47+O48+O49+O50+O51+O52+O53+O54+O36+O32+O57+O60</f>
        <v>0</v>
      </c>
      <c r="P20" s="21">
        <f>N20+O20</f>
        <v>701355.17300000007</v>
      </c>
      <c r="Q20" s="22">
        <f>Q25+Q28+Q29+Q41+Q44+Q45+Q46+Q47+Q48+Q49+Q50+Q51+Q52+Q53+Q54+Q36+Q32+Q57+Q60+Q61</f>
        <v>-114318.95400000003</v>
      </c>
      <c r="R20" s="21">
        <f>P20+Q20</f>
        <v>587036.21900000004</v>
      </c>
      <c r="S20" s="22">
        <f>S25+S28+S29+S41+S44+S45+S46+S47+S48+S49+S50+S51+S52+S53+S54+S36+S32+S57+S60+S61</f>
        <v>0</v>
      </c>
      <c r="T20" s="21">
        <f>R20+S20</f>
        <v>587036.21900000004</v>
      </c>
      <c r="U20" s="22">
        <f>U25+U28+U29+U41+U44+U45+U46+U47+U48+U49+U50+U51+U52+U53+U54+U36+U32+U57+U60+U61+U62</f>
        <v>-22160.916000000001</v>
      </c>
      <c r="V20" s="21">
        <f>T20+U20</f>
        <v>564875.30300000007</v>
      </c>
      <c r="W20" s="22">
        <f>W25+W28+W29+W41+W44+W45+W46+W47+W48+W49+W50+W51+W52+W53+W54+W36+W32+W57+W60+W61+W62</f>
        <v>0</v>
      </c>
      <c r="X20" s="21">
        <f>V20+W20</f>
        <v>564875.30300000007</v>
      </c>
      <c r="Y20" s="40">
        <f>Y25+Y28+Y29+Y41+Y44+Y45+Y46+Y47+Y48+Y49+Y50+Y51+Y52+Y53+Y54+Y36+Y32+Y57+Y60+Y61+Y62</f>
        <v>-30281.934000000001</v>
      </c>
      <c r="Z20" s="21">
        <f>X20+Y20</f>
        <v>534593.36900000006</v>
      </c>
      <c r="AB20" s="28">
        <v>0</v>
      </c>
    </row>
    <row r="21" spans="1:29" x14ac:dyDescent="0.3">
      <c r="A21" s="1"/>
      <c r="B21" s="20" t="s">
        <v>18</v>
      </c>
      <c r="C21" s="12"/>
      <c r="D21" s="21">
        <f>D42</f>
        <v>261502.3</v>
      </c>
      <c r="E21" s="21">
        <f>E42</f>
        <v>0</v>
      </c>
      <c r="F21" s="21">
        <f t="shared" ref="F21:F122" si="0">D21+E21</f>
        <v>261502.3</v>
      </c>
      <c r="G21" s="21">
        <f>G42</f>
        <v>0</v>
      </c>
      <c r="H21" s="21">
        <f t="shared" ref="H21:H39" si="1">F21+G21</f>
        <v>261502.3</v>
      </c>
      <c r="I21" s="21">
        <f>I42</f>
        <v>0</v>
      </c>
      <c r="J21" s="21">
        <f t="shared" ref="J21:J39" si="2">H21+I21</f>
        <v>261502.3</v>
      </c>
      <c r="K21" s="21">
        <f>K42</f>
        <v>0</v>
      </c>
      <c r="L21" s="21">
        <f t="shared" ref="L21:L39" si="3">J21+K21</f>
        <v>261502.3</v>
      </c>
      <c r="M21" s="21">
        <f>M42+M37+M33+M58</f>
        <v>16802.500000000018</v>
      </c>
      <c r="N21" s="21">
        <f t="shared" ref="N21:N39" si="4">L21+M21</f>
        <v>278304.8</v>
      </c>
      <c r="O21" s="21">
        <f>O42+O37+O33+O58</f>
        <v>0</v>
      </c>
      <c r="P21" s="21">
        <f t="shared" ref="P21:P30" si="5">N21+O21</f>
        <v>278304.8</v>
      </c>
      <c r="Q21" s="21">
        <f>Q42+Q37+Q33+Q58+Q26</f>
        <v>-6892.8190000000031</v>
      </c>
      <c r="R21" s="21">
        <f t="shared" ref="R21:R30" si="6">P21+Q21</f>
        <v>271411.98099999997</v>
      </c>
      <c r="S21" s="21">
        <f>S42+S37+S33+S58+S26</f>
        <v>0</v>
      </c>
      <c r="T21" s="21">
        <f t="shared" ref="T21:T22" si="7">R21+S21</f>
        <v>271411.98099999997</v>
      </c>
      <c r="U21" s="21">
        <f>U42+U37+U33+U58+U26</f>
        <v>0</v>
      </c>
      <c r="V21" s="21">
        <f t="shared" ref="V21:V22" si="8">T21+U21</f>
        <v>271411.98099999997</v>
      </c>
      <c r="W21" s="21">
        <f>W42+W37+W33+W58+W26</f>
        <v>0</v>
      </c>
      <c r="X21" s="21">
        <f t="shared" ref="X21:X22" si="9">V21+W21</f>
        <v>271411.98099999997</v>
      </c>
      <c r="Y21" s="39">
        <f>Y42+Y37+Y33+Y58+Y26</f>
        <v>0</v>
      </c>
      <c r="Z21" s="21">
        <f t="shared" ref="Z21:Z22" si="10">X21+Y21</f>
        <v>271411.98099999997</v>
      </c>
    </row>
    <row r="22" spans="1:29" x14ac:dyDescent="0.3">
      <c r="A22" s="1"/>
      <c r="B22" s="20" t="s">
        <v>24</v>
      </c>
      <c r="C22" s="12"/>
      <c r="D22" s="21"/>
      <c r="E22" s="21"/>
      <c r="F22" s="21"/>
      <c r="G22" s="21"/>
      <c r="H22" s="21"/>
      <c r="I22" s="21"/>
      <c r="J22" s="21"/>
      <c r="K22" s="21"/>
      <c r="L22" s="21"/>
      <c r="M22" s="21">
        <f>M38+M59+M43</f>
        <v>248395.69</v>
      </c>
      <c r="N22" s="21">
        <f t="shared" si="4"/>
        <v>248395.69</v>
      </c>
      <c r="O22" s="21">
        <f>O38+O59+O43</f>
        <v>0</v>
      </c>
      <c r="P22" s="21">
        <f t="shared" si="5"/>
        <v>248395.69</v>
      </c>
      <c r="Q22" s="21">
        <f>Q38+Q59+Q43+Q27</f>
        <v>119668.8</v>
      </c>
      <c r="R22" s="21">
        <f t="shared" si="6"/>
        <v>368064.49</v>
      </c>
      <c r="S22" s="21">
        <f>S38+S59+S43+S27</f>
        <v>0</v>
      </c>
      <c r="T22" s="21">
        <f t="shared" si="7"/>
        <v>368064.49</v>
      </c>
      <c r="U22" s="21">
        <f>U38+U59+U43+U27</f>
        <v>0</v>
      </c>
      <c r="V22" s="21">
        <f t="shared" si="8"/>
        <v>368064.49</v>
      </c>
      <c r="W22" s="21">
        <f>W38+W59+W43+W27</f>
        <v>0</v>
      </c>
      <c r="X22" s="21">
        <f t="shared" si="9"/>
        <v>368064.49</v>
      </c>
      <c r="Y22" s="39">
        <f>Y38+Y59+Y43+Y27</f>
        <v>0</v>
      </c>
      <c r="Z22" s="21">
        <f t="shared" si="10"/>
        <v>368064.49</v>
      </c>
    </row>
    <row r="23" spans="1:29" ht="72" x14ac:dyDescent="0.3">
      <c r="A23" s="1" t="s">
        <v>113</v>
      </c>
      <c r="B23" s="68" t="s">
        <v>167</v>
      </c>
      <c r="C23" s="3" t="s">
        <v>17</v>
      </c>
      <c r="D23" s="21">
        <v>264498.90000000002</v>
      </c>
      <c r="E23" s="21">
        <v>-14377.7</v>
      </c>
      <c r="F23" s="21">
        <f t="shared" si="0"/>
        <v>250121.2</v>
      </c>
      <c r="G23" s="21"/>
      <c r="H23" s="21">
        <f t="shared" si="1"/>
        <v>250121.2</v>
      </c>
      <c r="I23" s="21"/>
      <c r="J23" s="21">
        <f t="shared" si="2"/>
        <v>250121.2</v>
      </c>
      <c r="K23" s="21"/>
      <c r="L23" s="21">
        <f t="shared" si="3"/>
        <v>250121.2</v>
      </c>
      <c r="M23" s="21"/>
      <c r="N23" s="21">
        <f t="shared" si="4"/>
        <v>250121.2</v>
      </c>
      <c r="O23" s="21"/>
      <c r="P23" s="21">
        <f>P25+P26+P27</f>
        <v>250121.2</v>
      </c>
      <c r="Q23" s="21">
        <f>Q25+Q26+Q27</f>
        <v>-2121.2000000000262</v>
      </c>
      <c r="R23" s="21">
        <f>P23+Q23</f>
        <v>248000</v>
      </c>
      <c r="S23" s="21">
        <f>S25+S26+S27</f>
        <v>0</v>
      </c>
      <c r="T23" s="21">
        <f>R23+S23</f>
        <v>248000</v>
      </c>
      <c r="U23" s="21">
        <f>U25+U26+U27</f>
        <v>0</v>
      </c>
      <c r="V23" s="21">
        <f>T23+U23</f>
        <v>248000</v>
      </c>
      <c r="W23" s="21">
        <f>W25+W26+W27</f>
        <v>0</v>
      </c>
      <c r="X23" s="21">
        <f>V23+W23</f>
        <v>248000</v>
      </c>
      <c r="Y23" s="39">
        <f>Y25+Y26+Y27</f>
        <v>0</v>
      </c>
      <c r="Z23" s="21">
        <f>X23+Y23</f>
        <v>248000</v>
      </c>
    </row>
    <row r="24" spans="1:29" x14ac:dyDescent="0.3">
      <c r="A24" s="1"/>
      <c r="B24" s="20" t="s">
        <v>2</v>
      </c>
      <c r="C24" s="3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39"/>
      <c r="Z24" s="21"/>
    </row>
    <row r="25" spans="1:29" hidden="1" x14ac:dyDescent="0.3">
      <c r="A25" s="1"/>
      <c r="B25" s="20" t="s">
        <v>3</v>
      </c>
      <c r="C25" s="3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>
        <v>250121.2</v>
      </c>
      <c r="Q25" s="21">
        <f>-250121.2+84062.74</f>
        <v>-166058.46000000002</v>
      </c>
      <c r="R25" s="21">
        <f t="shared" ref="R25:R27" si="11">P25+Q25</f>
        <v>84062.739999999991</v>
      </c>
      <c r="S25" s="21"/>
      <c r="T25" s="21">
        <f t="shared" ref="T25:T30" si="12">R25+S25</f>
        <v>84062.739999999991</v>
      </c>
      <c r="U25" s="21"/>
      <c r="V25" s="21">
        <f t="shared" ref="V25:V30" si="13">T25+U25</f>
        <v>84062.739999999991</v>
      </c>
      <c r="W25" s="21"/>
      <c r="X25" s="21">
        <f t="shared" ref="X25:X30" si="14">V25+W25</f>
        <v>84062.739999999991</v>
      </c>
      <c r="Y25" s="39"/>
      <c r="Z25" s="21">
        <f t="shared" ref="Z25:Z30" si="15">X25+Y25</f>
        <v>84062.739999999991</v>
      </c>
      <c r="AA25" s="16" t="s">
        <v>237</v>
      </c>
      <c r="AB25" s="28">
        <v>0</v>
      </c>
    </row>
    <row r="26" spans="1:29" x14ac:dyDescent="0.3">
      <c r="A26" s="1"/>
      <c r="B26" s="20" t="s">
        <v>18</v>
      </c>
      <c r="C26" s="3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>
        <f>44261.063+7.397</f>
        <v>44268.46</v>
      </c>
      <c r="R26" s="21">
        <f t="shared" si="11"/>
        <v>44268.46</v>
      </c>
      <c r="S26" s="21"/>
      <c r="T26" s="21">
        <f t="shared" si="12"/>
        <v>44268.46</v>
      </c>
      <c r="U26" s="21"/>
      <c r="V26" s="21">
        <f t="shared" si="13"/>
        <v>44268.46</v>
      </c>
      <c r="W26" s="21"/>
      <c r="X26" s="21">
        <f t="shared" si="14"/>
        <v>44268.46</v>
      </c>
      <c r="Y26" s="39"/>
      <c r="Z26" s="21">
        <f t="shared" si="15"/>
        <v>44268.46</v>
      </c>
      <c r="AA26" s="16" t="s">
        <v>241</v>
      </c>
    </row>
    <row r="27" spans="1:29" x14ac:dyDescent="0.3">
      <c r="A27" s="1"/>
      <c r="B27" s="68" t="s">
        <v>24</v>
      </c>
      <c r="C27" s="3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>
        <v>119668.8</v>
      </c>
      <c r="R27" s="21">
        <f t="shared" si="11"/>
        <v>119668.8</v>
      </c>
      <c r="S27" s="21"/>
      <c r="T27" s="21">
        <f t="shared" si="12"/>
        <v>119668.8</v>
      </c>
      <c r="U27" s="21"/>
      <c r="V27" s="21">
        <f t="shared" si="13"/>
        <v>119668.8</v>
      </c>
      <c r="W27" s="21"/>
      <c r="X27" s="21">
        <f t="shared" si="14"/>
        <v>119668.8</v>
      </c>
      <c r="Y27" s="39"/>
      <c r="Z27" s="21">
        <f t="shared" si="15"/>
        <v>119668.8</v>
      </c>
      <c r="AA27" s="16" t="s">
        <v>236</v>
      </c>
    </row>
    <row r="28" spans="1:29" ht="63.75" customHeight="1" x14ac:dyDescent="0.3">
      <c r="A28" s="1" t="s">
        <v>114</v>
      </c>
      <c r="B28" s="68" t="s">
        <v>250</v>
      </c>
      <c r="C28" s="3" t="s">
        <v>48</v>
      </c>
      <c r="D28" s="23">
        <v>12890.7</v>
      </c>
      <c r="E28" s="23"/>
      <c r="F28" s="21">
        <f t="shared" si="0"/>
        <v>12890.7</v>
      </c>
      <c r="G28" s="23">
        <v>16924.7</v>
      </c>
      <c r="H28" s="21">
        <f t="shared" si="1"/>
        <v>29815.4</v>
      </c>
      <c r="I28" s="23"/>
      <c r="J28" s="21">
        <f t="shared" si="2"/>
        <v>29815.4</v>
      </c>
      <c r="K28" s="23"/>
      <c r="L28" s="21">
        <f t="shared" si="3"/>
        <v>29815.4</v>
      </c>
      <c r="M28" s="23"/>
      <c r="N28" s="21">
        <f t="shared" si="4"/>
        <v>29815.4</v>
      </c>
      <c r="O28" s="23"/>
      <c r="P28" s="21">
        <f t="shared" si="5"/>
        <v>29815.4</v>
      </c>
      <c r="Q28" s="23"/>
      <c r="R28" s="21">
        <f t="shared" si="6"/>
        <v>29815.4</v>
      </c>
      <c r="S28" s="23"/>
      <c r="T28" s="21">
        <f t="shared" si="12"/>
        <v>29815.4</v>
      </c>
      <c r="U28" s="23">
        <v>-10230.983</v>
      </c>
      <c r="V28" s="21">
        <f t="shared" si="13"/>
        <v>19584.417000000001</v>
      </c>
      <c r="W28" s="23"/>
      <c r="X28" s="21">
        <f t="shared" si="14"/>
        <v>19584.417000000001</v>
      </c>
      <c r="Y28" s="41"/>
      <c r="Z28" s="21">
        <f t="shared" si="15"/>
        <v>19584.417000000001</v>
      </c>
      <c r="AA28" s="19">
        <v>2420141390</v>
      </c>
    </row>
    <row r="29" spans="1:29" ht="62.25" customHeight="1" x14ac:dyDescent="0.3">
      <c r="A29" s="79" t="s">
        <v>230</v>
      </c>
      <c r="B29" s="81" t="s">
        <v>249</v>
      </c>
      <c r="C29" s="3" t="s">
        <v>13</v>
      </c>
      <c r="D29" s="23">
        <v>25285.4</v>
      </c>
      <c r="E29" s="23"/>
      <c r="F29" s="21">
        <f t="shared" si="0"/>
        <v>25285.4</v>
      </c>
      <c r="G29" s="23"/>
      <c r="H29" s="21">
        <f t="shared" si="1"/>
        <v>25285.4</v>
      </c>
      <c r="I29" s="23"/>
      <c r="J29" s="21">
        <f t="shared" si="2"/>
        <v>25285.4</v>
      </c>
      <c r="K29" s="23"/>
      <c r="L29" s="21">
        <f t="shared" si="3"/>
        <v>25285.4</v>
      </c>
      <c r="M29" s="23"/>
      <c r="N29" s="21">
        <f t="shared" si="4"/>
        <v>25285.4</v>
      </c>
      <c r="O29" s="23"/>
      <c r="P29" s="21">
        <f t="shared" si="5"/>
        <v>25285.4</v>
      </c>
      <c r="Q29" s="23"/>
      <c r="R29" s="21">
        <f t="shared" si="6"/>
        <v>25285.4</v>
      </c>
      <c r="S29" s="23"/>
      <c r="T29" s="21">
        <f t="shared" si="12"/>
        <v>25285.4</v>
      </c>
      <c r="U29" s="23"/>
      <c r="V29" s="21">
        <f t="shared" si="13"/>
        <v>25285.4</v>
      </c>
      <c r="W29" s="23"/>
      <c r="X29" s="21">
        <f t="shared" si="14"/>
        <v>25285.4</v>
      </c>
      <c r="Y29" s="41"/>
      <c r="Z29" s="21">
        <f t="shared" si="15"/>
        <v>25285.4</v>
      </c>
      <c r="AA29" s="16" t="s">
        <v>92</v>
      </c>
    </row>
    <row r="30" spans="1:29" ht="62.25" customHeight="1" x14ac:dyDescent="0.3">
      <c r="A30" s="80"/>
      <c r="B30" s="82"/>
      <c r="C30" s="3" t="s">
        <v>48</v>
      </c>
      <c r="D30" s="23">
        <f>D32</f>
        <v>203137.3</v>
      </c>
      <c r="E30" s="23">
        <f>E32</f>
        <v>62075.7</v>
      </c>
      <c r="F30" s="21">
        <f>D30+E30</f>
        <v>265213</v>
      </c>
      <c r="G30" s="23">
        <f>G32</f>
        <v>51507.438000000002</v>
      </c>
      <c r="H30" s="21">
        <f t="shared" ref="H30:H32" si="16">F30+G30</f>
        <v>316720.43800000002</v>
      </c>
      <c r="I30" s="23"/>
      <c r="J30" s="21">
        <f t="shared" ref="J30:J32" si="17">H30+I30</f>
        <v>316720.43800000002</v>
      </c>
      <c r="K30" s="23"/>
      <c r="L30" s="21">
        <f t="shared" ref="L30:L32" si="18">J30+K30</f>
        <v>316720.43800000002</v>
      </c>
      <c r="M30" s="23">
        <f>M32+M33</f>
        <v>0</v>
      </c>
      <c r="N30" s="21">
        <f t="shared" ref="N30:N33" si="19">L30+M30</f>
        <v>316720.43800000002</v>
      </c>
      <c r="O30" s="23">
        <f>O32+O33</f>
        <v>0</v>
      </c>
      <c r="P30" s="21">
        <f t="shared" si="5"/>
        <v>316720.43800000002</v>
      </c>
      <c r="Q30" s="23">
        <f>Q32+Q33</f>
        <v>0</v>
      </c>
      <c r="R30" s="21">
        <f t="shared" si="6"/>
        <v>316720.43800000002</v>
      </c>
      <c r="S30" s="23">
        <f>S32+S33</f>
        <v>0</v>
      </c>
      <c r="T30" s="21">
        <f t="shared" si="12"/>
        <v>316720.43800000002</v>
      </c>
      <c r="U30" s="23">
        <f>U32+U33</f>
        <v>0</v>
      </c>
      <c r="V30" s="21">
        <f t="shared" si="13"/>
        <v>316720.43800000002</v>
      </c>
      <c r="W30" s="23">
        <f>W32+W33</f>
        <v>0</v>
      </c>
      <c r="X30" s="21">
        <f t="shared" si="14"/>
        <v>316720.43800000002</v>
      </c>
      <c r="Y30" s="41">
        <f>Y32+Y33</f>
        <v>-6.2E-2</v>
      </c>
      <c r="Z30" s="21">
        <f t="shared" si="15"/>
        <v>316720.37600000005</v>
      </c>
      <c r="AA30" s="16" t="s">
        <v>92</v>
      </c>
    </row>
    <row r="31" spans="1:29" x14ac:dyDescent="0.3">
      <c r="A31" s="1"/>
      <c r="B31" s="20" t="s">
        <v>2</v>
      </c>
      <c r="C31" s="12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39"/>
      <c r="Z31" s="21"/>
    </row>
    <row r="32" spans="1:29" hidden="1" x14ac:dyDescent="0.3">
      <c r="A32" s="1"/>
      <c r="B32" s="20" t="s">
        <v>3</v>
      </c>
      <c r="C32" s="12"/>
      <c r="D32" s="21">
        <v>203137.3</v>
      </c>
      <c r="E32" s="21">
        <v>62075.7</v>
      </c>
      <c r="F32" s="21">
        <f t="shared" ref="F32" si="20">D32+E32</f>
        <v>265213</v>
      </c>
      <c r="G32" s="21">
        <v>51507.438000000002</v>
      </c>
      <c r="H32" s="21">
        <f t="shared" si="16"/>
        <v>316720.43800000002</v>
      </c>
      <c r="I32" s="21"/>
      <c r="J32" s="21">
        <f t="shared" si="17"/>
        <v>316720.43800000002</v>
      </c>
      <c r="K32" s="21"/>
      <c r="L32" s="21">
        <f t="shared" si="18"/>
        <v>316720.43800000002</v>
      </c>
      <c r="M32" s="21">
        <f>-179243.307+44810.827</f>
        <v>-134432.48000000001</v>
      </c>
      <c r="N32" s="21">
        <f t="shared" si="19"/>
        <v>182287.95800000001</v>
      </c>
      <c r="O32" s="21"/>
      <c r="P32" s="21">
        <f t="shared" ref="P32:P34" si="21">N32+O32</f>
        <v>182287.95800000001</v>
      </c>
      <c r="Q32" s="21">
        <f>-17053.775+68215.101</f>
        <v>51161.325999999994</v>
      </c>
      <c r="R32" s="21">
        <f t="shared" ref="R32:R34" si="22">P32+Q32</f>
        <v>233449.28400000001</v>
      </c>
      <c r="S32" s="21"/>
      <c r="T32" s="21">
        <f t="shared" ref="T32:T34" si="23">R32+S32</f>
        <v>233449.28400000001</v>
      </c>
      <c r="U32" s="21"/>
      <c r="V32" s="21">
        <f t="shared" ref="V32:V34" si="24">T32+U32</f>
        <v>233449.28400000001</v>
      </c>
      <c r="W32" s="21"/>
      <c r="X32" s="21">
        <f t="shared" ref="X32:X34" si="25">V32+W32</f>
        <v>233449.28400000001</v>
      </c>
      <c r="Y32" s="39">
        <v>-6.2E-2</v>
      </c>
      <c r="Z32" s="21">
        <f t="shared" ref="Z32:Z34" si="26">X32+Y32</f>
        <v>233449.22200000001</v>
      </c>
      <c r="AA32" s="16" t="s">
        <v>227</v>
      </c>
      <c r="AB32" s="28">
        <v>0</v>
      </c>
    </row>
    <row r="33" spans="1:28" x14ac:dyDescent="0.3">
      <c r="A33" s="1"/>
      <c r="B33" s="20" t="s">
        <v>18</v>
      </c>
      <c r="C33" s="12"/>
      <c r="D33" s="21"/>
      <c r="E33" s="21"/>
      <c r="F33" s="21"/>
      <c r="G33" s="21"/>
      <c r="H33" s="21"/>
      <c r="I33" s="21"/>
      <c r="J33" s="21"/>
      <c r="K33" s="21"/>
      <c r="L33" s="21"/>
      <c r="M33" s="21">
        <v>134432.48000000001</v>
      </c>
      <c r="N33" s="21">
        <f t="shared" si="19"/>
        <v>134432.48000000001</v>
      </c>
      <c r="O33" s="21"/>
      <c r="P33" s="21">
        <f t="shared" si="21"/>
        <v>134432.48000000001</v>
      </c>
      <c r="Q33" s="21">
        <v>-51161.326000000001</v>
      </c>
      <c r="R33" s="21">
        <f t="shared" si="22"/>
        <v>83271.15400000001</v>
      </c>
      <c r="S33" s="21"/>
      <c r="T33" s="21">
        <f t="shared" si="23"/>
        <v>83271.15400000001</v>
      </c>
      <c r="U33" s="21"/>
      <c r="V33" s="21">
        <f t="shared" si="24"/>
        <v>83271.15400000001</v>
      </c>
      <c r="W33" s="21"/>
      <c r="X33" s="21">
        <f t="shared" si="25"/>
        <v>83271.15400000001</v>
      </c>
      <c r="Y33" s="39"/>
      <c r="Z33" s="21">
        <f t="shared" si="26"/>
        <v>83271.15400000001</v>
      </c>
      <c r="AA33" s="16" t="s">
        <v>226</v>
      </c>
    </row>
    <row r="34" spans="1:28" ht="62.25" customHeight="1" x14ac:dyDescent="0.3">
      <c r="A34" s="1" t="s">
        <v>115</v>
      </c>
      <c r="B34" s="5" t="s">
        <v>93</v>
      </c>
      <c r="C34" s="3" t="s">
        <v>13</v>
      </c>
      <c r="D34" s="23">
        <f>D36</f>
        <v>19656.599999999999</v>
      </c>
      <c r="E34" s="23"/>
      <c r="F34" s="21">
        <f>D34+E34</f>
        <v>19656.599999999999</v>
      </c>
      <c r="G34" s="23">
        <f>G36</f>
        <v>-4.0000000000000001E-3</v>
      </c>
      <c r="H34" s="21">
        <f>F34+G34</f>
        <v>19656.595999999998</v>
      </c>
      <c r="I34" s="23"/>
      <c r="J34" s="21">
        <f>H34+I34</f>
        <v>19656.595999999998</v>
      </c>
      <c r="K34" s="23"/>
      <c r="L34" s="21">
        <f t="shared" si="3"/>
        <v>19656.595999999998</v>
      </c>
      <c r="M34" s="23">
        <f>M36+M38+M37</f>
        <v>44667.214000000007</v>
      </c>
      <c r="N34" s="21">
        <f t="shared" si="4"/>
        <v>64323.810000000005</v>
      </c>
      <c r="O34" s="23">
        <f>O36+O38+O37</f>
        <v>0</v>
      </c>
      <c r="P34" s="21">
        <f t="shared" si="21"/>
        <v>64323.810000000005</v>
      </c>
      <c r="Q34" s="23">
        <f>Q36+Q38+Q37</f>
        <v>0</v>
      </c>
      <c r="R34" s="21">
        <f t="shared" si="22"/>
        <v>64323.810000000005</v>
      </c>
      <c r="S34" s="23">
        <f>S36+S38+S37</f>
        <v>0</v>
      </c>
      <c r="T34" s="21">
        <f t="shared" si="23"/>
        <v>64323.810000000005</v>
      </c>
      <c r="U34" s="23">
        <f>U36+U38+U37</f>
        <v>0</v>
      </c>
      <c r="V34" s="21">
        <f t="shared" si="24"/>
        <v>64323.810000000005</v>
      </c>
      <c r="W34" s="23">
        <f>W36+W38+W37</f>
        <v>0</v>
      </c>
      <c r="X34" s="21">
        <f t="shared" si="25"/>
        <v>64323.810000000005</v>
      </c>
      <c r="Y34" s="41">
        <f>Y36+Y38+Y37</f>
        <v>0</v>
      </c>
      <c r="Z34" s="21">
        <f t="shared" si="26"/>
        <v>64323.810000000005</v>
      </c>
      <c r="AA34" s="19"/>
    </row>
    <row r="35" spans="1:28" ht="18" customHeight="1" x14ac:dyDescent="0.3">
      <c r="A35" s="1"/>
      <c r="B35" s="20" t="s">
        <v>2</v>
      </c>
      <c r="C35" s="3"/>
      <c r="D35" s="23"/>
      <c r="E35" s="23"/>
      <c r="F35" s="21"/>
      <c r="G35" s="23"/>
      <c r="H35" s="21"/>
      <c r="I35" s="23"/>
      <c r="J35" s="21"/>
      <c r="K35" s="23"/>
      <c r="L35" s="21"/>
      <c r="M35" s="23"/>
      <c r="N35" s="21"/>
      <c r="O35" s="23"/>
      <c r="P35" s="21"/>
      <c r="Q35" s="23"/>
      <c r="R35" s="21"/>
      <c r="S35" s="23"/>
      <c r="T35" s="21"/>
      <c r="U35" s="23"/>
      <c r="V35" s="21"/>
      <c r="W35" s="23"/>
      <c r="X35" s="21"/>
      <c r="Y35" s="41"/>
      <c r="Z35" s="21"/>
      <c r="AA35" s="19"/>
    </row>
    <row r="36" spans="1:28" ht="18" hidden="1" customHeight="1" x14ac:dyDescent="0.3">
      <c r="A36" s="1"/>
      <c r="B36" s="20" t="s">
        <v>3</v>
      </c>
      <c r="C36" s="3"/>
      <c r="D36" s="23">
        <v>19656.599999999999</v>
      </c>
      <c r="E36" s="23"/>
      <c r="F36" s="21">
        <f t="shared" ref="F36" si="27">D36+E36</f>
        <v>19656.599999999999</v>
      </c>
      <c r="G36" s="23">
        <v>-4.0000000000000001E-3</v>
      </c>
      <c r="H36" s="21">
        <f t="shared" ref="H36" si="28">F36+G36</f>
        <v>19656.595999999998</v>
      </c>
      <c r="I36" s="23"/>
      <c r="J36" s="21">
        <f t="shared" ref="J36" si="29">H36+I36</f>
        <v>19656.595999999998</v>
      </c>
      <c r="K36" s="23"/>
      <c r="L36" s="21">
        <f t="shared" si="3"/>
        <v>19656.595999999998</v>
      </c>
      <c r="M36" s="23">
        <f>-2092.3-15471.996</f>
        <v>-17564.295999999998</v>
      </c>
      <c r="N36" s="21">
        <f>L36+M36</f>
        <v>2092.2999999999993</v>
      </c>
      <c r="O36" s="23"/>
      <c r="P36" s="21">
        <f>N36+O36</f>
        <v>2092.2999999999993</v>
      </c>
      <c r="Q36" s="23"/>
      <c r="R36" s="21">
        <f>P36+Q36</f>
        <v>2092.2999999999993</v>
      </c>
      <c r="S36" s="23"/>
      <c r="T36" s="21">
        <f>R36+S36</f>
        <v>2092.2999999999993</v>
      </c>
      <c r="U36" s="23"/>
      <c r="V36" s="21">
        <f>T36+U36</f>
        <v>2092.2999999999993</v>
      </c>
      <c r="W36" s="23"/>
      <c r="X36" s="21">
        <f>V36+W36</f>
        <v>2092.2999999999993</v>
      </c>
      <c r="Y36" s="41"/>
      <c r="Z36" s="21">
        <f>X36+Y36</f>
        <v>2092.2999999999993</v>
      </c>
      <c r="AA36" s="49" t="s">
        <v>94</v>
      </c>
      <c r="AB36" s="28">
        <v>0</v>
      </c>
    </row>
    <row r="37" spans="1:28" ht="18" customHeight="1" x14ac:dyDescent="0.3">
      <c r="A37" s="1"/>
      <c r="B37" s="20" t="s">
        <v>18</v>
      </c>
      <c r="C37" s="3"/>
      <c r="D37" s="23"/>
      <c r="E37" s="23"/>
      <c r="F37" s="21"/>
      <c r="G37" s="23"/>
      <c r="H37" s="21"/>
      <c r="I37" s="23"/>
      <c r="J37" s="21"/>
      <c r="K37" s="23"/>
      <c r="L37" s="21"/>
      <c r="M37" s="23">
        <v>16802.5</v>
      </c>
      <c r="N37" s="21">
        <f>L37+M37</f>
        <v>16802.5</v>
      </c>
      <c r="O37" s="23"/>
      <c r="P37" s="21">
        <f>N37+O37</f>
        <v>16802.5</v>
      </c>
      <c r="Q37" s="23"/>
      <c r="R37" s="21">
        <f>P37+Q37</f>
        <v>16802.5</v>
      </c>
      <c r="S37" s="23"/>
      <c r="T37" s="21">
        <f>R37+S37</f>
        <v>16802.5</v>
      </c>
      <c r="U37" s="23"/>
      <c r="V37" s="21">
        <f>T37+U37</f>
        <v>16802.5</v>
      </c>
      <c r="W37" s="23"/>
      <c r="X37" s="21">
        <f>V37+W37</f>
        <v>16802.5</v>
      </c>
      <c r="Y37" s="41"/>
      <c r="Z37" s="21">
        <f>X37+Y37</f>
        <v>16802.5</v>
      </c>
      <c r="AA37" s="50" t="s">
        <v>225</v>
      </c>
    </row>
    <row r="38" spans="1:28" ht="18" customHeight="1" x14ac:dyDescent="0.3">
      <c r="A38" s="1"/>
      <c r="B38" s="20" t="s">
        <v>24</v>
      </c>
      <c r="C38" s="3"/>
      <c r="D38" s="23"/>
      <c r="E38" s="23"/>
      <c r="F38" s="21"/>
      <c r="G38" s="23"/>
      <c r="H38" s="21"/>
      <c r="I38" s="23"/>
      <c r="J38" s="21"/>
      <c r="K38" s="23"/>
      <c r="L38" s="21"/>
      <c r="M38" s="23">
        <v>45429.01</v>
      </c>
      <c r="N38" s="21">
        <f>L38+M38</f>
        <v>45429.01</v>
      </c>
      <c r="O38" s="23"/>
      <c r="P38" s="21">
        <f>N38+O38</f>
        <v>45429.01</v>
      </c>
      <c r="Q38" s="23"/>
      <c r="R38" s="21">
        <f>P38+Q38</f>
        <v>45429.01</v>
      </c>
      <c r="S38" s="23"/>
      <c r="T38" s="21">
        <f>R38+S38</f>
        <v>45429.01</v>
      </c>
      <c r="U38" s="23"/>
      <c r="V38" s="21">
        <f>T38+U38</f>
        <v>45429.01</v>
      </c>
      <c r="W38" s="23"/>
      <c r="X38" s="21">
        <f>V38+W38</f>
        <v>45429.01</v>
      </c>
      <c r="Y38" s="41"/>
      <c r="Z38" s="21">
        <f>X38+Y38</f>
        <v>45429.01</v>
      </c>
      <c r="AA38" s="50" t="s">
        <v>225</v>
      </c>
    </row>
    <row r="39" spans="1:28" ht="54" x14ac:dyDescent="0.3">
      <c r="A39" s="1" t="s">
        <v>116</v>
      </c>
      <c r="B39" s="5" t="s">
        <v>93</v>
      </c>
      <c r="C39" s="3" t="s">
        <v>48</v>
      </c>
      <c r="D39" s="23">
        <f>D41+D42</f>
        <v>347164.4</v>
      </c>
      <c r="E39" s="23">
        <f>E41+E42</f>
        <v>-65000</v>
      </c>
      <c r="F39" s="21">
        <f t="shared" si="0"/>
        <v>282164.40000000002</v>
      </c>
      <c r="G39" s="23">
        <f>G41+G42</f>
        <v>11007.302000000001</v>
      </c>
      <c r="H39" s="21">
        <f t="shared" si="1"/>
        <v>293171.70200000005</v>
      </c>
      <c r="I39" s="23">
        <f>I41+I42</f>
        <v>0</v>
      </c>
      <c r="J39" s="21">
        <f t="shared" si="2"/>
        <v>293171.70200000005</v>
      </c>
      <c r="K39" s="23">
        <f>K41+K42</f>
        <v>0</v>
      </c>
      <c r="L39" s="21">
        <f t="shared" si="3"/>
        <v>293171.70200000005</v>
      </c>
      <c r="M39" s="23">
        <f>M41+M42+M43</f>
        <v>0</v>
      </c>
      <c r="N39" s="21">
        <f t="shared" si="4"/>
        <v>293171.70200000005</v>
      </c>
      <c r="O39" s="23">
        <f>O41+O42+O43</f>
        <v>0</v>
      </c>
      <c r="P39" s="21">
        <f t="shared" ref="P39" si="30">N39+O39</f>
        <v>293171.70200000005</v>
      </c>
      <c r="Q39" s="23">
        <f>Q41+Q42+Q43</f>
        <v>0</v>
      </c>
      <c r="R39" s="21">
        <f t="shared" ref="R39" si="31">P39+Q39</f>
        <v>293171.70200000005</v>
      </c>
      <c r="S39" s="23">
        <f>S41+S42+S43</f>
        <v>0</v>
      </c>
      <c r="T39" s="21">
        <f t="shared" ref="T39" si="32">R39+S39</f>
        <v>293171.70200000005</v>
      </c>
      <c r="U39" s="23">
        <f>U41+U42+U43</f>
        <v>0</v>
      </c>
      <c r="V39" s="21">
        <f t="shared" ref="V39" si="33">T39+U39</f>
        <v>293171.70200000005</v>
      </c>
      <c r="W39" s="23">
        <f>W41+W42+W43</f>
        <v>0</v>
      </c>
      <c r="X39" s="21">
        <f t="shared" ref="X39" si="34">V39+W39</f>
        <v>293171.70200000005</v>
      </c>
      <c r="Y39" s="41">
        <f>Y41+Y42+Y43</f>
        <v>0</v>
      </c>
      <c r="Z39" s="21">
        <f t="shared" ref="Z39" si="35">X39+Y39</f>
        <v>293171.70200000005</v>
      </c>
    </row>
    <row r="40" spans="1:28" x14ac:dyDescent="0.3">
      <c r="A40" s="1"/>
      <c r="B40" s="20" t="s">
        <v>2</v>
      </c>
      <c r="C40" s="3"/>
      <c r="D40" s="23"/>
      <c r="E40" s="23"/>
      <c r="F40" s="21"/>
      <c r="G40" s="23"/>
      <c r="H40" s="21"/>
      <c r="I40" s="23"/>
      <c r="J40" s="21"/>
      <c r="K40" s="23"/>
      <c r="L40" s="21"/>
      <c r="M40" s="23"/>
      <c r="N40" s="21"/>
      <c r="O40" s="23"/>
      <c r="P40" s="21"/>
      <c r="Q40" s="23"/>
      <c r="R40" s="21"/>
      <c r="S40" s="23"/>
      <c r="T40" s="21"/>
      <c r="U40" s="23"/>
      <c r="V40" s="21"/>
      <c r="W40" s="23"/>
      <c r="X40" s="21"/>
      <c r="Y40" s="41"/>
      <c r="Z40" s="21"/>
      <c r="AB40" s="29"/>
    </row>
    <row r="41" spans="1:28" hidden="1" x14ac:dyDescent="0.3">
      <c r="A41" s="1"/>
      <c r="B41" s="20" t="s">
        <v>3</v>
      </c>
      <c r="C41" s="3"/>
      <c r="D41" s="24">
        <v>85662.100000000035</v>
      </c>
      <c r="E41" s="24">
        <f>-64999.9-0.1</f>
        <v>-65000</v>
      </c>
      <c r="F41" s="21">
        <f t="shared" si="0"/>
        <v>20662.100000000035</v>
      </c>
      <c r="G41" s="24">
        <f>11007.298+0.004</f>
        <v>11007.302000000001</v>
      </c>
      <c r="H41" s="21">
        <f t="shared" ref="H41:H63" si="36">F41+G41</f>
        <v>31669.402000000038</v>
      </c>
      <c r="I41" s="24"/>
      <c r="J41" s="21">
        <f t="shared" ref="J41:J63" si="37">H41+I41</f>
        <v>31669.402000000038</v>
      </c>
      <c r="K41" s="24"/>
      <c r="L41" s="21">
        <f t="shared" ref="L41:L63" si="38">J41+K41</f>
        <v>31669.402000000038</v>
      </c>
      <c r="M41" s="24">
        <f>2741.86-2741.86</f>
        <v>0</v>
      </c>
      <c r="N41" s="21">
        <f t="shared" ref="N41:N63" si="39">L41+M41</f>
        <v>31669.402000000038</v>
      </c>
      <c r="O41" s="24"/>
      <c r="P41" s="21">
        <f t="shared" ref="P41:P55" si="40">N41+O41</f>
        <v>31669.402000000038</v>
      </c>
      <c r="Q41" s="24"/>
      <c r="R41" s="21">
        <f t="shared" ref="R41:R55" si="41">P41+Q41</f>
        <v>31669.402000000038</v>
      </c>
      <c r="S41" s="24"/>
      <c r="T41" s="21">
        <f t="shared" ref="T41:T55" si="42">R41+S41</f>
        <v>31669.402000000038</v>
      </c>
      <c r="U41" s="24"/>
      <c r="V41" s="21">
        <f t="shared" ref="V41:V55" si="43">T41+U41</f>
        <v>31669.402000000038</v>
      </c>
      <c r="W41" s="24"/>
      <c r="X41" s="21">
        <f t="shared" ref="X41:X55" si="44">V41+W41</f>
        <v>31669.402000000038</v>
      </c>
      <c r="Y41" s="42"/>
      <c r="Z41" s="21">
        <f t="shared" ref="Z41:Z55" si="45">X41+Y41</f>
        <v>31669.402000000038</v>
      </c>
      <c r="AA41" s="16" t="s">
        <v>94</v>
      </c>
      <c r="AB41" s="28">
        <v>0</v>
      </c>
    </row>
    <row r="42" spans="1:28" x14ac:dyDescent="0.3">
      <c r="A42" s="1"/>
      <c r="B42" s="20" t="s">
        <v>18</v>
      </c>
      <c r="C42" s="5"/>
      <c r="D42" s="21">
        <v>261502.3</v>
      </c>
      <c r="E42" s="21"/>
      <c r="F42" s="21">
        <f t="shared" si="0"/>
        <v>261502.3</v>
      </c>
      <c r="G42" s="21"/>
      <c r="H42" s="21">
        <f t="shared" si="36"/>
        <v>261502.3</v>
      </c>
      <c r="I42" s="21"/>
      <c r="J42" s="21">
        <f t="shared" si="37"/>
        <v>261502.3</v>
      </c>
      <c r="K42" s="21"/>
      <c r="L42" s="21">
        <f t="shared" si="38"/>
        <v>261502.3</v>
      </c>
      <c r="M42" s="21">
        <f>-209502.28+56565.6</f>
        <v>-152936.68</v>
      </c>
      <c r="N42" s="21">
        <f t="shared" si="39"/>
        <v>108565.62</v>
      </c>
      <c r="O42" s="21"/>
      <c r="P42" s="21">
        <f t="shared" si="40"/>
        <v>108565.62</v>
      </c>
      <c r="Q42" s="21"/>
      <c r="R42" s="21">
        <f t="shared" si="41"/>
        <v>108565.62</v>
      </c>
      <c r="S42" s="21"/>
      <c r="T42" s="21">
        <f t="shared" si="42"/>
        <v>108565.62</v>
      </c>
      <c r="U42" s="21"/>
      <c r="V42" s="21">
        <f t="shared" si="43"/>
        <v>108565.62</v>
      </c>
      <c r="W42" s="21"/>
      <c r="X42" s="21">
        <f t="shared" si="44"/>
        <v>108565.62</v>
      </c>
      <c r="Y42" s="39"/>
      <c r="Z42" s="21">
        <f t="shared" si="45"/>
        <v>108565.62</v>
      </c>
      <c r="AA42" s="18" t="s">
        <v>234</v>
      </c>
    </row>
    <row r="43" spans="1:28" x14ac:dyDescent="0.3">
      <c r="A43" s="1"/>
      <c r="B43" s="20" t="s">
        <v>24</v>
      </c>
      <c r="C43" s="5"/>
      <c r="D43" s="21"/>
      <c r="E43" s="21"/>
      <c r="F43" s="21"/>
      <c r="G43" s="21"/>
      <c r="H43" s="21"/>
      <c r="I43" s="21"/>
      <c r="J43" s="21"/>
      <c r="K43" s="21"/>
      <c r="L43" s="21"/>
      <c r="M43" s="21">
        <v>152936.68</v>
      </c>
      <c r="N43" s="21">
        <f t="shared" si="39"/>
        <v>152936.68</v>
      </c>
      <c r="O43" s="21"/>
      <c r="P43" s="21">
        <f t="shared" si="40"/>
        <v>152936.68</v>
      </c>
      <c r="Q43" s="21"/>
      <c r="R43" s="21">
        <f t="shared" si="41"/>
        <v>152936.68</v>
      </c>
      <c r="S43" s="21"/>
      <c r="T43" s="21">
        <f t="shared" si="42"/>
        <v>152936.68</v>
      </c>
      <c r="U43" s="21"/>
      <c r="V43" s="21">
        <f t="shared" si="43"/>
        <v>152936.68</v>
      </c>
      <c r="W43" s="21"/>
      <c r="X43" s="21">
        <f t="shared" si="44"/>
        <v>152936.68</v>
      </c>
      <c r="Y43" s="39"/>
      <c r="Z43" s="21">
        <f t="shared" si="45"/>
        <v>152936.68</v>
      </c>
      <c r="AA43" s="53" t="s">
        <v>225</v>
      </c>
    </row>
    <row r="44" spans="1:28" ht="44.25" customHeight="1" x14ac:dyDescent="0.3">
      <c r="A44" s="1" t="s">
        <v>117</v>
      </c>
      <c r="B44" s="68" t="s">
        <v>95</v>
      </c>
      <c r="C44" s="3" t="s">
        <v>13</v>
      </c>
      <c r="D44" s="21">
        <v>622.9</v>
      </c>
      <c r="E44" s="21"/>
      <c r="F44" s="21">
        <f t="shared" si="0"/>
        <v>622.9</v>
      </c>
      <c r="G44" s="21"/>
      <c r="H44" s="21">
        <f t="shared" si="36"/>
        <v>622.9</v>
      </c>
      <c r="I44" s="21"/>
      <c r="J44" s="21">
        <f t="shared" si="37"/>
        <v>622.9</v>
      </c>
      <c r="K44" s="21"/>
      <c r="L44" s="21">
        <f t="shared" si="38"/>
        <v>622.9</v>
      </c>
      <c r="M44" s="21"/>
      <c r="N44" s="21">
        <f t="shared" si="39"/>
        <v>622.9</v>
      </c>
      <c r="O44" s="21"/>
      <c r="P44" s="21">
        <f t="shared" si="40"/>
        <v>622.9</v>
      </c>
      <c r="Q44" s="21"/>
      <c r="R44" s="21">
        <f t="shared" si="41"/>
        <v>622.9</v>
      </c>
      <c r="S44" s="21"/>
      <c r="T44" s="21">
        <f t="shared" si="42"/>
        <v>622.9</v>
      </c>
      <c r="U44" s="21"/>
      <c r="V44" s="21">
        <f t="shared" si="43"/>
        <v>622.9</v>
      </c>
      <c r="W44" s="21"/>
      <c r="X44" s="21">
        <f t="shared" si="44"/>
        <v>622.9</v>
      </c>
      <c r="Y44" s="39"/>
      <c r="Z44" s="21">
        <f t="shared" si="45"/>
        <v>622.9</v>
      </c>
      <c r="AA44" s="16" t="s">
        <v>97</v>
      </c>
    </row>
    <row r="45" spans="1:28" ht="44.25" customHeight="1" x14ac:dyDescent="0.3">
      <c r="A45" s="1" t="s">
        <v>118</v>
      </c>
      <c r="B45" s="5" t="s">
        <v>96</v>
      </c>
      <c r="C45" s="3" t="s">
        <v>13</v>
      </c>
      <c r="D45" s="21">
        <v>16000</v>
      </c>
      <c r="E45" s="21"/>
      <c r="F45" s="21">
        <f t="shared" si="0"/>
        <v>16000</v>
      </c>
      <c r="G45" s="21"/>
      <c r="H45" s="21">
        <f t="shared" si="36"/>
        <v>16000</v>
      </c>
      <c r="I45" s="21"/>
      <c r="J45" s="21">
        <f t="shared" si="37"/>
        <v>16000</v>
      </c>
      <c r="K45" s="21"/>
      <c r="L45" s="21">
        <f t="shared" si="38"/>
        <v>16000</v>
      </c>
      <c r="M45" s="21"/>
      <c r="N45" s="21">
        <f t="shared" si="39"/>
        <v>16000</v>
      </c>
      <c r="O45" s="21"/>
      <c r="P45" s="21">
        <f t="shared" si="40"/>
        <v>16000</v>
      </c>
      <c r="Q45" s="21"/>
      <c r="R45" s="21">
        <f t="shared" si="41"/>
        <v>16000</v>
      </c>
      <c r="S45" s="21"/>
      <c r="T45" s="21">
        <f t="shared" si="42"/>
        <v>16000</v>
      </c>
      <c r="U45" s="21"/>
      <c r="V45" s="21">
        <f t="shared" si="43"/>
        <v>16000</v>
      </c>
      <c r="W45" s="21"/>
      <c r="X45" s="21">
        <f t="shared" si="44"/>
        <v>16000</v>
      </c>
      <c r="Y45" s="39"/>
      <c r="Z45" s="21">
        <f t="shared" si="45"/>
        <v>16000</v>
      </c>
      <c r="AA45" s="19" t="s">
        <v>98</v>
      </c>
    </row>
    <row r="46" spans="1:28" ht="44.25" customHeight="1" x14ac:dyDescent="0.3">
      <c r="A46" s="1" t="s">
        <v>119</v>
      </c>
      <c r="B46" s="68" t="s">
        <v>172</v>
      </c>
      <c r="C46" s="3" t="s">
        <v>13</v>
      </c>
      <c r="D46" s="21">
        <v>622.9</v>
      </c>
      <c r="E46" s="21"/>
      <c r="F46" s="21">
        <f t="shared" si="0"/>
        <v>622.9</v>
      </c>
      <c r="G46" s="21"/>
      <c r="H46" s="21">
        <f t="shared" si="36"/>
        <v>622.9</v>
      </c>
      <c r="I46" s="21"/>
      <c r="J46" s="21">
        <f t="shared" si="37"/>
        <v>622.9</v>
      </c>
      <c r="K46" s="21"/>
      <c r="L46" s="21">
        <f t="shared" si="38"/>
        <v>622.9</v>
      </c>
      <c r="M46" s="21"/>
      <c r="N46" s="21">
        <f t="shared" si="39"/>
        <v>622.9</v>
      </c>
      <c r="O46" s="21"/>
      <c r="P46" s="21">
        <f t="shared" si="40"/>
        <v>622.9</v>
      </c>
      <c r="Q46" s="21"/>
      <c r="R46" s="21">
        <f t="shared" si="41"/>
        <v>622.9</v>
      </c>
      <c r="S46" s="21"/>
      <c r="T46" s="21">
        <f t="shared" si="42"/>
        <v>622.9</v>
      </c>
      <c r="U46" s="21"/>
      <c r="V46" s="21">
        <f t="shared" si="43"/>
        <v>622.9</v>
      </c>
      <c r="W46" s="21"/>
      <c r="X46" s="21">
        <f t="shared" si="44"/>
        <v>622.9</v>
      </c>
      <c r="Y46" s="39"/>
      <c r="Z46" s="21">
        <f t="shared" si="45"/>
        <v>622.9</v>
      </c>
      <c r="AA46" s="16" t="s">
        <v>99</v>
      </c>
    </row>
    <row r="47" spans="1:28" ht="54" x14ac:dyDescent="0.3">
      <c r="A47" s="1" t="s">
        <v>120</v>
      </c>
      <c r="B47" s="68" t="s">
        <v>193</v>
      </c>
      <c r="C47" s="3" t="s">
        <v>48</v>
      </c>
      <c r="D47" s="23"/>
      <c r="E47" s="23"/>
      <c r="F47" s="21"/>
      <c r="G47" s="23">
        <f>7073+21098.8</f>
        <v>28171.8</v>
      </c>
      <c r="H47" s="21">
        <f t="shared" si="36"/>
        <v>28171.8</v>
      </c>
      <c r="I47" s="23"/>
      <c r="J47" s="21">
        <f t="shared" si="37"/>
        <v>28171.8</v>
      </c>
      <c r="K47" s="23">
        <v>40000</v>
      </c>
      <c r="L47" s="21">
        <f t="shared" si="38"/>
        <v>68171.8</v>
      </c>
      <c r="M47" s="23">
        <f>-37573.505+37573.505</f>
        <v>0</v>
      </c>
      <c r="N47" s="21">
        <f t="shared" si="39"/>
        <v>68171.8</v>
      </c>
      <c r="O47" s="23"/>
      <c r="P47" s="21">
        <f t="shared" si="40"/>
        <v>68171.8</v>
      </c>
      <c r="Q47" s="23"/>
      <c r="R47" s="21">
        <f t="shared" si="41"/>
        <v>68171.8</v>
      </c>
      <c r="S47" s="23"/>
      <c r="T47" s="21">
        <f t="shared" si="42"/>
        <v>68171.8</v>
      </c>
      <c r="U47" s="23"/>
      <c r="V47" s="21">
        <f t="shared" si="43"/>
        <v>68171.8</v>
      </c>
      <c r="W47" s="23"/>
      <c r="X47" s="21">
        <f t="shared" si="44"/>
        <v>68171.8</v>
      </c>
      <c r="Y47" s="41">
        <v>-28414.634999999998</v>
      </c>
      <c r="Z47" s="21">
        <f t="shared" si="45"/>
        <v>39757.165000000008</v>
      </c>
      <c r="AA47" s="19" t="s">
        <v>228</v>
      </c>
    </row>
    <row r="48" spans="1:28" ht="36" x14ac:dyDescent="0.3">
      <c r="A48" s="1" t="s">
        <v>121</v>
      </c>
      <c r="B48" s="68" t="s">
        <v>195</v>
      </c>
      <c r="C48" s="3" t="s">
        <v>13</v>
      </c>
      <c r="D48" s="23"/>
      <c r="E48" s="23"/>
      <c r="F48" s="21"/>
      <c r="G48" s="23">
        <v>622.9</v>
      </c>
      <c r="H48" s="21">
        <f t="shared" si="36"/>
        <v>622.9</v>
      </c>
      <c r="I48" s="23"/>
      <c r="J48" s="21">
        <f t="shared" si="37"/>
        <v>622.9</v>
      </c>
      <c r="K48" s="23"/>
      <c r="L48" s="21">
        <f t="shared" si="38"/>
        <v>622.9</v>
      </c>
      <c r="M48" s="23"/>
      <c r="N48" s="21">
        <f t="shared" si="39"/>
        <v>622.9</v>
      </c>
      <c r="O48" s="23"/>
      <c r="P48" s="21">
        <f t="shared" si="40"/>
        <v>622.9</v>
      </c>
      <c r="Q48" s="23"/>
      <c r="R48" s="21">
        <f t="shared" si="41"/>
        <v>622.9</v>
      </c>
      <c r="S48" s="23"/>
      <c r="T48" s="21">
        <f t="shared" si="42"/>
        <v>622.9</v>
      </c>
      <c r="U48" s="23"/>
      <c r="V48" s="21">
        <f t="shared" si="43"/>
        <v>622.9</v>
      </c>
      <c r="W48" s="23"/>
      <c r="X48" s="21">
        <f t="shared" si="44"/>
        <v>622.9</v>
      </c>
      <c r="Y48" s="41"/>
      <c r="Z48" s="21">
        <f t="shared" si="45"/>
        <v>622.9</v>
      </c>
      <c r="AA48" s="19">
        <v>2420241960</v>
      </c>
    </row>
    <row r="49" spans="1:29" ht="36" x14ac:dyDescent="0.3">
      <c r="A49" s="1" t="s">
        <v>122</v>
      </c>
      <c r="B49" s="68" t="s">
        <v>196</v>
      </c>
      <c r="C49" s="3" t="s">
        <v>13</v>
      </c>
      <c r="D49" s="23"/>
      <c r="E49" s="23"/>
      <c r="F49" s="21"/>
      <c r="G49" s="23">
        <v>622.9</v>
      </c>
      <c r="H49" s="21">
        <f t="shared" si="36"/>
        <v>622.9</v>
      </c>
      <c r="I49" s="23"/>
      <c r="J49" s="21">
        <f t="shared" si="37"/>
        <v>622.9</v>
      </c>
      <c r="K49" s="23"/>
      <c r="L49" s="21">
        <f t="shared" si="38"/>
        <v>622.9</v>
      </c>
      <c r="M49" s="23"/>
      <c r="N49" s="21">
        <f t="shared" si="39"/>
        <v>622.9</v>
      </c>
      <c r="O49" s="23"/>
      <c r="P49" s="21">
        <f t="shared" si="40"/>
        <v>622.9</v>
      </c>
      <c r="Q49" s="23"/>
      <c r="R49" s="21">
        <f t="shared" si="41"/>
        <v>622.9</v>
      </c>
      <c r="S49" s="23"/>
      <c r="T49" s="21">
        <f t="shared" si="42"/>
        <v>622.9</v>
      </c>
      <c r="U49" s="23"/>
      <c r="V49" s="21">
        <f t="shared" si="43"/>
        <v>622.9</v>
      </c>
      <c r="W49" s="23"/>
      <c r="X49" s="21">
        <f t="shared" si="44"/>
        <v>622.9</v>
      </c>
      <c r="Y49" s="41"/>
      <c r="Z49" s="21">
        <f t="shared" si="45"/>
        <v>622.9</v>
      </c>
      <c r="AA49" s="19">
        <v>2420241970</v>
      </c>
    </row>
    <row r="50" spans="1:29" ht="36" hidden="1" x14ac:dyDescent="0.3">
      <c r="A50" s="1" t="s">
        <v>124</v>
      </c>
      <c r="B50" s="57" t="s">
        <v>198</v>
      </c>
      <c r="C50" s="3" t="s">
        <v>13</v>
      </c>
      <c r="D50" s="23"/>
      <c r="E50" s="23"/>
      <c r="F50" s="21"/>
      <c r="G50" s="23">
        <v>14500</v>
      </c>
      <c r="H50" s="21">
        <f t="shared" si="36"/>
        <v>14500</v>
      </c>
      <c r="I50" s="23"/>
      <c r="J50" s="21">
        <f t="shared" si="37"/>
        <v>14500</v>
      </c>
      <c r="K50" s="23"/>
      <c r="L50" s="21">
        <f t="shared" si="38"/>
        <v>14500</v>
      </c>
      <c r="M50" s="23"/>
      <c r="N50" s="21">
        <f t="shared" si="39"/>
        <v>14500</v>
      </c>
      <c r="O50" s="23"/>
      <c r="P50" s="21">
        <f t="shared" si="40"/>
        <v>14500</v>
      </c>
      <c r="Q50" s="23"/>
      <c r="R50" s="21">
        <f t="shared" si="41"/>
        <v>14500</v>
      </c>
      <c r="S50" s="23"/>
      <c r="T50" s="21">
        <f t="shared" si="42"/>
        <v>14500</v>
      </c>
      <c r="U50" s="23">
        <v>-14500</v>
      </c>
      <c r="V50" s="21">
        <f t="shared" si="43"/>
        <v>0</v>
      </c>
      <c r="W50" s="23"/>
      <c r="X50" s="21">
        <f t="shared" si="44"/>
        <v>0</v>
      </c>
      <c r="Y50" s="41"/>
      <c r="Z50" s="21">
        <f t="shared" si="45"/>
        <v>0</v>
      </c>
      <c r="AA50" s="19">
        <v>2420241550</v>
      </c>
      <c r="AB50" s="28">
        <v>0</v>
      </c>
    </row>
    <row r="51" spans="1:29" ht="54" x14ac:dyDescent="0.3">
      <c r="A51" s="1" t="s">
        <v>124</v>
      </c>
      <c r="B51" s="68" t="s">
        <v>217</v>
      </c>
      <c r="C51" s="3" t="s">
        <v>48</v>
      </c>
      <c r="D51" s="23"/>
      <c r="E51" s="23"/>
      <c r="F51" s="21"/>
      <c r="G51" s="23">
        <v>35</v>
      </c>
      <c r="H51" s="21">
        <f t="shared" si="36"/>
        <v>35</v>
      </c>
      <c r="I51" s="23"/>
      <c r="J51" s="21">
        <f t="shared" si="37"/>
        <v>35</v>
      </c>
      <c r="K51" s="23"/>
      <c r="L51" s="21">
        <f t="shared" si="38"/>
        <v>35</v>
      </c>
      <c r="M51" s="23"/>
      <c r="N51" s="21">
        <f t="shared" si="39"/>
        <v>35</v>
      </c>
      <c r="O51" s="23"/>
      <c r="P51" s="21">
        <f t="shared" si="40"/>
        <v>35</v>
      </c>
      <c r="Q51" s="23"/>
      <c r="R51" s="21">
        <f t="shared" si="41"/>
        <v>35</v>
      </c>
      <c r="S51" s="23"/>
      <c r="T51" s="21">
        <f t="shared" si="42"/>
        <v>35</v>
      </c>
      <c r="U51" s="23"/>
      <c r="V51" s="21">
        <f t="shared" si="43"/>
        <v>35</v>
      </c>
      <c r="W51" s="23"/>
      <c r="X51" s="21">
        <f t="shared" si="44"/>
        <v>35</v>
      </c>
      <c r="Y51" s="41">
        <v>-20</v>
      </c>
      <c r="Z51" s="21">
        <f t="shared" si="45"/>
        <v>15</v>
      </c>
      <c r="AA51" s="19">
        <v>2410141600</v>
      </c>
    </row>
    <row r="52" spans="1:29" ht="54" x14ac:dyDescent="0.3">
      <c r="A52" s="1" t="s">
        <v>125</v>
      </c>
      <c r="B52" s="68" t="s">
        <v>242</v>
      </c>
      <c r="C52" s="3" t="s">
        <v>48</v>
      </c>
      <c r="D52" s="23"/>
      <c r="E52" s="23"/>
      <c r="F52" s="21"/>
      <c r="G52" s="23">
        <v>35</v>
      </c>
      <c r="H52" s="21">
        <f t="shared" si="36"/>
        <v>35</v>
      </c>
      <c r="I52" s="23"/>
      <c r="J52" s="21">
        <f t="shared" si="37"/>
        <v>35</v>
      </c>
      <c r="K52" s="23"/>
      <c r="L52" s="21">
        <f t="shared" si="38"/>
        <v>35</v>
      </c>
      <c r="M52" s="23"/>
      <c r="N52" s="21">
        <f t="shared" si="39"/>
        <v>35</v>
      </c>
      <c r="O52" s="23"/>
      <c r="P52" s="21">
        <f t="shared" si="40"/>
        <v>35</v>
      </c>
      <c r="Q52" s="23"/>
      <c r="R52" s="21">
        <f t="shared" si="41"/>
        <v>35</v>
      </c>
      <c r="S52" s="23"/>
      <c r="T52" s="21">
        <f t="shared" si="42"/>
        <v>35</v>
      </c>
      <c r="U52" s="23">
        <v>-10</v>
      </c>
      <c r="V52" s="21">
        <f t="shared" si="43"/>
        <v>25</v>
      </c>
      <c r="W52" s="23"/>
      <c r="X52" s="21">
        <f t="shared" si="44"/>
        <v>25</v>
      </c>
      <c r="Y52" s="41"/>
      <c r="Z52" s="21">
        <f t="shared" si="45"/>
        <v>25</v>
      </c>
      <c r="AA52" s="19">
        <v>2410141610</v>
      </c>
    </row>
    <row r="53" spans="1:29" ht="54" hidden="1" x14ac:dyDescent="0.3">
      <c r="A53" s="1" t="s">
        <v>127</v>
      </c>
      <c r="B53" s="33" t="s">
        <v>202</v>
      </c>
      <c r="C53" s="3" t="s">
        <v>17</v>
      </c>
      <c r="D53" s="23"/>
      <c r="E53" s="23"/>
      <c r="F53" s="21"/>
      <c r="G53" s="23">
        <v>108000</v>
      </c>
      <c r="H53" s="21">
        <f t="shared" si="36"/>
        <v>108000</v>
      </c>
      <c r="I53" s="23">
        <v>-108000</v>
      </c>
      <c r="J53" s="21">
        <f t="shared" si="37"/>
        <v>0</v>
      </c>
      <c r="K53" s="23"/>
      <c r="L53" s="21">
        <f t="shared" si="38"/>
        <v>0</v>
      </c>
      <c r="M53" s="23"/>
      <c r="N53" s="21">
        <f t="shared" si="39"/>
        <v>0</v>
      </c>
      <c r="O53" s="23"/>
      <c r="P53" s="21">
        <f t="shared" si="40"/>
        <v>0</v>
      </c>
      <c r="Q53" s="23"/>
      <c r="R53" s="21">
        <f t="shared" si="41"/>
        <v>0</v>
      </c>
      <c r="S53" s="23"/>
      <c r="T53" s="21">
        <f t="shared" si="42"/>
        <v>0</v>
      </c>
      <c r="U53" s="23"/>
      <c r="V53" s="21">
        <f t="shared" si="43"/>
        <v>0</v>
      </c>
      <c r="W53" s="23"/>
      <c r="X53" s="21">
        <f t="shared" si="44"/>
        <v>0</v>
      </c>
      <c r="Y53" s="41"/>
      <c r="Z53" s="21">
        <f t="shared" si="45"/>
        <v>0</v>
      </c>
      <c r="AA53" s="19">
        <v>2410141660</v>
      </c>
      <c r="AB53" s="28">
        <v>0</v>
      </c>
    </row>
    <row r="54" spans="1:29" ht="54" x14ac:dyDescent="0.3">
      <c r="A54" s="1" t="s">
        <v>126</v>
      </c>
      <c r="B54" s="68" t="s">
        <v>269</v>
      </c>
      <c r="C54" s="3" t="s">
        <v>48</v>
      </c>
      <c r="D54" s="23"/>
      <c r="E54" s="23"/>
      <c r="F54" s="21"/>
      <c r="G54" s="23">
        <v>21927.442999999999</v>
      </c>
      <c r="H54" s="21">
        <f t="shared" si="36"/>
        <v>21927.442999999999</v>
      </c>
      <c r="I54" s="23"/>
      <c r="J54" s="21">
        <f t="shared" si="37"/>
        <v>21927.442999999999</v>
      </c>
      <c r="K54" s="23"/>
      <c r="L54" s="21">
        <f t="shared" si="38"/>
        <v>21927.442999999999</v>
      </c>
      <c r="M54" s="23"/>
      <c r="N54" s="21">
        <f t="shared" si="39"/>
        <v>21927.442999999999</v>
      </c>
      <c r="O54" s="23"/>
      <c r="P54" s="21">
        <f t="shared" si="40"/>
        <v>21927.442999999999</v>
      </c>
      <c r="Q54" s="23"/>
      <c r="R54" s="21">
        <f t="shared" si="41"/>
        <v>21927.442999999999</v>
      </c>
      <c r="S54" s="23"/>
      <c r="T54" s="21">
        <f t="shared" si="42"/>
        <v>21927.442999999999</v>
      </c>
      <c r="U54" s="23">
        <v>2188.2719999999999</v>
      </c>
      <c r="V54" s="21">
        <f t="shared" si="43"/>
        <v>24115.715</v>
      </c>
      <c r="W54" s="23"/>
      <c r="X54" s="21">
        <f t="shared" si="44"/>
        <v>24115.715</v>
      </c>
      <c r="Y54" s="41"/>
      <c r="Z54" s="21">
        <f t="shared" si="45"/>
        <v>24115.715</v>
      </c>
      <c r="AA54" s="19">
        <v>2410141690</v>
      </c>
    </row>
    <row r="55" spans="1:29" ht="54" x14ac:dyDescent="0.3">
      <c r="A55" s="1" t="s">
        <v>127</v>
      </c>
      <c r="B55" s="68" t="s">
        <v>202</v>
      </c>
      <c r="C55" s="3" t="s">
        <v>17</v>
      </c>
      <c r="D55" s="23"/>
      <c r="E55" s="23"/>
      <c r="F55" s="21"/>
      <c r="G55" s="23"/>
      <c r="H55" s="21"/>
      <c r="I55" s="23"/>
      <c r="J55" s="21"/>
      <c r="K55" s="23"/>
      <c r="L55" s="21"/>
      <c r="M55" s="23">
        <f>M57+M58+M59</f>
        <v>108000</v>
      </c>
      <c r="N55" s="21">
        <f t="shared" si="39"/>
        <v>108000</v>
      </c>
      <c r="O55" s="23">
        <f>O57+O58+O59</f>
        <v>0</v>
      </c>
      <c r="P55" s="21">
        <f t="shared" si="40"/>
        <v>108000</v>
      </c>
      <c r="Q55" s="23">
        <f>Q57+Q58+Q59</f>
        <v>4.7E-2</v>
      </c>
      <c r="R55" s="21">
        <f t="shared" si="41"/>
        <v>108000.04700000001</v>
      </c>
      <c r="S55" s="23">
        <f>S57+S58+S59</f>
        <v>0</v>
      </c>
      <c r="T55" s="21">
        <f t="shared" si="42"/>
        <v>108000.04700000001</v>
      </c>
      <c r="U55" s="23">
        <f>U57+U58+U59</f>
        <v>0</v>
      </c>
      <c r="V55" s="21">
        <f t="shared" si="43"/>
        <v>108000.04700000001</v>
      </c>
      <c r="W55" s="23">
        <f>W57+W58+W59</f>
        <v>0</v>
      </c>
      <c r="X55" s="21">
        <f t="shared" si="44"/>
        <v>108000.04700000001</v>
      </c>
      <c r="Y55" s="41">
        <f>Y57+Y58+Y59</f>
        <v>0</v>
      </c>
      <c r="Z55" s="21">
        <f t="shared" si="45"/>
        <v>108000.04700000001</v>
      </c>
      <c r="AA55" s="19"/>
    </row>
    <row r="56" spans="1:29" x14ac:dyDescent="0.3">
      <c r="A56" s="1"/>
      <c r="B56" s="20" t="s">
        <v>2</v>
      </c>
      <c r="C56" s="3"/>
      <c r="D56" s="23"/>
      <c r="E56" s="23"/>
      <c r="F56" s="21"/>
      <c r="G56" s="23"/>
      <c r="H56" s="21"/>
      <c r="I56" s="23"/>
      <c r="J56" s="21"/>
      <c r="K56" s="23"/>
      <c r="L56" s="21"/>
      <c r="M56" s="23"/>
      <c r="N56" s="21"/>
      <c r="O56" s="23"/>
      <c r="P56" s="21"/>
      <c r="Q56" s="23"/>
      <c r="R56" s="21"/>
      <c r="S56" s="23"/>
      <c r="T56" s="21"/>
      <c r="U56" s="23"/>
      <c r="V56" s="21"/>
      <c r="W56" s="23"/>
      <c r="X56" s="21"/>
      <c r="Y56" s="41"/>
      <c r="Z56" s="21"/>
      <c r="AA56" s="19"/>
    </row>
    <row r="57" spans="1:29" hidden="1" x14ac:dyDescent="0.3">
      <c r="A57" s="1"/>
      <c r="B57" s="20" t="s">
        <v>3</v>
      </c>
      <c r="C57" s="3"/>
      <c r="D57" s="23"/>
      <c r="E57" s="23"/>
      <c r="F57" s="21"/>
      <c r="G57" s="23"/>
      <c r="H57" s="21"/>
      <c r="I57" s="23"/>
      <c r="J57" s="21"/>
      <c r="K57" s="23"/>
      <c r="L57" s="21"/>
      <c r="M57" s="23">
        <v>39465.800000000003</v>
      </c>
      <c r="N57" s="21">
        <f t="shared" si="39"/>
        <v>39465.800000000003</v>
      </c>
      <c r="O57" s="23"/>
      <c r="P57" s="21">
        <f t="shared" ref="P57:P63" si="46">N57+O57</f>
        <v>39465.800000000003</v>
      </c>
      <c r="Q57" s="23">
        <f>-39465.8+39465.8</f>
        <v>0</v>
      </c>
      <c r="R57" s="21">
        <f t="shared" ref="R57:R63" si="47">P57+Q57</f>
        <v>39465.800000000003</v>
      </c>
      <c r="S57" s="23"/>
      <c r="T57" s="21">
        <f t="shared" ref="T57:T63" si="48">R57+S57</f>
        <v>39465.800000000003</v>
      </c>
      <c r="U57" s="23"/>
      <c r="V57" s="21">
        <f t="shared" ref="V57:V63" si="49">T57+U57</f>
        <v>39465.800000000003</v>
      </c>
      <c r="W57" s="23"/>
      <c r="X57" s="21">
        <f t="shared" ref="X57:X63" si="50">V57+W57</f>
        <v>39465.800000000003</v>
      </c>
      <c r="Y57" s="41"/>
      <c r="Z57" s="21">
        <f t="shared" ref="Z57:Z63" si="51">X57+Y57</f>
        <v>39465.800000000003</v>
      </c>
      <c r="AA57" s="19" t="s">
        <v>238</v>
      </c>
      <c r="AB57" s="28">
        <v>0</v>
      </c>
    </row>
    <row r="58" spans="1:29" x14ac:dyDescent="0.3">
      <c r="A58" s="1"/>
      <c r="B58" s="20" t="s">
        <v>18</v>
      </c>
      <c r="C58" s="3"/>
      <c r="D58" s="23"/>
      <c r="E58" s="23"/>
      <c r="F58" s="21"/>
      <c r="G58" s="23"/>
      <c r="H58" s="21"/>
      <c r="I58" s="23"/>
      <c r="J58" s="21"/>
      <c r="K58" s="23"/>
      <c r="L58" s="21"/>
      <c r="M58" s="23">
        <v>18504.2</v>
      </c>
      <c r="N58" s="21">
        <f t="shared" si="39"/>
        <v>18504.2</v>
      </c>
      <c r="O58" s="23"/>
      <c r="P58" s="21">
        <f t="shared" si="46"/>
        <v>18504.2</v>
      </c>
      <c r="Q58" s="23">
        <f>-18504.2+18504.2+0.047</f>
        <v>4.7E-2</v>
      </c>
      <c r="R58" s="21">
        <f t="shared" si="47"/>
        <v>18504.246999999999</v>
      </c>
      <c r="S58" s="23"/>
      <c r="T58" s="21">
        <f t="shared" si="48"/>
        <v>18504.246999999999</v>
      </c>
      <c r="U58" s="23"/>
      <c r="V58" s="21">
        <f t="shared" si="49"/>
        <v>18504.246999999999</v>
      </c>
      <c r="W58" s="23"/>
      <c r="X58" s="21">
        <f t="shared" si="50"/>
        <v>18504.246999999999</v>
      </c>
      <c r="Y58" s="41"/>
      <c r="Z58" s="21">
        <f t="shared" si="51"/>
        <v>18504.246999999999</v>
      </c>
      <c r="AA58" s="19" t="s">
        <v>239</v>
      </c>
    </row>
    <row r="59" spans="1:29" x14ac:dyDescent="0.3">
      <c r="A59" s="1"/>
      <c r="B59" s="20" t="s">
        <v>24</v>
      </c>
      <c r="C59" s="3"/>
      <c r="D59" s="23"/>
      <c r="E59" s="23"/>
      <c r="F59" s="21"/>
      <c r="G59" s="23"/>
      <c r="H59" s="21"/>
      <c r="I59" s="23"/>
      <c r="J59" s="21"/>
      <c r="K59" s="23"/>
      <c r="L59" s="21"/>
      <c r="M59" s="23">
        <v>50030</v>
      </c>
      <c r="N59" s="21">
        <f t="shared" si="39"/>
        <v>50030</v>
      </c>
      <c r="O59" s="23"/>
      <c r="P59" s="21">
        <f t="shared" si="46"/>
        <v>50030</v>
      </c>
      <c r="Q59" s="23">
        <f>-50030+50030</f>
        <v>0</v>
      </c>
      <c r="R59" s="21">
        <f t="shared" si="47"/>
        <v>50030</v>
      </c>
      <c r="S59" s="23"/>
      <c r="T59" s="21">
        <f t="shared" si="48"/>
        <v>50030</v>
      </c>
      <c r="U59" s="23"/>
      <c r="V59" s="21">
        <f t="shared" si="49"/>
        <v>50030</v>
      </c>
      <c r="W59" s="23"/>
      <c r="X59" s="21">
        <f t="shared" si="50"/>
        <v>50030</v>
      </c>
      <c r="Y59" s="41"/>
      <c r="Z59" s="21">
        <f t="shared" si="51"/>
        <v>50030</v>
      </c>
      <c r="AA59" s="19" t="s">
        <v>239</v>
      </c>
    </row>
    <row r="60" spans="1:29" ht="36" x14ac:dyDescent="0.3">
      <c r="A60" s="1" t="s">
        <v>128</v>
      </c>
      <c r="B60" s="68" t="s">
        <v>229</v>
      </c>
      <c r="C60" s="3" t="s">
        <v>13</v>
      </c>
      <c r="D60" s="23"/>
      <c r="E60" s="23"/>
      <c r="F60" s="21"/>
      <c r="G60" s="23"/>
      <c r="H60" s="21"/>
      <c r="I60" s="23"/>
      <c r="J60" s="21"/>
      <c r="K60" s="23"/>
      <c r="L60" s="21"/>
      <c r="M60" s="23">
        <v>17456.87</v>
      </c>
      <c r="N60" s="21">
        <f t="shared" si="39"/>
        <v>17456.87</v>
      </c>
      <c r="O60" s="23"/>
      <c r="P60" s="21">
        <f t="shared" si="46"/>
        <v>17456.87</v>
      </c>
      <c r="Q60" s="23"/>
      <c r="R60" s="21">
        <f t="shared" si="47"/>
        <v>17456.87</v>
      </c>
      <c r="S60" s="23"/>
      <c r="T60" s="21">
        <f t="shared" si="48"/>
        <v>17456.87</v>
      </c>
      <c r="U60" s="23"/>
      <c r="V60" s="21">
        <f t="shared" si="49"/>
        <v>17456.87</v>
      </c>
      <c r="W60" s="23"/>
      <c r="X60" s="21">
        <f t="shared" si="50"/>
        <v>17456.87</v>
      </c>
      <c r="Y60" s="41">
        <v>-1847.2370000000001</v>
      </c>
      <c r="Z60" s="21">
        <f t="shared" si="51"/>
        <v>15609.632999999998</v>
      </c>
      <c r="AA60" s="19">
        <v>2420242100</v>
      </c>
    </row>
    <row r="61" spans="1:29" ht="54" x14ac:dyDescent="0.3">
      <c r="A61" s="1" t="s">
        <v>123</v>
      </c>
      <c r="B61" s="68" t="s">
        <v>240</v>
      </c>
      <c r="C61" s="3" t="s">
        <v>48</v>
      </c>
      <c r="D61" s="23"/>
      <c r="E61" s="23"/>
      <c r="F61" s="21"/>
      <c r="G61" s="23"/>
      <c r="H61" s="21"/>
      <c r="I61" s="23"/>
      <c r="J61" s="21"/>
      <c r="K61" s="23"/>
      <c r="L61" s="21"/>
      <c r="M61" s="23"/>
      <c r="N61" s="21"/>
      <c r="O61" s="23"/>
      <c r="P61" s="21"/>
      <c r="Q61" s="23">
        <v>578.17999999999995</v>
      </c>
      <c r="R61" s="21">
        <f t="shared" si="47"/>
        <v>578.17999999999995</v>
      </c>
      <c r="S61" s="23"/>
      <c r="T61" s="21">
        <f t="shared" si="48"/>
        <v>578.17999999999995</v>
      </c>
      <c r="U61" s="23"/>
      <c r="V61" s="21">
        <f t="shared" si="49"/>
        <v>578.17999999999995</v>
      </c>
      <c r="W61" s="23"/>
      <c r="X61" s="21">
        <f t="shared" si="50"/>
        <v>578.17999999999995</v>
      </c>
      <c r="Y61" s="41"/>
      <c r="Z61" s="21">
        <f t="shared" si="51"/>
        <v>578.17999999999995</v>
      </c>
      <c r="AA61" s="19">
        <v>2420142110</v>
      </c>
    </row>
    <row r="62" spans="1:29" ht="54" x14ac:dyDescent="0.3">
      <c r="A62" s="1" t="s">
        <v>129</v>
      </c>
      <c r="B62" s="68" t="s">
        <v>258</v>
      </c>
      <c r="C62" s="3" t="s">
        <v>48</v>
      </c>
      <c r="D62" s="23"/>
      <c r="E62" s="23"/>
      <c r="F62" s="21"/>
      <c r="G62" s="23"/>
      <c r="H62" s="21"/>
      <c r="I62" s="23"/>
      <c r="J62" s="21"/>
      <c r="K62" s="23"/>
      <c r="L62" s="21"/>
      <c r="M62" s="23"/>
      <c r="N62" s="21"/>
      <c r="O62" s="23"/>
      <c r="P62" s="21"/>
      <c r="Q62" s="23"/>
      <c r="R62" s="21"/>
      <c r="S62" s="23"/>
      <c r="T62" s="21"/>
      <c r="U62" s="23">
        <v>391.79500000000002</v>
      </c>
      <c r="V62" s="21">
        <f t="shared" si="49"/>
        <v>391.79500000000002</v>
      </c>
      <c r="W62" s="23"/>
      <c r="X62" s="21">
        <f t="shared" si="50"/>
        <v>391.79500000000002</v>
      </c>
      <c r="Y62" s="41"/>
      <c r="Z62" s="21">
        <f t="shared" si="51"/>
        <v>391.79500000000002</v>
      </c>
      <c r="AA62" s="19">
        <v>2410141640</v>
      </c>
    </row>
    <row r="63" spans="1:29" x14ac:dyDescent="0.3">
      <c r="A63" s="1"/>
      <c r="B63" s="5" t="s">
        <v>4</v>
      </c>
      <c r="C63" s="3"/>
      <c r="D63" s="44">
        <f>D65+D66+D67</f>
        <v>1163949.6000000001</v>
      </c>
      <c r="E63" s="44">
        <f>E65+E66+E67</f>
        <v>15150.000000000002</v>
      </c>
      <c r="F63" s="44">
        <f t="shared" si="0"/>
        <v>1179099.6000000001</v>
      </c>
      <c r="G63" s="44">
        <f>G65+G66+G67</f>
        <v>79906.490000000005</v>
      </c>
      <c r="H63" s="44">
        <f t="shared" si="36"/>
        <v>1259006.0900000001</v>
      </c>
      <c r="I63" s="44">
        <f>I65+I66+I67</f>
        <v>10381.799999999999</v>
      </c>
      <c r="J63" s="44">
        <f t="shared" si="37"/>
        <v>1269387.8900000001</v>
      </c>
      <c r="K63" s="44">
        <f>K65+K66+K67</f>
        <v>49687.665999999997</v>
      </c>
      <c r="L63" s="44">
        <f t="shared" si="38"/>
        <v>1319075.5560000001</v>
      </c>
      <c r="M63" s="44">
        <f>M65+M66+M67</f>
        <v>2330.2660000000001</v>
      </c>
      <c r="N63" s="44">
        <f t="shared" si="39"/>
        <v>1321405.8220000002</v>
      </c>
      <c r="O63" s="44">
        <f>O65+O66+O67</f>
        <v>0</v>
      </c>
      <c r="P63" s="44">
        <f t="shared" si="46"/>
        <v>1321405.8220000002</v>
      </c>
      <c r="Q63" s="44">
        <f>Q65+Q66+Q67</f>
        <v>-54114.227000000006</v>
      </c>
      <c r="R63" s="44">
        <f t="shared" si="47"/>
        <v>1267291.5950000002</v>
      </c>
      <c r="S63" s="44">
        <f>S65+S66+S67</f>
        <v>-264600.96600000001</v>
      </c>
      <c r="T63" s="44">
        <f t="shared" si="48"/>
        <v>1002690.6290000002</v>
      </c>
      <c r="U63" s="44">
        <f>U65+U66+U67</f>
        <v>0</v>
      </c>
      <c r="V63" s="44">
        <f t="shared" si="49"/>
        <v>1002690.6290000002</v>
      </c>
      <c r="W63" s="44">
        <f>W65+W66+W67</f>
        <v>0</v>
      </c>
      <c r="X63" s="44">
        <f t="shared" si="50"/>
        <v>1002690.6290000002</v>
      </c>
      <c r="Y63" s="44">
        <f>Y65+Y66+Y67</f>
        <v>-22381.636000000002</v>
      </c>
      <c r="Z63" s="21">
        <f t="shared" si="51"/>
        <v>980308.99300000013</v>
      </c>
      <c r="AA63" s="45"/>
      <c r="AB63" s="46"/>
      <c r="AC63" s="47"/>
    </row>
    <row r="64" spans="1:29" x14ac:dyDescent="0.3">
      <c r="A64" s="1"/>
      <c r="B64" s="13" t="s">
        <v>2</v>
      </c>
      <c r="C64" s="3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39"/>
      <c r="Z64" s="21"/>
    </row>
    <row r="65" spans="1:28" hidden="1" x14ac:dyDescent="0.35">
      <c r="A65" s="1"/>
      <c r="B65" s="5" t="s">
        <v>3</v>
      </c>
      <c r="C65" s="5"/>
      <c r="D65" s="22">
        <f>D69+D70+D73+D74+D75+D76+D71+D72+D68+D77+D81</f>
        <v>989861.8</v>
      </c>
      <c r="E65" s="22">
        <f>E68+E69+E70+E71+E72+E73+E74+E75+E76+E77+E81</f>
        <v>15150.000000000002</v>
      </c>
      <c r="F65" s="21">
        <f t="shared" si="0"/>
        <v>1005011.8</v>
      </c>
      <c r="G65" s="22">
        <f>G68+G69+G70+G71+G72+G73+G74+G75+G81+G88+G79+G76+G91</f>
        <v>67598.89</v>
      </c>
      <c r="H65" s="21">
        <f>F65+G65</f>
        <v>1072610.69</v>
      </c>
      <c r="I65" s="22">
        <f>I68+I69+I70+I71+I72+I73+I74+I75+I81+I88+I79+I76+I91</f>
        <v>10381.799999999999</v>
      </c>
      <c r="J65" s="21">
        <f>H65+I65</f>
        <v>1082992.49</v>
      </c>
      <c r="K65" s="22">
        <f>K68+K69+K70+K71+K72+K73+K74+K75+K81+K88+K79+K76+K91</f>
        <v>49687.665999999997</v>
      </c>
      <c r="L65" s="21">
        <f>J65+K65</f>
        <v>1132680.156</v>
      </c>
      <c r="M65" s="22">
        <f>M68+M69+M70+M71+M72+M73+M74+M75+M81+M88+M79+M76+M91</f>
        <v>2330.2660000000001</v>
      </c>
      <c r="N65" s="21">
        <f>L65+M65</f>
        <v>1135010.422</v>
      </c>
      <c r="O65" s="22">
        <f>O68+O69+O70+O71+O72+O73+O74+O75+O81+O88+O79+O76+O91</f>
        <v>0</v>
      </c>
      <c r="P65" s="21">
        <f>N65+O65</f>
        <v>1135010.422</v>
      </c>
      <c r="Q65" s="22">
        <f>Q68+Q69+Q70+Q71+Q72+Q73+Q74+Q75+Q81+Q88+Q79+Q76+Q91</f>
        <v>-54114.227000000006</v>
      </c>
      <c r="R65" s="21">
        <f>P65+Q65</f>
        <v>1080896.1950000001</v>
      </c>
      <c r="S65" s="22">
        <f>S68+S69+S70+S71+S72+S73+S74+S75+S81+S88+S79+S76+S91</f>
        <v>-264600.96600000001</v>
      </c>
      <c r="T65" s="21">
        <f>R65+S65</f>
        <v>816295.22900000005</v>
      </c>
      <c r="U65" s="22">
        <f>U68+U69+U70+U71+U72+U73+U74+U75+U81+U88+U79+U76+U91</f>
        <v>0</v>
      </c>
      <c r="V65" s="21">
        <f>T65+U65</f>
        <v>816295.22900000005</v>
      </c>
      <c r="W65" s="22">
        <f>W68+W69+W70+W71+W72+W73+W74+W75+W81+W88+W79+W76+W91</f>
        <v>0</v>
      </c>
      <c r="X65" s="21">
        <f>V65+W65</f>
        <v>816295.22900000005</v>
      </c>
      <c r="Y65" s="40">
        <f>Y68+Y69+Y70+Y71+Y72+Y73+Y74+Y75+Y81+Y88+Y79+Y76+Y91</f>
        <v>-22381.636000000002</v>
      </c>
      <c r="Z65" s="21">
        <f>X65+Y65</f>
        <v>793913.59299999999</v>
      </c>
      <c r="AB65" s="28">
        <v>0</v>
      </c>
    </row>
    <row r="66" spans="1:28" x14ac:dyDescent="0.3">
      <c r="A66" s="1"/>
      <c r="B66" s="5" t="s">
        <v>18</v>
      </c>
      <c r="C66" s="3"/>
      <c r="D66" s="21">
        <f>D84</f>
        <v>158794.20000000001</v>
      </c>
      <c r="E66" s="21">
        <f>E84</f>
        <v>0</v>
      </c>
      <c r="F66" s="21">
        <f t="shared" si="0"/>
        <v>158794.20000000001</v>
      </c>
      <c r="G66" s="21">
        <f>G84+G80+G92</f>
        <v>12307.6</v>
      </c>
      <c r="H66" s="21">
        <f t="shared" ref="H66:H82" si="52">F66+G66</f>
        <v>171101.80000000002</v>
      </c>
      <c r="I66" s="21">
        <f>I84+I80+I92</f>
        <v>0</v>
      </c>
      <c r="J66" s="21">
        <f t="shared" ref="J66:J76" si="53">H66+I66</f>
        <v>171101.80000000002</v>
      </c>
      <c r="K66" s="21">
        <f>K84+K80+K92</f>
        <v>0</v>
      </c>
      <c r="L66" s="21">
        <f t="shared" ref="L66:L76" si="54">J66+K66</f>
        <v>171101.80000000002</v>
      </c>
      <c r="M66" s="21">
        <f>M84+M80+M92</f>
        <v>0</v>
      </c>
      <c r="N66" s="21">
        <f t="shared" ref="N66:N76" si="55">L66+M66</f>
        <v>171101.80000000002</v>
      </c>
      <c r="O66" s="21">
        <f>O84+O80+O92</f>
        <v>0</v>
      </c>
      <c r="P66" s="21">
        <f t="shared" ref="P66:P76" si="56">N66+O66</f>
        <v>171101.80000000002</v>
      </c>
      <c r="Q66" s="21">
        <f>Q84+Q80+Q92</f>
        <v>0</v>
      </c>
      <c r="R66" s="21">
        <f t="shared" ref="R66:R76" si="57">P66+Q66</f>
        <v>171101.80000000002</v>
      </c>
      <c r="S66" s="21">
        <f>S84+S80+S92</f>
        <v>0</v>
      </c>
      <c r="T66" s="21">
        <f t="shared" ref="T66:T76" si="58">R66+S66</f>
        <v>171101.80000000002</v>
      </c>
      <c r="U66" s="21">
        <f>U84+U80+U92</f>
        <v>0</v>
      </c>
      <c r="V66" s="21">
        <f t="shared" ref="V66:V76" si="59">T66+U66</f>
        <v>171101.80000000002</v>
      </c>
      <c r="W66" s="21">
        <f>W84+W80+W92</f>
        <v>0</v>
      </c>
      <c r="X66" s="21">
        <f t="shared" ref="X66:X76" si="60">V66+W66</f>
        <v>171101.80000000002</v>
      </c>
      <c r="Y66" s="39">
        <f>Y84+Y80+Y92</f>
        <v>0</v>
      </c>
      <c r="Z66" s="21">
        <f t="shared" ref="Z66:Z76" si="61">X66+Y66</f>
        <v>171101.80000000002</v>
      </c>
    </row>
    <row r="67" spans="1:28" x14ac:dyDescent="0.3">
      <c r="A67" s="1"/>
      <c r="B67" s="5" t="s">
        <v>24</v>
      </c>
      <c r="C67" s="3"/>
      <c r="D67" s="21">
        <f>D87</f>
        <v>15293.6</v>
      </c>
      <c r="E67" s="21">
        <f>E87</f>
        <v>0</v>
      </c>
      <c r="F67" s="21">
        <f t="shared" si="0"/>
        <v>15293.6</v>
      </c>
      <c r="G67" s="21">
        <f>G87</f>
        <v>0</v>
      </c>
      <c r="H67" s="21">
        <f t="shared" si="52"/>
        <v>15293.6</v>
      </c>
      <c r="I67" s="21">
        <f>I87</f>
        <v>0</v>
      </c>
      <c r="J67" s="21">
        <f t="shared" si="53"/>
        <v>15293.6</v>
      </c>
      <c r="K67" s="21">
        <f>K87</f>
        <v>0</v>
      </c>
      <c r="L67" s="21">
        <f t="shared" si="54"/>
        <v>15293.6</v>
      </c>
      <c r="M67" s="21">
        <f>M87</f>
        <v>0</v>
      </c>
      <c r="N67" s="21">
        <f t="shared" si="55"/>
        <v>15293.6</v>
      </c>
      <c r="O67" s="21">
        <f>O87</f>
        <v>0</v>
      </c>
      <c r="P67" s="21">
        <f t="shared" si="56"/>
        <v>15293.6</v>
      </c>
      <c r="Q67" s="21">
        <f>Q87</f>
        <v>0</v>
      </c>
      <c r="R67" s="21">
        <f t="shared" si="57"/>
        <v>15293.6</v>
      </c>
      <c r="S67" s="21">
        <f>S87</f>
        <v>0</v>
      </c>
      <c r="T67" s="21">
        <f t="shared" si="58"/>
        <v>15293.6</v>
      </c>
      <c r="U67" s="21">
        <f>U87</f>
        <v>0</v>
      </c>
      <c r="V67" s="21">
        <f t="shared" si="59"/>
        <v>15293.6</v>
      </c>
      <c r="W67" s="21">
        <f>W87</f>
        <v>0</v>
      </c>
      <c r="X67" s="21">
        <f t="shared" si="60"/>
        <v>15293.6</v>
      </c>
      <c r="Y67" s="39">
        <f>Y87</f>
        <v>0</v>
      </c>
      <c r="Z67" s="21">
        <f t="shared" si="61"/>
        <v>15293.6</v>
      </c>
    </row>
    <row r="68" spans="1:28" ht="72" x14ac:dyDescent="0.3">
      <c r="A68" s="1" t="s">
        <v>130</v>
      </c>
      <c r="B68" s="5" t="s">
        <v>29</v>
      </c>
      <c r="C68" s="3" t="s">
        <v>5</v>
      </c>
      <c r="D68" s="21">
        <v>34448</v>
      </c>
      <c r="E68" s="21"/>
      <c r="F68" s="21">
        <f t="shared" si="0"/>
        <v>34448</v>
      </c>
      <c r="G68" s="21">
        <f>45449.547-34448</f>
        <v>11001.546999999999</v>
      </c>
      <c r="H68" s="21">
        <f t="shared" si="52"/>
        <v>45449.546999999999</v>
      </c>
      <c r="I68" s="21"/>
      <c r="J68" s="21">
        <f t="shared" si="53"/>
        <v>45449.546999999999</v>
      </c>
      <c r="K68" s="21"/>
      <c r="L68" s="21">
        <f t="shared" si="54"/>
        <v>45449.546999999999</v>
      </c>
      <c r="M68" s="21"/>
      <c r="N68" s="21">
        <f t="shared" si="55"/>
        <v>45449.546999999999</v>
      </c>
      <c r="O68" s="21"/>
      <c r="P68" s="21">
        <f t="shared" si="56"/>
        <v>45449.546999999999</v>
      </c>
      <c r="Q68" s="21"/>
      <c r="R68" s="21">
        <f t="shared" si="57"/>
        <v>45449.546999999999</v>
      </c>
      <c r="S68" s="21"/>
      <c r="T68" s="21">
        <f t="shared" si="58"/>
        <v>45449.546999999999</v>
      </c>
      <c r="U68" s="21"/>
      <c r="V68" s="21">
        <f t="shared" si="59"/>
        <v>45449.546999999999</v>
      </c>
      <c r="W68" s="21"/>
      <c r="X68" s="21">
        <f t="shared" si="60"/>
        <v>45449.546999999999</v>
      </c>
      <c r="Y68" s="39"/>
      <c r="Z68" s="21">
        <f t="shared" si="61"/>
        <v>45449.546999999999</v>
      </c>
      <c r="AA68" s="16" t="s">
        <v>38</v>
      </c>
    </row>
    <row r="69" spans="1:28" ht="72" x14ac:dyDescent="0.3">
      <c r="A69" s="1" t="s">
        <v>131</v>
      </c>
      <c r="B69" s="5" t="s">
        <v>30</v>
      </c>
      <c r="C69" s="3" t="s">
        <v>5</v>
      </c>
      <c r="D69" s="21">
        <v>84502.5</v>
      </c>
      <c r="E69" s="21"/>
      <c r="F69" s="21">
        <f t="shared" si="0"/>
        <v>84502.5</v>
      </c>
      <c r="G69" s="21">
        <v>7955.8180000000002</v>
      </c>
      <c r="H69" s="21">
        <f t="shared" si="52"/>
        <v>92458.317999999999</v>
      </c>
      <c r="I69" s="21"/>
      <c r="J69" s="21">
        <f t="shared" si="53"/>
        <v>92458.317999999999</v>
      </c>
      <c r="K69" s="21"/>
      <c r="L69" s="21">
        <f t="shared" si="54"/>
        <v>92458.317999999999</v>
      </c>
      <c r="M69" s="21"/>
      <c r="N69" s="21">
        <f t="shared" si="55"/>
        <v>92458.317999999999</v>
      </c>
      <c r="O69" s="21"/>
      <c r="P69" s="21">
        <f t="shared" si="56"/>
        <v>92458.317999999999</v>
      </c>
      <c r="Q69" s="21"/>
      <c r="R69" s="21">
        <f t="shared" si="57"/>
        <v>92458.317999999999</v>
      </c>
      <c r="S69" s="21">
        <v>-84502.5</v>
      </c>
      <c r="T69" s="21">
        <f t="shared" si="58"/>
        <v>7955.8179999999993</v>
      </c>
      <c r="U69" s="21"/>
      <c r="V69" s="21">
        <f t="shared" si="59"/>
        <v>7955.8179999999993</v>
      </c>
      <c r="W69" s="21"/>
      <c r="X69" s="21">
        <f t="shared" si="60"/>
        <v>7955.8179999999993</v>
      </c>
      <c r="Y69" s="39"/>
      <c r="Z69" s="21">
        <f t="shared" si="61"/>
        <v>7955.8179999999993</v>
      </c>
      <c r="AA69" s="16" t="s">
        <v>39</v>
      </c>
    </row>
    <row r="70" spans="1:28" ht="72" x14ac:dyDescent="0.3">
      <c r="A70" s="1" t="s">
        <v>132</v>
      </c>
      <c r="B70" s="5" t="s">
        <v>31</v>
      </c>
      <c r="C70" s="3" t="s">
        <v>5</v>
      </c>
      <c r="D70" s="21">
        <v>65813.3</v>
      </c>
      <c r="E70" s="21"/>
      <c r="F70" s="21">
        <f t="shared" si="0"/>
        <v>65813.3</v>
      </c>
      <c r="G70" s="21">
        <v>7677.2830000000004</v>
      </c>
      <c r="H70" s="21">
        <f t="shared" si="52"/>
        <v>73490.582999999999</v>
      </c>
      <c r="I70" s="21"/>
      <c r="J70" s="21">
        <f t="shared" si="53"/>
        <v>73490.582999999999</v>
      </c>
      <c r="K70" s="21"/>
      <c r="L70" s="21">
        <f t="shared" si="54"/>
        <v>73490.582999999999</v>
      </c>
      <c r="M70" s="21"/>
      <c r="N70" s="21">
        <f t="shared" si="55"/>
        <v>73490.582999999999</v>
      </c>
      <c r="O70" s="21"/>
      <c r="P70" s="21">
        <f t="shared" si="56"/>
        <v>73490.582999999999</v>
      </c>
      <c r="Q70" s="21"/>
      <c r="R70" s="21">
        <f t="shared" si="57"/>
        <v>73490.582999999999</v>
      </c>
      <c r="S70" s="21">
        <v>-54813.3</v>
      </c>
      <c r="T70" s="21">
        <f t="shared" si="58"/>
        <v>18677.282999999996</v>
      </c>
      <c r="U70" s="21"/>
      <c r="V70" s="21">
        <f t="shared" si="59"/>
        <v>18677.282999999996</v>
      </c>
      <c r="W70" s="21"/>
      <c r="X70" s="21">
        <f t="shared" si="60"/>
        <v>18677.282999999996</v>
      </c>
      <c r="Y70" s="39">
        <v>-4551.4650000000001</v>
      </c>
      <c r="Z70" s="21">
        <f t="shared" si="61"/>
        <v>14125.817999999996</v>
      </c>
      <c r="AA70" s="16" t="s">
        <v>40</v>
      </c>
    </row>
    <row r="71" spans="1:28" ht="72" x14ac:dyDescent="0.3">
      <c r="A71" s="1" t="s">
        <v>133</v>
      </c>
      <c r="B71" s="5" t="s">
        <v>32</v>
      </c>
      <c r="C71" s="3" t="s">
        <v>5</v>
      </c>
      <c r="D71" s="21">
        <v>33374.199999999997</v>
      </c>
      <c r="E71" s="21"/>
      <c r="F71" s="21">
        <f t="shared" si="0"/>
        <v>33374.199999999997</v>
      </c>
      <c r="G71" s="21">
        <v>-30419.7</v>
      </c>
      <c r="H71" s="21">
        <f t="shared" si="52"/>
        <v>2954.4999999999964</v>
      </c>
      <c r="I71" s="21"/>
      <c r="J71" s="21">
        <f t="shared" si="53"/>
        <v>2954.4999999999964</v>
      </c>
      <c r="K71" s="21"/>
      <c r="L71" s="21">
        <f t="shared" si="54"/>
        <v>2954.4999999999964</v>
      </c>
      <c r="M71" s="21"/>
      <c r="N71" s="21">
        <f t="shared" si="55"/>
        <v>2954.4999999999964</v>
      </c>
      <c r="O71" s="21"/>
      <c r="P71" s="21">
        <f t="shared" si="56"/>
        <v>2954.4999999999964</v>
      </c>
      <c r="Q71" s="21"/>
      <c r="R71" s="21">
        <f t="shared" si="57"/>
        <v>2954.4999999999964</v>
      </c>
      <c r="S71" s="21"/>
      <c r="T71" s="21">
        <f t="shared" si="58"/>
        <v>2954.4999999999964</v>
      </c>
      <c r="U71" s="21"/>
      <c r="V71" s="21">
        <f t="shared" si="59"/>
        <v>2954.4999999999964</v>
      </c>
      <c r="W71" s="21"/>
      <c r="X71" s="21">
        <f t="shared" si="60"/>
        <v>2954.4999999999964</v>
      </c>
      <c r="Y71" s="39">
        <v>-670</v>
      </c>
      <c r="Z71" s="21">
        <f t="shared" si="61"/>
        <v>2284.4999999999964</v>
      </c>
      <c r="AA71" s="16" t="s">
        <v>41</v>
      </c>
    </row>
    <row r="72" spans="1:28" ht="72" x14ac:dyDescent="0.3">
      <c r="A72" s="1" t="s">
        <v>134</v>
      </c>
      <c r="B72" s="5" t="s">
        <v>33</v>
      </c>
      <c r="C72" s="3" t="s">
        <v>5</v>
      </c>
      <c r="D72" s="21">
        <v>15500.9</v>
      </c>
      <c r="E72" s="21"/>
      <c r="F72" s="21">
        <f t="shared" si="0"/>
        <v>15500.9</v>
      </c>
      <c r="G72" s="21">
        <v>-13479.7</v>
      </c>
      <c r="H72" s="21">
        <f t="shared" si="52"/>
        <v>2021.1999999999989</v>
      </c>
      <c r="I72" s="21"/>
      <c r="J72" s="21">
        <f t="shared" si="53"/>
        <v>2021.1999999999989</v>
      </c>
      <c r="K72" s="21"/>
      <c r="L72" s="21">
        <f t="shared" si="54"/>
        <v>2021.1999999999989</v>
      </c>
      <c r="M72" s="21"/>
      <c r="N72" s="21">
        <f t="shared" si="55"/>
        <v>2021.1999999999989</v>
      </c>
      <c r="O72" s="21"/>
      <c r="P72" s="21">
        <f t="shared" si="56"/>
        <v>2021.1999999999989</v>
      </c>
      <c r="Q72" s="21"/>
      <c r="R72" s="21">
        <f t="shared" si="57"/>
        <v>2021.1999999999989</v>
      </c>
      <c r="S72" s="21"/>
      <c r="T72" s="21">
        <f t="shared" si="58"/>
        <v>2021.1999999999989</v>
      </c>
      <c r="U72" s="21"/>
      <c r="V72" s="21">
        <f t="shared" si="59"/>
        <v>2021.1999999999989</v>
      </c>
      <c r="W72" s="21"/>
      <c r="X72" s="21">
        <f t="shared" si="60"/>
        <v>2021.1999999999989</v>
      </c>
      <c r="Y72" s="39">
        <v>-814.72400000000005</v>
      </c>
      <c r="Z72" s="21">
        <f t="shared" si="61"/>
        <v>1206.4759999999987</v>
      </c>
      <c r="AA72" s="16" t="s">
        <v>42</v>
      </c>
    </row>
    <row r="73" spans="1:28" ht="72" x14ac:dyDescent="0.3">
      <c r="A73" s="1" t="s">
        <v>135</v>
      </c>
      <c r="B73" s="5" t="s">
        <v>34</v>
      </c>
      <c r="C73" s="3" t="s">
        <v>5</v>
      </c>
      <c r="D73" s="21">
        <v>1094.2</v>
      </c>
      <c r="E73" s="21"/>
      <c r="F73" s="21">
        <f t="shared" si="0"/>
        <v>1094.2</v>
      </c>
      <c r="G73" s="21"/>
      <c r="H73" s="21">
        <f t="shared" si="52"/>
        <v>1094.2</v>
      </c>
      <c r="I73" s="21"/>
      <c r="J73" s="21">
        <f t="shared" si="53"/>
        <v>1094.2</v>
      </c>
      <c r="K73" s="21"/>
      <c r="L73" s="21">
        <f t="shared" si="54"/>
        <v>1094.2</v>
      </c>
      <c r="M73" s="21"/>
      <c r="N73" s="21">
        <f t="shared" si="55"/>
        <v>1094.2</v>
      </c>
      <c r="O73" s="21"/>
      <c r="P73" s="21">
        <f t="shared" si="56"/>
        <v>1094.2</v>
      </c>
      <c r="Q73" s="21"/>
      <c r="R73" s="21">
        <f t="shared" si="57"/>
        <v>1094.2</v>
      </c>
      <c r="S73" s="21"/>
      <c r="T73" s="21">
        <f t="shared" si="58"/>
        <v>1094.2</v>
      </c>
      <c r="U73" s="21"/>
      <c r="V73" s="21">
        <f t="shared" si="59"/>
        <v>1094.2</v>
      </c>
      <c r="W73" s="21"/>
      <c r="X73" s="21">
        <f t="shared" si="60"/>
        <v>1094.2</v>
      </c>
      <c r="Y73" s="39"/>
      <c r="Z73" s="21">
        <f t="shared" si="61"/>
        <v>1094.2</v>
      </c>
      <c r="AA73" s="16" t="s">
        <v>43</v>
      </c>
    </row>
    <row r="74" spans="1:28" ht="72" x14ac:dyDescent="0.3">
      <c r="A74" s="1" t="s">
        <v>136</v>
      </c>
      <c r="B74" s="5" t="s">
        <v>35</v>
      </c>
      <c r="C74" s="3" t="s">
        <v>5</v>
      </c>
      <c r="D74" s="25">
        <v>12551.7</v>
      </c>
      <c r="E74" s="21">
        <v>15150</v>
      </c>
      <c r="F74" s="21">
        <f t="shared" si="0"/>
        <v>27701.7</v>
      </c>
      <c r="G74" s="21">
        <v>20137.907999999999</v>
      </c>
      <c r="H74" s="21">
        <f t="shared" si="52"/>
        <v>47839.608</v>
      </c>
      <c r="I74" s="21"/>
      <c r="J74" s="21">
        <f t="shared" si="53"/>
        <v>47839.608</v>
      </c>
      <c r="K74" s="21"/>
      <c r="L74" s="21">
        <f t="shared" si="54"/>
        <v>47839.608</v>
      </c>
      <c r="M74" s="21"/>
      <c r="N74" s="21">
        <f t="shared" si="55"/>
        <v>47839.608</v>
      </c>
      <c r="O74" s="21"/>
      <c r="P74" s="21">
        <f t="shared" si="56"/>
        <v>47839.608</v>
      </c>
      <c r="Q74" s="21">
        <v>-1999.421</v>
      </c>
      <c r="R74" s="21">
        <f t="shared" si="57"/>
        <v>45840.186999999998</v>
      </c>
      <c r="S74" s="21"/>
      <c r="T74" s="21">
        <f t="shared" si="58"/>
        <v>45840.186999999998</v>
      </c>
      <c r="U74" s="21">
        <v>-3651.3310000000001</v>
      </c>
      <c r="V74" s="21">
        <f t="shared" si="59"/>
        <v>42188.856</v>
      </c>
      <c r="W74" s="21">
        <v>3651.3310000000001</v>
      </c>
      <c r="X74" s="21">
        <f t="shared" si="60"/>
        <v>45840.186999999998</v>
      </c>
      <c r="Y74" s="39">
        <v>-10496.705</v>
      </c>
      <c r="Z74" s="21">
        <f>X74+Y74</f>
        <v>35343.481999999996</v>
      </c>
      <c r="AA74" s="16" t="s">
        <v>44</v>
      </c>
    </row>
    <row r="75" spans="1:28" ht="72" x14ac:dyDescent="0.3">
      <c r="A75" s="1" t="s">
        <v>137</v>
      </c>
      <c r="B75" s="5" t="s">
        <v>36</v>
      </c>
      <c r="C75" s="3" t="s">
        <v>5</v>
      </c>
      <c r="D75" s="25">
        <v>37000</v>
      </c>
      <c r="E75" s="21"/>
      <c r="F75" s="21">
        <f t="shared" si="0"/>
        <v>37000</v>
      </c>
      <c r="G75" s="21"/>
      <c r="H75" s="21">
        <f t="shared" si="52"/>
        <v>37000</v>
      </c>
      <c r="I75" s="21"/>
      <c r="J75" s="21">
        <f t="shared" si="53"/>
        <v>37000</v>
      </c>
      <c r="K75" s="21"/>
      <c r="L75" s="21">
        <f t="shared" si="54"/>
        <v>37000</v>
      </c>
      <c r="M75" s="21">
        <f>3012.304-682.038</f>
        <v>2330.2660000000001</v>
      </c>
      <c r="N75" s="21">
        <f t="shared" si="55"/>
        <v>39330.266000000003</v>
      </c>
      <c r="O75" s="21"/>
      <c r="P75" s="21">
        <f t="shared" si="56"/>
        <v>39330.266000000003</v>
      </c>
      <c r="Q75" s="21"/>
      <c r="R75" s="21">
        <f t="shared" si="57"/>
        <v>39330.266000000003</v>
      </c>
      <c r="S75" s="21">
        <v>-32818.400000000001</v>
      </c>
      <c r="T75" s="21">
        <f t="shared" si="58"/>
        <v>6511.8660000000018</v>
      </c>
      <c r="U75" s="21"/>
      <c r="V75" s="21">
        <f t="shared" si="59"/>
        <v>6511.8660000000018</v>
      </c>
      <c r="W75" s="21"/>
      <c r="X75" s="21">
        <f t="shared" si="60"/>
        <v>6511.8660000000018</v>
      </c>
      <c r="Y75" s="39">
        <v>-484.27300000000002</v>
      </c>
      <c r="Z75" s="21">
        <f t="shared" si="61"/>
        <v>6027.5930000000017</v>
      </c>
      <c r="AA75" s="16" t="s">
        <v>45</v>
      </c>
    </row>
    <row r="76" spans="1:28" ht="72" hidden="1" x14ac:dyDescent="0.3">
      <c r="A76" s="1" t="s">
        <v>138</v>
      </c>
      <c r="B76" s="5" t="s">
        <v>37</v>
      </c>
      <c r="C76" s="3" t="s">
        <v>5</v>
      </c>
      <c r="D76" s="25">
        <v>18000</v>
      </c>
      <c r="E76" s="21"/>
      <c r="F76" s="21">
        <f t="shared" si="0"/>
        <v>18000</v>
      </c>
      <c r="G76" s="21">
        <v>-18000</v>
      </c>
      <c r="H76" s="21">
        <f t="shared" si="52"/>
        <v>0</v>
      </c>
      <c r="I76" s="21"/>
      <c r="J76" s="21">
        <f t="shared" si="53"/>
        <v>0</v>
      </c>
      <c r="K76" s="21"/>
      <c r="L76" s="21">
        <f t="shared" si="54"/>
        <v>0</v>
      </c>
      <c r="M76" s="21"/>
      <c r="N76" s="21">
        <f t="shared" si="55"/>
        <v>0</v>
      </c>
      <c r="O76" s="21"/>
      <c r="P76" s="21">
        <f t="shared" si="56"/>
        <v>0</v>
      </c>
      <c r="Q76" s="21"/>
      <c r="R76" s="21">
        <f t="shared" si="57"/>
        <v>0</v>
      </c>
      <c r="S76" s="21"/>
      <c r="T76" s="21">
        <f t="shared" si="58"/>
        <v>0</v>
      </c>
      <c r="U76" s="21"/>
      <c r="V76" s="21">
        <f t="shared" si="59"/>
        <v>0</v>
      </c>
      <c r="W76" s="21"/>
      <c r="X76" s="21">
        <f t="shared" si="60"/>
        <v>0</v>
      </c>
      <c r="Y76" s="39"/>
      <c r="Z76" s="21">
        <f t="shared" si="61"/>
        <v>0</v>
      </c>
      <c r="AA76" s="16" t="s">
        <v>46</v>
      </c>
      <c r="AB76" s="28">
        <v>0</v>
      </c>
    </row>
    <row r="77" spans="1:28" ht="54" x14ac:dyDescent="0.3">
      <c r="A77" s="1" t="s">
        <v>138</v>
      </c>
      <c r="B77" s="5" t="s">
        <v>50</v>
      </c>
      <c r="C77" s="3" t="s">
        <v>14</v>
      </c>
      <c r="D77" s="25">
        <v>587577</v>
      </c>
      <c r="E77" s="21">
        <v>7504.9</v>
      </c>
      <c r="F77" s="21">
        <f t="shared" si="0"/>
        <v>595081.9</v>
      </c>
      <c r="G77" s="21">
        <f>G79+G80</f>
        <v>79446.998000000007</v>
      </c>
      <c r="H77" s="21">
        <f>H79+H80</f>
        <v>674528.89800000004</v>
      </c>
      <c r="I77" s="21">
        <f>I79+I80</f>
        <v>10381.799999999999</v>
      </c>
      <c r="J77" s="21">
        <f>H77+I77</f>
        <v>684910.69800000009</v>
      </c>
      <c r="K77" s="21">
        <f>K79+K80</f>
        <v>49700</v>
      </c>
      <c r="L77" s="21">
        <f>J77+K77</f>
        <v>734610.69800000009</v>
      </c>
      <c r="M77" s="21">
        <f>M79+M80</f>
        <v>0</v>
      </c>
      <c r="N77" s="21">
        <f>L77+M77</f>
        <v>734610.69800000009</v>
      </c>
      <c r="O77" s="21">
        <f>O79+O80</f>
        <v>0</v>
      </c>
      <c r="P77" s="21">
        <f>N77+O77</f>
        <v>734610.69800000009</v>
      </c>
      <c r="Q77" s="21">
        <f>Q79+Q80</f>
        <v>-52114.806000000004</v>
      </c>
      <c r="R77" s="21">
        <f>P77+Q77</f>
        <v>682495.89200000011</v>
      </c>
      <c r="S77" s="21">
        <f>S79+S80</f>
        <v>0</v>
      </c>
      <c r="T77" s="21">
        <f>R77+S77</f>
        <v>682495.89200000011</v>
      </c>
      <c r="U77" s="21">
        <f>U79+U80</f>
        <v>0</v>
      </c>
      <c r="V77" s="21">
        <f>T77+U77</f>
        <v>682495.89200000011</v>
      </c>
      <c r="W77" s="21">
        <f>W79+W80</f>
        <v>0</v>
      </c>
      <c r="X77" s="21">
        <f>V77+W77</f>
        <v>682495.89200000011</v>
      </c>
      <c r="Y77" s="39">
        <f>Y79+Y80</f>
        <v>-5364.4690000000001</v>
      </c>
      <c r="Z77" s="21">
        <f>X77+Y77</f>
        <v>677131.42300000007</v>
      </c>
      <c r="AA77" s="19"/>
    </row>
    <row r="78" spans="1:28" x14ac:dyDescent="0.3">
      <c r="A78" s="1"/>
      <c r="B78" s="5" t="s">
        <v>2</v>
      </c>
      <c r="C78" s="3"/>
      <c r="D78" s="25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39"/>
      <c r="Z78" s="21"/>
      <c r="AA78" s="19"/>
    </row>
    <row r="79" spans="1:28" ht="60.6" hidden="1" x14ac:dyDescent="0.3">
      <c r="A79" s="1"/>
      <c r="B79" s="5" t="s">
        <v>3</v>
      </c>
      <c r="C79" s="3"/>
      <c r="D79" s="25"/>
      <c r="E79" s="21"/>
      <c r="F79" s="21"/>
      <c r="G79" s="21">
        <f>70618.261+5513.137</f>
        <v>76131.398000000001</v>
      </c>
      <c r="H79" s="21">
        <f>F79+G79+F77</f>
        <v>671213.29800000007</v>
      </c>
      <c r="I79" s="21">
        <v>10381.799999999999</v>
      </c>
      <c r="J79" s="21">
        <f>I79+H79</f>
        <v>681595.09800000011</v>
      </c>
      <c r="K79" s="21">
        <f>-300-332796.139+302749.177+80046.962</f>
        <v>49700</v>
      </c>
      <c r="L79" s="21">
        <f>K79+J79</f>
        <v>731295.09800000011</v>
      </c>
      <c r="M79" s="21"/>
      <c r="N79" s="21">
        <f>M79+L79</f>
        <v>731295.09800000011</v>
      </c>
      <c r="O79" s="21"/>
      <c r="P79" s="21">
        <f>O79+N79</f>
        <v>731295.09800000011</v>
      </c>
      <c r="Q79" s="21">
        <f>-41480+41480-29670.491-21290.909-1153.406</f>
        <v>-52114.806000000004</v>
      </c>
      <c r="R79" s="21">
        <f>Q79+P79</f>
        <v>679180.29200000013</v>
      </c>
      <c r="S79" s="21"/>
      <c r="T79" s="21">
        <f>S79+R79</f>
        <v>679180.29200000013</v>
      </c>
      <c r="U79" s="21"/>
      <c r="V79" s="21">
        <f>U79+T79</f>
        <v>679180.29200000013</v>
      </c>
      <c r="W79" s="21"/>
      <c r="X79" s="21">
        <f>W79+V79</f>
        <v>679180.29200000013</v>
      </c>
      <c r="Y79" s="39">
        <f>-500-4864.469</f>
        <v>-5364.4690000000001</v>
      </c>
      <c r="Z79" s="21">
        <f>Y79+X79</f>
        <v>673815.82300000009</v>
      </c>
      <c r="AA79" s="49" t="s">
        <v>222</v>
      </c>
      <c r="AB79" s="28">
        <v>0</v>
      </c>
    </row>
    <row r="80" spans="1:28" x14ac:dyDescent="0.3">
      <c r="A80" s="1"/>
      <c r="B80" s="5" t="s">
        <v>18</v>
      </c>
      <c r="C80" s="3"/>
      <c r="D80" s="25"/>
      <c r="E80" s="21"/>
      <c r="F80" s="21"/>
      <c r="G80" s="21">
        <v>3315.6</v>
      </c>
      <c r="H80" s="21">
        <f t="shared" ref="H80" si="62">F80+G80</f>
        <v>3315.6</v>
      </c>
      <c r="I80" s="21"/>
      <c r="J80" s="21">
        <f t="shared" ref="J80:J82" si="63">H80+I80</f>
        <v>3315.6</v>
      </c>
      <c r="K80" s="21"/>
      <c r="L80" s="21">
        <f t="shared" ref="L80:L82" si="64">J80+K80</f>
        <v>3315.6</v>
      </c>
      <c r="M80" s="21"/>
      <c r="N80" s="21">
        <f t="shared" ref="N80:N82" si="65">L80+M80</f>
        <v>3315.6</v>
      </c>
      <c r="O80" s="21"/>
      <c r="P80" s="21">
        <f t="shared" ref="P80:P82" si="66">N80+O80</f>
        <v>3315.6</v>
      </c>
      <c r="Q80" s="21"/>
      <c r="R80" s="21">
        <f t="shared" ref="R80:R82" si="67">P80+Q80</f>
        <v>3315.6</v>
      </c>
      <c r="S80" s="21"/>
      <c r="T80" s="21">
        <f t="shared" ref="T80:T82" si="68">R80+S80</f>
        <v>3315.6</v>
      </c>
      <c r="U80" s="21"/>
      <c r="V80" s="21">
        <f t="shared" ref="V80:V82" si="69">T80+U80</f>
        <v>3315.6</v>
      </c>
      <c r="W80" s="21"/>
      <c r="X80" s="21">
        <f t="shared" ref="X80:X82" si="70">V80+W80</f>
        <v>3315.6</v>
      </c>
      <c r="Y80" s="39"/>
      <c r="Z80" s="21">
        <f t="shared" ref="Z80:Z82" si="71">X80+Y80</f>
        <v>3315.6</v>
      </c>
      <c r="AA80" s="19">
        <v>1510109602</v>
      </c>
    </row>
    <row r="81" spans="1:29" ht="54" x14ac:dyDescent="0.3">
      <c r="A81" s="1" t="s">
        <v>139</v>
      </c>
      <c r="B81" s="5" t="s">
        <v>47</v>
      </c>
      <c r="C81" s="3" t="s">
        <v>48</v>
      </c>
      <c r="D81" s="25">
        <v>100000</v>
      </c>
      <c r="E81" s="21">
        <v>-7504.9</v>
      </c>
      <c r="F81" s="21">
        <f t="shared" si="0"/>
        <v>92495.1</v>
      </c>
      <c r="G81" s="21"/>
      <c r="H81" s="21">
        <f t="shared" si="52"/>
        <v>92495.1</v>
      </c>
      <c r="I81" s="21"/>
      <c r="J81" s="21">
        <f t="shared" si="63"/>
        <v>92495.1</v>
      </c>
      <c r="K81" s="21">
        <v>-12.334</v>
      </c>
      <c r="L81" s="21">
        <f t="shared" si="64"/>
        <v>92482.766000000003</v>
      </c>
      <c r="M81" s="21"/>
      <c r="N81" s="21">
        <f t="shared" si="65"/>
        <v>92482.766000000003</v>
      </c>
      <c r="O81" s="21"/>
      <c r="P81" s="21">
        <f t="shared" si="66"/>
        <v>92482.766000000003</v>
      </c>
      <c r="Q81" s="21"/>
      <c r="R81" s="21">
        <f t="shared" si="67"/>
        <v>92482.766000000003</v>
      </c>
      <c r="S81" s="21">
        <v>-92466.766000000003</v>
      </c>
      <c r="T81" s="21">
        <f t="shared" si="68"/>
        <v>16</v>
      </c>
      <c r="U81" s="21"/>
      <c r="V81" s="21">
        <f t="shared" si="69"/>
        <v>16</v>
      </c>
      <c r="W81" s="21"/>
      <c r="X81" s="21">
        <f t="shared" si="70"/>
        <v>16</v>
      </c>
      <c r="Y81" s="39"/>
      <c r="Z81" s="21">
        <f t="shared" si="71"/>
        <v>16</v>
      </c>
      <c r="AA81" s="16" t="s">
        <v>49</v>
      </c>
    </row>
    <row r="82" spans="1:29" ht="117.75" customHeight="1" x14ac:dyDescent="0.3">
      <c r="A82" s="1" t="s">
        <v>140</v>
      </c>
      <c r="B82" s="5" t="s">
        <v>51</v>
      </c>
      <c r="C82" s="3" t="s">
        <v>14</v>
      </c>
      <c r="D82" s="25">
        <f>D84</f>
        <v>158794.20000000001</v>
      </c>
      <c r="E82" s="21"/>
      <c r="F82" s="21">
        <f t="shared" si="0"/>
        <v>158794.20000000001</v>
      </c>
      <c r="G82" s="21"/>
      <c r="H82" s="21">
        <f t="shared" si="52"/>
        <v>158794.20000000001</v>
      </c>
      <c r="I82" s="21"/>
      <c r="J82" s="21">
        <f t="shared" si="63"/>
        <v>158794.20000000001</v>
      </c>
      <c r="K82" s="21"/>
      <c r="L82" s="21">
        <f t="shared" si="64"/>
        <v>158794.20000000001</v>
      </c>
      <c r="M82" s="21"/>
      <c r="N82" s="21">
        <f t="shared" si="65"/>
        <v>158794.20000000001</v>
      </c>
      <c r="O82" s="21"/>
      <c r="P82" s="21">
        <f t="shared" si="66"/>
        <v>158794.20000000001</v>
      </c>
      <c r="Q82" s="21"/>
      <c r="R82" s="21">
        <f t="shared" si="67"/>
        <v>158794.20000000001</v>
      </c>
      <c r="S82" s="21"/>
      <c r="T82" s="21">
        <f t="shared" si="68"/>
        <v>158794.20000000001</v>
      </c>
      <c r="U82" s="21"/>
      <c r="V82" s="21">
        <f t="shared" si="69"/>
        <v>158794.20000000001</v>
      </c>
      <c r="W82" s="21"/>
      <c r="X82" s="21">
        <f t="shared" si="70"/>
        <v>158794.20000000001</v>
      </c>
      <c r="Y82" s="39"/>
      <c r="Z82" s="21">
        <f t="shared" si="71"/>
        <v>158794.20000000001</v>
      </c>
      <c r="AA82" s="16" t="s">
        <v>53</v>
      </c>
    </row>
    <row r="83" spans="1:29" x14ac:dyDescent="0.3">
      <c r="A83" s="1"/>
      <c r="B83" s="5" t="s">
        <v>2</v>
      </c>
      <c r="C83" s="3"/>
      <c r="D83" s="25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39"/>
      <c r="Z83" s="21"/>
    </row>
    <row r="84" spans="1:29" x14ac:dyDescent="0.3">
      <c r="A84" s="1"/>
      <c r="B84" s="5" t="s">
        <v>18</v>
      </c>
      <c r="C84" s="3"/>
      <c r="D84" s="25">
        <v>158794.20000000001</v>
      </c>
      <c r="E84" s="21"/>
      <c r="F84" s="21">
        <f t="shared" si="0"/>
        <v>158794.20000000001</v>
      </c>
      <c r="G84" s="21"/>
      <c r="H84" s="21">
        <f t="shared" ref="H84:H85" si="72">F84+G84</f>
        <v>158794.20000000001</v>
      </c>
      <c r="I84" s="21"/>
      <c r="J84" s="21">
        <f t="shared" ref="J84:J85" si="73">H84+I84</f>
        <v>158794.20000000001</v>
      </c>
      <c r="K84" s="21"/>
      <c r="L84" s="21">
        <f t="shared" ref="L84:L85" si="74">J84+K84</f>
        <v>158794.20000000001</v>
      </c>
      <c r="M84" s="21"/>
      <c r="N84" s="21">
        <f t="shared" ref="N84:N85" si="75">L84+M84</f>
        <v>158794.20000000001</v>
      </c>
      <c r="O84" s="21"/>
      <c r="P84" s="21">
        <f t="shared" ref="P84:P85" si="76">N84+O84</f>
        <v>158794.20000000001</v>
      </c>
      <c r="Q84" s="21"/>
      <c r="R84" s="21">
        <f t="shared" ref="R84:R85" si="77">P84+Q84</f>
        <v>158794.20000000001</v>
      </c>
      <c r="S84" s="21"/>
      <c r="T84" s="21">
        <f t="shared" ref="T84:T85" si="78">R84+S84</f>
        <v>158794.20000000001</v>
      </c>
      <c r="U84" s="21"/>
      <c r="V84" s="21">
        <f t="shared" ref="V84:V85" si="79">T84+U84</f>
        <v>158794.20000000001</v>
      </c>
      <c r="W84" s="21"/>
      <c r="X84" s="21">
        <f t="shared" ref="X84:X85" si="80">V84+W84</f>
        <v>158794.20000000001</v>
      </c>
      <c r="Y84" s="39"/>
      <c r="Z84" s="21">
        <f t="shared" ref="Z84:Z85" si="81">X84+Y84</f>
        <v>158794.20000000001</v>
      </c>
    </row>
    <row r="85" spans="1:29" ht="54" x14ac:dyDescent="0.3">
      <c r="A85" s="1" t="s">
        <v>141</v>
      </c>
      <c r="B85" s="5" t="s">
        <v>52</v>
      </c>
      <c r="C85" s="3" t="s">
        <v>14</v>
      </c>
      <c r="D85" s="25">
        <f>D87</f>
        <v>15293.6</v>
      </c>
      <c r="E85" s="21"/>
      <c r="F85" s="21">
        <f t="shared" si="0"/>
        <v>15293.6</v>
      </c>
      <c r="G85" s="21"/>
      <c r="H85" s="21">
        <f t="shared" si="72"/>
        <v>15293.6</v>
      </c>
      <c r="I85" s="21"/>
      <c r="J85" s="21">
        <f t="shared" si="73"/>
        <v>15293.6</v>
      </c>
      <c r="K85" s="21"/>
      <c r="L85" s="21">
        <f t="shared" si="74"/>
        <v>15293.6</v>
      </c>
      <c r="M85" s="21"/>
      <c r="N85" s="21">
        <f t="shared" si="75"/>
        <v>15293.6</v>
      </c>
      <c r="O85" s="21"/>
      <c r="P85" s="21">
        <f t="shared" si="76"/>
        <v>15293.6</v>
      </c>
      <c r="Q85" s="21"/>
      <c r="R85" s="21">
        <f t="shared" si="77"/>
        <v>15293.6</v>
      </c>
      <c r="S85" s="21"/>
      <c r="T85" s="21">
        <f t="shared" si="78"/>
        <v>15293.6</v>
      </c>
      <c r="U85" s="21"/>
      <c r="V85" s="21">
        <f t="shared" si="79"/>
        <v>15293.6</v>
      </c>
      <c r="W85" s="21"/>
      <c r="X85" s="21">
        <f t="shared" si="80"/>
        <v>15293.6</v>
      </c>
      <c r="Y85" s="39"/>
      <c r="Z85" s="21">
        <f t="shared" si="81"/>
        <v>15293.6</v>
      </c>
      <c r="AA85" s="16" t="s">
        <v>54</v>
      </c>
    </row>
    <row r="86" spans="1:29" x14ac:dyDescent="0.3">
      <c r="A86" s="1"/>
      <c r="B86" s="5" t="s">
        <v>2</v>
      </c>
      <c r="C86" s="3"/>
      <c r="D86" s="25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39"/>
      <c r="Z86" s="21"/>
    </row>
    <row r="87" spans="1:29" x14ac:dyDescent="0.3">
      <c r="A87" s="1"/>
      <c r="B87" s="5" t="s">
        <v>24</v>
      </c>
      <c r="C87" s="3"/>
      <c r="D87" s="25">
        <v>15293.6</v>
      </c>
      <c r="E87" s="21"/>
      <c r="F87" s="21">
        <f t="shared" si="0"/>
        <v>15293.6</v>
      </c>
      <c r="G87" s="21"/>
      <c r="H87" s="21">
        <f t="shared" ref="H87:H93" si="82">F87+G87</f>
        <v>15293.6</v>
      </c>
      <c r="I87" s="21"/>
      <c r="J87" s="21">
        <f t="shared" ref="J87:J92" si="83">H87+I87</f>
        <v>15293.6</v>
      </c>
      <c r="K87" s="21"/>
      <c r="L87" s="21">
        <f t="shared" ref="L87:L92" si="84">J87+K87</f>
        <v>15293.6</v>
      </c>
      <c r="M87" s="21"/>
      <c r="N87" s="21">
        <f t="shared" ref="N87:N89" si="85">L87+M87</f>
        <v>15293.6</v>
      </c>
      <c r="O87" s="21"/>
      <c r="P87" s="21">
        <f t="shared" ref="P87:P89" si="86">N87+O87</f>
        <v>15293.6</v>
      </c>
      <c r="Q87" s="21"/>
      <c r="R87" s="21">
        <f t="shared" ref="R87:R89" si="87">P87+Q87</f>
        <v>15293.6</v>
      </c>
      <c r="S87" s="21"/>
      <c r="T87" s="21">
        <f t="shared" ref="T87:T89" si="88">R87+S87</f>
        <v>15293.6</v>
      </c>
      <c r="U87" s="21"/>
      <c r="V87" s="21">
        <f t="shared" ref="V87:V89" si="89">T87+U87</f>
        <v>15293.6</v>
      </c>
      <c r="W87" s="21"/>
      <c r="X87" s="21">
        <f t="shared" ref="X87:X89" si="90">V87+W87</f>
        <v>15293.6</v>
      </c>
      <c r="Y87" s="39"/>
      <c r="Z87" s="21">
        <f t="shared" ref="Z87:Z89" si="91">X87+Y87</f>
        <v>15293.6</v>
      </c>
    </row>
    <row r="88" spans="1:29" ht="72" x14ac:dyDescent="0.3">
      <c r="A88" s="1" t="s">
        <v>142</v>
      </c>
      <c r="B88" s="5" t="s">
        <v>192</v>
      </c>
      <c r="C88" s="3" t="s">
        <v>5</v>
      </c>
      <c r="D88" s="25"/>
      <c r="E88" s="21"/>
      <c r="F88" s="21"/>
      <c r="G88" s="21">
        <v>3596.3359999999998</v>
      </c>
      <c r="H88" s="21">
        <f>G88</f>
        <v>3596.3359999999998</v>
      </c>
      <c r="I88" s="21"/>
      <c r="J88" s="21">
        <f t="shared" si="83"/>
        <v>3596.3359999999998</v>
      </c>
      <c r="K88" s="21"/>
      <c r="L88" s="21">
        <f t="shared" si="84"/>
        <v>3596.3359999999998</v>
      </c>
      <c r="M88" s="21"/>
      <c r="N88" s="21">
        <f t="shared" si="85"/>
        <v>3596.3359999999998</v>
      </c>
      <c r="O88" s="21"/>
      <c r="P88" s="21">
        <f t="shared" si="86"/>
        <v>3596.3359999999998</v>
      </c>
      <c r="Q88" s="21"/>
      <c r="R88" s="21">
        <f t="shared" si="87"/>
        <v>3596.3359999999998</v>
      </c>
      <c r="S88" s="21"/>
      <c r="T88" s="21">
        <f t="shared" si="88"/>
        <v>3596.3359999999998</v>
      </c>
      <c r="U88" s="21">
        <v>3651.3310000000001</v>
      </c>
      <c r="V88" s="21">
        <f t="shared" si="89"/>
        <v>7247.6669999999995</v>
      </c>
      <c r="W88" s="21">
        <v>-3651.3310000000001</v>
      </c>
      <c r="X88" s="21">
        <f t="shared" si="90"/>
        <v>3596.3359999999993</v>
      </c>
      <c r="Y88" s="39"/>
      <c r="Z88" s="21">
        <f t="shared" si="91"/>
        <v>3596.3359999999993</v>
      </c>
      <c r="AA88" s="19">
        <v>1710141150</v>
      </c>
    </row>
    <row r="89" spans="1:29" ht="54" x14ac:dyDescent="0.3">
      <c r="A89" s="1" t="s">
        <v>143</v>
      </c>
      <c r="B89" s="5" t="s">
        <v>199</v>
      </c>
      <c r="C89" s="3" t="s">
        <v>14</v>
      </c>
      <c r="D89" s="25"/>
      <c r="E89" s="21"/>
      <c r="F89" s="21"/>
      <c r="G89" s="21">
        <f>G91+G92</f>
        <v>11990</v>
      </c>
      <c r="H89" s="21">
        <f t="shared" ref="H89:H92" si="92">G89</f>
        <v>11990</v>
      </c>
      <c r="I89" s="21">
        <f>I91+I92</f>
        <v>0</v>
      </c>
      <c r="J89" s="21">
        <f t="shared" si="83"/>
        <v>11990</v>
      </c>
      <c r="K89" s="21">
        <f>K91+K92</f>
        <v>0</v>
      </c>
      <c r="L89" s="21">
        <f t="shared" si="84"/>
        <v>11990</v>
      </c>
      <c r="M89" s="21">
        <f>M91+M92</f>
        <v>0</v>
      </c>
      <c r="N89" s="21">
        <f t="shared" si="85"/>
        <v>11990</v>
      </c>
      <c r="O89" s="21">
        <f>O91+O92</f>
        <v>0</v>
      </c>
      <c r="P89" s="21">
        <f t="shared" si="86"/>
        <v>11990</v>
      </c>
      <c r="Q89" s="21">
        <f>Q91+Q92</f>
        <v>0</v>
      </c>
      <c r="R89" s="21">
        <f t="shared" si="87"/>
        <v>11990</v>
      </c>
      <c r="S89" s="21">
        <f>S91+S92</f>
        <v>0</v>
      </c>
      <c r="T89" s="21">
        <f t="shared" si="88"/>
        <v>11990</v>
      </c>
      <c r="U89" s="21">
        <f>U91+U92</f>
        <v>0</v>
      </c>
      <c r="V89" s="21">
        <f t="shared" si="89"/>
        <v>11990</v>
      </c>
      <c r="W89" s="21">
        <f>W91+W92</f>
        <v>0</v>
      </c>
      <c r="X89" s="21">
        <f t="shared" si="90"/>
        <v>11990</v>
      </c>
      <c r="Y89" s="39">
        <f>Y91+Y92</f>
        <v>0</v>
      </c>
      <c r="Z89" s="21">
        <f t="shared" si="91"/>
        <v>11990</v>
      </c>
    </row>
    <row r="90" spans="1:29" x14ac:dyDescent="0.3">
      <c r="A90" s="1"/>
      <c r="B90" s="20" t="s">
        <v>2</v>
      </c>
      <c r="C90" s="3"/>
      <c r="D90" s="25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39"/>
      <c r="Z90" s="21"/>
      <c r="AA90" s="19"/>
    </row>
    <row r="91" spans="1:29" hidden="1" x14ac:dyDescent="0.3">
      <c r="A91" s="1"/>
      <c r="B91" s="20" t="s">
        <v>3</v>
      </c>
      <c r="C91" s="3"/>
      <c r="D91" s="25"/>
      <c r="E91" s="21"/>
      <c r="F91" s="21"/>
      <c r="G91" s="21">
        <v>2998</v>
      </c>
      <c r="H91" s="21">
        <f t="shared" si="92"/>
        <v>2998</v>
      </c>
      <c r="I91" s="21"/>
      <c r="J91" s="21">
        <f t="shared" si="83"/>
        <v>2998</v>
      </c>
      <c r="K91" s="21"/>
      <c r="L91" s="21">
        <f t="shared" si="84"/>
        <v>2998</v>
      </c>
      <c r="M91" s="21"/>
      <c r="N91" s="21">
        <f t="shared" ref="N91:N93" si="93">L91+M91</f>
        <v>2998</v>
      </c>
      <c r="O91" s="21"/>
      <c r="P91" s="21">
        <f t="shared" ref="P91:P93" si="94">N91+O91</f>
        <v>2998</v>
      </c>
      <c r="Q91" s="21"/>
      <c r="R91" s="21">
        <f t="shared" ref="R91:R93" si="95">P91+Q91</f>
        <v>2998</v>
      </c>
      <c r="S91" s="21"/>
      <c r="T91" s="21">
        <f t="shared" ref="T91:T93" si="96">R91+S91</f>
        <v>2998</v>
      </c>
      <c r="U91" s="21"/>
      <c r="V91" s="21">
        <f t="shared" ref="V91:V93" si="97">T91+U91</f>
        <v>2998</v>
      </c>
      <c r="W91" s="21"/>
      <c r="X91" s="21">
        <f t="shared" ref="X91:X93" si="98">V91+W91</f>
        <v>2998</v>
      </c>
      <c r="Y91" s="39"/>
      <c r="Z91" s="21">
        <f t="shared" ref="Z91:Z93" si="99">X91+Y91</f>
        <v>2998</v>
      </c>
      <c r="AA91" s="19" t="s">
        <v>201</v>
      </c>
      <c r="AB91" s="28">
        <v>0</v>
      </c>
    </row>
    <row r="92" spans="1:29" x14ac:dyDescent="0.3">
      <c r="A92" s="1"/>
      <c r="B92" s="20" t="s">
        <v>18</v>
      </c>
      <c r="C92" s="3"/>
      <c r="D92" s="25"/>
      <c r="E92" s="21"/>
      <c r="F92" s="21"/>
      <c r="G92" s="21">
        <v>8992</v>
      </c>
      <c r="H92" s="21">
        <f t="shared" si="92"/>
        <v>8992</v>
      </c>
      <c r="I92" s="21"/>
      <c r="J92" s="21">
        <f t="shared" si="83"/>
        <v>8992</v>
      </c>
      <c r="K92" s="21"/>
      <c r="L92" s="21">
        <f t="shared" si="84"/>
        <v>8992</v>
      </c>
      <c r="M92" s="21"/>
      <c r="N92" s="21">
        <f t="shared" si="93"/>
        <v>8992</v>
      </c>
      <c r="O92" s="21"/>
      <c r="P92" s="21">
        <f t="shared" si="94"/>
        <v>8992</v>
      </c>
      <c r="Q92" s="21"/>
      <c r="R92" s="21">
        <f t="shared" si="95"/>
        <v>8992</v>
      </c>
      <c r="S92" s="21"/>
      <c r="T92" s="21">
        <f t="shared" si="96"/>
        <v>8992</v>
      </c>
      <c r="U92" s="21"/>
      <c r="V92" s="21">
        <f t="shared" si="97"/>
        <v>8992</v>
      </c>
      <c r="W92" s="21"/>
      <c r="X92" s="21">
        <f t="shared" si="98"/>
        <v>8992</v>
      </c>
      <c r="Y92" s="39"/>
      <c r="Z92" s="21">
        <f t="shared" si="99"/>
        <v>8992</v>
      </c>
      <c r="AA92" s="19" t="s">
        <v>200</v>
      </c>
    </row>
    <row r="93" spans="1:29" x14ac:dyDescent="0.3">
      <c r="A93" s="1"/>
      <c r="B93" s="5" t="s">
        <v>6</v>
      </c>
      <c r="C93" s="3"/>
      <c r="D93" s="44">
        <f>D95</f>
        <v>98459.5</v>
      </c>
      <c r="E93" s="44">
        <f>E95</f>
        <v>25000</v>
      </c>
      <c r="F93" s="44">
        <f t="shared" si="0"/>
        <v>123459.5</v>
      </c>
      <c r="G93" s="44">
        <f>G95</f>
        <v>1492.4749999999999</v>
      </c>
      <c r="H93" s="44">
        <f t="shared" si="82"/>
        <v>124951.97500000001</v>
      </c>
      <c r="I93" s="44">
        <f>I95</f>
        <v>0</v>
      </c>
      <c r="J93" s="44">
        <f t="shared" ref="J93" si="100">H93+I93</f>
        <v>124951.97500000001</v>
      </c>
      <c r="K93" s="44">
        <f>K95</f>
        <v>-998.72199999999998</v>
      </c>
      <c r="L93" s="44">
        <f t="shared" ref="L93" si="101">J93+K93</f>
        <v>123953.25300000001</v>
      </c>
      <c r="M93" s="44">
        <f>M95</f>
        <v>100133</v>
      </c>
      <c r="N93" s="44">
        <f t="shared" si="93"/>
        <v>224086.25300000003</v>
      </c>
      <c r="O93" s="44">
        <f>O95</f>
        <v>0</v>
      </c>
      <c r="P93" s="44">
        <f t="shared" si="94"/>
        <v>224086.25300000003</v>
      </c>
      <c r="Q93" s="44">
        <f>Q95</f>
        <v>-2413.3809999999999</v>
      </c>
      <c r="R93" s="44">
        <f t="shared" si="95"/>
        <v>221672.87200000003</v>
      </c>
      <c r="S93" s="44">
        <f>S95</f>
        <v>-18607.734</v>
      </c>
      <c r="T93" s="44">
        <f t="shared" si="96"/>
        <v>203065.13800000004</v>
      </c>
      <c r="U93" s="44">
        <f>U95</f>
        <v>-279.298</v>
      </c>
      <c r="V93" s="44">
        <f t="shared" si="97"/>
        <v>202785.84000000003</v>
      </c>
      <c r="W93" s="44">
        <f>W95</f>
        <v>0</v>
      </c>
      <c r="X93" s="44">
        <f t="shared" si="98"/>
        <v>202785.84000000003</v>
      </c>
      <c r="Y93" s="44">
        <f>Y95</f>
        <v>-2677.078</v>
      </c>
      <c r="Z93" s="21">
        <f t="shared" si="99"/>
        <v>200108.76200000002</v>
      </c>
      <c r="AA93" s="45"/>
      <c r="AB93" s="46"/>
      <c r="AC93" s="47"/>
    </row>
    <row r="94" spans="1:29" hidden="1" x14ac:dyDescent="0.3">
      <c r="A94" s="1"/>
      <c r="B94" s="5" t="s">
        <v>2</v>
      </c>
      <c r="C94" s="3"/>
      <c r="D94" s="26"/>
      <c r="E94" s="30"/>
      <c r="F94" s="21"/>
      <c r="G94" s="30"/>
      <c r="H94" s="21"/>
      <c r="I94" s="30"/>
      <c r="J94" s="21"/>
      <c r="K94" s="30"/>
      <c r="L94" s="21"/>
      <c r="M94" s="30"/>
      <c r="N94" s="21"/>
      <c r="O94" s="30"/>
      <c r="P94" s="21"/>
      <c r="Q94" s="30"/>
      <c r="R94" s="21"/>
      <c r="S94" s="30"/>
      <c r="T94" s="21"/>
      <c r="U94" s="30"/>
      <c r="V94" s="21"/>
      <c r="W94" s="30"/>
      <c r="X94" s="21"/>
      <c r="Y94" s="43"/>
      <c r="Z94" s="21"/>
      <c r="AB94" s="28">
        <v>0</v>
      </c>
    </row>
    <row r="95" spans="1:29" hidden="1" x14ac:dyDescent="0.35">
      <c r="A95" s="1"/>
      <c r="B95" s="5" t="s">
        <v>3</v>
      </c>
      <c r="C95" s="5"/>
      <c r="D95" s="27">
        <f>D96+D97+D98+D99+D100+D101+D102+D103</f>
        <v>98459.5</v>
      </c>
      <c r="E95" s="22">
        <f>E96+E97+E98+E99+E100+E101+E102+E103</f>
        <v>25000</v>
      </c>
      <c r="F95" s="21">
        <f t="shared" si="0"/>
        <v>123459.5</v>
      </c>
      <c r="G95" s="22">
        <f>G96+G97+G98+G99+G100+G101+G102+G103</f>
        <v>1492.4749999999999</v>
      </c>
      <c r="H95" s="21">
        <f t="shared" ref="H95:H107" si="102">F95+G95</f>
        <v>124951.97500000001</v>
      </c>
      <c r="I95" s="22">
        <f>I96+I97+I98+I99+I100+I101+I102+I103</f>
        <v>0</v>
      </c>
      <c r="J95" s="21">
        <f t="shared" ref="J95:J107" si="103">H95+I95</f>
        <v>124951.97500000001</v>
      </c>
      <c r="K95" s="22">
        <f>K96+K97+K98+K99+K100+K101+K102+K103</f>
        <v>-998.72199999999998</v>
      </c>
      <c r="L95" s="21">
        <f t="shared" ref="L95:L107" si="104">J95+K95</f>
        <v>123953.25300000001</v>
      </c>
      <c r="M95" s="22">
        <f>M96+M97+M98+M99+M100+M101+M102+M103+M104</f>
        <v>100133</v>
      </c>
      <c r="N95" s="21">
        <f t="shared" ref="N95:N107" si="105">L95+M95</f>
        <v>224086.25300000003</v>
      </c>
      <c r="O95" s="22">
        <f>O96+O97+O98+O99+O100+O101+O102+O103+O104</f>
        <v>0</v>
      </c>
      <c r="P95" s="21">
        <f t="shared" ref="P95:P107" si="106">N95+O95</f>
        <v>224086.25300000003</v>
      </c>
      <c r="Q95" s="22">
        <f>Q96+Q97+Q98+Q99+Q100+Q101+Q102+Q103+Q104</f>
        <v>-2413.3809999999999</v>
      </c>
      <c r="R95" s="21">
        <f t="shared" ref="R95:R107" si="107">P95+Q95</f>
        <v>221672.87200000003</v>
      </c>
      <c r="S95" s="22">
        <f>S96+S97+S98+S99+S100+S101+S102+S103+S104</f>
        <v>-18607.734</v>
      </c>
      <c r="T95" s="21">
        <f t="shared" ref="T95:T104" si="108">R95+S95</f>
        <v>203065.13800000004</v>
      </c>
      <c r="U95" s="22">
        <f>U96+U97+U98+U99+U100+U101+U102+U103+U104</f>
        <v>-279.298</v>
      </c>
      <c r="V95" s="21">
        <f t="shared" ref="V95:V104" si="109">T95+U95</f>
        <v>202785.84000000003</v>
      </c>
      <c r="W95" s="22">
        <f>W96+W97+W98+W99+W100+W101+W102+W103+W104</f>
        <v>0</v>
      </c>
      <c r="X95" s="21">
        <f t="shared" ref="X95:X104" si="110">V95+W95</f>
        <v>202785.84000000003</v>
      </c>
      <c r="Y95" s="40">
        <f>Y96+Y97+Y98+Y99+Y100+Y101+Y102+Y103+Y104</f>
        <v>-2677.078</v>
      </c>
      <c r="Z95" s="21">
        <f t="shared" ref="Z95:Z104" si="111">X95+Y95</f>
        <v>200108.76200000002</v>
      </c>
      <c r="AB95" s="28">
        <v>0</v>
      </c>
    </row>
    <row r="96" spans="1:29" ht="54" x14ac:dyDescent="0.3">
      <c r="A96" s="1" t="s">
        <v>144</v>
      </c>
      <c r="B96" s="5" t="s">
        <v>69</v>
      </c>
      <c r="C96" s="70" t="s">
        <v>7</v>
      </c>
      <c r="D96" s="21">
        <v>37878</v>
      </c>
      <c r="E96" s="21">
        <v>25000</v>
      </c>
      <c r="F96" s="21">
        <f t="shared" si="0"/>
        <v>62878</v>
      </c>
      <c r="G96" s="21">
        <v>0.88300000000000001</v>
      </c>
      <c r="H96" s="21">
        <f t="shared" si="102"/>
        <v>62878.883000000002</v>
      </c>
      <c r="I96" s="21"/>
      <c r="J96" s="21">
        <f t="shared" si="103"/>
        <v>62878.883000000002</v>
      </c>
      <c r="K96" s="21">
        <v>-998.72199999999998</v>
      </c>
      <c r="L96" s="21">
        <f t="shared" si="104"/>
        <v>61880.161</v>
      </c>
      <c r="M96" s="21">
        <v>20000</v>
      </c>
      <c r="N96" s="21">
        <f t="shared" si="105"/>
        <v>81880.160999999993</v>
      </c>
      <c r="O96" s="21"/>
      <c r="P96" s="21">
        <f t="shared" si="106"/>
        <v>81880.160999999993</v>
      </c>
      <c r="Q96" s="21">
        <v>-371.58199999999999</v>
      </c>
      <c r="R96" s="21">
        <f t="shared" si="107"/>
        <v>81508.578999999998</v>
      </c>
      <c r="S96" s="21"/>
      <c r="T96" s="21">
        <f t="shared" si="108"/>
        <v>81508.578999999998</v>
      </c>
      <c r="U96" s="21">
        <v>-279.298</v>
      </c>
      <c r="V96" s="21">
        <f t="shared" si="109"/>
        <v>81229.281000000003</v>
      </c>
      <c r="W96" s="21"/>
      <c r="X96" s="21">
        <f t="shared" si="110"/>
        <v>81229.281000000003</v>
      </c>
      <c r="Y96" s="39">
        <v>-79.962000000000003</v>
      </c>
      <c r="Z96" s="21">
        <f t="shared" si="111"/>
        <v>81149.319000000003</v>
      </c>
      <c r="AA96" s="19">
        <v>1020200000</v>
      </c>
    </row>
    <row r="97" spans="1:29" ht="54" x14ac:dyDescent="0.3">
      <c r="A97" s="1" t="s">
        <v>145</v>
      </c>
      <c r="B97" s="5" t="s">
        <v>175</v>
      </c>
      <c r="C97" s="70" t="s">
        <v>7</v>
      </c>
      <c r="D97" s="21">
        <v>5072.8</v>
      </c>
      <c r="E97" s="21"/>
      <c r="F97" s="21">
        <f t="shared" si="0"/>
        <v>5072.8</v>
      </c>
      <c r="G97" s="21"/>
      <c r="H97" s="21">
        <f t="shared" si="102"/>
        <v>5072.8</v>
      </c>
      <c r="I97" s="21"/>
      <c r="J97" s="21">
        <f t="shared" si="103"/>
        <v>5072.8</v>
      </c>
      <c r="K97" s="21"/>
      <c r="L97" s="21">
        <f t="shared" si="104"/>
        <v>5072.8</v>
      </c>
      <c r="M97" s="21"/>
      <c r="N97" s="21">
        <f t="shared" si="105"/>
        <v>5072.8</v>
      </c>
      <c r="O97" s="21"/>
      <c r="P97" s="21">
        <f t="shared" si="106"/>
        <v>5072.8</v>
      </c>
      <c r="Q97" s="21"/>
      <c r="R97" s="21">
        <f t="shared" si="107"/>
        <v>5072.8</v>
      </c>
      <c r="S97" s="21"/>
      <c r="T97" s="21">
        <f t="shared" si="108"/>
        <v>5072.8</v>
      </c>
      <c r="U97" s="21"/>
      <c r="V97" s="21">
        <f t="shared" si="109"/>
        <v>5072.8</v>
      </c>
      <c r="W97" s="21"/>
      <c r="X97" s="21">
        <f t="shared" si="110"/>
        <v>5072.8</v>
      </c>
      <c r="Y97" s="39"/>
      <c r="Z97" s="21">
        <f t="shared" si="111"/>
        <v>5072.8</v>
      </c>
      <c r="AA97" s="19">
        <v>1110541750</v>
      </c>
    </row>
    <row r="98" spans="1:29" ht="54" x14ac:dyDescent="0.3">
      <c r="A98" s="1" t="s">
        <v>146</v>
      </c>
      <c r="B98" s="5" t="s">
        <v>70</v>
      </c>
      <c r="C98" s="70" t="s">
        <v>7</v>
      </c>
      <c r="D98" s="21">
        <v>12136.7</v>
      </c>
      <c r="E98" s="21"/>
      <c r="F98" s="21">
        <f t="shared" si="0"/>
        <v>12136.7</v>
      </c>
      <c r="G98" s="21">
        <v>696.5</v>
      </c>
      <c r="H98" s="21">
        <f t="shared" si="102"/>
        <v>12833.2</v>
      </c>
      <c r="I98" s="21"/>
      <c r="J98" s="21">
        <f t="shared" si="103"/>
        <v>12833.2</v>
      </c>
      <c r="K98" s="21"/>
      <c r="L98" s="21">
        <f t="shared" si="104"/>
        <v>12833.2</v>
      </c>
      <c r="M98" s="21"/>
      <c r="N98" s="21">
        <f t="shared" si="105"/>
        <v>12833.2</v>
      </c>
      <c r="O98" s="21"/>
      <c r="P98" s="21">
        <f t="shared" si="106"/>
        <v>12833.2</v>
      </c>
      <c r="Q98" s="21"/>
      <c r="R98" s="21">
        <f t="shared" si="107"/>
        <v>12833.2</v>
      </c>
      <c r="S98" s="21"/>
      <c r="T98" s="21">
        <f t="shared" si="108"/>
        <v>12833.2</v>
      </c>
      <c r="U98" s="21"/>
      <c r="V98" s="21">
        <f t="shared" si="109"/>
        <v>12833.2</v>
      </c>
      <c r="W98" s="21"/>
      <c r="X98" s="21">
        <f t="shared" si="110"/>
        <v>12833.2</v>
      </c>
      <c r="Y98" s="39">
        <v>-2597.116</v>
      </c>
      <c r="Z98" s="21">
        <f t="shared" si="111"/>
        <v>10236.084000000001</v>
      </c>
      <c r="AA98" s="19">
        <v>1110541780</v>
      </c>
    </row>
    <row r="99" spans="1:29" ht="54" x14ac:dyDescent="0.3">
      <c r="A99" s="1" t="s">
        <v>147</v>
      </c>
      <c r="B99" s="5" t="s">
        <v>71</v>
      </c>
      <c r="C99" s="70" t="s">
        <v>7</v>
      </c>
      <c r="D99" s="21">
        <v>395.3</v>
      </c>
      <c r="E99" s="21"/>
      <c r="F99" s="21">
        <f t="shared" si="0"/>
        <v>395.3</v>
      </c>
      <c r="G99" s="21"/>
      <c r="H99" s="21">
        <f t="shared" si="102"/>
        <v>395.3</v>
      </c>
      <c r="I99" s="21"/>
      <c r="J99" s="21">
        <f t="shared" si="103"/>
        <v>395.3</v>
      </c>
      <c r="K99" s="21"/>
      <c r="L99" s="21">
        <f t="shared" si="104"/>
        <v>395.3</v>
      </c>
      <c r="M99" s="21"/>
      <c r="N99" s="21">
        <f t="shared" si="105"/>
        <v>395.3</v>
      </c>
      <c r="O99" s="21"/>
      <c r="P99" s="21">
        <f t="shared" si="106"/>
        <v>395.3</v>
      </c>
      <c r="Q99" s="21"/>
      <c r="R99" s="21">
        <f t="shared" si="107"/>
        <v>395.3</v>
      </c>
      <c r="S99" s="21"/>
      <c r="T99" s="21">
        <f t="shared" si="108"/>
        <v>395.3</v>
      </c>
      <c r="U99" s="21"/>
      <c r="V99" s="21">
        <f t="shared" si="109"/>
        <v>395.3</v>
      </c>
      <c r="W99" s="21"/>
      <c r="X99" s="21">
        <f t="shared" si="110"/>
        <v>395.3</v>
      </c>
      <c r="Y99" s="39"/>
      <c r="Z99" s="21">
        <f t="shared" si="111"/>
        <v>395.3</v>
      </c>
      <c r="AA99" s="19">
        <v>1110541710</v>
      </c>
    </row>
    <row r="100" spans="1:29" ht="54" x14ac:dyDescent="0.3">
      <c r="A100" s="1" t="s">
        <v>148</v>
      </c>
      <c r="B100" s="5" t="s">
        <v>72</v>
      </c>
      <c r="C100" s="70" t="s">
        <v>7</v>
      </c>
      <c r="D100" s="21">
        <v>2786.6</v>
      </c>
      <c r="E100" s="21"/>
      <c r="F100" s="21">
        <f t="shared" si="0"/>
        <v>2786.6</v>
      </c>
      <c r="G100" s="21"/>
      <c r="H100" s="21">
        <f t="shared" si="102"/>
        <v>2786.6</v>
      </c>
      <c r="I100" s="21"/>
      <c r="J100" s="21">
        <f t="shared" si="103"/>
        <v>2786.6</v>
      </c>
      <c r="K100" s="21"/>
      <c r="L100" s="21">
        <f t="shared" si="104"/>
        <v>2786.6</v>
      </c>
      <c r="M100" s="21"/>
      <c r="N100" s="21">
        <f t="shared" si="105"/>
        <v>2786.6</v>
      </c>
      <c r="O100" s="21"/>
      <c r="P100" s="21">
        <f t="shared" si="106"/>
        <v>2786.6</v>
      </c>
      <c r="Q100" s="21">
        <v>-41.798999999999999</v>
      </c>
      <c r="R100" s="21">
        <f t="shared" si="107"/>
        <v>2744.8009999999999</v>
      </c>
      <c r="S100" s="21"/>
      <c r="T100" s="21">
        <f t="shared" si="108"/>
        <v>2744.8009999999999</v>
      </c>
      <c r="U100" s="21"/>
      <c r="V100" s="21">
        <f t="shared" si="109"/>
        <v>2744.8009999999999</v>
      </c>
      <c r="W100" s="21"/>
      <c r="X100" s="21">
        <f t="shared" si="110"/>
        <v>2744.8009999999999</v>
      </c>
      <c r="Y100" s="39"/>
      <c r="Z100" s="21">
        <f t="shared" si="111"/>
        <v>2744.8009999999999</v>
      </c>
      <c r="AA100" s="19" t="s">
        <v>73</v>
      </c>
    </row>
    <row r="101" spans="1:29" ht="54" x14ac:dyDescent="0.3">
      <c r="A101" s="1" t="s">
        <v>149</v>
      </c>
      <c r="B101" s="5" t="s">
        <v>74</v>
      </c>
      <c r="C101" s="70" t="s">
        <v>7</v>
      </c>
      <c r="D101" s="21">
        <v>472.8</v>
      </c>
      <c r="E101" s="21"/>
      <c r="F101" s="21">
        <f t="shared" si="0"/>
        <v>472.8</v>
      </c>
      <c r="G101" s="21"/>
      <c r="H101" s="21">
        <f t="shared" si="102"/>
        <v>472.8</v>
      </c>
      <c r="I101" s="21"/>
      <c r="J101" s="21">
        <f t="shared" si="103"/>
        <v>472.8</v>
      </c>
      <c r="K101" s="21"/>
      <c r="L101" s="21">
        <f t="shared" si="104"/>
        <v>472.8</v>
      </c>
      <c r="M101" s="21"/>
      <c r="N101" s="21">
        <f t="shared" si="105"/>
        <v>472.8</v>
      </c>
      <c r="O101" s="21"/>
      <c r="P101" s="21">
        <f t="shared" si="106"/>
        <v>472.8</v>
      </c>
      <c r="Q101" s="21"/>
      <c r="R101" s="21">
        <f t="shared" si="107"/>
        <v>472.8</v>
      </c>
      <c r="S101" s="21"/>
      <c r="T101" s="21">
        <f t="shared" si="108"/>
        <v>472.8</v>
      </c>
      <c r="U101" s="21"/>
      <c r="V101" s="21">
        <f t="shared" si="109"/>
        <v>472.8</v>
      </c>
      <c r="W101" s="21"/>
      <c r="X101" s="21">
        <f t="shared" si="110"/>
        <v>472.8</v>
      </c>
      <c r="Y101" s="39"/>
      <c r="Z101" s="21">
        <f t="shared" si="111"/>
        <v>472.8</v>
      </c>
      <c r="AA101" s="19" t="s">
        <v>75</v>
      </c>
    </row>
    <row r="102" spans="1:29" ht="54" hidden="1" x14ac:dyDescent="0.3">
      <c r="A102" s="1" t="s">
        <v>149</v>
      </c>
      <c r="B102" s="5" t="s">
        <v>76</v>
      </c>
      <c r="C102" s="52" t="s">
        <v>7</v>
      </c>
      <c r="D102" s="21">
        <v>2000</v>
      </c>
      <c r="E102" s="21"/>
      <c r="F102" s="21">
        <f t="shared" si="0"/>
        <v>2000</v>
      </c>
      <c r="G102" s="21"/>
      <c r="H102" s="21">
        <f t="shared" si="102"/>
        <v>2000</v>
      </c>
      <c r="I102" s="21"/>
      <c r="J102" s="21">
        <f t="shared" si="103"/>
        <v>2000</v>
      </c>
      <c r="K102" s="21"/>
      <c r="L102" s="21">
        <f t="shared" si="104"/>
        <v>2000</v>
      </c>
      <c r="M102" s="21"/>
      <c r="N102" s="21">
        <f t="shared" si="105"/>
        <v>2000</v>
      </c>
      <c r="O102" s="21"/>
      <c r="P102" s="21">
        <f t="shared" si="106"/>
        <v>2000</v>
      </c>
      <c r="Q102" s="21">
        <v>-2000</v>
      </c>
      <c r="R102" s="21">
        <f t="shared" si="107"/>
        <v>0</v>
      </c>
      <c r="S102" s="21"/>
      <c r="T102" s="21">
        <f t="shared" si="108"/>
        <v>0</v>
      </c>
      <c r="U102" s="21"/>
      <c r="V102" s="21">
        <f t="shared" si="109"/>
        <v>0</v>
      </c>
      <c r="W102" s="21"/>
      <c r="X102" s="21">
        <f t="shared" si="110"/>
        <v>0</v>
      </c>
      <c r="Y102" s="39"/>
      <c r="Z102" s="21">
        <f t="shared" si="111"/>
        <v>0</v>
      </c>
      <c r="AA102" s="16" t="s">
        <v>77</v>
      </c>
      <c r="AB102" s="28">
        <v>0</v>
      </c>
    </row>
    <row r="103" spans="1:29" ht="54" x14ac:dyDescent="0.3">
      <c r="A103" s="1" t="s">
        <v>150</v>
      </c>
      <c r="B103" s="5" t="s">
        <v>78</v>
      </c>
      <c r="C103" s="70" t="s">
        <v>7</v>
      </c>
      <c r="D103" s="21">
        <v>37717.300000000003</v>
      </c>
      <c r="E103" s="21"/>
      <c r="F103" s="21">
        <f t="shared" si="0"/>
        <v>37717.300000000003</v>
      </c>
      <c r="G103" s="21">
        <v>795.09199999999998</v>
      </c>
      <c r="H103" s="21">
        <f t="shared" si="102"/>
        <v>38512.392</v>
      </c>
      <c r="I103" s="21"/>
      <c r="J103" s="21">
        <f t="shared" si="103"/>
        <v>38512.392</v>
      </c>
      <c r="K103" s="21"/>
      <c r="L103" s="21">
        <f t="shared" si="104"/>
        <v>38512.392</v>
      </c>
      <c r="M103" s="21">
        <v>30000</v>
      </c>
      <c r="N103" s="21">
        <f t="shared" si="105"/>
        <v>68512.391999999993</v>
      </c>
      <c r="O103" s="21"/>
      <c r="P103" s="21">
        <f t="shared" si="106"/>
        <v>68512.391999999993</v>
      </c>
      <c r="Q103" s="21"/>
      <c r="R103" s="21">
        <f t="shared" si="107"/>
        <v>68512.391999999993</v>
      </c>
      <c r="S103" s="21">
        <v>-18607.734</v>
      </c>
      <c r="T103" s="21">
        <f t="shared" si="108"/>
        <v>49904.657999999996</v>
      </c>
      <c r="U103" s="21"/>
      <c r="V103" s="21">
        <f t="shared" si="109"/>
        <v>49904.657999999996</v>
      </c>
      <c r="W103" s="21"/>
      <c r="X103" s="21">
        <f t="shared" si="110"/>
        <v>49904.657999999996</v>
      </c>
      <c r="Y103" s="39"/>
      <c r="Z103" s="21">
        <f t="shared" si="111"/>
        <v>49904.657999999996</v>
      </c>
      <c r="AA103" s="16" t="s">
        <v>79</v>
      </c>
    </row>
    <row r="104" spans="1:29" ht="54" x14ac:dyDescent="0.3">
      <c r="A104" s="1" t="s">
        <v>151</v>
      </c>
      <c r="B104" s="5" t="s">
        <v>233</v>
      </c>
      <c r="C104" s="70" t="s">
        <v>7</v>
      </c>
      <c r="D104" s="21"/>
      <c r="E104" s="21"/>
      <c r="F104" s="21"/>
      <c r="G104" s="21"/>
      <c r="H104" s="21"/>
      <c r="I104" s="21"/>
      <c r="J104" s="21"/>
      <c r="K104" s="21"/>
      <c r="L104" s="21"/>
      <c r="M104" s="21">
        <v>50133</v>
      </c>
      <c r="N104" s="21">
        <f t="shared" si="105"/>
        <v>50133</v>
      </c>
      <c r="O104" s="21"/>
      <c r="P104" s="21">
        <f t="shared" si="106"/>
        <v>50133</v>
      </c>
      <c r="Q104" s="21"/>
      <c r="R104" s="21">
        <f t="shared" si="107"/>
        <v>50133</v>
      </c>
      <c r="S104" s="21"/>
      <c r="T104" s="21">
        <f t="shared" si="108"/>
        <v>50133</v>
      </c>
      <c r="U104" s="21"/>
      <c r="V104" s="21">
        <f t="shared" si="109"/>
        <v>50133</v>
      </c>
      <c r="W104" s="21"/>
      <c r="X104" s="21">
        <f t="shared" si="110"/>
        <v>50133</v>
      </c>
      <c r="Y104" s="39"/>
      <c r="Z104" s="21">
        <f t="shared" si="111"/>
        <v>50133</v>
      </c>
      <c r="AA104" s="19">
        <v>2620242020</v>
      </c>
    </row>
    <row r="105" spans="1:29" s="47" customFormat="1" hidden="1" x14ac:dyDescent="0.3">
      <c r="A105" s="60"/>
      <c r="B105" s="61" t="s">
        <v>243</v>
      </c>
      <c r="C105" s="62"/>
      <c r="D105" s="44"/>
      <c r="E105" s="44"/>
      <c r="F105" s="44"/>
      <c r="G105" s="44"/>
      <c r="H105" s="44"/>
      <c r="I105" s="44"/>
      <c r="J105" s="44"/>
      <c r="K105" s="44"/>
      <c r="L105" s="44"/>
      <c r="M105" s="44"/>
      <c r="N105" s="44"/>
      <c r="O105" s="44"/>
      <c r="P105" s="44"/>
      <c r="Q105" s="44">
        <f t="shared" ref="Q105:Z105" si="112">Q106</f>
        <v>2000</v>
      </c>
      <c r="R105" s="44">
        <f t="shared" si="112"/>
        <v>2000</v>
      </c>
      <c r="S105" s="21">
        <f t="shared" si="112"/>
        <v>-2000</v>
      </c>
      <c r="T105" s="44">
        <f t="shared" si="112"/>
        <v>0</v>
      </c>
      <c r="U105" s="21">
        <f t="shared" si="112"/>
        <v>0</v>
      </c>
      <c r="V105" s="44">
        <f t="shared" si="112"/>
        <v>0</v>
      </c>
      <c r="W105" s="21">
        <f t="shared" si="112"/>
        <v>0</v>
      </c>
      <c r="X105" s="44">
        <f t="shared" si="112"/>
        <v>0</v>
      </c>
      <c r="Y105" s="44">
        <f t="shared" si="112"/>
        <v>0</v>
      </c>
      <c r="Z105" s="44">
        <f t="shared" si="112"/>
        <v>0</v>
      </c>
      <c r="AA105" s="48"/>
      <c r="AB105" s="46">
        <v>0</v>
      </c>
    </row>
    <row r="106" spans="1:29" ht="54" hidden="1" x14ac:dyDescent="0.3">
      <c r="A106" s="1" t="s">
        <v>152</v>
      </c>
      <c r="B106" s="5" t="s">
        <v>244</v>
      </c>
      <c r="C106" s="58" t="s">
        <v>245</v>
      </c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>
        <v>2000</v>
      </c>
      <c r="R106" s="21">
        <f t="shared" si="107"/>
        <v>2000</v>
      </c>
      <c r="S106" s="21">
        <v>-2000</v>
      </c>
      <c r="T106" s="21">
        <f t="shared" ref="T106:T107" si="113">R106+S106</f>
        <v>0</v>
      </c>
      <c r="U106" s="21"/>
      <c r="V106" s="21">
        <f t="shared" ref="V106:V107" si="114">T106+U106</f>
        <v>0</v>
      </c>
      <c r="W106" s="21"/>
      <c r="X106" s="21">
        <f t="shared" ref="X106:X107" si="115">V106+W106</f>
        <v>0</v>
      </c>
      <c r="Y106" s="39"/>
      <c r="Z106" s="21">
        <f t="shared" ref="Z106:Z107" si="116">X106+Y106</f>
        <v>0</v>
      </c>
      <c r="AA106" s="19">
        <v>1220443010</v>
      </c>
      <c r="AB106" s="28">
        <v>0</v>
      </c>
    </row>
    <row r="107" spans="1:29" x14ac:dyDescent="0.3">
      <c r="A107" s="1"/>
      <c r="B107" s="5" t="s">
        <v>8</v>
      </c>
      <c r="C107" s="3"/>
      <c r="D107" s="44">
        <f>D109+D110</f>
        <v>1179385.2</v>
      </c>
      <c r="E107" s="44">
        <f>E109+E110</f>
        <v>-15732.6</v>
      </c>
      <c r="F107" s="44">
        <f t="shared" si="0"/>
        <v>1163652.5999999999</v>
      </c>
      <c r="G107" s="44">
        <f>G109+G110</f>
        <v>59857.173999999999</v>
      </c>
      <c r="H107" s="44">
        <f t="shared" si="102"/>
        <v>1223509.7739999997</v>
      </c>
      <c r="I107" s="44">
        <f>I109+I110</f>
        <v>0</v>
      </c>
      <c r="J107" s="44">
        <f t="shared" si="103"/>
        <v>1223509.7739999997</v>
      </c>
      <c r="K107" s="44">
        <f>K109+K110</f>
        <v>-18381.842000000001</v>
      </c>
      <c r="L107" s="44">
        <f t="shared" si="104"/>
        <v>1205127.9319999998</v>
      </c>
      <c r="M107" s="44">
        <f>M109+M110</f>
        <v>-200248.8</v>
      </c>
      <c r="N107" s="44">
        <f t="shared" si="105"/>
        <v>1004879.1319999998</v>
      </c>
      <c r="O107" s="44">
        <f>O109+O110</f>
        <v>0</v>
      </c>
      <c r="P107" s="44">
        <f t="shared" si="106"/>
        <v>1004879.1319999998</v>
      </c>
      <c r="Q107" s="44">
        <f>Q109+Q110</f>
        <v>1485.4660000000003</v>
      </c>
      <c r="R107" s="44">
        <f t="shared" si="107"/>
        <v>1006364.5979999998</v>
      </c>
      <c r="S107" s="44">
        <f>S109+S110</f>
        <v>0</v>
      </c>
      <c r="T107" s="44">
        <f t="shared" si="113"/>
        <v>1006364.5979999998</v>
      </c>
      <c r="U107" s="44">
        <f>U109+U110</f>
        <v>-113057.04600000002</v>
      </c>
      <c r="V107" s="44">
        <f t="shared" si="114"/>
        <v>893307.55199999979</v>
      </c>
      <c r="W107" s="44">
        <f>W109+W110</f>
        <v>0</v>
      </c>
      <c r="X107" s="44">
        <f t="shared" si="115"/>
        <v>893307.55199999979</v>
      </c>
      <c r="Y107" s="44">
        <f>Y109+Y110</f>
        <v>-143.369</v>
      </c>
      <c r="Z107" s="21">
        <f t="shared" si="116"/>
        <v>893164.18299999984</v>
      </c>
      <c r="AA107" s="45"/>
      <c r="AB107" s="46"/>
      <c r="AC107" s="47"/>
    </row>
    <row r="108" spans="1:29" x14ac:dyDescent="0.3">
      <c r="A108" s="1"/>
      <c r="B108" s="13" t="s">
        <v>2</v>
      </c>
      <c r="C108" s="70"/>
      <c r="D108" s="25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39"/>
      <c r="Z108" s="21"/>
    </row>
    <row r="109" spans="1:29" hidden="1" x14ac:dyDescent="0.35">
      <c r="A109" s="1"/>
      <c r="B109" s="13" t="s">
        <v>3</v>
      </c>
      <c r="C109" s="6"/>
      <c r="D109" s="27">
        <f>D113+D117+D121+D125+D129+D133+D135+D136+D137+D138+D139+D140</f>
        <v>421320.09999999992</v>
      </c>
      <c r="E109" s="22">
        <f>E113+E117+E121+E125+E129+E133+E135+E136+E137+E138+E139+E140</f>
        <v>-15732.6</v>
      </c>
      <c r="F109" s="21">
        <f t="shared" si="0"/>
        <v>405587.49999999994</v>
      </c>
      <c r="G109" s="22">
        <f>G113+G117+G121+G125+G129+G133+G135+G136+G137+G138+G139+G140+G141+G142+G143</f>
        <v>59857.173999999999</v>
      </c>
      <c r="H109" s="21">
        <f t="shared" ref="H109:H111" si="117">F109+G109</f>
        <v>465444.67399999994</v>
      </c>
      <c r="I109" s="22">
        <f>I113+I117+I121+I125+I129+I133+I135+I136+I137+I138+I139+I140+I141+I142+I143</f>
        <v>0</v>
      </c>
      <c r="J109" s="21">
        <f t="shared" ref="J109:J111" si="118">H109+I109</f>
        <v>465444.67399999994</v>
      </c>
      <c r="K109" s="22">
        <f>K113+K117+K121+K125+K129+K133+K135+K136+K137+K138+K139+K140+K141+K142+K143</f>
        <v>-18381.842000000001</v>
      </c>
      <c r="L109" s="21">
        <f t="shared" ref="L109:L111" si="119">J109+K109</f>
        <v>447062.83199999994</v>
      </c>
      <c r="M109" s="22">
        <f>M113+M117+M121+M125+M129+M133+M135+M136+M137+M138+M139+M140+M141+M142+M143</f>
        <v>-49849.5</v>
      </c>
      <c r="N109" s="21">
        <f t="shared" ref="N109:N111" si="120">L109+M109</f>
        <v>397213.33199999994</v>
      </c>
      <c r="O109" s="22">
        <f>O113+O117+O121+O125+O129+O133+O135+O136+O137+O138+O139+O140+O141+O142+O143</f>
        <v>0</v>
      </c>
      <c r="P109" s="21">
        <f t="shared" ref="P109:P111" si="121">N109+O109</f>
        <v>397213.33199999994</v>
      </c>
      <c r="Q109" s="22">
        <f>Q113+Q117+Q121+Q125+Q129+Q133+Q135+Q136+Q137+Q138+Q139+Q140+Q141+Q142+Q143</f>
        <v>1485.4660000000003</v>
      </c>
      <c r="R109" s="21">
        <f t="shared" ref="R109:R111" si="122">P109+Q109</f>
        <v>398698.79799999995</v>
      </c>
      <c r="S109" s="22">
        <f>S113+S117+S121+S125+S129+S133+S135+S136+S137+S138+S139+S140+S141+S142+S143</f>
        <v>0</v>
      </c>
      <c r="T109" s="21">
        <f t="shared" ref="T109:T111" si="123">R109+S109</f>
        <v>398698.79799999995</v>
      </c>
      <c r="U109" s="22">
        <f>U113+U117+U121+U125+U129+U133+U135+U136+U137+U138+U139+U140+U141+U142+U143</f>
        <v>-113057.04600000002</v>
      </c>
      <c r="V109" s="21">
        <f t="shared" ref="V109:V111" si="124">T109+U109</f>
        <v>285641.75199999992</v>
      </c>
      <c r="W109" s="22">
        <f>W113+W117+W121+W125+W129+W133+W135+W136+W137+W138+W139+W140+W141+W142+W143</f>
        <v>0</v>
      </c>
      <c r="X109" s="21">
        <f t="shared" ref="X109:X111" si="125">V109+W109</f>
        <v>285641.75199999992</v>
      </c>
      <c r="Y109" s="40">
        <f>Y113+Y117+Y121+Y125+Y129+Y133+Y135+Y136+Y137+Y138+Y139+Y140+Y141+Y142+Y143</f>
        <v>-143.369</v>
      </c>
      <c r="Z109" s="21">
        <f t="shared" ref="Z109:Z111" si="126">X109+Y109</f>
        <v>285498.38299999991</v>
      </c>
      <c r="AB109" s="28">
        <v>0</v>
      </c>
    </row>
    <row r="110" spans="1:29" x14ac:dyDescent="0.3">
      <c r="A110" s="1"/>
      <c r="B110" s="13" t="s">
        <v>55</v>
      </c>
      <c r="C110" s="6"/>
      <c r="D110" s="25">
        <f>D114+D118+D122+D126+D130+D134</f>
        <v>758065.1</v>
      </c>
      <c r="E110" s="21">
        <f>E114+E118+E122+E126+E130+E134</f>
        <v>0</v>
      </c>
      <c r="F110" s="21">
        <f t="shared" si="0"/>
        <v>758065.1</v>
      </c>
      <c r="G110" s="21">
        <f>G114+G118+G122+G126+G130+G134</f>
        <v>0</v>
      </c>
      <c r="H110" s="21">
        <f t="shared" si="117"/>
        <v>758065.1</v>
      </c>
      <c r="I110" s="21">
        <f>I114+I118+I122+I126+I130+I134</f>
        <v>0</v>
      </c>
      <c r="J110" s="21">
        <f t="shared" si="118"/>
        <v>758065.1</v>
      </c>
      <c r="K110" s="21">
        <f>K114+K118+K122+K126+K130+K134</f>
        <v>0</v>
      </c>
      <c r="L110" s="21">
        <f t="shared" si="119"/>
        <v>758065.1</v>
      </c>
      <c r="M110" s="21">
        <f>M114+M118+M122+M126+M130+M134</f>
        <v>-150399.29999999999</v>
      </c>
      <c r="N110" s="21">
        <f t="shared" si="120"/>
        <v>607665.80000000005</v>
      </c>
      <c r="O110" s="21">
        <f>O114+O118+O122+O126+O130+O134</f>
        <v>0</v>
      </c>
      <c r="P110" s="21">
        <f t="shared" si="121"/>
        <v>607665.80000000005</v>
      </c>
      <c r="Q110" s="21">
        <f>Q114+Q118+Q122+Q126+Q130+Q134</f>
        <v>0</v>
      </c>
      <c r="R110" s="21">
        <f t="shared" si="122"/>
        <v>607665.80000000005</v>
      </c>
      <c r="S110" s="21">
        <f>S114+S118+S122+S126+S130+S134</f>
        <v>0</v>
      </c>
      <c r="T110" s="21">
        <f t="shared" si="123"/>
        <v>607665.80000000005</v>
      </c>
      <c r="U110" s="21">
        <f>U114+U118+U122+U126+U130+U134</f>
        <v>0</v>
      </c>
      <c r="V110" s="21">
        <f t="shared" si="124"/>
        <v>607665.80000000005</v>
      </c>
      <c r="W110" s="21">
        <f>W114+W118+W122+W126+W130+W134</f>
        <v>0</v>
      </c>
      <c r="X110" s="21">
        <f t="shared" si="125"/>
        <v>607665.80000000005</v>
      </c>
      <c r="Y110" s="39">
        <f>Y114+Y118+Y122+Y126+Y130+Y134</f>
        <v>0</v>
      </c>
      <c r="Z110" s="21">
        <f t="shared" si="126"/>
        <v>607665.80000000005</v>
      </c>
    </row>
    <row r="111" spans="1:29" ht="54" x14ac:dyDescent="0.3">
      <c r="A111" s="1" t="s">
        <v>152</v>
      </c>
      <c r="B111" s="5" t="s">
        <v>56</v>
      </c>
      <c r="C111" s="70" t="s">
        <v>7</v>
      </c>
      <c r="D111" s="25">
        <f>D113+D114</f>
        <v>451187.1</v>
      </c>
      <c r="E111" s="21">
        <f>E113+E114</f>
        <v>0</v>
      </c>
      <c r="F111" s="21">
        <f t="shared" si="0"/>
        <v>451187.1</v>
      </c>
      <c r="G111" s="21">
        <f>G113+G114</f>
        <v>84.795000000000002</v>
      </c>
      <c r="H111" s="21">
        <f t="shared" si="117"/>
        <v>451271.89499999996</v>
      </c>
      <c r="I111" s="21">
        <f>I113+I114</f>
        <v>0</v>
      </c>
      <c r="J111" s="21">
        <f t="shared" si="118"/>
        <v>451271.89499999996</v>
      </c>
      <c r="K111" s="21">
        <f>K113+K114</f>
        <v>0</v>
      </c>
      <c r="L111" s="21">
        <f t="shared" si="119"/>
        <v>451271.89499999996</v>
      </c>
      <c r="M111" s="21">
        <f>M113+M114</f>
        <v>43.5</v>
      </c>
      <c r="N111" s="21">
        <f t="shared" si="120"/>
        <v>451315.39499999996</v>
      </c>
      <c r="O111" s="21">
        <f>O113+O114</f>
        <v>0</v>
      </c>
      <c r="P111" s="21">
        <f t="shared" si="121"/>
        <v>451315.39499999996</v>
      </c>
      <c r="Q111" s="21">
        <f>Q113+Q114</f>
        <v>3200.3020000000001</v>
      </c>
      <c r="R111" s="21">
        <f t="shared" si="122"/>
        <v>454515.69699999999</v>
      </c>
      <c r="S111" s="21">
        <f>S113+S114</f>
        <v>0</v>
      </c>
      <c r="T111" s="21">
        <f t="shared" si="123"/>
        <v>454515.69699999999</v>
      </c>
      <c r="U111" s="21">
        <f>U113+U114</f>
        <v>0</v>
      </c>
      <c r="V111" s="21">
        <f t="shared" si="124"/>
        <v>454515.69699999999</v>
      </c>
      <c r="W111" s="21">
        <f>W113+W114</f>
        <v>0</v>
      </c>
      <c r="X111" s="21">
        <f t="shared" si="125"/>
        <v>454515.69699999999</v>
      </c>
      <c r="Y111" s="39">
        <f>Y113+Y114</f>
        <v>-43.5</v>
      </c>
      <c r="Z111" s="21">
        <f t="shared" si="126"/>
        <v>454472.19699999999</v>
      </c>
    </row>
    <row r="112" spans="1:29" x14ac:dyDescent="0.3">
      <c r="A112" s="1"/>
      <c r="B112" s="5" t="s">
        <v>2</v>
      </c>
      <c r="C112" s="6"/>
      <c r="D112" s="25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39"/>
      <c r="Z112" s="21"/>
    </row>
    <row r="113" spans="1:28" hidden="1" x14ac:dyDescent="0.3">
      <c r="A113" s="1"/>
      <c r="B113" s="5" t="s">
        <v>3</v>
      </c>
      <c r="C113" s="6"/>
      <c r="D113" s="26">
        <v>112796.79999999999</v>
      </c>
      <c r="E113" s="30"/>
      <c r="F113" s="21">
        <f t="shared" si="0"/>
        <v>112796.79999999999</v>
      </c>
      <c r="G113" s="30">
        <v>84.795000000000002</v>
      </c>
      <c r="H113" s="21">
        <f t="shared" ref="H113:H115" si="127">F113+G113</f>
        <v>112881.59499999999</v>
      </c>
      <c r="I113" s="30"/>
      <c r="J113" s="21">
        <f t="shared" ref="J113:J115" si="128">H113+I113</f>
        <v>112881.59499999999</v>
      </c>
      <c r="K113" s="30"/>
      <c r="L113" s="21">
        <f t="shared" ref="L113:L115" si="129">J113+K113</f>
        <v>112881.59499999999</v>
      </c>
      <c r="M113" s="30">
        <v>43.5</v>
      </c>
      <c r="N113" s="21">
        <f t="shared" ref="N113:N115" si="130">L113+M113</f>
        <v>112925.09499999999</v>
      </c>
      <c r="O113" s="30"/>
      <c r="P113" s="21">
        <f t="shared" ref="P113:P115" si="131">N113+O113</f>
        <v>112925.09499999999</v>
      </c>
      <c r="Q113" s="30">
        <f>1389.784+1810.518</f>
        <v>3200.3020000000001</v>
      </c>
      <c r="R113" s="21">
        <f t="shared" ref="R113:R115" si="132">P113+Q113</f>
        <v>116125.39699999998</v>
      </c>
      <c r="S113" s="30"/>
      <c r="T113" s="21">
        <f t="shared" ref="T113:T115" si="133">R113+S113</f>
        <v>116125.39699999998</v>
      </c>
      <c r="U113" s="30"/>
      <c r="V113" s="21">
        <f t="shared" ref="V113:V115" si="134">T113+U113</f>
        <v>116125.39699999998</v>
      </c>
      <c r="W113" s="30"/>
      <c r="X113" s="21">
        <f t="shared" ref="X113:X115" si="135">V113+W113</f>
        <v>116125.39699999998</v>
      </c>
      <c r="Y113" s="43">
        <v>-43.5</v>
      </c>
      <c r="Z113" s="21">
        <f t="shared" ref="Z113:Z115" si="136">X113+Y113</f>
        <v>116081.89699999998</v>
      </c>
      <c r="AA113" s="16" t="s">
        <v>187</v>
      </c>
      <c r="AB113" s="28">
        <v>0</v>
      </c>
    </row>
    <row r="114" spans="1:28" x14ac:dyDescent="0.3">
      <c r="A114" s="1"/>
      <c r="B114" s="13" t="s">
        <v>55</v>
      </c>
      <c r="C114" s="6"/>
      <c r="D114" s="25">
        <v>338390.3</v>
      </c>
      <c r="E114" s="21"/>
      <c r="F114" s="21">
        <f t="shared" si="0"/>
        <v>338390.3</v>
      </c>
      <c r="G114" s="21"/>
      <c r="H114" s="21">
        <f t="shared" si="127"/>
        <v>338390.3</v>
      </c>
      <c r="I114" s="21"/>
      <c r="J114" s="21">
        <f t="shared" si="128"/>
        <v>338390.3</v>
      </c>
      <c r="K114" s="21"/>
      <c r="L114" s="21">
        <f t="shared" si="129"/>
        <v>338390.3</v>
      </c>
      <c r="M114" s="21"/>
      <c r="N114" s="21">
        <f t="shared" si="130"/>
        <v>338390.3</v>
      </c>
      <c r="O114" s="21"/>
      <c r="P114" s="21">
        <f t="shared" si="131"/>
        <v>338390.3</v>
      </c>
      <c r="Q114" s="21"/>
      <c r="R114" s="21">
        <f t="shared" si="132"/>
        <v>338390.3</v>
      </c>
      <c r="S114" s="21"/>
      <c r="T114" s="21">
        <f t="shared" si="133"/>
        <v>338390.3</v>
      </c>
      <c r="U114" s="21"/>
      <c r="V114" s="21">
        <f t="shared" si="134"/>
        <v>338390.3</v>
      </c>
      <c r="W114" s="21"/>
      <c r="X114" s="21">
        <f t="shared" si="135"/>
        <v>338390.3</v>
      </c>
      <c r="Y114" s="39"/>
      <c r="Z114" s="21">
        <f t="shared" si="136"/>
        <v>338390.3</v>
      </c>
      <c r="AA114" s="18" t="s">
        <v>179</v>
      </c>
    </row>
    <row r="115" spans="1:28" ht="54" x14ac:dyDescent="0.3">
      <c r="A115" s="1" t="s">
        <v>153</v>
      </c>
      <c r="B115" s="5" t="s">
        <v>57</v>
      </c>
      <c r="C115" s="70" t="s">
        <v>7</v>
      </c>
      <c r="D115" s="25">
        <f>D117+D118</f>
        <v>435166.5</v>
      </c>
      <c r="E115" s="21">
        <f>E117+E118</f>
        <v>0</v>
      </c>
      <c r="F115" s="21">
        <f t="shared" si="0"/>
        <v>435166.5</v>
      </c>
      <c r="G115" s="21">
        <f>G117+G118</f>
        <v>20923.199000000001</v>
      </c>
      <c r="H115" s="21">
        <f t="shared" si="127"/>
        <v>456089.69900000002</v>
      </c>
      <c r="I115" s="21">
        <f>I117+I118</f>
        <v>0</v>
      </c>
      <c r="J115" s="21">
        <f t="shared" si="128"/>
        <v>456089.69900000002</v>
      </c>
      <c r="K115" s="21">
        <f>K117+K118</f>
        <v>0</v>
      </c>
      <c r="L115" s="21">
        <f t="shared" si="129"/>
        <v>456089.69900000002</v>
      </c>
      <c r="M115" s="21">
        <f>M117+M118</f>
        <v>-200292.3</v>
      </c>
      <c r="N115" s="21">
        <f t="shared" si="130"/>
        <v>255797.39900000003</v>
      </c>
      <c r="O115" s="21">
        <f>O117+O118</f>
        <v>0</v>
      </c>
      <c r="P115" s="21">
        <f t="shared" si="131"/>
        <v>255797.39900000003</v>
      </c>
      <c r="Q115" s="21">
        <f>Q117+Q118</f>
        <v>0</v>
      </c>
      <c r="R115" s="21">
        <f t="shared" si="132"/>
        <v>255797.39900000003</v>
      </c>
      <c r="S115" s="21">
        <f>S117+S118</f>
        <v>0</v>
      </c>
      <c r="T115" s="21">
        <f t="shared" si="133"/>
        <v>255797.39900000003</v>
      </c>
      <c r="U115" s="21">
        <f>U117+U118</f>
        <v>-60</v>
      </c>
      <c r="V115" s="21">
        <f t="shared" si="134"/>
        <v>255737.39900000003</v>
      </c>
      <c r="W115" s="21">
        <f>W117+W118</f>
        <v>0</v>
      </c>
      <c r="X115" s="21">
        <f t="shared" si="135"/>
        <v>255737.39900000003</v>
      </c>
      <c r="Y115" s="39">
        <f>Y117+Y118</f>
        <v>0</v>
      </c>
      <c r="Z115" s="21">
        <f t="shared" si="136"/>
        <v>255737.39900000003</v>
      </c>
    </row>
    <row r="116" spans="1:28" x14ac:dyDescent="0.3">
      <c r="A116" s="1"/>
      <c r="B116" s="5" t="s">
        <v>2</v>
      </c>
      <c r="C116" s="6"/>
      <c r="D116" s="25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39"/>
      <c r="Z116" s="21"/>
    </row>
    <row r="117" spans="1:28" hidden="1" x14ac:dyDescent="0.3">
      <c r="A117" s="1"/>
      <c r="B117" s="5" t="s">
        <v>3</v>
      </c>
      <c r="C117" s="6"/>
      <c r="D117" s="26">
        <v>108791.59999999998</v>
      </c>
      <c r="E117" s="30"/>
      <c r="F117" s="21">
        <f t="shared" si="0"/>
        <v>108791.59999999998</v>
      </c>
      <c r="G117" s="30">
        <v>20923.199000000001</v>
      </c>
      <c r="H117" s="21">
        <f t="shared" ref="H117:H119" si="137">F117+G117</f>
        <v>129714.79899999997</v>
      </c>
      <c r="I117" s="30"/>
      <c r="J117" s="21">
        <f t="shared" ref="J117:J119" si="138">H117+I117</f>
        <v>129714.79899999997</v>
      </c>
      <c r="K117" s="30"/>
      <c r="L117" s="21">
        <f t="shared" ref="L117:L119" si="139">J117+K117</f>
        <v>129714.79899999997</v>
      </c>
      <c r="M117" s="30">
        <f>-50133+240</f>
        <v>-49893</v>
      </c>
      <c r="N117" s="21">
        <f t="shared" ref="N117:N119" si="140">L117+M117</f>
        <v>79821.79899999997</v>
      </c>
      <c r="O117" s="30"/>
      <c r="P117" s="21">
        <f t="shared" ref="P117:P119" si="141">N117+O117</f>
        <v>79821.79899999997</v>
      </c>
      <c r="Q117" s="30"/>
      <c r="R117" s="21">
        <f t="shared" ref="R117:R119" si="142">P117+Q117</f>
        <v>79821.79899999997</v>
      </c>
      <c r="S117" s="30"/>
      <c r="T117" s="21">
        <f t="shared" ref="T117:T119" si="143">R117+S117</f>
        <v>79821.79899999997</v>
      </c>
      <c r="U117" s="30">
        <v>-60</v>
      </c>
      <c r="V117" s="21">
        <f t="shared" ref="V117:V119" si="144">T117+U117</f>
        <v>79761.79899999997</v>
      </c>
      <c r="W117" s="30"/>
      <c r="X117" s="21">
        <f t="shared" ref="X117:X119" si="145">V117+W117</f>
        <v>79761.79899999997</v>
      </c>
      <c r="Y117" s="43"/>
      <c r="Z117" s="21">
        <f t="shared" ref="Z117:Z119" si="146">X117+Y117</f>
        <v>79761.79899999997</v>
      </c>
      <c r="AA117" s="16" t="s">
        <v>186</v>
      </c>
      <c r="AB117" s="28">
        <v>0</v>
      </c>
    </row>
    <row r="118" spans="1:28" x14ac:dyDescent="0.3">
      <c r="A118" s="1"/>
      <c r="B118" s="5" t="s">
        <v>55</v>
      </c>
      <c r="C118" s="6"/>
      <c r="D118" s="25">
        <v>326374.90000000002</v>
      </c>
      <c r="E118" s="21"/>
      <c r="F118" s="21">
        <f t="shared" si="0"/>
        <v>326374.90000000002</v>
      </c>
      <c r="G118" s="21"/>
      <c r="H118" s="21">
        <f t="shared" si="137"/>
        <v>326374.90000000002</v>
      </c>
      <c r="I118" s="21"/>
      <c r="J118" s="21">
        <f t="shared" si="138"/>
        <v>326374.90000000002</v>
      </c>
      <c r="K118" s="21"/>
      <c r="L118" s="21">
        <f t="shared" si="139"/>
        <v>326374.90000000002</v>
      </c>
      <c r="M118" s="21">
        <v>-150399.29999999999</v>
      </c>
      <c r="N118" s="21">
        <f t="shared" si="140"/>
        <v>175975.60000000003</v>
      </c>
      <c r="O118" s="21"/>
      <c r="P118" s="21">
        <f t="shared" si="141"/>
        <v>175975.60000000003</v>
      </c>
      <c r="Q118" s="21"/>
      <c r="R118" s="21">
        <f t="shared" si="142"/>
        <v>175975.60000000003</v>
      </c>
      <c r="S118" s="21"/>
      <c r="T118" s="21">
        <f t="shared" si="143"/>
        <v>175975.60000000003</v>
      </c>
      <c r="U118" s="21"/>
      <c r="V118" s="21">
        <f t="shared" si="144"/>
        <v>175975.60000000003</v>
      </c>
      <c r="W118" s="21"/>
      <c r="X118" s="21">
        <f t="shared" si="145"/>
        <v>175975.60000000003</v>
      </c>
      <c r="Y118" s="39"/>
      <c r="Z118" s="21">
        <f t="shared" si="146"/>
        <v>175975.60000000003</v>
      </c>
      <c r="AA118" s="18" t="s">
        <v>179</v>
      </c>
    </row>
    <row r="119" spans="1:28" ht="54" x14ac:dyDescent="0.3">
      <c r="A119" s="1" t="s">
        <v>155</v>
      </c>
      <c r="B119" s="5" t="s">
        <v>58</v>
      </c>
      <c r="C119" s="70" t="s">
        <v>7</v>
      </c>
      <c r="D119" s="25">
        <f>D121+D122</f>
        <v>87699.7</v>
      </c>
      <c r="E119" s="21">
        <f>E121+E122</f>
        <v>0</v>
      </c>
      <c r="F119" s="21">
        <f t="shared" si="0"/>
        <v>87699.7</v>
      </c>
      <c r="G119" s="21">
        <f>G121+G122</f>
        <v>0</v>
      </c>
      <c r="H119" s="21">
        <f t="shared" si="137"/>
        <v>87699.7</v>
      </c>
      <c r="I119" s="21">
        <f>I121+I122</f>
        <v>0</v>
      </c>
      <c r="J119" s="21">
        <f t="shared" si="138"/>
        <v>87699.7</v>
      </c>
      <c r="K119" s="21">
        <f>K121+K122</f>
        <v>0</v>
      </c>
      <c r="L119" s="21">
        <f t="shared" si="139"/>
        <v>87699.7</v>
      </c>
      <c r="M119" s="21">
        <f>M121+M122</f>
        <v>0</v>
      </c>
      <c r="N119" s="21">
        <f t="shared" si="140"/>
        <v>87699.7</v>
      </c>
      <c r="O119" s="21">
        <f>O121+O122</f>
        <v>0</v>
      </c>
      <c r="P119" s="21">
        <f t="shared" si="141"/>
        <v>87699.7</v>
      </c>
      <c r="Q119" s="21">
        <f>Q121+Q122</f>
        <v>0</v>
      </c>
      <c r="R119" s="21">
        <f t="shared" si="142"/>
        <v>87699.7</v>
      </c>
      <c r="S119" s="21">
        <f>S121+S122</f>
        <v>0</v>
      </c>
      <c r="T119" s="21">
        <f t="shared" si="143"/>
        <v>87699.7</v>
      </c>
      <c r="U119" s="21">
        <f>U121+U122</f>
        <v>0</v>
      </c>
      <c r="V119" s="21">
        <f t="shared" si="144"/>
        <v>87699.7</v>
      </c>
      <c r="W119" s="21">
        <f>W121+W122</f>
        <v>0</v>
      </c>
      <c r="X119" s="21">
        <f t="shared" si="145"/>
        <v>87699.7</v>
      </c>
      <c r="Y119" s="39">
        <f>Y121+Y122</f>
        <v>0</v>
      </c>
      <c r="Z119" s="21">
        <f t="shared" si="146"/>
        <v>87699.7</v>
      </c>
      <c r="AA119" s="18"/>
    </row>
    <row r="120" spans="1:28" x14ac:dyDescent="0.3">
      <c r="A120" s="1"/>
      <c r="B120" s="5" t="s">
        <v>2</v>
      </c>
      <c r="C120" s="6"/>
      <c r="D120" s="25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39"/>
      <c r="Z120" s="21"/>
    </row>
    <row r="121" spans="1:28" hidden="1" x14ac:dyDescent="0.3">
      <c r="A121" s="1"/>
      <c r="B121" s="5" t="s">
        <v>3</v>
      </c>
      <c r="C121" s="6"/>
      <c r="D121" s="26">
        <v>31449.699999999997</v>
      </c>
      <c r="E121" s="30"/>
      <c r="F121" s="21">
        <f t="shared" si="0"/>
        <v>31449.699999999997</v>
      </c>
      <c r="G121" s="30"/>
      <c r="H121" s="21">
        <f t="shared" ref="H121:H123" si="147">F121+G121</f>
        <v>31449.699999999997</v>
      </c>
      <c r="I121" s="30"/>
      <c r="J121" s="21">
        <f t="shared" ref="J121:J123" si="148">H121+I121</f>
        <v>31449.699999999997</v>
      </c>
      <c r="K121" s="30"/>
      <c r="L121" s="21">
        <f t="shared" ref="L121:L123" si="149">J121+K121</f>
        <v>31449.699999999997</v>
      </c>
      <c r="M121" s="30"/>
      <c r="N121" s="21">
        <f t="shared" ref="N121:N123" si="150">L121+M121</f>
        <v>31449.699999999997</v>
      </c>
      <c r="O121" s="30"/>
      <c r="P121" s="21">
        <f t="shared" ref="P121:P123" si="151">N121+O121</f>
        <v>31449.699999999997</v>
      </c>
      <c r="Q121" s="30"/>
      <c r="R121" s="21">
        <f t="shared" ref="R121:R123" si="152">P121+Q121</f>
        <v>31449.699999999997</v>
      </c>
      <c r="S121" s="30"/>
      <c r="T121" s="21">
        <f t="shared" ref="T121:T123" si="153">R121+S121</f>
        <v>31449.699999999997</v>
      </c>
      <c r="U121" s="30"/>
      <c r="V121" s="21">
        <f t="shared" ref="V121:V123" si="154">T121+U121</f>
        <v>31449.699999999997</v>
      </c>
      <c r="W121" s="30"/>
      <c r="X121" s="21">
        <f t="shared" ref="X121:X123" si="155">V121+W121</f>
        <v>31449.699999999997</v>
      </c>
      <c r="Y121" s="43"/>
      <c r="Z121" s="21">
        <f t="shared" ref="Z121:Z123" si="156">X121+Y121</f>
        <v>31449.699999999997</v>
      </c>
      <c r="AA121" s="16" t="s">
        <v>166</v>
      </c>
      <c r="AB121" s="28">
        <v>0</v>
      </c>
    </row>
    <row r="122" spans="1:28" x14ac:dyDescent="0.3">
      <c r="A122" s="1"/>
      <c r="B122" s="5" t="s">
        <v>55</v>
      </c>
      <c r="C122" s="6"/>
      <c r="D122" s="25">
        <v>56250</v>
      </c>
      <c r="E122" s="21"/>
      <c r="F122" s="21">
        <f t="shared" si="0"/>
        <v>56250</v>
      </c>
      <c r="G122" s="21"/>
      <c r="H122" s="21">
        <f t="shared" si="147"/>
        <v>56250</v>
      </c>
      <c r="I122" s="21"/>
      <c r="J122" s="21">
        <f t="shared" si="148"/>
        <v>56250</v>
      </c>
      <c r="K122" s="21"/>
      <c r="L122" s="21">
        <f t="shared" si="149"/>
        <v>56250</v>
      </c>
      <c r="M122" s="21"/>
      <c r="N122" s="21">
        <f t="shared" si="150"/>
        <v>56250</v>
      </c>
      <c r="O122" s="21"/>
      <c r="P122" s="21">
        <f t="shared" si="151"/>
        <v>56250</v>
      </c>
      <c r="Q122" s="21"/>
      <c r="R122" s="21">
        <f t="shared" si="152"/>
        <v>56250</v>
      </c>
      <c r="S122" s="21"/>
      <c r="T122" s="21">
        <f t="shared" si="153"/>
        <v>56250</v>
      </c>
      <c r="U122" s="21"/>
      <c r="V122" s="21">
        <f t="shared" si="154"/>
        <v>56250</v>
      </c>
      <c r="W122" s="21"/>
      <c r="X122" s="21">
        <f t="shared" si="155"/>
        <v>56250</v>
      </c>
      <c r="Y122" s="39"/>
      <c r="Z122" s="21">
        <f t="shared" si="156"/>
        <v>56250</v>
      </c>
      <c r="AA122" s="18" t="s">
        <v>179</v>
      </c>
    </row>
    <row r="123" spans="1:28" ht="54" x14ac:dyDescent="0.3">
      <c r="A123" s="1" t="s">
        <v>154</v>
      </c>
      <c r="B123" s="5" t="s">
        <v>59</v>
      </c>
      <c r="C123" s="70" t="s">
        <v>7</v>
      </c>
      <c r="D123" s="25">
        <f>D125+D126</f>
        <v>105288.2</v>
      </c>
      <c r="E123" s="21">
        <f>E125+E126</f>
        <v>1792.2</v>
      </c>
      <c r="F123" s="21">
        <f t="shared" ref="F123:F195" si="157">D123+E123</f>
        <v>107080.4</v>
      </c>
      <c r="G123" s="21">
        <f>G125+G126</f>
        <v>7728.1</v>
      </c>
      <c r="H123" s="21">
        <f t="shared" si="147"/>
        <v>114808.5</v>
      </c>
      <c r="I123" s="21">
        <f>I125+I126</f>
        <v>0</v>
      </c>
      <c r="J123" s="21">
        <f t="shared" si="148"/>
        <v>114808.5</v>
      </c>
      <c r="K123" s="21">
        <f>K125+K126</f>
        <v>0</v>
      </c>
      <c r="L123" s="21">
        <f t="shared" si="149"/>
        <v>114808.5</v>
      </c>
      <c r="M123" s="21">
        <f>M125+M126</f>
        <v>0</v>
      </c>
      <c r="N123" s="21">
        <f t="shared" si="150"/>
        <v>114808.5</v>
      </c>
      <c r="O123" s="21">
        <f>O125+O126</f>
        <v>0</v>
      </c>
      <c r="P123" s="21">
        <f t="shared" si="151"/>
        <v>114808.5</v>
      </c>
      <c r="Q123" s="21">
        <f>Q125+Q126</f>
        <v>0</v>
      </c>
      <c r="R123" s="21">
        <f t="shared" si="152"/>
        <v>114808.5</v>
      </c>
      <c r="S123" s="21">
        <f>S125+S126</f>
        <v>0</v>
      </c>
      <c r="T123" s="21">
        <f t="shared" si="153"/>
        <v>114808.5</v>
      </c>
      <c r="U123" s="21">
        <f>U125+U126</f>
        <v>-95234.244000000006</v>
      </c>
      <c r="V123" s="21">
        <f t="shared" si="154"/>
        <v>19574.255999999994</v>
      </c>
      <c r="W123" s="21">
        <f>W125+W126</f>
        <v>0</v>
      </c>
      <c r="X123" s="21">
        <f t="shared" si="155"/>
        <v>19574.255999999994</v>
      </c>
      <c r="Y123" s="39">
        <f>Y125+Y126</f>
        <v>0</v>
      </c>
      <c r="Z123" s="21">
        <f t="shared" si="156"/>
        <v>19574.255999999994</v>
      </c>
      <c r="AA123" s="18"/>
    </row>
    <row r="124" spans="1:28" x14ac:dyDescent="0.3">
      <c r="A124" s="1"/>
      <c r="B124" s="5" t="s">
        <v>2</v>
      </c>
      <c r="C124" s="6"/>
      <c r="D124" s="25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39"/>
      <c r="Z124" s="21"/>
    </row>
    <row r="125" spans="1:28" hidden="1" x14ac:dyDescent="0.3">
      <c r="A125" s="1"/>
      <c r="B125" s="5" t="s">
        <v>3</v>
      </c>
      <c r="C125" s="6"/>
      <c r="D125" s="26">
        <v>98322.2</v>
      </c>
      <c r="E125" s="30">
        <v>1792.2</v>
      </c>
      <c r="F125" s="21">
        <f t="shared" si="157"/>
        <v>100114.4</v>
      </c>
      <c r="G125" s="30">
        <v>2351.5</v>
      </c>
      <c r="H125" s="21">
        <f t="shared" ref="H125:H127" si="158">F125+G125</f>
        <v>102465.9</v>
      </c>
      <c r="I125" s="30"/>
      <c r="J125" s="21">
        <f t="shared" ref="J125:J127" si="159">H125+I125</f>
        <v>102465.9</v>
      </c>
      <c r="K125" s="30"/>
      <c r="L125" s="21">
        <f t="shared" ref="L125:L127" si="160">J125+K125</f>
        <v>102465.9</v>
      </c>
      <c r="M125" s="30"/>
      <c r="N125" s="21">
        <f t="shared" ref="N125:N127" si="161">L125+M125</f>
        <v>102465.9</v>
      </c>
      <c r="O125" s="30"/>
      <c r="P125" s="21">
        <f t="shared" ref="P125:P127" si="162">N125+O125</f>
        <v>102465.9</v>
      </c>
      <c r="Q125" s="30"/>
      <c r="R125" s="21">
        <f t="shared" ref="R125:R127" si="163">P125+Q125</f>
        <v>102465.9</v>
      </c>
      <c r="S125" s="30"/>
      <c r="T125" s="21">
        <f t="shared" ref="T125:T127" si="164">R125+S125</f>
        <v>102465.9</v>
      </c>
      <c r="U125" s="30">
        <v>-95234.244000000006</v>
      </c>
      <c r="V125" s="21">
        <f t="shared" ref="V125:V127" si="165">T125+U125</f>
        <v>7231.6559999999881</v>
      </c>
      <c r="W125" s="30"/>
      <c r="X125" s="21">
        <f t="shared" ref="X125:X127" si="166">V125+W125</f>
        <v>7231.6559999999881</v>
      </c>
      <c r="Y125" s="43"/>
      <c r="Z125" s="21">
        <f t="shared" ref="Z125:Z127" si="167">X125+Y125</f>
        <v>7231.6559999999881</v>
      </c>
      <c r="AA125" s="16" t="s">
        <v>60</v>
      </c>
      <c r="AB125" s="28">
        <v>0</v>
      </c>
    </row>
    <row r="126" spans="1:28" x14ac:dyDescent="0.3">
      <c r="A126" s="1"/>
      <c r="B126" s="13" t="s">
        <v>55</v>
      </c>
      <c r="C126" s="70"/>
      <c r="D126" s="25">
        <v>6966</v>
      </c>
      <c r="E126" s="21"/>
      <c r="F126" s="21">
        <f t="shared" si="157"/>
        <v>6966</v>
      </c>
      <c r="G126" s="21">
        <v>5376.6</v>
      </c>
      <c r="H126" s="21">
        <f t="shared" si="158"/>
        <v>12342.6</v>
      </c>
      <c r="I126" s="21"/>
      <c r="J126" s="21">
        <f t="shared" si="159"/>
        <v>12342.6</v>
      </c>
      <c r="K126" s="21"/>
      <c r="L126" s="21">
        <f t="shared" si="160"/>
        <v>12342.6</v>
      </c>
      <c r="M126" s="21"/>
      <c r="N126" s="21">
        <f t="shared" si="161"/>
        <v>12342.6</v>
      </c>
      <c r="O126" s="21"/>
      <c r="P126" s="21">
        <f t="shared" si="162"/>
        <v>12342.6</v>
      </c>
      <c r="Q126" s="21"/>
      <c r="R126" s="21">
        <f t="shared" si="163"/>
        <v>12342.6</v>
      </c>
      <c r="S126" s="21"/>
      <c r="T126" s="21">
        <f t="shared" si="164"/>
        <v>12342.6</v>
      </c>
      <c r="U126" s="21"/>
      <c r="V126" s="21">
        <f t="shared" si="165"/>
        <v>12342.6</v>
      </c>
      <c r="W126" s="21"/>
      <c r="X126" s="21">
        <f t="shared" si="166"/>
        <v>12342.6</v>
      </c>
      <c r="Y126" s="39"/>
      <c r="Z126" s="21">
        <f t="shared" si="167"/>
        <v>12342.6</v>
      </c>
      <c r="AA126" s="18" t="s">
        <v>179</v>
      </c>
    </row>
    <row r="127" spans="1:28" ht="54" x14ac:dyDescent="0.3">
      <c r="A127" s="1" t="s">
        <v>157</v>
      </c>
      <c r="B127" s="5" t="s">
        <v>62</v>
      </c>
      <c r="C127" s="70" t="s">
        <v>7</v>
      </c>
      <c r="D127" s="25">
        <f>D129+D130</f>
        <v>28686.799999999999</v>
      </c>
      <c r="E127" s="21">
        <f>E129+E130</f>
        <v>-1792.2</v>
      </c>
      <c r="F127" s="21">
        <f t="shared" si="157"/>
        <v>26894.6</v>
      </c>
      <c r="G127" s="21">
        <f>G129+G130</f>
        <v>-5376.6</v>
      </c>
      <c r="H127" s="21">
        <f t="shared" si="158"/>
        <v>21518</v>
      </c>
      <c r="I127" s="21">
        <f>I129+I130</f>
        <v>0</v>
      </c>
      <c r="J127" s="21">
        <f t="shared" si="159"/>
        <v>21518</v>
      </c>
      <c r="K127" s="21">
        <f>K129+K130</f>
        <v>0</v>
      </c>
      <c r="L127" s="21">
        <f t="shared" si="160"/>
        <v>21518</v>
      </c>
      <c r="M127" s="21">
        <f>M129+M130</f>
        <v>0</v>
      </c>
      <c r="N127" s="21">
        <f t="shared" si="161"/>
        <v>21518</v>
      </c>
      <c r="O127" s="21">
        <f>O129+O130</f>
        <v>0</v>
      </c>
      <c r="P127" s="21">
        <f t="shared" si="162"/>
        <v>21518</v>
      </c>
      <c r="Q127" s="21">
        <f>Q129+Q130</f>
        <v>0</v>
      </c>
      <c r="R127" s="21">
        <f t="shared" si="163"/>
        <v>21518</v>
      </c>
      <c r="S127" s="21">
        <f>S129+S130</f>
        <v>0</v>
      </c>
      <c r="T127" s="21">
        <f t="shared" si="164"/>
        <v>21518</v>
      </c>
      <c r="U127" s="21">
        <f>U129+U130</f>
        <v>0</v>
      </c>
      <c r="V127" s="21">
        <f t="shared" si="165"/>
        <v>21518</v>
      </c>
      <c r="W127" s="21">
        <f>W129+W130</f>
        <v>0</v>
      </c>
      <c r="X127" s="21">
        <f t="shared" si="166"/>
        <v>21518</v>
      </c>
      <c r="Y127" s="39">
        <f>Y129+Y130</f>
        <v>0</v>
      </c>
      <c r="Z127" s="21">
        <f t="shared" si="167"/>
        <v>21518</v>
      </c>
      <c r="AA127" s="18"/>
    </row>
    <row r="128" spans="1:28" x14ac:dyDescent="0.3">
      <c r="A128" s="1"/>
      <c r="B128" s="5" t="s">
        <v>2</v>
      </c>
      <c r="C128" s="70"/>
      <c r="D128" s="25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39"/>
      <c r="Z128" s="21"/>
    </row>
    <row r="129" spans="1:29" hidden="1" x14ac:dyDescent="0.3">
      <c r="A129" s="1"/>
      <c r="B129" s="5" t="s">
        <v>3</v>
      </c>
      <c r="C129" s="34"/>
      <c r="D129" s="26">
        <v>7171.7000000000007</v>
      </c>
      <c r="E129" s="30">
        <v>-1792.2</v>
      </c>
      <c r="F129" s="21">
        <f t="shared" si="157"/>
        <v>5379.5000000000009</v>
      </c>
      <c r="G129" s="30"/>
      <c r="H129" s="21">
        <f t="shared" ref="H129:H131" si="168">F129+G129</f>
        <v>5379.5000000000009</v>
      </c>
      <c r="I129" s="30"/>
      <c r="J129" s="21">
        <f t="shared" ref="J129:J131" si="169">H129+I129</f>
        <v>5379.5000000000009</v>
      </c>
      <c r="K129" s="30"/>
      <c r="L129" s="21">
        <f t="shared" ref="L129:L131" si="170">J129+K129</f>
        <v>5379.5000000000009</v>
      </c>
      <c r="M129" s="30"/>
      <c r="N129" s="21">
        <f t="shared" ref="N129:N131" si="171">L129+M129</f>
        <v>5379.5000000000009</v>
      </c>
      <c r="O129" s="30"/>
      <c r="P129" s="21">
        <f t="shared" ref="P129:P131" si="172">N129+O129</f>
        <v>5379.5000000000009</v>
      </c>
      <c r="Q129" s="30"/>
      <c r="R129" s="21">
        <f t="shared" ref="R129:R131" si="173">P129+Q129</f>
        <v>5379.5000000000009</v>
      </c>
      <c r="S129" s="30"/>
      <c r="T129" s="21">
        <f t="shared" ref="T129:T131" si="174">R129+S129</f>
        <v>5379.5000000000009</v>
      </c>
      <c r="U129" s="30"/>
      <c r="V129" s="21">
        <f t="shared" ref="V129:V131" si="175">T129+U129</f>
        <v>5379.5000000000009</v>
      </c>
      <c r="W129" s="30"/>
      <c r="X129" s="21">
        <f t="shared" ref="X129:X131" si="176">V129+W129</f>
        <v>5379.5000000000009</v>
      </c>
      <c r="Y129" s="43"/>
      <c r="Z129" s="21">
        <f t="shared" ref="Z129:Z131" si="177">X129+Y129</f>
        <v>5379.5000000000009</v>
      </c>
      <c r="AA129" s="16" t="s">
        <v>61</v>
      </c>
      <c r="AB129" s="28">
        <v>0</v>
      </c>
    </row>
    <row r="130" spans="1:29" x14ac:dyDescent="0.3">
      <c r="A130" s="1"/>
      <c r="B130" s="5" t="s">
        <v>55</v>
      </c>
      <c r="C130" s="70"/>
      <c r="D130" s="25">
        <v>21515.1</v>
      </c>
      <c r="E130" s="21"/>
      <c r="F130" s="21">
        <f t="shared" si="157"/>
        <v>21515.1</v>
      </c>
      <c r="G130" s="21">
        <v>-5376.6</v>
      </c>
      <c r="H130" s="21">
        <f t="shared" si="168"/>
        <v>16138.499999999998</v>
      </c>
      <c r="I130" s="21"/>
      <c r="J130" s="21">
        <f t="shared" si="169"/>
        <v>16138.499999999998</v>
      </c>
      <c r="K130" s="21"/>
      <c r="L130" s="21">
        <f t="shared" si="170"/>
        <v>16138.499999999998</v>
      </c>
      <c r="M130" s="21"/>
      <c r="N130" s="21">
        <f t="shared" si="171"/>
        <v>16138.499999999998</v>
      </c>
      <c r="O130" s="21"/>
      <c r="P130" s="21">
        <f t="shared" si="172"/>
        <v>16138.499999999998</v>
      </c>
      <c r="Q130" s="21"/>
      <c r="R130" s="21">
        <f t="shared" si="173"/>
        <v>16138.499999999998</v>
      </c>
      <c r="S130" s="21"/>
      <c r="T130" s="21">
        <f t="shared" si="174"/>
        <v>16138.499999999998</v>
      </c>
      <c r="U130" s="21"/>
      <c r="V130" s="21">
        <f t="shared" si="175"/>
        <v>16138.499999999998</v>
      </c>
      <c r="W130" s="21"/>
      <c r="X130" s="21">
        <f t="shared" si="176"/>
        <v>16138.499999999998</v>
      </c>
      <c r="Y130" s="39"/>
      <c r="Z130" s="21">
        <f t="shared" si="177"/>
        <v>16138.499999999998</v>
      </c>
      <c r="AA130" s="18" t="s">
        <v>179</v>
      </c>
    </row>
    <row r="131" spans="1:29" ht="54" x14ac:dyDescent="0.3">
      <c r="A131" s="1" t="s">
        <v>156</v>
      </c>
      <c r="B131" s="5" t="s">
        <v>63</v>
      </c>
      <c r="C131" s="70" t="s">
        <v>7</v>
      </c>
      <c r="D131" s="25">
        <f>D133+D134</f>
        <v>11425.1</v>
      </c>
      <c r="E131" s="21">
        <f>E133+E134</f>
        <v>0</v>
      </c>
      <c r="F131" s="21">
        <f t="shared" si="157"/>
        <v>11425.1</v>
      </c>
      <c r="G131" s="21">
        <f>G133+G134</f>
        <v>7520.6559999999999</v>
      </c>
      <c r="H131" s="21">
        <f t="shared" si="168"/>
        <v>18945.756000000001</v>
      </c>
      <c r="I131" s="21">
        <f>I133+I134</f>
        <v>0</v>
      </c>
      <c r="J131" s="21">
        <f t="shared" si="169"/>
        <v>18945.756000000001</v>
      </c>
      <c r="K131" s="21">
        <f>K133+K134</f>
        <v>0</v>
      </c>
      <c r="L131" s="21">
        <f t="shared" si="170"/>
        <v>18945.756000000001</v>
      </c>
      <c r="M131" s="21">
        <f>M133+M134</f>
        <v>0</v>
      </c>
      <c r="N131" s="21">
        <f t="shared" si="171"/>
        <v>18945.756000000001</v>
      </c>
      <c r="O131" s="21">
        <f>O133+O134</f>
        <v>0</v>
      </c>
      <c r="P131" s="21">
        <f t="shared" si="172"/>
        <v>18945.756000000001</v>
      </c>
      <c r="Q131" s="21">
        <f>Q133+Q134</f>
        <v>0</v>
      </c>
      <c r="R131" s="21">
        <f t="shared" si="173"/>
        <v>18945.756000000001</v>
      </c>
      <c r="S131" s="21">
        <f>S133+S134</f>
        <v>0</v>
      </c>
      <c r="T131" s="21">
        <f t="shared" si="174"/>
        <v>18945.756000000001</v>
      </c>
      <c r="U131" s="21">
        <f>U133+U134</f>
        <v>0</v>
      </c>
      <c r="V131" s="21">
        <f t="shared" si="175"/>
        <v>18945.756000000001</v>
      </c>
      <c r="W131" s="21">
        <f>W133+W134</f>
        <v>0</v>
      </c>
      <c r="X131" s="21">
        <f t="shared" si="176"/>
        <v>18945.756000000001</v>
      </c>
      <c r="Y131" s="39">
        <f>Y133+Y134</f>
        <v>0</v>
      </c>
      <c r="Z131" s="21">
        <f t="shared" si="177"/>
        <v>18945.756000000001</v>
      </c>
    </row>
    <row r="132" spans="1:29" x14ac:dyDescent="0.3">
      <c r="A132" s="1"/>
      <c r="B132" s="5" t="s">
        <v>2</v>
      </c>
      <c r="C132" s="70"/>
      <c r="D132" s="25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39"/>
      <c r="Z132" s="21"/>
      <c r="AA132" s="18"/>
    </row>
    <row r="133" spans="1:29" hidden="1" x14ac:dyDescent="0.3">
      <c r="A133" s="1"/>
      <c r="B133" s="5" t="s">
        <v>3</v>
      </c>
      <c r="C133" s="34"/>
      <c r="D133" s="26">
        <v>2856.3000000000011</v>
      </c>
      <c r="E133" s="30"/>
      <c r="F133" s="21">
        <f t="shared" si="157"/>
        <v>2856.3000000000011</v>
      </c>
      <c r="G133" s="30">
        <v>7520.6559999999999</v>
      </c>
      <c r="H133" s="21">
        <f t="shared" ref="H133:H180" si="178">F133+G133</f>
        <v>10376.956000000002</v>
      </c>
      <c r="I133" s="30"/>
      <c r="J133" s="21">
        <f t="shared" ref="J133:J180" si="179">H133+I133</f>
        <v>10376.956000000002</v>
      </c>
      <c r="K133" s="30"/>
      <c r="L133" s="21">
        <f t="shared" ref="L133:L180" si="180">J133+K133</f>
        <v>10376.956000000002</v>
      </c>
      <c r="M133" s="30"/>
      <c r="N133" s="21">
        <f t="shared" ref="N133:N180" si="181">L133+M133</f>
        <v>10376.956000000002</v>
      </c>
      <c r="O133" s="30"/>
      <c r="P133" s="21">
        <f t="shared" ref="P133:P180" si="182">N133+O133</f>
        <v>10376.956000000002</v>
      </c>
      <c r="Q133" s="30"/>
      <c r="R133" s="21">
        <f t="shared" ref="R133:R180" si="183">P133+Q133</f>
        <v>10376.956000000002</v>
      </c>
      <c r="S133" s="30"/>
      <c r="T133" s="21">
        <f t="shared" ref="T133:T180" si="184">R133+S133</f>
        <v>10376.956000000002</v>
      </c>
      <c r="U133" s="30"/>
      <c r="V133" s="21">
        <f t="shared" ref="V133:V179" si="185">T133+U133</f>
        <v>10376.956000000002</v>
      </c>
      <c r="W133" s="30"/>
      <c r="X133" s="21">
        <f t="shared" ref="X133:X179" si="186">V133+W133</f>
        <v>10376.956000000002</v>
      </c>
      <c r="Y133" s="43"/>
      <c r="Z133" s="21">
        <f t="shared" ref="Z133:Z179" si="187">X133+Y133</f>
        <v>10376.956000000002</v>
      </c>
      <c r="AA133" s="18" t="s">
        <v>189</v>
      </c>
      <c r="AB133" s="28">
        <v>0</v>
      </c>
    </row>
    <row r="134" spans="1:29" x14ac:dyDescent="0.3">
      <c r="A134" s="1"/>
      <c r="B134" s="5" t="s">
        <v>55</v>
      </c>
      <c r="C134" s="70"/>
      <c r="D134" s="21">
        <v>8568.7999999999993</v>
      </c>
      <c r="E134" s="21"/>
      <c r="F134" s="21">
        <f t="shared" si="157"/>
        <v>8568.7999999999993</v>
      </c>
      <c r="G134" s="21"/>
      <c r="H134" s="21">
        <f t="shared" si="178"/>
        <v>8568.7999999999993</v>
      </c>
      <c r="I134" s="21"/>
      <c r="J134" s="21">
        <f t="shared" si="179"/>
        <v>8568.7999999999993</v>
      </c>
      <c r="K134" s="21"/>
      <c r="L134" s="21">
        <f t="shared" si="180"/>
        <v>8568.7999999999993</v>
      </c>
      <c r="M134" s="21"/>
      <c r="N134" s="21">
        <f t="shared" si="181"/>
        <v>8568.7999999999993</v>
      </c>
      <c r="O134" s="21"/>
      <c r="P134" s="21">
        <f t="shared" si="182"/>
        <v>8568.7999999999993</v>
      </c>
      <c r="Q134" s="21"/>
      <c r="R134" s="21">
        <f t="shared" si="183"/>
        <v>8568.7999999999993</v>
      </c>
      <c r="S134" s="21"/>
      <c r="T134" s="21">
        <f t="shared" si="184"/>
        <v>8568.7999999999993</v>
      </c>
      <c r="U134" s="21"/>
      <c r="V134" s="21">
        <f t="shared" si="185"/>
        <v>8568.7999999999993</v>
      </c>
      <c r="W134" s="21"/>
      <c r="X134" s="21">
        <f t="shared" si="186"/>
        <v>8568.7999999999993</v>
      </c>
      <c r="Y134" s="39"/>
      <c r="Z134" s="21">
        <f t="shared" si="187"/>
        <v>8568.7999999999993</v>
      </c>
      <c r="AA134" s="18" t="s">
        <v>179</v>
      </c>
    </row>
    <row r="135" spans="1:29" ht="54" x14ac:dyDescent="0.3">
      <c r="A135" s="1" t="s">
        <v>158</v>
      </c>
      <c r="B135" s="5" t="s">
        <v>174</v>
      </c>
      <c r="C135" s="70" t="s">
        <v>7</v>
      </c>
      <c r="D135" s="21">
        <v>6397.1</v>
      </c>
      <c r="E135" s="21"/>
      <c r="F135" s="21">
        <f t="shared" si="157"/>
        <v>6397.1</v>
      </c>
      <c r="G135" s="21"/>
      <c r="H135" s="21">
        <f t="shared" si="178"/>
        <v>6397.1</v>
      </c>
      <c r="I135" s="21"/>
      <c r="J135" s="21">
        <f t="shared" si="179"/>
        <v>6397.1</v>
      </c>
      <c r="K135" s="21"/>
      <c r="L135" s="21">
        <f t="shared" si="180"/>
        <v>6397.1</v>
      </c>
      <c r="M135" s="21"/>
      <c r="N135" s="21">
        <f t="shared" si="181"/>
        <v>6397.1</v>
      </c>
      <c r="O135" s="21"/>
      <c r="P135" s="21">
        <f t="shared" si="182"/>
        <v>6397.1</v>
      </c>
      <c r="Q135" s="21"/>
      <c r="R135" s="21">
        <f t="shared" si="183"/>
        <v>6397.1</v>
      </c>
      <c r="S135" s="21"/>
      <c r="T135" s="21">
        <f t="shared" si="184"/>
        <v>6397.1</v>
      </c>
      <c r="U135" s="21"/>
      <c r="V135" s="21">
        <f t="shared" si="185"/>
        <v>6397.1</v>
      </c>
      <c r="W135" s="21"/>
      <c r="X135" s="21">
        <f t="shared" si="186"/>
        <v>6397.1</v>
      </c>
      <c r="Y135" s="39"/>
      <c r="Z135" s="21">
        <f t="shared" si="187"/>
        <v>6397.1</v>
      </c>
      <c r="AA135" s="19">
        <v>1020141280</v>
      </c>
    </row>
    <row r="136" spans="1:29" ht="87.75" hidden="1" customHeight="1" x14ac:dyDescent="0.3">
      <c r="A136" s="1" t="s">
        <v>161</v>
      </c>
      <c r="B136" s="5" t="s">
        <v>64</v>
      </c>
      <c r="C136" s="34" t="s">
        <v>7</v>
      </c>
      <c r="D136" s="21">
        <v>18000</v>
      </c>
      <c r="E136" s="21"/>
      <c r="F136" s="21">
        <f t="shared" si="157"/>
        <v>18000</v>
      </c>
      <c r="G136" s="21"/>
      <c r="H136" s="21">
        <f t="shared" si="178"/>
        <v>18000</v>
      </c>
      <c r="I136" s="21"/>
      <c r="J136" s="21">
        <f t="shared" si="179"/>
        <v>18000</v>
      </c>
      <c r="K136" s="21">
        <v>-18000</v>
      </c>
      <c r="L136" s="21">
        <f t="shared" si="180"/>
        <v>0</v>
      </c>
      <c r="M136" s="21"/>
      <c r="N136" s="21">
        <f t="shared" si="181"/>
        <v>0</v>
      </c>
      <c r="O136" s="21"/>
      <c r="P136" s="21">
        <f t="shared" si="182"/>
        <v>0</v>
      </c>
      <c r="Q136" s="21"/>
      <c r="R136" s="21">
        <f t="shared" si="183"/>
        <v>0</v>
      </c>
      <c r="S136" s="21"/>
      <c r="T136" s="21">
        <f t="shared" si="184"/>
        <v>0</v>
      </c>
      <c r="U136" s="21"/>
      <c r="V136" s="21">
        <f t="shared" si="185"/>
        <v>0</v>
      </c>
      <c r="W136" s="21"/>
      <c r="X136" s="21">
        <f t="shared" si="186"/>
        <v>0</v>
      </c>
      <c r="Y136" s="39"/>
      <c r="Z136" s="21">
        <f t="shared" si="187"/>
        <v>0</v>
      </c>
      <c r="AA136" s="19">
        <v>1020141250</v>
      </c>
      <c r="AB136" s="28">
        <v>0</v>
      </c>
    </row>
    <row r="137" spans="1:29" ht="54" hidden="1" x14ac:dyDescent="0.3">
      <c r="A137" s="1" t="s">
        <v>159</v>
      </c>
      <c r="B137" s="5" t="s">
        <v>65</v>
      </c>
      <c r="C137" s="52" t="s">
        <v>7</v>
      </c>
      <c r="D137" s="21">
        <v>16242.8</v>
      </c>
      <c r="E137" s="21">
        <v>-15732.6</v>
      </c>
      <c r="F137" s="21">
        <f t="shared" si="157"/>
        <v>510.19999999999891</v>
      </c>
      <c r="G137" s="21"/>
      <c r="H137" s="21">
        <f t="shared" si="178"/>
        <v>510.19999999999891</v>
      </c>
      <c r="I137" s="21"/>
      <c r="J137" s="21">
        <f t="shared" si="179"/>
        <v>510.19999999999891</v>
      </c>
      <c r="K137" s="21"/>
      <c r="L137" s="21">
        <f t="shared" si="180"/>
        <v>510.19999999999891</v>
      </c>
      <c r="M137" s="21"/>
      <c r="N137" s="21">
        <f t="shared" si="181"/>
        <v>510.19999999999891</v>
      </c>
      <c r="O137" s="21"/>
      <c r="P137" s="21">
        <f t="shared" si="182"/>
        <v>510.19999999999891</v>
      </c>
      <c r="Q137" s="21">
        <v>-510.2</v>
      </c>
      <c r="R137" s="21">
        <f t="shared" si="183"/>
        <v>-1.0800249583553523E-12</v>
      </c>
      <c r="S137" s="21"/>
      <c r="T137" s="21">
        <f t="shared" si="184"/>
        <v>-1.0800249583553523E-12</v>
      </c>
      <c r="U137" s="21"/>
      <c r="V137" s="21">
        <f t="shared" si="185"/>
        <v>-1.0800249583553523E-12</v>
      </c>
      <c r="W137" s="21"/>
      <c r="X137" s="21">
        <f t="shared" si="186"/>
        <v>-1.0800249583553523E-12</v>
      </c>
      <c r="Y137" s="39"/>
      <c r="Z137" s="21">
        <f t="shared" si="187"/>
        <v>-1.0800249583553523E-12</v>
      </c>
      <c r="AA137" s="19">
        <v>1020141260</v>
      </c>
      <c r="AB137" s="28">
        <v>0</v>
      </c>
    </row>
    <row r="138" spans="1:29" ht="54" hidden="1" x14ac:dyDescent="0.3">
      <c r="A138" s="1" t="s">
        <v>160</v>
      </c>
      <c r="B138" s="5" t="s">
        <v>66</v>
      </c>
      <c r="C138" s="58" t="s">
        <v>7</v>
      </c>
      <c r="D138" s="21">
        <v>6140.6</v>
      </c>
      <c r="E138" s="21"/>
      <c r="F138" s="21">
        <f t="shared" si="157"/>
        <v>6140.6</v>
      </c>
      <c r="G138" s="21">
        <v>11616</v>
      </c>
      <c r="H138" s="21">
        <f t="shared" si="178"/>
        <v>17756.599999999999</v>
      </c>
      <c r="I138" s="21"/>
      <c r="J138" s="21">
        <f t="shared" si="179"/>
        <v>17756.599999999999</v>
      </c>
      <c r="K138" s="21"/>
      <c r="L138" s="21">
        <f t="shared" si="180"/>
        <v>17756.599999999999</v>
      </c>
      <c r="M138" s="21"/>
      <c r="N138" s="21">
        <f t="shared" si="181"/>
        <v>17756.599999999999</v>
      </c>
      <c r="O138" s="21"/>
      <c r="P138" s="21">
        <f t="shared" si="182"/>
        <v>17756.599999999999</v>
      </c>
      <c r="Q138" s="21"/>
      <c r="R138" s="21">
        <f t="shared" si="183"/>
        <v>17756.599999999999</v>
      </c>
      <c r="S138" s="21"/>
      <c r="T138" s="21">
        <f t="shared" si="184"/>
        <v>17756.599999999999</v>
      </c>
      <c r="U138" s="21">
        <v>-17756.599999999999</v>
      </c>
      <c r="V138" s="21">
        <f t="shared" si="185"/>
        <v>0</v>
      </c>
      <c r="W138" s="21"/>
      <c r="X138" s="21">
        <f t="shared" si="186"/>
        <v>0</v>
      </c>
      <c r="Y138" s="39"/>
      <c r="Z138" s="21">
        <f t="shared" si="187"/>
        <v>0</v>
      </c>
      <c r="AA138" s="19">
        <v>1020141480</v>
      </c>
      <c r="AB138" s="28">
        <v>0</v>
      </c>
    </row>
    <row r="139" spans="1:29" ht="54" x14ac:dyDescent="0.3">
      <c r="A139" s="1" t="s">
        <v>159</v>
      </c>
      <c r="B139" s="5" t="s">
        <v>67</v>
      </c>
      <c r="C139" s="70" t="s">
        <v>7</v>
      </c>
      <c r="D139" s="21">
        <v>5018.7</v>
      </c>
      <c r="E139" s="21"/>
      <c r="F139" s="21">
        <f t="shared" si="157"/>
        <v>5018.7</v>
      </c>
      <c r="G139" s="21"/>
      <c r="H139" s="21">
        <f t="shared" si="178"/>
        <v>5018.7</v>
      </c>
      <c r="I139" s="21"/>
      <c r="J139" s="21">
        <f t="shared" si="179"/>
        <v>5018.7</v>
      </c>
      <c r="K139" s="21">
        <v>-381.84199999999998</v>
      </c>
      <c r="L139" s="21">
        <f t="shared" si="180"/>
        <v>4636.8580000000002</v>
      </c>
      <c r="M139" s="21"/>
      <c r="N139" s="21">
        <f t="shared" si="181"/>
        <v>4636.8580000000002</v>
      </c>
      <c r="O139" s="21"/>
      <c r="P139" s="21">
        <f t="shared" si="182"/>
        <v>4636.8580000000002</v>
      </c>
      <c r="Q139" s="21">
        <v>-1204.636</v>
      </c>
      <c r="R139" s="21">
        <f t="shared" si="183"/>
        <v>3432.2220000000002</v>
      </c>
      <c r="S139" s="21"/>
      <c r="T139" s="21">
        <f t="shared" si="184"/>
        <v>3432.2220000000002</v>
      </c>
      <c r="U139" s="21"/>
      <c r="V139" s="21">
        <f t="shared" si="185"/>
        <v>3432.2220000000002</v>
      </c>
      <c r="W139" s="21"/>
      <c r="X139" s="21">
        <f t="shared" si="186"/>
        <v>3432.2220000000002</v>
      </c>
      <c r="Y139" s="39"/>
      <c r="Z139" s="21">
        <f t="shared" si="187"/>
        <v>3432.2220000000002</v>
      </c>
      <c r="AA139" s="19">
        <v>1020341290</v>
      </c>
    </row>
    <row r="140" spans="1:29" ht="54" x14ac:dyDescent="0.3">
      <c r="A140" s="1" t="s">
        <v>160</v>
      </c>
      <c r="B140" s="5" t="s">
        <v>68</v>
      </c>
      <c r="C140" s="70" t="s">
        <v>7</v>
      </c>
      <c r="D140" s="21">
        <v>8132.6</v>
      </c>
      <c r="E140" s="21"/>
      <c r="F140" s="21">
        <f t="shared" si="157"/>
        <v>8132.6</v>
      </c>
      <c r="G140" s="21">
        <f>3744.857+2595.866</f>
        <v>6340.723</v>
      </c>
      <c r="H140" s="21">
        <f t="shared" si="178"/>
        <v>14473.323</v>
      </c>
      <c r="I140" s="21"/>
      <c r="J140" s="21">
        <f t="shared" si="179"/>
        <v>14473.323</v>
      </c>
      <c r="K140" s="21"/>
      <c r="L140" s="21">
        <f t="shared" si="180"/>
        <v>14473.323</v>
      </c>
      <c r="M140" s="21"/>
      <c r="N140" s="21">
        <f t="shared" si="181"/>
        <v>14473.323</v>
      </c>
      <c r="O140" s="21"/>
      <c r="P140" s="21">
        <f t="shared" si="182"/>
        <v>14473.323</v>
      </c>
      <c r="Q140" s="21"/>
      <c r="R140" s="21">
        <f t="shared" si="183"/>
        <v>14473.323</v>
      </c>
      <c r="S140" s="21"/>
      <c r="T140" s="21">
        <f t="shared" si="184"/>
        <v>14473.323</v>
      </c>
      <c r="U140" s="21">
        <v>-6.202</v>
      </c>
      <c r="V140" s="21">
        <f t="shared" si="185"/>
        <v>14467.121000000001</v>
      </c>
      <c r="W140" s="21"/>
      <c r="X140" s="21">
        <f t="shared" si="186"/>
        <v>14467.121000000001</v>
      </c>
      <c r="Y140" s="39"/>
      <c r="Z140" s="21">
        <f t="shared" si="187"/>
        <v>14467.121000000001</v>
      </c>
      <c r="AA140" s="19">
        <v>1110741740</v>
      </c>
    </row>
    <row r="141" spans="1:29" ht="54" x14ac:dyDescent="0.3">
      <c r="A141" s="1" t="s">
        <v>161</v>
      </c>
      <c r="B141" s="5" t="s">
        <v>188</v>
      </c>
      <c r="C141" s="70" t="s">
        <v>7</v>
      </c>
      <c r="D141" s="21"/>
      <c r="E141" s="21"/>
      <c r="F141" s="21"/>
      <c r="G141" s="21">
        <v>1213.567</v>
      </c>
      <c r="H141" s="21">
        <f t="shared" si="178"/>
        <v>1213.567</v>
      </c>
      <c r="I141" s="21"/>
      <c r="J141" s="21">
        <f t="shared" si="179"/>
        <v>1213.567</v>
      </c>
      <c r="K141" s="21"/>
      <c r="L141" s="21">
        <f t="shared" si="180"/>
        <v>1213.567</v>
      </c>
      <c r="M141" s="21"/>
      <c r="N141" s="21">
        <f t="shared" si="181"/>
        <v>1213.567</v>
      </c>
      <c r="O141" s="21"/>
      <c r="P141" s="21">
        <f t="shared" si="182"/>
        <v>1213.567</v>
      </c>
      <c r="Q141" s="21"/>
      <c r="R141" s="21">
        <f t="shared" si="183"/>
        <v>1213.567</v>
      </c>
      <c r="S141" s="21"/>
      <c r="T141" s="21">
        <f t="shared" si="184"/>
        <v>1213.567</v>
      </c>
      <c r="U141" s="21"/>
      <c r="V141" s="21">
        <f t="shared" si="185"/>
        <v>1213.567</v>
      </c>
      <c r="W141" s="21"/>
      <c r="X141" s="21">
        <f t="shared" si="186"/>
        <v>1213.567</v>
      </c>
      <c r="Y141" s="39"/>
      <c r="Z141" s="21">
        <f t="shared" si="187"/>
        <v>1213.567</v>
      </c>
      <c r="AA141" s="19">
        <v>1020141930</v>
      </c>
    </row>
    <row r="142" spans="1:29" ht="54" x14ac:dyDescent="0.3">
      <c r="A142" s="1" t="s">
        <v>162</v>
      </c>
      <c r="B142" s="5" t="s">
        <v>190</v>
      </c>
      <c r="C142" s="70" t="s">
        <v>7</v>
      </c>
      <c r="D142" s="21"/>
      <c r="E142" s="21"/>
      <c r="F142" s="21"/>
      <c r="G142" s="21">
        <v>5305</v>
      </c>
      <c r="H142" s="21">
        <f t="shared" si="178"/>
        <v>5305</v>
      </c>
      <c r="I142" s="21"/>
      <c r="J142" s="21">
        <f t="shared" si="179"/>
        <v>5305</v>
      </c>
      <c r="K142" s="21"/>
      <c r="L142" s="21">
        <f t="shared" si="180"/>
        <v>5305</v>
      </c>
      <c r="M142" s="21"/>
      <c r="N142" s="21">
        <f t="shared" si="181"/>
        <v>5305</v>
      </c>
      <c r="O142" s="21"/>
      <c r="P142" s="21">
        <f t="shared" si="182"/>
        <v>5305</v>
      </c>
      <c r="Q142" s="21"/>
      <c r="R142" s="21">
        <f t="shared" si="183"/>
        <v>5305</v>
      </c>
      <c r="S142" s="21"/>
      <c r="T142" s="21">
        <f t="shared" si="184"/>
        <v>5305</v>
      </c>
      <c r="U142" s="21"/>
      <c r="V142" s="21">
        <f t="shared" si="185"/>
        <v>5305</v>
      </c>
      <c r="W142" s="21"/>
      <c r="X142" s="21">
        <f t="shared" si="186"/>
        <v>5305</v>
      </c>
      <c r="Y142" s="39"/>
      <c r="Z142" s="21">
        <f t="shared" si="187"/>
        <v>5305</v>
      </c>
      <c r="AA142" s="19" t="s">
        <v>191</v>
      </c>
    </row>
    <row r="143" spans="1:29" ht="54" x14ac:dyDescent="0.3">
      <c r="A143" s="1" t="s">
        <v>163</v>
      </c>
      <c r="B143" s="5" t="s">
        <v>197</v>
      </c>
      <c r="C143" s="70" t="s">
        <v>7</v>
      </c>
      <c r="D143" s="21"/>
      <c r="E143" s="21"/>
      <c r="F143" s="21"/>
      <c r="G143" s="21">
        <v>4501.7340000000004</v>
      </c>
      <c r="H143" s="21">
        <f t="shared" si="178"/>
        <v>4501.7340000000004</v>
      </c>
      <c r="I143" s="21"/>
      <c r="J143" s="21">
        <f t="shared" si="179"/>
        <v>4501.7340000000004</v>
      </c>
      <c r="K143" s="21"/>
      <c r="L143" s="21">
        <f t="shared" si="180"/>
        <v>4501.7340000000004</v>
      </c>
      <c r="M143" s="21"/>
      <c r="N143" s="21">
        <f t="shared" si="181"/>
        <v>4501.7340000000004</v>
      </c>
      <c r="O143" s="21"/>
      <c r="P143" s="21">
        <f t="shared" si="182"/>
        <v>4501.7340000000004</v>
      </c>
      <c r="Q143" s="21"/>
      <c r="R143" s="21">
        <f t="shared" si="183"/>
        <v>4501.7340000000004</v>
      </c>
      <c r="S143" s="21"/>
      <c r="T143" s="21">
        <f t="shared" si="184"/>
        <v>4501.7340000000004</v>
      </c>
      <c r="U143" s="21"/>
      <c r="V143" s="21">
        <f t="shared" si="185"/>
        <v>4501.7340000000004</v>
      </c>
      <c r="W143" s="21"/>
      <c r="X143" s="21">
        <f t="shared" si="186"/>
        <v>4501.7340000000004</v>
      </c>
      <c r="Y143" s="39">
        <v>-99.869</v>
      </c>
      <c r="Z143" s="21">
        <f t="shared" si="187"/>
        <v>4401.8650000000007</v>
      </c>
      <c r="AA143" s="19">
        <v>1020141790</v>
      </c>
    </row>
    <row r="144" spans="1:29" x14ac:dyDescent="0.3">
      <c r="A144" s="1"/>
      <c r="B144" s="5" t="s">
        <v>168</v>
      </c>
      <c r="C144" s="70"/>
      <c r="D144" s="44">
        <f>D145</f>
        <v>15000</v>
      </c>
      <c r="E144" s="44">
        <f>E145+E146</f>
        <v>0</v>
      </c>
      <c r="F144" s="44">
        <f t="shared" si="157"/>
        <v>15000</v>
      </c>
      <c r="G144" s="44">
        <f>G145+G146</f>
        <v>0</v>
      </c>
      <c r="H144" s="44">
        <f t="shared" si="178"/>
        <v>15000</v>
      </c>
      <c r="I144" s="44">
        <f>I145+I146</f>
        <v>0</v>
      </c>
      <c r="J144" s="44">
        <f t="shared" si="179"/>
        <v>15000</v>
      </c>
      <c r="K144" s="44">
        <f>K145+K146</f>
        <v>0</v>
      </c>
      <c r="L144" s="44">
        <f t="shared" si="180"/>
        <v>15000</v>
      </c>
      <c r="M144" s="44">
        <f>M145+M146</f>
        <v>0</v>
      </c>
      <c r="N144" s="44">
        <f t="shared" si="181"/>
        <v>15000</v>
      </c>
      <c r="O144" s="44">
        <f>O145+O146</f>
        <v>0</v>
      </c>
      <c r="P144" s="44">
        <f t="shared" si="182"/>
        <v>15000</v>
      </c>
      <c r="Q144" s="44">
        <f>Q145+Q146</f>
        <v>-500</v>
      </c>
      <c r="R144" s="44">
        <f t="shared" si="183"/>
        <v>14500</v>
      </c>
      <c r="S144" s="44">
        <f>S145+S146</f>
        <v>0</v>
      </c>
      <c r="T144" s="44">
        <f t="shared" si="184"/>
        <v>14500</v>
      </c>
      <c r="U144" s="44">
        <f>U145+U146</f>
        <v>0</v>
      </c>
      <c r="V144" s="44">
        <f t="shared" si="185"/>
        <v>14500</v>
      </c>
      <c r="W144" s="44">
        <f>W145+W146</f>
        <v>0</v>
      </c>
      <c r="X144" s="44">
        <f t="shared" si="186"/>
        <v>14500</v>
      </c>
      <c r="Y144" s="44">
        <f>Y145+Y146</f>
        <v>0</v>
      </c>
      <c r="Z144" s="21">
        <f t="shared" si="187"/>
        <v>14500</v>
      </c>
      <c r="AA144" s="48"/>
      <c r="AB144" s="46"/>
      <c r="AC144" s="47"/>
    </row>
    <row r="145" spans="1:29" ht="72" hidden="1" x14ac:dyDescent="0.3">
      <c r="A145" s="1" t="s">
        <v>206</v>
      </c>
      <c r="B145" s="5" t="s">
        <v>80</v>
      </c>
      <c r="C145" s="3" t="s">
        <v>19</v>
      </c>
      <c r="D145" s="21">
        <v>15000</v>
      </c>
      <c r="E145" s="21">
        <v>-15000</v>
      </c>
      <c r="F145" s="21">
        <f t="shared" si="157"/>
        <v>0</v>
      </c>
      <c r="G145" s="21"/>
      <c r="H145" s="21">
        <f t="shared" si="178"/>
        <v>0</v>
      </c>
      <c r="I145" s="21"/>
      <c r="J145" s="21">
        <f t="shared" si="179"/>
        <v>0</v>
      </c>
      <c r="K145" s="21"/>
      <c r="L145" s="21">
        <f t="shared" si="180"/>
        <v>0</v>
      </c>
      <c r="M145" s="21"/>
      <c r="N145" s="21">
        <f t="shared" si="181"/>
        <v>0</v>
      </c>
      <c r="O145" s="21"/>
      <c r="P145" s="21">
        <f t="shared" si="182"/>
        <v>0</v>
      </c>
      <c r="Q145" s="21"/>
      <c r="R145" s="21">
        <f t="shared" si="183"/>
        <v>0</v>
      </c>
      <c r="S145" s="21"/>
      <c r="T145" s="21">
        <f t="shared" si="184"/>
        <v>0</v>
      </c>
      <c r="U145" s="21"/>
      <c r="V145" s="21">
        <f t="shared" si="185"/>
        <v>0</v>
      </c>
      <c r="W145" s="21"/>
      <c r="X145" s="21">
        <f t="shared" si="186"/>
        <v>0</v>
      </c>
      <c r="Y145" s="39"/>
      <c r="Z145" s="21">
        <f t="shared" si="187"/>
        <v>0</v>
      </c>
      <c r="AA145" s="16" t="s">
        <v>81</v>
      </c>
      <c r="AB145" s="28">
        <v>0</v>
      </c>
    </row>
    <row r="146" spans="1:29" ht="54" x14ac:dyDescent="0.3">
      <c r="A146" s="1" t="s">
        <v>164</v>
      </c>
      <c r="B146" s="5" t="s">
        <v>80</v>
      </c>
      <c r="C146" s="3" t="s">
        <v>48</v>
      </c>
      <c r="D146" s="21"/>
      <c r="E146" s="21">
        <v>15000</v>
      </c>
      <c r="F146" s="21">
        <f t="shared" si="157"/>
        <v>15000</v>
      </c>
      <c r="G146" s="21"/>
      <c r="H146" s="21">
        <f t="shared" si="178"/>
        <v>15000</v>
      </c>
      <c r="I146" s="21"/>
      <c r="J146" s="21">
        <f t="shared" si="179"/>
        <v>15000</v>
      </c>
      <c r="K146" s="21"/>
      <c r="L146" s="21">
        <f t="shared" si="180"/>
        <v>15000</v>
      </c>
      <c r="M146" s="21"/>
      <c r="N146" s="21">
        <f t="shared" si="181"/>
        <v>15000</v>
      </c>
      <c r="O146" s="21"/>
      <c r="P146" s="21">
        <f t="shared" si="182"/>
        <v>15000</v>
      </c>
      <c r="Q146" s="21">
        <v>-500</v>
      </c>
      <c r="R146" s="21">
        <f t="shared" si="183"/>
        <v>14500</v>
      </c>
      <c r="S146" s="21"/>
      <c r="T146" s="21">
        <f t="shared" si="184"/>
        <v>14500</v>
      </c>
      <c r="U146" s="21"/>
      <c r="V146" s="21">
        <f t="shared" si="185"/>
        <v>14500</v>
      </c>
      <c r="W146" s="21"/>
      <c r="X146" s="21">
        <f t="shared" si="186"/>
        <v>14500</v>
      </c>
      <c r="Y146" s="39"/>
      <c r="Z146" s="21">
        <f t="shared" si="187"/>
        <v>14500</v>
      </c>
      <c r="AA146" s="16" t="s">
        <v>81</v>
      </c>
    </row>
    <row r="147" spans="1:29" x14ac:dyDescent="0.3">
      <c r="A147" s="1"/>
      <c r="B147" s="72" t="s">
        <v>9</v>
      </c>
      <c r="C147" s="73"/>
      <c r="D147" s="44">
        <f>D148+D149+D150+D152+D153</f>
        <v>316643.09999999998</v>
      </c>
      <c r="E147" s="44">
        <f>E148+E149+E150+E151+E152+E153</f>
        <v>-2456.7999999999993</v>
      </c>
      <c r="F147" s="44">
        <f t="shared" si="157"/>
        <v>314186.3</v>
      </c>
      <c r="G147" s="44">
        <f>G148+G149+G150+G151+G152+G153</f>
        <v>27335.702999999998</v>
      </c>
      <c r="H147" s="44">
        <f t="shared" si="178"/>
        <v>341522.00299999997</v>
      </c>
      <c r="I147" s="44">
        <f>I148+I149+I150+I151+I152+I153</f>
        <v>-5.0010000000000003</v>
      </c>
      <c r="J147" s="44">
        <f t="shared" si="179"/>
        <v>341517.00199999998</v>
      </c>
      <c r="K147" s="44">
        <f>K148+K149+K150+K151+K152+K153</f>
        <v>-2488.36</v>
      </c>
      <c r="L147" s="44">
        <f t="shared" si="180"/>
        <v>339028.64199999999</v>
      </c>
      <c r="M147" s="44">
        <f>M148+M149+M150+M151+M152+M153</f>
        <v>0</v>
      </c>
      <c r="N147" s="44">
        <f t="shared" si="181"/>
        <v>339028.64199999999</v>
      </c>
      <c r="O147" s="44">
        <f>O148+O149+O150+O151+O152+O153</f>
        <v>0</v>
      </c>
      <c r="P147" s="44">
        <f t="shared" si="182"/>
        <v>339028.64199999999</v>
      </c>
      <c r="Q147" s="44">
        <f>Q148+Q149+Q150+Q151+Q152+Q153</f>
        <v>0</v>
      </c>
      <c r="R147" s="44">
        <f t="shared" si="183"/>
        <v>339028.64199999999</v>
      </c>
      <c r="S147" s="44">
        <f>S148+S149+S150+S151+S152+S153</f>
        <v>-18797.7</v>
      </c>
      <c r="T147" s="44">
        <f t="shared" si="184"/>
        <v>320230.94199999998</v>
      </c>
      <c r="U147" s="44">
        <f>U148+U149+U150+U151+U152+U153</f>
        <v>9124</v>
      </c>
      <c r="V147" s="44">
        <f t="shared" si="185"/>
        <v>329354.94199999998</v>
      </c>
      <c r="W147" s="44">
        <f>W148+W149+W150+W151+W152+W153</f>
        <v>0</v>
      </c>
      <c r="X147" s="44">
        <f t="shared" si="186"/>
        <v>329354.94199999998</v>
      </c>
      <c r="Y147" s="44">
        <f>Y148+Y149+Y150+Y151+Y152+Y153</f>
        <v>143390.389</v>
      </c>
      <c r="Z147" s="21">
        <f t="shared" si="187"/>
        <v>472745.33100000001</v>
      </c>
      <c r="AA147" s="45"/>
      <c r="AB147" s="46"/>
      <c r="AC147" s="47"/>
    </row>
    <row r="148" spans="1:29" ht="54" x14ac:dyDescent="0.3">
      <c r="A148" s="1" t="s">
        <v>165</v>
      </c>
      <c r="B148" s="5" t="s">
        <v>169</v>
      </c>
      <c r="C148" s="3" t="s">
        <v>48</v>
      </c>
      <c r="D148" s="21">
        <v>67845.399999999994</v>
      </c>
      <c r="E148" s="21">
        <v>-2456.8000000000002</v>
      </c>
      <c r="F148" s="21">
        <f t="shared" si="157"/>
        <v>65388.599999999991</v>
      </c>
      <c r="G148" s="21">
        <v>25628.117999999999</v>
      </c>
      <c r="H148" s="21">
        <f t="shared" si="178"/>
        <v>91016.717999999993</v>
      </c>
      <c r="I148" s="21">
        <v>-5.0010000000000003</v>
      </c>
      <c r="J148" s="21">
        <f t="shared" si="179"/>
        <v>91011.71699999999</v>
      </c>
      <c r="K148" s="21">
        <v>-2488.36</v>
      </c>
      <c r="L148" s="21">
        <f t="shared" si="180"/>
        <v>88523.356999999989</v>
      </c>
      <c r="M148" s="21"/>
      <c r="N148" s="21">
        <f t="shared" si="181"/>
        <v>88523.356999999989</v>
      </c>
      <c r="O148" s="21"/>
      <c r="P148" s="21">
        <f t="shared" si="182"/>
        <v>88523.356999999989</v>
      </c>
      <c r="Q148" s="21"/>
      <c r="R148" s="21">
        <f t="shared" si="183"/>
        <v>88523.356999999989</v>
      </c>
      <c r="S148" s="21"/>
      <c r="T148" s="21">
        <f t="shared" si="184"/>
        <v>88523.356999999989</v>
      </c>
      <c r="U148" s="21">
        <v>9124</v>
      </c>
      <c r="V148" s="21">
        <f t="shared" si="185"/>
        <v>97647.356999999989</v>
      </c>
      <c r="W148" s="21"/>
      <c r="X148" s="21">
        <f t="shared" si="186"/>
        <v>97647.356999999989</v>
      </c>
      <c r="Y148" s="39"/>
      <c r="Z148" s="21">
        <f t="shared" si="187"/>
        <v>97647.356999999989</v>
      </c>
      <c r="AA148" s="16" t="s">
        <v>85</v>
      </c>
    </row>
    <row r="149" spans="1:29" ht="54" x14ac:dyDescent="0.3">
      <c r="A149" s="1" t="s">
        <v>203</v>
      </c>
      <c r="B149" s="5" t="s">
        <v>171</v>
      </c>
      <c r="C149" s="3" t="s">
        <v>48</v>
      </c>
      <c r="D149" s="21">
        <v>40000</v>
      </c>
      <c r="E149" s="21"/>
      <c r="F149" s="21">
        <f t="shared" si="157"/>
        <v>40000</v>
      </c>
      <c r="G149" s="21">
        <v>461.30200000000002</v>
      </c>
      <c r="H149" s="21">
        <f t="shared" si="178"/>
        <v>40461.302000000003</v>
      </c>
      <c r="I149" s="21"/>
      <c r="J149" s="21">
        <f t="shared" si="179"/>
        <v>40461.302000000003</v>
      </c>
      <c r="K149" s="21"/>
      <c r="L149" s="21">
        <f t="shared" si="180"/>
        <v>40461.302000000003</v>
      </c>
      <c r="M149" s="21"/>
      <c r="N149" s="21">
        <f t="shared" si="181"/>
        <v>40461.302000000003</v>
      </c>
      <c r="O149" s="21"/>
      <c r="P149" s="21">
        <f t="shared" si="182"/>
        <v>40461.302000000003</v>
      </c>
      <c r="Q149" s="21"/>
      <c r="R149" s="21">
        <f t="shared" si="183"/>
        <v>40461.302000000003</v>
      </c>
      <c r="S149" s="21"/>
      <c r="T149" s="21">
        <f t="shared" si="184"/>
        <v>40461.302000000003</v>
      </c>
      <c r="U149" s="21"/>
      <c r="V149" s="21">
        <f t="shared" si="185"/>
        <v>40461.302000000003</v>
      </c>
      <c r="W149" s="21"/>
      <c r="X149" s="21">
        <f t="shared" si="186"/>
        <v>40461.302000000003</v>
      </c>
      <c r="Y149" s="39">
        <v>-21609.611000000001</v>
      </c>
      <c r="Z149" s="21">
        <f t="shared" si="187"/>
        <v>18851.691000000003</v>
      </c>
      <c r="AA149" s="16" t="s">
        <v>86</v>
      </c>
    </row>
    <row r="150" spans="1:29" ht="72" x14ac:dyDescent="0.3">
      <c r="A150" s="79" t="s">
        <v>204</v>
      </c>
      <c r="B150" s="81" t="s">
        <v>87</v>
      </c>
      <c r="C150" s="3" t="s">
        <v>88</v>
      </c>
      <c r="D150" s="21">
        <v>18797.7</v>
      </c>
      <c r="E150" s="21">
        <v>-18797.7</v>
      </c>
      <c r="F150" s="21">
        <f t="shared" si="157"/>
        <v>0</v>
      </c>
      <c r="G150" s="21">
        <v>1246.2829999999999</v>
      </c>
      <c r="H150" s="21">
        <f t="shared" si="178"/>
        <v>1246.2829999999999</v>
      </c>
      <c r="I150" s="21"/>
      <c r="J150" s="21">
        <f t="shared" si="179"/>
        <v>1246.2829999999999</v>
      </c>
      <c r="K150" s="21"/>
      <c r="L150" s="21">
        <f t="shared" si="180"/>
        <v>1246.2829999999999</v>
      </c>
      <c r="M150" s="21"/>
      <c r="N150" s="21">
        <f t="shared" si="181"/>
        <v>1246.2829999999999</v>
      </c>
      <c r="O150" s="21"/>
      <c r="P150" s="21">
        <f t="shared" si="182"/>
        <v>1246.2829999999999</v>
      </c>
      <c r="Q150" s="21"/>
      <c r="R150" s="21">
        <f t="shared" si="183"/>
        <v>1246.2829999999999</v>
      </c>
      <c r="S150" s="21"/>
      <c r="T150" s="21">
        <f t="shared" si="184"/>
        <v>1246.2829999999999</v>
      </c>
      <c r="U150" s="21"/>
      <c r="V150" s="21">
        <f t="shared" si="185"/>
        <v>1246.2829999999999</v>
      </c>
      <c r="W150" s="21"/>
      <c r="X150" s="21">
        <f t="shared" si="186"/>
        <v>1246.2829999999999</v>
      </c>
      <c r="Y150" s="39"/>
      <c r="Z150" s="21">
        <f t="shared" si="187"/>
        <v>1246.2829999999999</v>
      </c>
      <c r="AA150" s="16" t="s">
        <v>89</v>
      </c>
    </row>
    <row r="151" spans="1:29" ht="54" hidden="1" x14ac:dyDescent="0.3">
      <c r="A151" s="80"/>
      <c r="B151" s="82"/>
      <c r="C151" s="3" t="s">
        <v>48</v>
      </c>
      <c r="D151" s="21"/>
      <c r="E151" s="21">
        <v>18797.7</v>
      </c>
      <c r="F151" s="21">
        <f t="shared" si="157"/>
        <v>18797.7</v>
      </c>
      <c r="G151" s="21"/>
      <c r="H151" s="21">
        <f t="shared" si="178"/>
        <v>18797.7</v>
      </c>
      <c r="I151" s="21"/>
      <c r="J151" s="21">
        <f t="shared" si="179"/>
        <v>18797.7</v>
      </c>
      <c r="K151" s="21"/>
      <c r="L151" s="21">
        <f t="shared" si="180"/>
        <v>18797.7</v>
      </c>
      <c r="M151" s="21"/>
      <c r="N151" s="21">
        <f t="shared" si="181"/>
        <v>18797.7</v>
      </c>
      <c r="O151" s="21"/>
      <c r="P151" s="21">
        <f t="shared" si="182"/>
        <v>18797.7</v>
      </c>
      <c r="Q151" s="21"/>
      <c r="R151" s="21">
        <f t="shared" si="183"/>
        <v>18797.7</v>
      </c>
      <c r="S151" s="21">
        <v>-18797.7</v>
      </c>
      <c r="T151" s="21">
        <f t="shared" si="184"/>
        <v>0</v>
      </c>
      <c r="U151" s="21"/>
      <c r="V151" s="21">
        <f t="shared" si="185"/>
        <v>0</v>
      </c>
      <c r="W151" s="21"/>
      <c r="X151" s="21">
        <f t="shared" si="186"/>
        <v>0</v>
      </c>
      <c r="Y151" s="39"/>
      <c r="Z151" s="21">
        <f t="shared" si="187"/>
        <v>0</v>
      </c>
      <c r="AA151" s="16" t="s">
        <v>89</v>
      </c>
      <c r="AB151" s="28">
        <v>0</v>
      </c>
    </row>
    <row r="152" spans="1:29" ht="54" x14ac:dyDescent="0.3">
      <c r="A152" s="1" t="s">
        <v>205</v>
      </c>
      <c r="B152" s="5" t="s">
        <v>173</v>
      </c>
      <c r="C152" s="3" t="s">
        <v>17</v>
      </c>
      <c r="D152" s="21">
        <v>30000</v>
      </c>
      <c r="E152" s="21"/>
      <c r="F152" s="21">
        <f t="shared" si="157"/>
        <v>30000</v>
      </c>
      <c r="G152" s="21"/>
      <c r="H152" s="21">
        <f t="shared" si="178"/>
        <v>30000</v>
      </c>
      <c r="I152" s="21"/>
      <c r="J152" s="21">
        <f t="shared" si="179"/>
        <v>30000</v>
      </c>
      <c r="K152" s="21"/>
      <c r="L152" s="21">
        <f t="shared" si="180"/>
        <v>30000</v>
      </c>
      <c r="M152" s="21"/>
      <c r="N152" s="21">
        <f t="shared" si="181"/>
        <v>30000</v>
      </c>
      <c r="O152" s="21"/>
      <c r="P152" s="21">
        <f t="shared" si="182"/>
        <v>30000</v>
      </c>
      <c r="Q152" s="21"/>
      <c r="R152" s="21">
        <f t="shared" si="183"/>
        <v>30000</v>
      </c>
      <c r="S152" s="21"/>
      <c r="T152" s="21">
        <f t="shared" si="184"/>
        <v>30000</v>
      </c>
      <c r="U152" s="21"/>
      <c r="V152" s="21">
        <f t="shared" si="185"/>
        <v>30000</v>
      </c>
      <c r="W152" s="21"/>
      <c r="X152" s="21">
        <f t="shared" si="186"/>
        <v>30000</v>
      </c>
      <c r="Y152" s="39">
        <v>165000</v>
      </c>
      <c r="Z152" s="21">
        <f t="shared" si="187"/>
        <v>195000</v>
      </c>
      <c r="AA152" s="16" t="s">
        <v>90</v>
      </c>
    </row>
    <row r="153" spans="1:29" ht="54" x14ac:dyDescent="0.3">
      <c r="A153" s="1" t="s">
        <v>206</v>
      </c>
      <c r="B153" s="5" t="s">
        <v>170</v>
      </c>
      <c r="C153" s="3" t="s">
        <v>17</v>
      </c>
      <c r="D153" s="21">
        <v>160000</v>
      </c>
      <c r="E153" s="21"/>
      <c r="F153" s="21">
        <f t="shared" si="157"/>
        <v>160000</v>
      </c>
      <c r="G153" s="21"/>
      <c r="H153" s="21">
        <f t="shared" si="178"/>
        <v>160000</v>
      </c>
      <c r="I153" s="21"/>
      <c r="J153" s="21">
        <f t="shared" si="179"/>
        <v>160000</v>
      </c>
      <c r="K153" s="21"/>
      <c r="L153" s="21">
        <f t="shared" si="180"/>
        <v>160000</v>
      </c>
      <c r="M153" s="21"/>
      <c r="N153" s="21">
        <f t="shared" si="181"/>
        <v>160000</v>
      </c>
      <c r="O153" s="21"/>
      <c r="P153" s="21">
        <f t="shared" si="182"/>
        <v>160000</v>
      </c>
      <c r="Q153" s="21"/>
      <c r="R153" s="21">
        <f t="shared" si="183"/>
        <v>160000</v>
      </c>
      <c r="S153" s="21"/>
      <c r="T153" s="21">
        <f t="shared" si="184"/>
        <v>160000</v>
      </c>
      <c r="U153" s="21"/>
      <c r="V153" s="21">
        <f t="shared" si="185"/>
        <v>160000</v>
      </c>
      <c r="W153" s="21"/>
      <c r="X153" s="21">
        <f t="shared" si="186"/>
        <v>160000</v>
      </c>
      <c r="Y153" s="39"/>
      <c r="Z153" s="21">
        <f t="shared" si="187"/>
        <v>160000</v>
      </c>
      <c r="AA153" s="16" t="s">
        <v>91</v>
      </c>
    </row>
    <row r="154" spans="1:29" ht="19.5" customHeight="1" x14ac:dyDescent="0.3">
      <c r="A154" s="1"/>
      <c r="B154" s="5" t="s">
        <v>23</v>
      </c>
      <c r="C154" s="3"/>
      <c r="D154" s="44">
        <f>D161+D155+D156+D157+D158+D159+D160</f>
        <v>88349.4</v>
      </c>
      <c r="E154" s="44">
        <f>E155+E156+E157+E158+E159+E160+E161</f>
        <v>-667.4</v>
      </c>
      <c r="F154" s="44">
        <f t="shared" si="157"/>
        <v>87682</v>
      </c>
      <c r="G154" s="44">
        <f>G155+G156+G157+G158+G159+G160+G161+G162+G163+G164+G165+G166</f>
        <v>19923.670000000002</v>
      </c>
      <c r="H154" s="44">
        <f t="shared" si="178"/>
        <v>107605.67</v>
      </c>
      <c r="I154" s="44">
        <f>I155+I156+I157+I158+I159+I160+I161+I162+I163+I164+I165+I166</f>
        <v>-10922.601999999999</v>
      </c>
      <c r="J154" s="44">
        <f t="shared" si="179"/>
        <v>96683.067999999999</v>
      </c>
      <c r="K154" s="44">
        <f>K155+K156+K157+K158+K159+K160+K161+K162+K163+K164+K165+K166</f>
        <v>0</v>
      </c>
      <c r="L154" s="44">
        <f t="shared" si="180"/>
        <v>96683.067999999999</v>
      </c>
      <c r="M154" s="44">
        <f>M155+M156+M157+M158+M159+M160+M161+M162+M163+M164+M165+M166</f>
        <v>0</v>
      </c>
      <c r="N154" s="44">
        <f t="shared" si="181"/>
        <v>96683.067999999999</v>
      </c>
      <c r="O154" s="44">
        <f>O155+O156+O157+O158+O159+O160+O161+O162+O163+O164+O165+O166</f>
        <v>0</v>
      </c>
      <c r="P154" s="44">
        <f t="shared" si="182"/>
        <v>96683.067999999999</v>
      </c>
      <c r="Q154" s="44">
        <f>Q155+Q156+Q157+Q158+Q159+Q160+Q161+Q162+Q163+Q164+Q165+Q166</f>
        <v>-27564.91</v>
      </c>
      <c r="R154" s="44">
        <f t="shared" si="183"/>
        <v>69118.157999999996</v>
      </c>
      <c r="S154" s="44">
        <f>S155+S156+S157+S158+S159+S160+S161+S162+S163+S164+S165+S166</f>
        <v>-112.9</v>
      </c>
      <c r="T154" s="44">
        <f t="shared" si="184"/>
        <v>69005.258000000002</v>
      </c>
      <c r="U154" s="44">
        <f>U155+U156+U157+U158+U159+U160+U161+U162+U163+U164+U165+U166+U167+U168+U169+U170+U171+U172+U173+U174+U175+U176</f>
        <v>-34112.245999999999</v>
      </c>
      <c r="V154" s="44">
        <f t="shared" si="185"/>
        <v>34893.012000000002</v>
      </c>
      <c r="W154" s="44">
        <f>W155+W156+W157+W158+W159+W160+W161+W162+W163+W164+W165+W166+W167+W168+W169+W170+W171+W172+W173+W174+W175+W176</f>
        <v>0</v>
      </c>
      <c r="X154" s="44">
        <f t="shared" si="186"/>
        <v>34893.012000000002</v>
      </c>
      <c r="Y154" s="44">
        <f>Y155+Y156+Y157+Y158+Y159+Y160+Y161+Y162+Y163+Y164+Y165+Y166+Y167+Y168+Y169+Y170+Y171+Y172+Y173+Y174+Y175+Y176</f>
        <v>-2890.1930000000002</v>
      </c>
      <c r="Z154" s="21">
        <f t="shared" si="187"/>
        <v>32002.819000000003</v>
      </c>
      <c r="AA154" s="45"/>
      <c r="AB154" s="46"/>
      <c r="AC154" s="47"/>
    </row>
    <row r="155" spans="1:29" ht="54" x14ac:dyDescent="0.3">
      <c r="A155" s="1" t="s">
        <v>207</v>
      </c>
      <c r="B155" s="5" t="s">
        <v>100</v>
      </c>
      <c r="C155" s="3" t="s">
        <v>48</v>
      </c>
      <c r="D155" s="21">
        <v>2937.2</v>
      </c>
      <c r="E155" s="21"/>
      <c r="F155" s="21">
        <f t="shared" si="157"/>
        <v>2937.2</v>
      </c>
      <c r="G155" s="21"/>
      <c r="H155" s="21">
        <f t="shared" si="178"/>
        <v>2937.2</v>
      </c>
      <c r="I155" s="21"/>
      <c r="J155" s="21">
        <f t="shared" si="179"/>
        <v>2937.2</v>
      </c>
      <c r="K155" s="21"/>
      <c r="L155" s="21">
        <f t="shared" si="180"/>
        <v>2937.2</v>
      </c>
      <c r="M155" s="21"/>
      <c r="N155" s="21">
        <f t="shared" si="181"/>
        <v>2937.2</v>
      </c>
      <c r="O155" s="21"/>
      <c r="P155" s="21">
        <f t="shared" si="182"/>
        <v>2937.2</v>
      </c>
      <c r="Q155" s="21"/>
      <c r="R155" s="21">
        <f t="shared" si="183"/>
        <v>2937.2</v>
      </c>
      <c r="S155" s="21"/>
      <c r="T155" s="21">
        <f t="shared" si="184"/>
        <v>2937.2</v>
      </c>
      <c r="U155" s="21">
        <v>-804.77099999999996</v>
      </c>
      <c r="V155" s="21">
        <f t="shared" si="185"/>
        <v>2132.4290000000001</v>
      </c>
      <c r="W155" s="21"/>
      <c r="X155" s="21">
        <f t="shared" si="186"/>
        <v>2132.4290000000001</v>
      </c>
      <c r="Y155" s="39"/>
      <c r="Z155" s="21">
        <f t="shared" si="187"/>
        <v>2132.4290000000001</v>
      </c>
      <c r="AA155" s="16" t="s">
        <v>101</v>
      </c>
    </row>
    <row r="156" spans="1:29" ht="54" x14ac:dyDescent="0.3">
      <c r="A156" s="1" t="s">
        <v>208</v>
      </c>
      <c r="B156" s="5" t="s">
        <v>176</v>
      </c>
      <c r="C156" s="3" t="s">
        <v>48</v>
      </c>
      <c r="D156" s="21">
        <v>216.9</v>
      </c>
      <c r="E156" s="21"/>
      <c r="F156" s="21">
        <f t="shared" si="157"/>
        <v>216.9</v>
      </c>
      <c r="G156" s="21">
        <v>228.58099999999999</v>
      </c>
      <c r="H156" s="21">
        <f t="shared" si="178"/>
        <v>445.48099999999999</v>
      </c>
      <c r="I156" s="21">
        <v>-180.28100000000001</v>
      </c>
      <c r="J156" s="21">
        <f t="shared" si="179"/>
        <v>265.2</v>
      </c>
      <c r="K156" s="21"/>
      <c r="L156" s="21">
        <f t="shared" si="180"/>
        <v>265.2</v>
      </c>
      <c r="M156" s="21"/>
      <c r="N156" s="21">
        <f t="shared" si="181"/>
        <v>265.2</v>
      </c>
      <c r="O156" s="21"/>
      <c r="P156" s="21">
        <f t="shared" si="182"/>
        <v>265.2</v>
      </c>
      <c r="Q156" s="21"/>
      <c r="R156" s="21">
        <f t="shared" si="183"/>
        <v>265.2</v>
      </c>
      <c r="S156" s="21"/>
      <c r="T156" s="21">
        <f t="shared" si="184"/>
        <v>265.2</v>
      </c>
      <c r="U156" s="21">
        <v>-2.2570000000000001</v>
      </c>
      <c r="V156" s="21">
        <f t="shared" si="185"/>
        <v>262.94299999999998</v>
      </c>
      <c r="W156" s="21"/>
      <c r="X156" s="21">
        <f t="shared" si="186"/>
        <v>262.94299999999998</v>
      </c>
      <c r="Y156" s="39"/>
      <c r="Z156" s="21">
        <f t="shared" si="187"/>
        <v>262.94299999999998</v>
      </c>
      <c r="AA156" s="16" t="s">
        <v>102</v>
      </c>
    </row>
    <row r="157" spans="1:29" ht="54" x14ac:dyDescent="0.3">
      <c r="A157" s="1" t="s">
        <v>209</v>
      </c>
      <c r="B157" s="5" t="s">
        <v>103</v>
      </c>
      <c r="C157" s="3" t="s">
        <v>48</v>
      </c>
      <c r="D157" s="21">
        <v>3154.1</v>
      </c>
      <c r="E157" s="21"/>
      <c r="F157" s="21">
        <f t="shared" si="157"/>
        <v>3154.1</v>
      </c>
      <c r="G157" s="21"/>
      <c r="H157" s="21">
        <f t="shared" si="178"/>
        <v>3154.1</v>
      </c>
      <c r="I157" s="21"/>
      <c r="J157" s="21">
        <f t="shared" si="179"/>
        <v>3154.1</v>
      </c>
      <c r="K157" s="21"/>
      <c r="L157" s="21">
        <f t="shared" si="180"/>
        <v>3154.1</v>
      </c>
      <c r="M157" s="21"/>
      <c r="N157" s="21">
        <f t="shared" si="181"/>
        <v>3154.1</v>
      </c>
      <c r="O157" s="21"/>
      <c r="P157" s="21">
        <f t="shared" si="182"/>
        <v>3154.1</v>
      </c>
      <c r="Q157" s="21"/>
      <c r="R157" s="21">
        <f t="shared" si="183"/>
        <v>3154.1</v>
      </c>
      <c r="S157" s="21"/>
      <c r="T157" s="21">
        <f t="shared" si="184"/>
        <v>3154.1</v>
      </c>
      <c r="U157" s="21"/>
      <c r="V157" s="21">
        <f t="shared" si="185"/>
        <v>3154.1</v>
      </c>
      <c r="W157" s="21"/>
      <c r="X157" s="21">
        <f t="shared" si="186"/>
        <v>3154.1</v>
      </c>
      <c r="Y157" s="39">
        <v>-2890.1930000000002</v>
      </c>
      <c r="Z157" s="21">
        <f t="shared" si="187"/>
        <v>263.9069999999997</v>
      </c>
      <c r="AA157" s="16" t="s">
        <v>104</v>
      </c>
    </row>
    <row r="158" spans="1:29" ht="54" x14ac:dyDescent="0.3">
      <c r="A158" s="1" t="s">
        <v>210</v>
      </c>
      <c r="B158" s="5" t="s">
        <v>105</v>
      </c>
      <c r="C158" s="3" t="s">
        <v>48</v>
      </c>
      <c r="D158" s="21">
        <v>216.4</v>
      </c>
      <c r="E158" s="21"/>
      <c r="F158" s="21">
        <f t="shared" si="157"/>
        <v>216.4</v>
      </c>
      <c r="G158" s="21">
        <v>229.30500000000001</v>
      </c>
      <c r="H158" s="21">
        <f t="shared" si="178"/>
        <v>445.70500000000004</v>
      </c>
      <c r="I158" s="21">
        <v>-180.30500000000001</v>
      </c>
      <c r="J158" s="21">
        <f t="shared" si="179"/>
        <v>265.40000000000003</v>
      </c>
      <c r="K158" s="21"/>
      <c r="L158" s="21">
        <f t="shared" si="180"/>
        <v>265.40000000000003</v>
      </c>
      <c r="M158" s="21"/>
      <c r="N158" s="21">
        <f t="shared" si="181"/>
        <v>265.40000000000003</v>
      </c>
      <c r="O158" s="21"/>
      <c r="P158" s="21">
        <f t="shared" si="182"/>
        <v>265.40000000000003</v>
      </c>
      <c r="Q158" s="21"/>
      <c r="R158" s="21">
        <f t="shared" si="183"/>
        <v>265.40000000000003</v>
      </c>
      <c r="S158" s="21"/>
      <c r="T158" s="21">
        <f t="shared" si="184"/>
        <v>265.40000000000003</v>
      </c>
      <c r="U158" s="21">
        <v>-2.2509999999999999</v>
      </c>
      <c r="V158" s="21">
        <f t="shared" si="185"/>
        <v>263.14900000000006</v>
      </c>
      <c r="W158" s="21"/>
      <c r="X158" s="21">
        <f t="shared" si="186"/>
        <v>263.14900000000006</v>
      </c>
      <c r="Y158" s="39"/>
      <c r="Z158" s="21">
        <f t="shared" si="187"/>
        <v>263.14900000000006</v>
      </c>
      <c r="AA158" s="16" t="s">
        <v>106</v>
      </c>
    </row>
    <row r="159" spans="1:29" ht="54" x14ac:dyDescent="0.3">
      <c r="A159" s="1" t="s">
        <v>211</v>
      </c>
      <c r="B159" s="5" t="s">
        <v>107</v>
      </c>
      <c r="C159" s="3" t="s">
        <v>48</v>
      </c>
      <c r="D159" s="21">
        <v>206.6</v>
      </c>
      <c r="E159" s="21"/>
      <c r="F159" s="21">
        <f t="shared" si="157"/>
        <v>206.6</v>
      </c>
      <c r="G159" s="21">
        <v>239.316</v>
      </c>
      <c r="H159" s="21">
        <f t="shared" si="178"/>
        <v>445.916</v>
      </c>
      <c r="I159" s="21">
        <v>-180.21600000000001</v>
      </c>
      <c r="J159" s="21">
        <f t="shared" si="179"/>
        <v>265.7</v>
      </c>
      <c r="K159" s="21"/>
      <c r="L159" s="21">
        <f t="shared" si="180"/>
        <v>265.7</v>
      </c>
      <c r="M159" s="21"/>
      <c r="N159" s="21">
        <f t="shared" si="181"/>
        <v>265.7</v>
      </c>
      <c r="O159" s="21"/>
      <c r="P159" s="21">
        <f t="shared" si="182"/>
        <v>265.7</v>
      </c>
      <c r="Q159" s="21"/>
      <c r="R159" s="21">
        <f t="shared" si="183"/>
        <v>265.7</v>
      </c>
      <c r="S159" s="21"/>
      <c r="T159" s="21">
        <f t="shared" si="184"/>
        <v>265.7</v>
      </c>
      <c r="U159" s="21">
        <v>-9.4949999999999992</v>
      </c>
      <c r="V159" s="21">
        <f t="shared" si="185"/>
        <v>256.20499999999998</v>
      </c>
      <c r="W159" s="21"/>
      <c r="X159" s="21">
        <f t="shared" si="186"/>
        <v>256.20499999999998</v>
      </c>
      <c r="Y159" s="39"/>
      <c r="Z159" s="21">
        <f t="shared" si="187"/>
        <v>256.20499999999998</v>
      </c>
      <c r="AA159" s="16" t="s">
        <v>108</v>
      </c>
    </row>
    <row r="160" spans="1:29" ht="54" x14ac:dyDescent="0.3">
      <c r="A160" s="1" t="s">
        <v>212</v>
      </c>
      <c r="B160" s="5" t="s">
        <v>109</v>
      </c>
      <c r="C160" s="3" t="s">
        <v>21</v>
      </c>
      <c r="D160" s="21">
        <v>34618.199999999997</v>
      </c>
      <c r="E160" s="21">
        <v>-667.4</v>
      </c>
      <c r="F160" s="21">
        <f t="shared" si="157"/>
        <v>33950.799999999996</v>
      </c>
      <c r="G160" s="21">
        <f>5000+10381.8</f>
        <v>15381.8</v>
      </c>
      <c r="H160" s="21">
        <f t="shared" si="178"/>
        <v>49332.599999999991</v>
      </c>
      <c r="I160" s="21">
        <v>-10381.799999999999</v>
      </c>
      <c r="J160" s="21">
        <f t="shared" si="179"/>
        <v>38950.799999999988</v>
      </c>
      <c r="K160" s="21"/>
      <c r="L160" s="21">
        <f t="shared" si="180"/>
        <v>38950.799999999988</v>
      </c>
      <c r="M160" s="21"/>
      <c r="N160" s="21">
        <f t="shared" si="181"/>
        <v>38950.799999999988</v>
      </c>
      <c r="O160" s="21"/>
      <c r="P160" s="21">
        <f t="shared" si="182"/>
        <v>38950.799999999988</v>
      </c>
      <c r="Q160" s="21">
        <v>-27564.91</v>
      </c>
      <c r="R160" s="21">
        <f t="shared" si="183"/>
        <v>11385.889999999989</v>
      </c>
      <c r="S160" s="21">
        <v>-112.9</v>
      </c>
      <c r="T160" s="21">
        <f t="shared" si="184"/>
        <v>11272.989999999989</v>
      </c>
      <c r="U160" s="21">
        <v>-6272.99</v>
      </c>
      <c r="V160" s="21">
        <f t="shared" si="185"/>
        <v>4999.9999999999891</v>
      </c>
      <c r="W160" s="21"/>
      <c r="X160" s="21">
        <f t="shared" si="186"/>
        <v>4999.9999999999891</v>
      </c>
      <c r="Y160" s="39"/>
      <c r="Z160" s="21">
        <f t="shared" si="187"/>
        <v>4999.9999999999891</v>
      </c>
      <c r="AA160" s="16" t="s">
        <v>110</v>
      </c>
    </row>
    <row r="161" spans="1:28" ht="54" x14ac:dyDescent="0.3">
      <c r="A161" s="79" t="s">
        <v>213</v>
      </c>
      <c r="B161" s="81" t="s">
        <v>111</v>
      </c>
      <c r="C161" s="70" t="s">
        <v>7</v>
      </c>
      <c r="D161" s="21">
        <v>47000</v>
      </c>
      <c r="E161" s="21"/>
      <c r="F161" s="21">
        <f t="shared" si="157"/>
        <v>47000</v>
      </c>
      <c r="G161" s="21"/>
      <c r="H161" s="21">
        <f t="shared" si="178"/>
        <v>47000</v>
      </c>
      <c r="I161" s="21"/>
      <c r="J161" s="21">
        <f t="shared" si="179"/>
        <v>47000</v>
      </c>
      <c r="K161" s="21"/>
      <c r="L161" s="21">
        <f t="shared" si="180"/>
        <v>47000</v>
      </c>
      <c r="M161" s="21"/>
      <c r="N161" s="21">
        <f t="shared" si="181"/>
        <v>47000</v>
      </c>
      <c r="O161" s="21"/>
      <c r="P161" s="21">
        <f t="shared" si="182"/>
        <v>47000</v>
      </c>
      <c r="Q161" s="21"/>
      <c r="R161" s="21">
        <f t="shared" si="183"/>
        <v>47000</v>
      </c>
      <c r="S161" s="21"/>
      <c r="T161" s="21">
        <f t="shared" si="184"/>
        <v>47000</v>
      </c>
      <c r="U161" s="21">
        <v>-27000</v>
      </c>
      <c r="V161" s="21">
        <f t="shared" si="185"/>
        <v>20000</v>
      </c>
      <c r="W161" s="21"/>
      <c r="X161" s="21">
        <f t="shared" si="186"/>
        <v>20000</v>
      </c>
      <c r="Y161" s="39"/>
      <c r="Z161" s="21">
        <f t="shared" si="187"/>
        <v>20000</v>
      </c>
      <c r="AA161" s="16" t="s">
        <v>112</v>
      </c>
    </row>
    <row r="162" spans="1:28" ht="54" x14ac:dyDescent="0.3">
      <c r="A162" s="80"/>
      <c r="B162" s="82"/>
      <c r="C162" s="3" t="s">
        <v>21</v>
      </c>
      <c r="D162" s="21"/>
      <c r="E162" s="21"/>
      <c r="F162" s="21"/>
      <c r="G162" s="21">
        <v>2800</v>
      </c>
      <c r="H162" s="21">
        <f t="shared" si="178"/>
        <v>2800</v>
      </c>
      <c r="I162" s="21"/>
      <c r="J162" s="21">
        <f t="shared" si="179"/>
        <v>2800</v>
      </c>
      <c r="K162" s="21"/>
      <c r="L162" s="21">
        <f t="shared" si="180"/>
        <v>2800</v>
      </c>
      <c r="M162" s="21"/>
      <c r="N162" s="21">
        <f t="shared" si="181"/>
        <v>2800</v>
      </c>
      <c r="O162" s="21"/>
      <c r="P162" s="21">
        <f t="shared" si="182"/>
        <v>2800</v>
      </c>
      <c r="Q162" s="21"/>
      <c r="R162" s="21">
        <f t="shared" si="183"/>
        <v>2800</v>
      </c>
      <c r="S162" s="21"/>
      <c r="T162" s="21">
        <f t="shared" si="184"/>
        <v>2800</v>
      </c>
      <c r="U162" s="21"/>
      <c r="V162" s="21">
        <f t="shared" si="185"/>
        <v>2800</v>
      </c>
      <c r="W162" s="21"/>
      <c r="X162" s="21">
        <f t="shared" si="186"/>
        <v>2800</v>
      </c>
      <c r="Y162" s="39"/>
      <c r="Z162" s="21">
        <f t="shared" si="187"/>
        <v>2800</v>
      </c>
      <c r="AA162" s="16" t="s">
        <v>112</v>
      </c>
    </row>
    <row r="163" spans="1:28" ht="54" x14ac:dyDescent="0.3">
      <c r="A163" s="1" t="s">
        <v>214</v>
      </c>
      <c r="B163" s="5" t="s">
        <v>184</v>
      </c>
      <c r="C163" s="3" t="s">
        <v>21</v>
      </c>
      <c r="D163" s="21"/>
      <c r="E163" s="21"/>
      <c r="F163" s="21"/>
      <c r="G163" s="21">
        <v>220</v>
      </c>
      <c r="H163" s="21">
        <f t="shared" si="178"/>
        <v>220</v>
      </c>
      <c r="I163" s="21"/>
      <c r="J163" s="21">
        <f t="shared" si="179"/>
        <v>220</v>
      </c>
      <c r="K163" s="21"/>
      <c r="L163" s="21">
        <f t="shared" si="180"/>
        <v>220</v>
      </c>
      <c r="M163" s="21"/>
      <c r="N163" s="21">
        <f t="shared" si="181"/>
        <v>220</v>
      </c>
      <c r="O163" s="21"/>
      <c r="P163" s="21">
        <f t="shared" si="182"/>
        <v>220</v>
      </c>
      <c r="Q163" s="21"/>
      <c r="R163" s="21">
        <f t="shared" si="183"/>
        <v>220</v>
      </c>
      <c r="S163" s="21"/>
      <c r="T163" s="21">
        <f t="shared" si="184"/>
        <v>220</v>
      </c>
      <c r="U163" s="21">
        <v>-4.3129999999999997</v>
      </c>
      <c r="V163" s="21">
        <f t="shared" si="185"/>
        <v>215.68700000000001</v>
      </c>
      <c r="W163" s="21"/>
      <c r="X163" s="21">
        <f t="shared" si="186"/>
        <v>215.68700000000001</v>
      </c>
      <c r="Y163" s="39"/>
      <c r="Z163" s="21">
        <f t="shared" si="187"/>
        <v>215.68700000000001</v>
      </c>
      <c r="AA163" s="19">
        <v>1420341940</v>
      </c>
    </row>
    <row r="164" spans="1:28" ht="54" x14ac:dyDescent="0.3">
      <c r="A164" s="1" t="s">
        <v>224</v>
      </c>
      <c r="B164" s="5" t="s">
        <v>185</v>
      </c>
      <c r="C164" s="3" t="s">
        <v>21</v>
      </c>
      <c r="D164" s="21"/>
      <c r="E164" s="21"/>
      <c r="F164" s="21"/>
      <c r="G164" s="21">
        <v>824.66800000000001</v>
      </c>
      <c r="H164" s="21">
        <f t="shared" si="178"/>
        <v>824.66800000000001</v>
      </c>
      <c r="I164" s="21"/>
      <c r="J164" s="21">
        <f t="shared" si="179"/>
        <v>824.66800000000001</v>
      </c>
      <c r="K164" s="21"/>
      <c r="L164" s="21">
        <f t="shared" si="180"/>
        <v>824.66800000000001</v>
      </c>
      <c r="M164" s="21"/>
      <c r="N164" s="21">
        <f t="shared" si="181"/>
        <v>824.66800000000001</v>
      </c>
      <c r="O164" s="21"/>
      <c r="P164" s="21">
        <f t="shared" si="182"/>
        <v>824.66800000000001</v>
      </c>
      <c r="Q164" s="21"/>
      <c r="R164" s="21">
        <f t="shared" si="183"/>
        <v>824.66800000000001</v>
      </c>
      <c r="S164" s="21"/>
      <c r="T164" s="21">
        <f t="shared" si="184"/>
        <v>824.66800000000001</v>
      </c>
      <c r="U164" s="21">
        <v>-16.169</v>
      </c>
      <c r="V164" s="21">
        <f t="shared" si="185"/>
        <v>808.49900000000002</v>
      </c>
      <c r="W164" s="21"/>
      <c r="X164" s="21">
        <f t="shared" si="186"/>
        <v>808.49900000000002</v>
      </c>
      <c r="Y164" s="39"/>
      <c r="Z164" s="21">
        <f t="shared" si="187"/>
        <v>808.49900000000002</v>
      </c>
      <c r="AA164" s="19">
        <v>1420341950</v>
      </c>
    </row>
    <row r="165" spans="1:28" ht="54" hidden="1" x14ac:dyDescent="0.3">
      <c r="A165" s="1" t="s">
        <v>231</v>
      </c>
      <c r="B165" s="5" t="s">
        <v>218</v>
      </c>
      <c r="C165" s="3" t="s">
        <v>48</v>
      </c>
      <c r="D165" s="21"/>
      <c r="E165" s="21"/>
      <c r="F165" s="21"/>
      <c r="G165" s="21"/>
      <c r="H165" s="21">
        <f t="shared" si="178"/>
        <v>0</v>
      </c>
      <c r="I165" s="21"/>
      <c r="J165" s="21">
        <f t="shared" si="179"/>
        <v>0</v>
      </c>
      <c r="K165" s="21"/>
      <c r="L165" s="21">
        <f t="shared" si="180"/>
        <v>0</v>
      </c>
      <c r="M165" s="21"/>
      <c r="N165" s="21">
        <f t="shared" si="181"/>
        <v>0</v>
      </c>
      <c r="O165" s="21"/>
      <c r="P165" s="21">
        <f t="shared" si="182"/>
        <v>0</v>
      </c>
      <c r="Q165" s="21"/>
      <c r="R165" s="21">
        <f t="shared" si="183"/>
        <v>0</v>
      </c>
      <c r="S165" s="21"/>
      <c r="T165" s="21">
        <f t="shared" si="184"/>
        <v>0</v>
      </c>
      <c r="U165" s="21"/>
      <c r="V165" s="21">
        <f t="shared" si="185"/>
        <v>0</v>
      </c>
      <c r="W165" s="21"/>
      <c r="X165" s="21">
        <f t="shared" si="186"/>
        <v>0</v>
      </c>
      <c r="Y165" s="39"/>
      <c r="Z165" s="21">
        <f t="shared" si="187"/>
        <v>0</v>
      </c>
      <c r="AA165" s="19">
        <v>1420341980</v>
      </c>
      <c r="AB165" s="28">
        <v>0</v>
      </c>
    </row>
    <row r="166" spans="1:28" ht="54" hidden="1" x14ac:dyDescent="0.3">
      <c r="A166" s="1" t="s">
        <v>232</v>
      </c>
      <c r="B166" s="5" t="s">
        <v>194</v>
      </c>
      <c r="C166" s="3" t="s">
        <v>48</v>
      </c>
      <c r="D166" s="21"/>
      <c r="E166" s="21"/>
      <c r="F166" s="21"/>
      <c r="G166" s="21"/>
      <c r="H166" s="21">
        <f t="shared" si="178"/>
        <v>0</v>
      </c>
      <c r="I166" s="21"/>
      <c r="J166" s="21">
        <f t="shared" si="179"/>
        <v>0</v>
      </c>
      <c r="K166" s="21"/>
      <c r="L166" s="21">
        <f t="shared" si="180"/>
        <v>0</v>
      </c>
      <c r="M166" s="21"/>
      <c r="N166" s="21">
        <f t="shared" si="181"/>
        <v>0</v>
      </c>
      <c r="O166" s="21"/>
      <c r="P166" s="21">
        <f t="shared" si="182"/>
        <v>0</v>
      </c>
      <c r="Q166" s="21"/>
      <c r="R166" s="21">
        <f t="shared" si="183"/>
        <v>0</v>
      </c>
      <c r="S166" s="21"/>
      <c r="T166" s="21">
        <f t="shared" si="184"/>
        <v>0</v>
      </c>
      <c r="U166" s="21"/>
      <c r="V166" s="21">
        <f t="shared" si="185"/>
        <v>0</v>
      </c>
      <c r="W166" s="21"/>
      <c r="X166" s="21">
        <f t="shared" si="186"/>
        <v>0</v>
      </c>
      <c r="Y166" s="39"/>
      <c r="Z166" s="21">
        <f t="shared" si="187"/>
        <v>0</v>
      </c>
      <c r="AA166" s="19">
        <v>1420341990</v>
      </c>
      <c r="AB166" s="28">
        <v>0</v>
      </c>
    </row>
    <row r="167" spans="1:28" ht="54" hidden="1" x14ac:dyDescent="0.3">
      <c r="A167" s="1" t="s">
        <v>215</v>
      </c>
      <c r="B167" s="5" t="s">
        <v>251</v>
      </c>
      <c r="C167" s="3" t="s">
        <v>48</v>
      </c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>
        <f t="shared" si="185"/>
        <v>0</v>
      </c>
      <c r="W167" s="21"/>
      <c r="X167" s="21">
        <f t="shared" si="186"/>
        <v>0</v>
      </c>
      <c r="Y167" s="39"/>
      <c r="Z167" s="21">
        <f t="shared" si="187"/>
        <v>0</v>
      </c>
      <c r="AA167" s="19">
        <v>1420341380</v>
      </c>
      <c r="AB167" s="28">
        <v>0</v>
      </c>
    </row>
    <row r="168" spans="1:28" ht="54" hidden="1" x14ac:dyDescent="0.3">
      <c r="A168" s="1" t="s">
        <v>216</v>
      </c>
      <c r="B168" s="5" t="s">
        <v>252</v>
      </c>
      <c r="C168" s="3" t="s">
        <v>48</v>
      </c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>
        <f t="shared" si="185"/>
        <v>0</v>
      </c>
      <c r="W168" s="21"/>
      <c r="X168" s="21">
        <f t="shared" si="186"/>
        <v>0</v>
      </c>
      <c r="Y168" s="39"/>
      <c r="Z168" s="21">
        <f t="shared" si="187"/>
        <v>0</v>
      </c>
      <c r="AA168" s="19">
        <v>1420342410</v>
      </c>
      <c r="AB168" s="28">
        <v>0</v>
      </c>
    </row>
    <row r="169" spans="1:28" ht="54" hidden="1" x14ac:dyDescent="0.3">
      <c r="A169" s="1" t="s">
        <v>246</v>
      </c>
      <c r="B169" s="5" t="s">
        <v>253</v>
      </c>
      <c r="C169" s="3" t="s">
        <v>48</v>
      </c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>
        <f t="shared" si="185"/>
        <v>0</v>
      </c>
      <c r="W169" s="21"/>
      <c r="X169" s="21">
        <f t="shared" si="186"/>
        <v>0</v>
      </c>
      <c r="Y169" s="39"/>
      <c r="Z169" s="21">
        <f t="shared" si="187"/>
        <v>0</v>
      </c>
      <c r="AA169" s="19">
        <v>1420342420</v>
      </c>
      <c r="AB169" s="28">
        <v>0</v>
      </c>
    </row>
    <row r="170" spans="1:28" ht="54" hidden="1" x14ac:dyDescent="0.3">
      <c r="A170" s="1" t="s">
        <v>259</v>
      </c>
      <c r="B170" s="5" t="s">
        <v>264</v>
      </c>
      <c r="C170" s="3" t="s">
        <v>48</v>
      </c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>
        <f t="shared" si="185"/>
        <v>0</v>
      </c>
      <c r="W170" s="21"/>
      <c r="X170" s="21">
        <f t="shared" si="186"/>
        <v>0</v>
      </c>
      <c r="Y170" s="39"/>
      <c r="Z170" s="21">
        <f t="shared" si="187"/>
        <v>0</v>
      </c>
      <c r="AA170" s="19">
        <v>1420342430</v>
      </c>
      <c r="AB170" s="28">
        <v>0</v>
      </c>
    </row>
    <row r="171" spans="1:28" ht="54" hidden="1" x14ac:dyDescent="0.3">
      <c r="A171" s="1" t="s">
        <v>260</v>
      </c>
      <c r="B171" s="5" t="s">
        <v>265</v>
      </c>
      <c r="C171" s="3" t="s">
        <v>48</v>
      </c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>
        <f t="shared" si="185"/>
        <v>0</v>
      </c>
      <c r="W171" s="21"/>
      <c r="X171" s="21">
        <f t="shared" si="186"/>
        <v>0</v>
      </c>
      <c r="Y171" s="39"/>
      <c r="Z171" s="21">
        <f t="shared" si="187"/>
        <v>0</v>
      </c>
      <c r="AA171" s="19">
        <v>1420342440</v>
      </c>
      <c r="AB171" s="28">
        <v>0</v>
      </c>
    </row>
    <row r="172" spans="1:28" ht="54" hidden="1" x14ac:dyDescent="0.3">
      <c r="A172" s="1" t="s">
        <v>261</v>
      </c>
      <c r="B172" s="5" t="s">
        <v>254</v>
      </c>
      <c r="C172" s="3" t="s">
        <v>48</v>
      </c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>
        <f t="shared" si="185"/>
        <v>0</v>
      </c>
      <c r="W172" s="21"/>
      <c r="X172" s="21">
        <f t="shared" si="186"/>
        <v>0</v>
      </c>
      <c r="Y172" s="39"/>
      <c r="Z172" s="21">
        <f t="shared" si="187"/>
        <v>0</v>
      </c>
      <c r="AA172" s="19">
        <v>1420342450</v>
      </c>
      <c r="AB172" s="28">
        <v>0</v>
      </c>
    </row>
    <row r="173" spans="1:28" ht="54" hidden="1" x14ac:dyDescent="0.3">
      <c r="A173" s="1" t="s">
        <v>231</v>
      </c>
      <c r="B173" s="5" t="s">
        <v>255</v>
      </c>
      <c r="C173" s="3" t="s">
        <v>48</v>
      </c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>
        <f t="shared" si="185"/>
        <v>0</v>
      </c>
      <c r="W173" s="21"/>
      <c r="X173" s="21">
        <f t="shared" si="186"/>
        <v>0</v>
      </c>
      <c r="Y173" s="39"/>
      <c r="Z173" s="21">
        <f t="shared" si="187"/>
        <v>0</v>
      </c>
      <c r="AA173" s="19">
        <v>1420342460</v>
      </c>
      <c r="AB173" s="28">
        <v>0</v>
      </c>
    </row>
    <row r="174" spans="1:28" ht="54" hidden="1" x14ac:dyDescent="0.3">
      <c r="A174" s="1" t="s">
        <v>232</v>
      </c>
      <c r="B174" s="5" t="s">
        <v>257</v>
      </c>
      <c r="C174" s="3" t="s">
        <v>48</v>
      </c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>
        <f t="shared" si="185"/>
        <v>0</v>
      </c>
      <c r="W174" s="21"/>
      <c r="X174" s="21">
        <f t="shared" si="186"/>
        <v>0</v>
      </c>
      <c r="Y174" s="39"/>
      <c r="Z174" s="21">
        <f t="shared" si="187"/>
        <v>0</v>
      </c>
      <c r="AA174" s="19">
        <v>1420342470</v>
      </c>
      <c r="AB174" s="28">
        <v>0</v>
      </c>
    </row>
    <row r="175" spans="1:28" ht="54" hidden="1" x14ac:dyDescent="0.3">
      <c r="A175" s="1" t="s">
        <v>262</v>
      </c>
      <c r="B175" s="5" t="s">
        <v>266</v>
      </c>
      <c r="C175" s="3" t="s">
        <v>48</v>
      </c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>
        <f t="shared" si="185"/>
        <v>0</v>
      </c>
      <c r="W175" s="21"/>
      <c r="X175" s="21">
        <f t="shared" si="186"/>
        <v>0</v>
      </c>
      <c r="Y175" s="39"/>
      <c r="Z175" s="21">
        <f t="shared" si="187"/>
        <v>0</v>
      </c>
      <c r="AA175" s="19">
        <v>1420342480</v>
      </c>
      <c r="AB175" s="28">
        <v>0</v>
      </c>
    </row>
    <row r="176" spans="1:28" ht="54" hidden="1" x14ac:dyDescent="0.3">
      <c r="A176" s="1" t="s">
        <v>263</v>
      </c>
      <c r="B176" s="5" t="s">
        <v>256</v>
      </c>
      <c r="C176" s="3" t="s">
        <v>48</v>
      </c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>
        <f t="shared" si="185"/>
        <v>0</v>
      </c>
      <c r="W176" s="21"/>
      <c r="X176" s="21">
        <f t="shared" si="186"/>
        <v>0</v>
      </c>
      <c r="Y176" s="39"/>
      <c r="Z176" s="21">
        <f t="shared" si="187"/>
        <v>0</v>
      </c>
      <c r="AA176" s="19">
        <v>1420342490</v>
      </c>
      <c r="AB176" s="28">
        <v>0</v>
      </c>
    </row>
    <row r="177" spans="1:29" x14ac:dyDescent="0.3">
      <c r="A177" s="1"/>
      <c r="B177" s="5" t="s">
        <v>82</v>
      </c>
      <c r="C177" s="3"/>
      <c r="D177" s="44">
        <f>D178</f>
        <v>20000</v>
      </c>
      <c r="E177" s="44">
        <f>E178+E179</f>
        <v>-18208.7</v>
      </c>
      <c r="F177" s="44">
        <f t="shared" si="157"/>
        <v>1791.2999999999993</v>
      </c>
      <c r="G177" s="44">
        <f>G178+G179</f>
        <v>0</v>
      </c>
      <c r="H177" s="44">
        <f t="shared" si="178"/>
        <v>1791.2999999999993</v>
      </c>
      <c r="I177" s="44">
        <f>I178+I179</f>
        <v>0</v>
      </c>
      <c r="J177" s="44">
        <f t="shared" si="179"/>
        <v>1791.2999999999993</v>
      </c>
      <c r="K177" s="44">
        <f>K178+K179</f>
        <v>0</v>
      </c>
      <c r="L177" s="44">
        <f t="shared" si="180"/>
        <v>1791.2999999999993</v>
      </c>
      <c r="M177" s="44">
        <f>M178+M179</f>
        <v>0</v>
      </c>
      <c r="N177" s="44">
        <f t="shared" si="181"/>
        <v>1791.2999999999993</v>
      </c>
      <c r="O177" s="44">
        <f>O178+O179</f>
        <v>0</v>
      </c>
      <c r="P177" s="44">
        <f t="shared" si="182"/>
        <v>1791.2999999999993</v>
      </c>
      <c r="Q177" s="44">
        <f>Q178+Q179</f>
        <v>0</v>
      </c>
      <c r="R177" s="44">
        <f t="shared" si="183"/>
        <v>1791.2999999999993</v>
      </c>
      <c r="S177" s="44">
        <f>S178+S179</f>
        <v>0</v>
      </c>
      <c r="T177" s="44">
        <f t="shared" si="184"/>
        <v>1791.2999999999993</v>
      </c>
      <c r="U177" s="44">
        <f>U178+U179</f>
        <v>0</v>
      </c>
      <c r="V177" s="44">
        <f t="shared" si="185"/>
        <v>1791.2999999999993</v>
      </c>
      <c r="W177" s="44">
        <f>W178+W179</f>
        <v>0</v>
      </c>
      <c r="X177" s="44">
        <f t="shared" si="186"/>
        <v>1791.2999999999993</v>
      </c>
      <c r="Y177" s="44">
        <f>Y178+Y179</f>
        <v>-229.774</v>
      </c>
      <c r="Z177" s="21">
        <f t="shared" si="187"/>
        <v>1561.5259999999994</v>
      </c>
      <c r="AA177" s="45"/>
      <c r="AB177" s="46"/>
      <c r="AC177" s="47"/>
    </row>
    <row r="178" spans="1:29" ht="72" hidden="1" x14ac:dyDescent="0.3">
      <c r="A178" s="79" t="s">
        <v>215</v>
      </c>
      <c r="B178" s="89" t="s">
        <v>220</v>
      </c>
      <c r="C178" s="3" t="s">
        <v>83</v>
      </c>
      <c r="D178" s="21">
        <v>20000</v>
      </c>
      <c r="E178" s="21">
        <v>-20000</v>
      </c>
      <c r="F178" s="21">
        <f t="shared" si="157"/>
        <v>0</v>
      </c>
      <c r="G178" s="21"/>
      <c r="H178" s="21">
        <f t="shared" si="178"/>
        <v>0</v>
      </c>
      <c r="I178" s="21"/>
      <c r="J178" s="21">
        <f t="shared" si="179"/>
        <v>0</v>
      </c>
      <c r="K178" s="21"/>
      <c r="L178" s="21">
        <f t="shared" si="180"/>
        <v>0</v>
      </c>
      <c r="M178" s="21"/>
      <c r="N178" s="21">
        <f t="shared" si="181"/>
        <v>0</v>
      </c>
      <c r="O178" s="21"/>
      <c r="P178" s="21">
        <f t="shared" si="182"/>
        <v>0</v>
      </c>
      <c r="Q178" s="21"/>
      <c r="R178" s="21">
        <f t="shared" si="183"/>
        <v>0</v>
      </c>
      <c r="S178" s="21"/>
      <c r="T178" s="21">
        <f t="shared" si="184"/>
        <v>0</v>
      </c>
      <c r="U178" s="21"/>
      <c r="V178" s="21">
        <f t="shared" si="185"/>
        <v>0</v>
      </c>
      <c r="W178" s="21"/>
      <c r="X178" s="21">
        <f t="shared" si="186"/>
        <v>0</v>
      </c>
      <c r="Y178" s="39"/>
      <c r="Z178" s="21">
        <f t="shared" si="187"/>
        <v>0</v>
      </c>
      <c r="AA178" s="16" t="s">
        <v>84</v>
      </c>
      <c r="AB178" s="28">
        <v>0</v>
      </c>
    </row>
    <row r="179" spans="1:29" ht="54" x14ac:dyDescent="0.3">
      <c r="A179" s="80"/>
      <c r="B179" s="82"/>
      <c r="C179" s="3" t="s">
        <v>48</v>
      </c>
      <c r="D179" s="21"/>
      <c r="E179" s="21">
        <v>1791.3</v>
      </c>
      <c r="F179" s="21">
        <f t="shared" si="157"/>
        <v>1791.3</v>
      </c>
      <c r="G179" s="21"/>
      <c r="H179" s="21">
        <f t="shared" si="178"/>
        <v>1791.3</v>
      </c>
      <c r="I179" s="21"/>
      <c r="J179" s="21">
        <f t="shared" si="179"/>
        <v>1791.3</v>
      </c>
      <c r="K179" s="21"/>
      <c r="L179" s="21">
        <f t="shared" si="180"/>
        <v>1791.3</v>
      </c>
      <c r="M179" s="21"/>
      <c r="N179" s="21">
        <f t="shared" si="181"/>
        <v>1791.3</v>
      </c>
      <c r="O179" s="21"/>
      <c r="P179" s="21">
        <f t="shared" si="182"/>
        <v>1791.3</v>
      </c>
      <c r="Q179" s="21"/>
      <c r="R179" s="21">
        <f t="shared" si="183"/>
        <v>1791.3</v>
      </c>
      <c r="S179" s="21"/>
      <c r="T179" s="21">
        <f t="shared" si="184"/>
        <v>1791.3</v>
      </c>
      <c r="U179" s="21"/>
      <c r="V179" s="21">
        <f t="shared" si="185"/>
        <v>1791.3</v>
      </c>
      <c r="W179" s="21"/>
      <c r="X179" s="21">
        <f t="shared" si="186"/>
        <v>1791.3</v>
      </c>
      <c r="Y179" s="39">
        <v>-229.774</v>
      </c>
      <c r="Z179" s="21">
        <f t="shared" si="187"/>
        <v>1561.5259999999998</v>
      </c>
      <c r="AA179" s="16" t="s">
        <v>84</v>
      </c>
    </row>
    <row r="180" spans="1:29" x14ac:dyDescent="0.3">
      <c r="A180" s="1"/>
      <c r="B180" s="69" t="s">
        <v>11</v>
      </c>
      <c r="C180" s="3"/>
      <c r="D180" s="21">
        <f>D18+D63+D93+D107+D147+D154+D177+D144</f>
        <v>3771665.9000000004</v>
      </c>
      <c r="E180" s="21">
        <f>E18+E63++E93+E107+E144+E147+E154+E177</f>
        <v>-14217.5</v>
      </c>
      <c r="F180" s="21">
        <f t="shared" si="157"/>
        <v>3757448.4000000004</v>
      </c>
      <c r="G180" s="21">
        <f>G18+G63++G93+G107+G144+G147+G154+G177</f>
        <v>441869.99099999992</v>
      </c>
      <c r="H180" s="21">
        <f t="shared" si="178"/>
        <v>4199318.3910000008</v>
      </c>
      <c r="I180" s="21">
        <f>I18+I63++I93+I107+I144+I147+I154+I177</f>
        <v>-108545.803</v>
      </c>
      <c r="J180" s="21">
        <f t="shared" si="179"/>
        <v>4090772.5880000009</v>
      </c>
      <c r="K180" s="21">
        <f>K18+K63++K93+K107+K144+K147+K154+K177</f>
        <v>67818.741999999998</v>
      </c>
      <c r="L180" s="21">
        <f t="shared" si="180"/>
        <v>4158591.330000001</v>
      </c>
      <c r="M180" s="21">
        <f>M18+M63++M93+M107+M144+M147+M154+M177</f>
        <v>72338.549999999988</v>
      </c>
      <c r="N180" s="21">
        <f t="shared" si="181"/>
        <v>4230929.8800000008</v>
      </c>
      <c r="O180" s="21">
        <f>O18+O63++O93+O107+O144+O147+O154+O177</f>
        <v>0</v>
      </c>
      <c r="P180" s="21">
        <f t="shared" si="182"/>
        <v>4230929.8800000008</v>
      </c>
      <c r="Q180" s="21">
        <f>Q18+Q63++Q93+Q107+Q144+Q147+Q154+Q177+Q105</f>
        <v>-82650.025000000038</v>
      </c>
      <c r="R180" s="21">
        <f t="shared" si="183"/>
        <v>4148279.8550000009</v>
      </c>
      <c r="S180" s="21">
        <f>S18+S63++S93+S107+S144+S147+S154+S177+S105</f>
        <v>-304119.30000000005</v>
      </c>
      <c r="T180" s="21">
        <f t="shared" si="184"/>
        <v>3844160.5550000006</v>
      </c>
      <c r="U180" s="21">
        <f>U18+U63++U93+U107+U144+U147+U154+U177+U105</f>
        <v>-160485.50599999999</v>
      </c>
      <c r="V180" s="21">
        <f>T180+U180</f>
        <v>3683675.0490000006</v>
      </c>
      <c r="W180" s="21">
        <f>W18+W63++W93+W107+W144+W147+W154+W177+W105</f>
        <v>0</v>
      </c>
      <c r="X180" s="21">
        <f>V180+W180</f>
        <v>3683675.0490000006</v>
      </c>
      <c r="Y180" s="39">
        <f>Y18+Y63++Y93+Y107+Y144+Y147+Y154+Y177+Y105</f>
        <v>84786.404999999984</v>
      </c>
      <c r="Z180" s="21">
        <f>X180+Y180</f>
        <v>3768461.4540000004</v>
      </c>
    </row>
    <row r="181" spans="1:29" x14ac:dyDescent="0.3">
      <c r="A181" s="1"/>
      <c r="B181" s="108" t="s">
        <v>12</v>
      </c>
      <c r="C181" s="109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39"/>
      <c r="Z181" s="21"/>
    </row>
    <row r="182" spans="1:29" x14ac:dyDescent="0.3">
      <c r="A182" s="1"/>
      <c r="B182" s="106" t="s">
        <v>55</v>
      </c>
      <c r="C182" s="107"/>
      <c r="D182" s="21">
        <f>D110</f>
        <v>758065.1</v>
      </c>
      <c r="E182" s="21">
        <f>E110</f>
        <v>0</v>
      </c>
      <c r="F182" s="21">
        <f t="shared" si="157"/>
        <v>758065.1</v>
      </c>
      <c r="G182" s="21">
        <f>G110</f>
        <v>0</v>
      </c>
      <c r="H182" s="21">
        <f t="shared" ref="H182:H184" si="188">F182+G182</f>
        <v>758065.1</v>
      </c>
      <c r="I182" s="21">
        <f>I110</f>
        <v>0</v>
      </c>
      <c r="J182" s="21">
        <f t="shared" ref="J182:J184" si="189">H182+I182</f>
        <v>758065.1</v>
      </c>
      <c r="K182" s="21">
        <f>K110</f>
        <v>0</v>
      </c>
      <c r="L182" s="21">
        <f t="shared" ref="L182:L184" si="190">J182+K182</f>
        <v>758065.1</v>
      </c>
      <c r="M182" s="21">
        <f>M110</f>
        <v>-150399.29999999999</v>
      </c>
      <c r="N182" s="21">
        <f>L182+M182</f>
        <v>607665.80000000005</v>
      </c>
      <c r="O182" s="21">
        <f>O110</f>
        <v>0</v>
      </c>
      <c r="P182" s="21">
        <f>N182+O182</f>
        <v>607665.80000000005</v>
      </c>
      <c r="Q182" s="21">
        <f>Q110</f>
        <v>0</v>
      </c>
      <c r="R182" s="21">
        <f>P182+Q182</f>
        <v>607665.80000000005</v>
      </c>
      <c r="S182" s="21">
        <f>S110</f>
        <v>0</v>
      </c>
      <c r="T182" s="21">
        <f>R182+S182</f>
        <v>607665.80000000005</v>
      </c>
      <c r="U182" s="21">
        <f>U110</f>
        <v>0</v>
      </c>
      <c r="V182" s="21">
        <f>T182+U182</f>
        <v>607665.80000000005</v>
      </c>
      <c r="W182" s="21">
        <f>W110</f>
        <v>0</v>
      </c>
      <c r="X182" s="21">
        <f>V182+W182</f>
        <v>607665.80000000005</v>
      </c>
      <c r="Y182" s="39">
        <f>Y110</f>
        <v>0</v>
      </c>
      <c r="Z182" s="21">
        <f>X182+Y182</f>
        <v>607665.80000000005</v>
      </c>
    </row>
    <row r="183" spans="1:29" x14ac:dyDescent="0.3">
      <c r="A183" s="1"/>
      <c r="B183" s="67" t="s">
        <v>18</v>
      </c>
      <c r="C183" s="4"/>
      <c r="D183" s="21">
        <f>D66+D21</f>
        <v>420296.5</v>
      </c>
      <c r="E183" s="21">
        <f>E21+E66</f>
        <v>0</v>
      </c>
      <c r="F183" s="21">
        <f t="shared" si="157"/>
        <v>420296.5</v>
      </c>
      <c r="G183" s="21">
        <f>G21+G66</f>
        <v>12307.6</v>
      </c>
      <c r="H183" s="21">
        <f t="shared" si="188"/>
        <v>432604.1</v>
      </c>
      <c r="I183" s="21">
        <f>I21+I66</f>
        <v>0</v>
      </c>
      <c r="J183" s="21">
        <f t="shared" si="189"/>
        <v>432604.1</v>
      </c>
      <c r="K183" s="21">
        <f>K21+K66</f>
        <v>0</v>
      </c>
      <c r="L183" s="21">
        <f t="shared" si="190"/>
        <v>432604.1</v>
      </c>
      <c r="M183" s="21">
        <f>M21+M66</f>
        <v>16802.500000000018</v>
      </c>
      <c r="N183" s="21">
        <f t="shared" ref="N183" si="191">L183+M183</f>
        <v>449406.6</v>
      </c>
      <c r="O183" s="21">
        <f>O21+O66</f>
        <v>0</v>
      </c>
      <c r="P183" s="21">
        <f t="shared" ref="P183" si="192">N183+O183</f>
        <v>449406.6</v>
      </c>
      <c r="Q183" s="21">
        <f>Q21+Q66</f>
        <v>-6892.8190000000031</v>
      </c>
      <c r="R183" s="21">
        <f t="shared" ref="R183" si="193">P183+Q183</f>
        <v>442513.78099999996</v>
      </c>
      <c r="S183" s="21">
        <f>S21+S66</f>
        <v>0</v>
      </c>
      <c r="T183" s="21">
        <f t="shared" ref="T183" si="194">R183+S183</f>
        <v>442513.78099999996</v>
      </c>
      <c r="U183" s="21">
        <f>U21+U66</f>
        <v>0</v>
      </c>
      <c r="V183" s="21">
        <f t="shared" ref="V183" si="195">T183+U183</f>
        <v>442513.78099999996</v>
      </c>
      <c r="W183" s="21">
        <f>W21+W66</f>
        <v>0</v>
      </c>
      <c r="X183" s="21">
        <f t="shared" ref="X183" si="196">V183+W183</f>
        <v>442513.78099999996</v>
      </c>
      <c r="Y183" s="39">
        <f>Y21+Y66</f>
        <v>0</v>
      </c>
      <c r="Z183" s="21">
        <f t="shared" ref="Z183" si="197">X183+Y183</f>
        <v>442513.78099999996</v>
      </c>
    </row>
    <row r="184" spans="1:29" x14ac:dyDescent="0.3">
      <c r="A184" s="1"/>
      <c r="B184" s="67" t="s">
        <v>24</v>
      </c>
      <c r="C184" s="4"/>
      <c r="D184" s="21">
        <f>D67</f>
        <v>15293.6</v>
      </c>
      <c r="E184" s="21">
        <f>E67</f>
        <v>0</v>
      </c>
      <c r="F184" s="21">
        <f t="shared" si="157"/>
        <v>15293.6</v>
      </c>
      <c r="G184" s="21">
        <f>G67</f>
        <v>0</v>
      </c>
      <c r="H184" s="21">
        <f t="shared" si="188"/>
        <v>15293.6</v>
      </c>
      <c r="I184" s="21">
        <f>I67</f>
        <v>0</v>
      </c>
      <c r="J184" s="21">
        <f t="shared" si="189"/>
        <v>15293.6</v>
      </c>
      <c r="K184" s="21">
        <f>K67</f>
        <v>0</v>
      </c>
      <c r="L184" s="21">
        <f t="shared" si="190"/>
        <v>15293.6</v>
      </c>
      <c r="M184" s="21">
        <f>M67+M22</f>
        <v>248395.69</v>
      </c>
      <c r="N184" s="21">
        <f>L184+M184</f>
        <v>263689.28999999998</v>
      </c>
      <c r="O184" s="21">
        <f>O67+O22</f>
        <v>0</v>
      </c>
      <c r="P184" s="21">
        <f>N184+O184</f>
        <v>263689.28999999998</v>
      </c>
      <c r="Q184" s="21">
        <f>Q67+Q22</f>
        <v>119668.8</v>
      </c>
      <c r="R184" s="21">
        <f>P184+Q184</f>
        <v>383358.08999999997</v>
      </c>
      <c r="S184" s="21">
        <f>S67+S22</f>
        <v>0</v>
      </c>
      <c r="T184" s="21">
        <f>R184+S184</f>
        <v>383358.08999999997</v>
      </c>
      <c r="U184" s="21">
        <f>U67+U22</f>
        <v>0</v>
      </c>
      <c r="V184" s="21">
        <f>T184+U184</f>
        <v>383358.08999999997</v>
      </c>
      <c r="W184" s="21">
        <f>W67+W22</f>
        <v>0</v>
      </c>
      <c r="X184" s="21">
        <f>V184+W184</f>
        <v>383358.08999999997</v>
      </c>
      <c r="Y184" s="39">
        <f>Y67+Y22</f>
        <v>0</v>
      </c>
      <c r="Z184" s="21">
        <f>X184+Y184</f>
        <v>383358.08999999997</v>
      </c>
    </row>
    <row r="185" spans="1:29" x14ac:dyDescent="0.3">
      <c r="A185" s="1"/>
      <c r="B185" s="86" t="s">
        <v>16</v>
      </c>
      <c r="C185" s="87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39"/>
      <c r="Z185" s="21"/>
    </row>
    <row r="186" spans="1:29" x14ac:dyDescent="0.3">
      <c r="A186" s="1"/>
      <c r="B186" s="86" t="s">
        <v>5</v>
      </c>
      <c r="C186" s="85"/>
      <c r="D186" s="21">
        <f>D71+D70+D73+D74+D75+D76+D72+D68+D69</f>
        <v>302284.79999999999</v>
      </c>
      <c r="E186" s="21">
        <f>E68+E69+E70+E71+E72+E73+E74+E75+E76</f>
        <v>15150</v>
      </c>
      <c r="F186" s="21">
        <f t="shared" si="157"/>
        <v>317434.8</v>
      </c>
      <c r="G186" s="21">
        <f>G68+G69+G70+G71+G72+G73+G74+G75+G76+G88</f>
        <v>-11530.508000000005</v>
      </c>
      <c r="H186" s="21">
        <f t="shared" ref="H186:H195" si="198">F186+G186</f>
        <v>305904.29199999996</v>
      </c>
      <c r="I186" s="21">
        <f>I68+I69+I70+I71+I72+I73+I74+I75+I76+I88</f>
        <v>0</v>
      </c>
      <c r="J186" s="21">
        <f t="shared" ref="J186:J190" si="199">H186+I186</f>
        <v>305904.29199999996</v>
      </c>
      <c r="K186" s="21">
        <f>K68+K69+K70+K71+K72+K73+K74+K75+K76+K88</f>
        <v>0</v>
      </c>
      <c r="L186" s="21">
        <f t="shared" ref="L186:L190" si="200">J186+K186</f>
        <v>305904.29199999996</v>
      </c>
      <c r="M186" s="21">
        <f>M68+M69+M70+M71+M72+M73+M74+M75+M76+M88</f>
        <v>2330.2660000000001</v>
      </c>
      <c r="N186" s="21">
        <f t="shared" ref="N186:N190" si="201">L186+M186</f>
        <v>308234.55799999996</v>
      </c>
      <c r="O186" s="21">
        <f>O68+O69+O70+O71+O72+O73+O74+O75+O76+O88</f>
        <v>0</v>
      </c>
      <c r="P186" s="21">
        <f t="shared" ref="P186:P190" si="202">N186+O186</f>
        <v>308234.55799999996</v>
      </c>
      <c r="Q186" s="21">
        <f>Q68+Q69+Q70+Q71+Q72+Q73+Q74+Q75+Q76+Q88</f>
        <v>-1999.421</v>
      </c>
      <c r="R186" s="21">
        <f>P186+Q186</f>
        <v>306235.13699999999</v>
      </c>
      <c r="S186" s="21">
        <f>S68+S69+S70+S71+S72+S73+S74+S75+S76+S88</f>
        <v>-172134.19999999998</v>
      </c>
      <c r="T186" s="21">
        <f>R186+S186</f>
        <v>134100.93700000001</v>
      </c>
      <c r="U186" s="21">
        <f>U68+U69+U70+U71+U72+U73+U74+U75+U76+U88</f>
        <v>0</v>
      </c>
      <c r="V186" s="21">
        <f>T186+U186</f>
        <v>134100.93700000001</v>
      </c>
      <c r="W186" s="21">
        <f>W68+W69+W70+W71+W72+W73+W74+W75+W76+W88</f>
        <v>0</v>
      </c>
      <c r="X186" s="21">
        <f>V186+W186</f>
        <v>134100.93700000001</v>
      </c>
      <c r="Y186" s="39">
        <f>Y68+Y69+Y70+Y71+Y72+Y73+Y74+Y75+Y76+Y88</f>
        <v>-17017.167000000001</v>
      </c>
      <c r="Z186" s="21">
        <f>X186+Y186</f>
        <v>117083.77</v>
      </c>
    </row>
    <row r="187" spans="1:29" x14ac:dyDescent="0.3">
      <c r="A187" s="1"/>
      <c r="B187" s="86" t="s">
        <v>7</v>
      </c>
      <c r="C187" s="85"/>
      <c r="D187" s="21">
        <f>D111+D115+D119+D123+D127+D131+D135+D136+D137+D138+D139+D140+D96+D97+D98+D99+D100+D101+D102+D103+D161</f>
        <v>1324844.7000000007</v>
      </c>
      <c r="E187" s="21">
        <f>E96+E97+E98+E99+E100+E101+E102+E103+E111+E115+E119+E123+E127+E131+E135+E136+E137+E138+E139+E140</f>
        <v>9267.4</v>
      </c>
      <c r="F187" s="21">
        <f t="shared" si="157"/>
        <v>1334112.1000000006</v>
      </c>
      <c r="G187" s="21">
        <f>G96+G97+G98+G99+G100+G101+G102+G103+G111+G115+G119+G123+G127+G131+G135+G136+G137+G138+G139+G140+G141+G142+G143</f>
        <v>61349.649000000005</v>
      </c>
      <c r="H187" s="21">
        <f t="shared" si="198"/>
        <v>1395461.7490000005</v>
      </c>
      <c r="I187" s="21">
        <f>I96+I97+I98+I99+I100+I101+I102+I103+I111+I115+I119+I123+I127+I131+I135+I136+I137+I138+I139+I140+I141+I142+I143</f>
        <v>0</v>
      </c>
      <c r="J187" s="21">
        <f t="shared" si="199"/>
        <v>1395461.7490000005</v>
      </c>
      <c r="K187" s="21">
        <f>K96+K97+K98+K99+K100+K101+K102+K103+K111+K115+K119+K123+K127+K131+K135+K136+K137+K138+K139+K140+K141+K142+K143</f>
        <v>-19380.564000000002</v>
      </c>
      <c r="L187" s="21">
        <f t="shared" si="200"/>
        <v>1376081.1850000005</v>
      </c>
      <c r="M187" s="21">
        <f>M96+M97+M98+M99+M100+M101+M102+M103+M111+M115+M119+M123+M127+M131+M135+M136+M137+M138+M139+M140+M141+M142+M143+M104</f>
        <v>-100115.79999999999</v>
      </c>
      <c r="N187" s="21">
        <f t="shared" si="201"/>
        <v>1275965.3850000005</v>
      </c>
      <c r="O187" s="21">
        <f>O96+O97+O98+O99+O100+O101+O102+O103+O111+O115+O119+O123+O127+O131+O135+O136+O137+O138+O139+O140+O141+O142+O143+O104</f>
        <v>0</v>
      </c>
      <c r="P187" s="21">
        <f t="shared" si="202"/>
        <v>1275965.3850000005</v>
      </c>
      <c r="Q187" s="21">
        <f>Q96+Q97+Q98+Q99+Q100+Q101+Q102+Q103+Q111+Q115+Q119+Q123+Q127+Q131+Q135+Q136+Q137+Q138+Q139+Q140+Q141+Q142+Q143+Q104</f>
        <v>-927.91499999999974</v>
      </c>
      <c r="R187" s="21">
        <f t="shared" ref="R187:R190" si="203">P187+Q187</f>
        <v>1275037.4700000004</v>
      </c>
      <c r="S187" s="21">
        <f>S96+S97+S98+S99+S100+S101+S102+S103+S111+S115+S119+S123+S127+S131+S135+S136+S137+S138+S139+S140+S141+S142+S143+S104</f>
        <v>-18607.734</v>
      </c>
      <c r="T187" s="21">
        <f t="shared" ref="T187:T190" si="204">R187+S187</f>
        <v>1256429.7360000005</v>
      </c>
      <c r="U187" s="21">
        <f>U96+U97+U98+U99+U100+U101+U102+U103+U111+U115+U119+U123+U127+U131+U135+U136+U137+U138+U139+U140+U141+U142+U143+U104+U161</f>
        <v>-140336.34399999998</v>
      </c>
      <c r="V187" s="21">
        <f t="shared" ref="V187:V190" si="205">T187+U187</f>
        <v>1116093.3920000005</v>
      </c>
      <c r="W187" s="21">
        <f>W96+W97+W98+W99+W100+W101+W102+W103+W111+W115+W119+W123+W127+W131+W135+W136+W137+W138+W139+W140+W141+W142+W143+W104+W161</f>
        <v>0</v>
      </c>
      <c r="X187" s="21">
        <f t="shared" ref="X187:X190" si="206">V187+W187</f>
        <v>1116093.3920000005</v>
      </c>
      <c r="Y187" s="39">
        <f>Y96+Y97+Y98+Y99+Y100+Y101+Y102+Y103+Y111+Y115+Y119+Y123+Y127+Y131+Y135+Y136+Y137+Y138+Y139+Y140+Y141+Y142+Y143+Y104+Y161</f>
        <v>-2820.4470000000001</v>
      </c>
      <c r="Z187" s="21">
        <f t="shared" ref="Z187:Z190" si="207">X187+Y187</f>
        <v>1113272.9450000005</v>
      </c>
    </row>
    <row r="188" spans="1:29" x14ac:dyDescent="0.3">
      <c r="A188" s="1"/>
      <c r="B188" s="86" t="s">
        <v>13</v>
      </c>
      <c r="C188" s="85"/>
      <c r="D188" s="21">
        <f>D44+D45+D46+D29+D36</f>
        <v>62187.8</v>
      </c>
      <c r="E188" s="21">
        <f>E29+E34+E44+E45+E46</f>
        <v>0</v>
      </c>
      <c r="F188" s="21">
        <f t="shared" si="157"/>
        <v>62187.8</v>
      </c>
      <c r="G188" s="21">
        <f>G29+G34+G44+G45+G46+G48+G49+G50</f>
        <v>15745.796</v>
      </c>
      <c r="H188" s="21">
        <f t="shared" si="198"/>
        <v>77933.596000000005</v>
      </c>
      <c r="I188" s="21">
        <f>I29+I34+I44+I45+I46+I48+I49+I50</f>
        <v>0</v>
      </c>
      <c r="J188" s="21">
        <f t="shared" si="199"/>
        <v>77933.596000000005</v>
      </c>
      <c r="K188" s="21">
        <f>K29+K34+K44+K45+K46+K48+K49+K50</f>
        <v>0</v>
      </c>
      <c r="L188" s="21">
        <f t="shared" si="200"/>
        <v>77933.596000000005</v>
      </c>
      <c r="M188" s="21">
        <f>M29+M34+M44+M45+M46+M48+M49+M50+M60</f>
        <v>62124.084000000003</v>
      </c>
      <c r="N188" s="21">
        <f t="shared" si="201"/>
        <v>140057.68</v>
      </c>
      <c r="O188" s="21">
        <f>O29+O34+O44+O45+O46+O48+O49+O50+O60</f>
        <v>0</v>
      </c>
      <c r="P188" s="21">
        <f t="shared" si="202"/>
        <v>140057.68</v>
      </c>
      <c r="Q188" s="21">
        <f>Q29+Q34+Q44+Q45+Q46+Q48+Q49+Q50+Q60</f>
        <v>0</v>
      </c>
      <c r="R188" s="21">
        <f t="shared" si="203"/>
        <v>140057.68</v>
      </c>
      <c r="S188" s="21">
        <f>S29+S34+S44+S45+S46+S48+S49+S50+S60</f>
        <v>0</v>
      </c>
      <c r="T188" s="21">
        <f t="shared" si="204"/>
        <v>140057.68</v>
      </c>
      <c r="U188" s="21">
        <f>U29+U34+U44+U45+U46+U48+U49+U50+U60</f>
        <v>-14500</v>
      </c>
      <c r="V188" s="21">
        <f t="shared" si="205"/>
        <v>125557.68</v>
      </c>
      <c r="W188" s="21">
        <f>W29+W34+W44+W45+W46+W48+W49+W50+W60</f>
        <v>0</v>
      </c>
      <c r="X188" s="21">
        <f t="shared" si="206"/>
        <v>125557.68</v>
      </c>
      <c r="Y188" s="39">
        <f>Y29+Y34+Y44+Y45+Y46+Y48+Y49+Y50+Y60</f>
        <v>-1847.2370000000001</v>
      </c>
      <c r="Z188" s="21">
        <f t="shared" si="207"/>
        <v>123710.443</v>
      </c>
    </row>
    <row r="189" spans="1:29" x14ac:dyDescent="0.3">
      <c r="A189" s="1"/>
      <c r="B189" s="88" t="s">
        <v>10</v>
      </c>
      <c r="C189" s="85"/>
      <c r="D189" s="21">
        <f>D150</f>
        <v>18797.7</v>
      </c>
      <c r="E189" s="21">
        <f>E150</f>
        <v>-18797.7</v>
      </c>
      <c r="F189" s="21">
        <f t="shared" si="157"/>
        <v>0</v>
      </c>
      <c r="G189" s="21">
        <f>G150</f>
        <v>1246.2829999999999</v>
      </c>
      <c r="H189" s="21">
        <f t="shared" si="198"/>
        <v>1246.2829999999999</v>
      </c>
      <c r="I189" s="21">
        <f>I150</f>
        <v>0</v>
      </c>
      <c r="J189" s="21">
        <f t="shared" si="199"/>
        <v>1246.2829999999999</v>
      </c>
      <c r="K189" s="21">
        <f>K150</f>
        <v>0</v>
      </c>
      <c r="L189" s="21">
        <f t="shared" si="200"/>
        <v>1246.2829999999999</v>
      </c>
      <c r="M189" s="21">
        <f>M150</f>
        <v>0</v>
      </c>
      <c r="N189" s="21">
        <f t="shared" si="201"/>
        <v>1246.2829999999999</v>
      </c>
      <c r="O189" s="21">
        <f>O150</f>
        <v>0</v>
      </c>
      <c r="P189" s="21">
        <f t="shared" si="202"/>
        <v>1246.2829999999999</v>
      </c>
      <c r="Q189" s="21">
        <f>Q150</f>
        <v>0</v>
      </c>
      <c r="R189" s="21">
        <f t="shared" si="203"/>
        <v>1246.2829999999999</v>
      </c>
      <c r="S189" s="21">
        <f>S150</f>
        <v>0</v>
      </c>
      <c r="T189" s="21">
        <f t="shared" si="204"/>
        <v>1246.2829999999999</v>
      </c>
      <c r="U189" s="21">
        <f>U150</f>
        <v>0</v>
      </c>
      <c r="V189" s="21">
        <f t="shared" si="205"/>
        <v>1246.2829999999999</v>
      </c>
      <c r="W189" s="21">
        <f>W150</f>
        <v>0</v>
      </c>
      <c r="X189" s="21">
        <f t="shared" si="206"/>
        <v>1246.2829999999999</v>
      </c>
      <c r="Y189" s="39">
        <f>Y150</f>
        <v>0</v>
      </c>
      <c r="Z189" s="21">
        <f t="shared" si="207"/>
        <v>1246.2829999999999</v>
      </c>
    </row>
    <row r="190" spans="1:29" x14ac:dyDescent="0.3">
      <c r="A190" s="14"/>
      <c r="B190" s="91" t="s">
        <v>17</v>
      </c>
      <c r="C190" s="92"/>
      <c r="D190" s="21">
        <f>D152+D153+D23</f>
        <v>454498.9</v>
      </c>
      <c r="E190" s="21">
        <f>E23+E152+E153</f>
        <v>-14377.7</v>
      </c>
      <c r="F190" s="21">
        <f t="shared" si="157"/>
        <v>440121.2</v>
      </c>
      <c r="G190" s="21">
        <f>G23+G152+G153+G53</f>
        <v>108000</v>
      </c>
      <c r="H190" s="21">
        <f t="shared" si="198"/>
        <v>548121.19999999995</v>
      </c>
      <c r="I190" s="21">
        <f>I23+I152+I153+I53</f>
        <v>-108000</v>
      </c>
      <c r="J190" s="21">
        <f t="shared" si="199"/>
        <v>440121.19999999995</v>
      </c>
      <c r="K190" s="21">
        <f>K23+K152+K153+K53</f>
        <v>0</v>
      </c>
      <c r="L190" s="21">
        <f t="shared" si="200"/>
        <v>440121.19999999995</v>
      </c>
      <c r="M190" s="21">
        <f>M23+M152+M153+M53+M55</f>
        <v>108000</v>
      </c>
      <c r="N190" s="21">
        <f t="shared" si="201"/>
        <v>548121.19999999995</v>
      </c>
      <c r="O190" s="21">
        <f>O23+O152+O153+O53+O55</f>
        <v>0</v>
      </c>
      <c r="P190" s="21">
        <f t="shared" si="202"/>
        <v>548121.19999999995</v>
      </c>
      <c r="Q190" s="21">
        <f>Q23+Q152+Q153+Q53+Q55</f>
        <v>-2121.1530000000262</v>
      </c>
      <c r="R190" s="21">
        <f t="shared" si="203"/>
        <v>546000.0469999999</v>
      </c>
      <c r="S190" s="21">
        <f>S23+S152+S153+S53+S55</f>
        <v>0</v>
      </c>
      <c r="T190" s="21">
        <f t="shared" si="204"/>
        <v>546000.0469999999</v>
      </c>
      <c r="U190" s="21">
        <f>U23+U152+U153+U53+U55</f>
        <v>0</v>
      </c>
      <c r="V190" s="21">
        <f t="shared" si="205"/>
        <v>546000.0469999999</v>
      </c>
      <c r="W190" s="21">
        <f>W23+W152+W153+W53+W55</f>
        <v>0</v>
      </c>
      <c r="X190" s="21">
        <f t="shared" si="206"/>
        <v>546000.0469999999</v>
      </c>
      <c r="Y190" s="39">
        <f>Y23+Y152+Y153+Y53+Y55</f>
        <v>165000</v>
      </c>
      <c r="Z190" s="21">
        <f t="shared" si="207"/>
        <v>711000.0469999999</v>
      </c>
    </row>
    <row r="191" spans="1:29" x14ac:dyDescent="0.3">
      <c r="A191" s="14"/>
      <c r="B191" s="91" t="s">
        <v>14</v>
      </c>
      <c r="C191" s="92"/>
      <c r="D191" s="21">
        <f>D77+D82+D85</f>
        <v>761664.79999999993</v>
      </c>
      <c r="E191" s="21">
        <f>E77+E82+E85</f>
        <v>7504.9</v>
      </c>
      <c r="F191" s="21">
        <f t="shared" si="157"/>
        <v>769169.7</v>
      </c>
      <c r="G191" s="21">
        <f>G77+G82+G85+G89</f>
        <v>91436.998000000007</v>
      </c>
      <c r="H191" s="21">
        <f>F191+G191</f>
        <v>860606.69799999997</v>
      </c>
      <c r="I191" s="21">
        <f>I77+I82+I85+I89</f>
        <v>10381.799999999999</v>
      </c>
      <c r="J191" s="21">
        <f>H191+I191</f>
        <v>870988.49800000002</v>
      </c>
      <c r="K191" s="21">
        <f>K77+K82+K85+K89</f>
        <v>49700</v>
      </c>
      <c r="L191" s="21">
        <f>J191+K191</f>
        <v>920688.49800000002</v>
      </c>
      <c r="M191" s="21">
        <f>M77+M82+M85+M89</f>
        <v>0</v>
      </c>
      <c r="N191" s="21">
        <f>L191+M191</f>
        <v>920688.49800000002</v>
      </c>
      <c r="O191" s="21">
        <f>O77+O82+O85+O89</f>
        <v>0</v>
      </c>
      <c r="P191" s="21">
        <f>N191+O191</f>
        <v>920688.49800000002</v>
      </c>
      <c r="Q191" s="21">
        <f>Q77+Q82+Q85+Q89</f>
        <v>-52114.806000000004</v>
      </c>
      <c r="R191" s="21">
        <f>P191+Q191</f>
        <v>868573.69200000004</v>
      </c>
      <c r="S191" s="21">
        <f>S77+S82+S85+S89</f>
        <v>0</v>
      </c>
      <c r="T191" s="21">
        <f>R191+S191</f>
        <v>868573.69200000004</v>
      </c>
      <c r="U191" s="21">
        <f>U77+U82+U85+U89</f>
        <v>0</v>
      </c>
      <c r="V191" s="21">
        <f>T191+U191</f>
        <v>868573.69200000004</v>
      </c>
      <c r="W191" s="21">
        <f>W77+W82+W85+W89</f>
        <v>0</v>
      </c>
      <c r="X191" s="21">
        <f>V191+W191</f>
        <v>868573.69200000004</v>
      </c>
      <c r="Y191" s="39">
        <f>Y77+Y82+Y85+Y89</f>
        <v>-5364.4690000000001</v>
      </c>
      <c r="Z191" s="21">
        <f>X191+Y191</f>
        <v>863209.223</v>
      </c>
    </row>
    <row r="192" spans="1:29" hidden="1" x14ac:dyDescent="0.3">
      <c r="A192" s="14"/>
      <c r="B192" s="91" t="s">
        <v>19</v>
      </c>
      <c r="C192" s="92"/>
      <c r="D192" s="21">
        <f>D145</f>
        <v>15000</v>
      </c>
      <c r="E192" s="21">
        <f>E145</f>
        <v>-15000</v>
      </c>
      <c r="F192" s="21">
        <f t="shared" si="157"/>
        <v>0</v>
      </c>
      <c r="G192" s="21">
        <f>G145</f>
        <v>0</v>
      </c>
      <c r="H192" s="21">
        <f t="shared" si="198"/>
        <v>0</v>
      </c>
      <c r="I192" s="21">
        <f>I145</f>
        <v>0</v>
      </c>
      <c r="J192" s="21">
        <f t="shared" ref="J192:J195" si="208">H192+I192</f>
        <v>0</v>
      </c>
      <c r="K192" s="21">
        <f>K145</f>
        <v>0</v>
      </c>
      <c r="L192" s="21">
        <f t="shared" ref="L192:L195" si="209">J192+K192</f>
        <v>0</v>
      </c>
      <c r="M192" s="21">
        <f>M145</f>
        <v>0</v>
      </c>
      <c r="N192" s="21">
        <f t="shared" ref="N192:N195" si="210">L192+M192</f>
        <v>0</v>
      </c>
      <c r="O192" s="21">
        <f>O145</f>
        <v>0</v>
      </c>
      <c r="P192" s="21">
        <f t="shared" ref="P192" si="211">N192+O192</f>
        <v>0</v>
      </c>
      <c r="Q192" s="21">
        <f>Q145</f>
        <v>0</v>
      </c>
      <c r="R192" s="21">
        <f t="shared" ref="R192" si="212">P192+Q192</f>
        <v>0</v>
      </c>
      <c r="S192" s="21">
        <f>S145</f>
        <v>0</v>
      </c>
      <c r="T192" s="21">
        <f t="shared" ref="T192" si="213">R192+S192</f>
        <v>0</v>
      </c>
      <c r="U192" s="21">
        <f>U145</f>
        <v>0</v>
      </c>
      <c r="V192" s="21">
        <f t="shared" ref="V192" si="214">T192+U192</f>
        <v>0</v>
      </c>
      <c r="W192" s="21">
        <f>W145</f>
        <v>0</v>
      </c>
      <c r="X192" s="21">
        <f t="shared" ref="X192" si="215">V192+W192</f>
        <v>0</v>
      </c>
      <c r="Y192" s="39">
        <f>Y145</f>
        <v>0</v>
      </c>
      <c r="Z192" s="21">
        <f t="shared" ref="Z192" si="216">X192+Y192</f>
        <v>0</v>
      </c>
      <c r="AB192" s="28">
        <v>0</v>
      </c>
    </row>
    <row r="193" spans="1:28" x14ac:dyDescent="0.3">
      <c r="A193" s="14"/>
      <c r="B193" s="90" t="s">
        <v>21</v>
      </c>
      <c r="C193" s="83"/>
      <c r="D193" s="21">
        <f>D160</f>
        <v>34618.199999999997</v>
      </c>
      <c r="E193" s="21">
        <f>E160</f>
        <v>-667.4</v>
      </c>
      <c r="F193" s="21">
        <f t="shared" si="157"/>
        <v>33950.799999999996</v>
      </c>
      <c r="G193" s="21">
        <f>G160+G162+G163+G164</f>
        <v>19226.468000000001</v>
      </c>
      <c r="H193" s="21">
        <f t="shared" si="198"/>
        <v>53177.267999999996</v>
      </c>
      <c r="I193" s="21">
        <f>I160+I162+I163+I164</f>
        <v>-10381.799999999999</v>
      </c>
      <c r="J193" s="21">
        <f t="shared" si="208"/>
        <v>42795.467999999993</v>
      </c>
      <c r="K193" s="21">
        <f>K160+K162+K163+K164</f>
        <v>0</v>
      </c>
      <c r="L193" s="21">
        <f t="shared" si="209"/>
        <v>42795.467999999993</v>
      </c>
      <c r="M193" s="21">
        <f>M160+M162+M163+M164</f>
        <v>0</v>
      </c>
      <c r="N193" s="21">
        <f>L193+M193</f>
        <v>42795.467999999993</v>
      </c>
      <c r="O193" s="21">
        <f>O160+O162+O163+O164</f>
        <v>0</v>
      </c>
      <c r="P193" s="21">
        <f>N193+O193</f>
        <v>42795.467999999993</v>
      </c>
      <c r="Q193" s="21">
        <f>Q160+Q162+Q163+Q164</f>
        <v>-27564.91</v>
      </c>
      <c r="R193" s="21">
        <f>P193+Q193</f>
        <v>15230.557999999994</v>
      </c>
      <c r="S193" s="21">
        <f>S160+S162+S163+S164</f>
        <v>-112.9</v>
      </c>
      <c r="T193" s="21">
        <f>R193+S193</f>
        <v>15117.657999999994</v>
      </c>
      <c r="U193" s="21">
        <f>U160+U162+U163+U164</f>
        <v>-6293.4719999999998</v>
      </c>
      <c r="V193" s="21">
        <f>T193+U193</f>
        <v>8824.1859999999942</v>
      </c>
      <c r="W193" s="21">
        <f>W160+W162+W163+W164</f>
        <v>0</v>
      </c>
      <c r="X193" s="21">
        <f>V193+W193</f>
        <v>8824.1859999999942</v>
      </c>
      <c r="Y193" s="39">
        <f>Y160+Y162+Y163+Y164</f>
        <v>0</v>
      </c>
      <c r="Z193" s="21">
        <f>X193+Y193</f>
        <v>8824.1859999999942</v>
      </c>
    </row>
    <row r="194" spans="1:28" x14ac:dyDescent="0.3">
      <c r="A194" s="14"/>
      <c r="B194" s="90" t="s">
        <v>22</v>
      </c>
      <c r="C194" s="83"/>
      <c r="D194" s="21">
        <f>D81+D148+D149+D28+D39+D155+D156+D157+D158+D159+D30+D47+D51+D52+D54</f>
        <v>777769</v>
      </c>
      <c r="E194" s="21">
        <f>E81+E148+E149+E28+E39+E155+E156+E157+E158+E159+E30+E47+E51+E52+E54+E146+E151+E179</f>
        <v>22703</v>
      </c>
      <c r="F194" s="21">
        <f t="shared" si="157"/>
        <v>800472</v>
      </c>
      <c r="G194" s="21">
        <f>G28+G39+G81+G146+G148+G149+G151+G155+G156+G157+G158+G159+G179+G47+G165+G166+G51+G52+G54+G30</f>
        <v>156395.30499999999</v>
      </c>
      <c r="H194" s="21">
        <f t="shared" si="198"/>
        <v>956867.30499999993</v>
      </c>
      <c r="I194" s="21">
        <f>I28+I39+I81+I146+I148+I149+I151+I155+I156+I157+I158+I159+I179+I47+I165+I166+I51+I52+I54</f>
        <v>-545.803</v>
      </c>
      <c r="J194" s="21">
        <f t="shared" si="208"/>
        <v>956321.50199999998</v>
      </c>
      <c r="K194" s="21">
        <f>K28+K39+K81+K146+K148+K149+K151+K155+K156+K157+K158+K159+K179+K47+K165+K166+K51+K52+K54</f>
        <v>37499.305999999997</v>
      </c>
      <c r="L194" s="21">
        <f t="shared" si="209"/>
        <v>993820.80799999996</v>
      </c>
      <c r="M194" s="21">
        <f>M28+M30+M39+M51+M52+M54+M146+M148+M149+M151+M155+M156+M157+M158+M159+M165+M166+M179</f>
        <v>0</v>
      </c>
      <c r="N194" s="21">
        <f t="shared" si="210"/>
        <v>993820.80799999996</v>
      </c>
      <c r="O194" s="21">
        <f>O28+O30+O39+O51+O52+O54+O146+O148+O149+O151+O155+O156+O157+O158+O159+O165+O166+O179</f>
        <v>0</v>
      </c>
      <c r="P194" s="21">
        <f t="shared" ref="P194:P195" si="217">N194+O194</f>
        <v>993820.80799999996</v>
      </c>
      <c r="Q194" s="21">
        <f>Q28+Q30+Q39+Q51+Q52+Q54+Q146+Q148+Q149+Q151+Q155+Q156+Q157+Q158+Q159+Q165+Q166+Q179+Q61</f>
        <v>78.17999999999995</v>
      </c>
      <c r="R194" s="21">
        <f t="shared" ref="R194:R196" si="218">P194+Q194</f>
        <v>993898.98800000001</v>
      </c>
      <c r="S194" s="21">
        <f>S28+S30+S39+S51+S52+S54+S146+S148+S149+S151+S155+S156+S157+S158+S159+S165+S166+S179+S61+S81</f>
        <v>-111264.466</v>
      </c>
      <c r="T194" s="21">
        <f t="shared" ref="T194:T196" si="219">R194+S194</f>
        <v>882634.522</v>
      </c>
      <c r="U194" s="21">
        <f>U28+U30+U39+U51+U52+U54+U146+U148+U149+U151+U155+U156+U157+U158+U159+U165+U166+U179+U61+U81+U167+U168+U169+U170+U171+U172+U173+U174+U175+U176+U62</f>
        <v>644.30999999999983</v>
      </c>
      <c r="V194" s="21">
        <f t="shared" ref="V194:V196" si="220">T194+U194</f>
        <v>883278.83200000005</v>
      </c>
      <c r="W194" s="21">
        <f>W28+W30+W39+W51+W52+W54+W146+W148+W149+W151+W155+W156+W157+W158+W159+W165+W166+W179+W61+W81+W167+W168+W169+W170+W171+W172+W173+W174+W175+W176+W62</f>
        <v>0</v>
      </c>
      <c r="X194" s="21">
        <f t="shared" ref="X194:X196" si="221">V194+W194</f>
        <v>883278.83200000005</v>
      </c>
      <c r="Y194" s="39">
        <f>Y28+Y30+Y39+Y51+Y52+Y54+Y146+Y148+Y149+Y151+Y155+Y156+Y157+Y158+Y159+Y165+Y166+Y179+Y61+Y81+Y167+Y168+Y169+Y170+Y171+Y172+Y173+Y174+Y175+Y176+Y62+Y47</f>
        <v>-53164.275000000001</v>
      </c>
      <c r="Z194" s="21">
        <f t="shared" ref="Z194:Z196" si="222">X194+Y194</f>
        <v>830114.55700000003</v>
      </c>
    </row>
    <row r="195" spans="1:28" hidden="1" x14ac:dyDescent="0.3">
      <c r="A195" s="1"/>
      <c r="B195" s="86" t="s">
        <v>83</v>
      </c>
      <c r="C195" s="85"/>
      <c r="D195" s="21">
        <f>D178</f>
        <v>20000</v>
      </c>
      <c r="E195" s="21">
        <f>E178</f>
        <v>-20000</v>
      </c>
      <c r="F195" s="21">
        <f t="shared" si="157"/>
        <v>0</v>
      </c>
      <c r="G195" s="21">
        <f>G178</f>
        <v>0</v>
      </c>
      <c r="H195" s="21">
        <f t="shared" si="198"/>
        <v>0</v>
      </c>
      <c r="I195" s="21">
        <f>I178</f>
        <v>0</v>
      </c>
      <c r="J195" s="21">
        <f t="shared" si="208"/>
        <v>0</v>
      </c>
      <c r="K195" s="21">
        <f>K178</f>
        <v>0</v>
      </c>
      <c r="L195" s="21">
        <f t="shared" si="209"/>
        <v>0</v>
      </c>
      <c r="M195" s="21">
        <f>M178</f>
        <v>0</v>
      </c>
      <c r="N195" s="21">
        <f t="shared" si="210"/>
        <v>0</v>
      </c>
      <c r="O195" s="21">
        <f>O178</f>
        <v>0</v>
      </c>
      <c r="P195" s="21">
        <f t="shared" si="217"/>
        <v>0</v>
      </c>
      <c r="Q195" s="21">
        <f>Q178</f>
        <v>0</v>
      </c>
      <c r="R195" s="21">
        <f t="shared" si="218"/>
        <v>0</v>
      </c>
      <c r="S195" s="21">
        <f>S178</f>
        <v>0</v>
      </c>
      <c r="T195" s="21">
        <f t="shared" si="219"/>
        <v>0</v>
      </c>
      <c r="U195" s="21">
        <f>U178</f>
        <v>0</v>
      </c>
      <c r="V195" s="21">
        <f t="shared" si="220"/>
        <v>0</v>
      </c>
      <c r="W195" s="21">
        <f>W178</f>
        <v>0</v>
      </c>
      <c r="X195" s="21">
        <f t="shared" si="221"/>
        <v>0</v>
      </c>
      <c r="Y195" s="39">
        <f>Y178</f>
        <v>0</v>
      </c>
      <c r="Z195" s="21">
        <f t="shared" si="222"/>
        <v>0</v>
      </c>
      <c r="AB195" s="28">
        <v>0</v>
      </c>
    </row>
    <row r="196" spans="1:28" hidden="1" x14ac:dyDescent="0.3">
      <c r="A196" s="1"/>
      <c r="B196" s="86" t="s">
        <v>245</v>
      </c>
      <c r="C196" s="85"/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>
        <f>Q106</f>
        <v>2000</v>
      </c>
      <c r="R196" s="21">
        <f t="shared" si="218"/>
        <v>2000</v>
      </c>
      <c r="S196" s="21">
        <f>S106</f>
        <v>-2000</v>
      </c>
      <c r="T196" s="21">
        <f t="shared" si="219"/>
        <v>0</v>
      </c>
      <c r="U196" s="21">
        <f>U106</f>
        <v>0</v>
      </c>
      <c r="V196" s="21">
        <f t="shared" si="220"/>
        <v>0</v>
      </c>
      <c r="W196" s="21">
        <f>W106</f>
        <v>0</v>
      </c>
      <c r="X196" s="21">
        <f t="shared" si="221"/>
        <v>0</v>
      </c>
      <c r="Y196" s="39">
        <f>Y106</f>
        <v>0</v>
      </c>
      <c r="Z196" s="21">
        <f t="shared" si="222"/>
        <v>0</v>
      </c>
      <c r="AB196" s="28">
        <v>0</v>
      </c>
    </row>
  </sheetData>
  <sheetProtection password="CF5C" sheet="1" objects="1" scenarios="1"/>
  <autoFilter ref="A17:AB196">
    <filterColumn colId="27">
      <filters blank="1"/>
    </filterColumn>
  </autoFilter>
  <mergeCells count="51">
    <mergeCell ref="A11:Z11"/>
    <mergeCell ref="A12:Z13"/>
    <mergeCell ref="B182:C182"/>
    <mergeCell ref="A29:A30"/>
    <mergeCell ref="B29:B30"/>
    <mergeCell ref="M16:M17"/>
    <mergeCell ref="N16:N17"/>
    <mergeCell ref="B181:C181"/>
    <mergeCell ref="A16:A17"/>
    <mergeCell ref="K16:K17"/>
    <mergeCell ref="L16:L17"/>
    <mergeCell ref="J16:J17"/>
    <mergeCell ref="F16:F17"/>
    <mergeCell ref="I16:I17"/>
    <mergeCell ref="B196:C196"/>
    <mergeCell ref="B195:C195"/>
    <mergeCell ref="B194:C194"/>
    <mergeCell ref="B188:C188"/>
    <mergeCell ref="B186:C186"/>
    <mergeCell ref="B193:C193"/>
    <mergeCell ref="B192:C192"/>
    <mergeCell ref="B190:C190"/>
    <mergeCell ref="B191:C191"/>
    <mergeCell ref="B16:B17"/>
    <mergeCell ref="C16:C17"/>
    <mergeCell ref="D16:D17"/>
    <mergeCell ref="B185:C185"/>
    <mergeCell ref="B189:C189"/>
    <mergeCell ref="B187:C187"/>
    <mergeCell ref="B178:B179"/>
    <mergeCell ref="A150:A151"/>
    <mergeCell ref="B161:B162"/>
    <mergeCell ref="A161:A162"/>
    <mergeCell ref="B150:B151"/>
    <mergeCell ref="A178:A179"/>
    <mergeCell ref="C4:Z4"/>
    <mergeCell ref="Q16:Q17"/>
    <mergeCell ref="R16:R17"/>
    <mergeCell ref="O16:O17"/>
    <mergeCell ref="P16:P17"/>
    <mergeCell ref="E16:E17"/>
    <mergeCell ref="G16:G17"/>
    <mergeCell ref="H16:H17"/>
    <mergeCell ref="W16:W17"/>
    <mergeCell ref="X16:X17"/>
    <mergeCell ref="U16:U17"/>
    <mergeCell ref="V16:V17"/>
    <mergeCell ref="S16:S17"/>
    <mergeCell ref="T16:T17"/>
    <mergeCell ref="Y16:Y17"/>
    <mergeCell ref="Z16:Z17"/>
  </mergeCells>
  <pageMargins left="0.98425196850393704" right="0.39370078740157483" top="0.54" bottom="0.78740157480314965" header="0.31496062992125984" footer="0.31496062992125984"/>
  <pageSetup paperSize="9" scale="74" fitToHeight="0" orientation="portrait" verticalDpi="4294967294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2018</vt:lpstr>
      <vt:lpstr>'2018'!Заголовки_для_печати</vt:lpstr>
      <vt:lpstr>'2018'!Область_печати</vt:lpstr>
    </vt:vector>
  </TitlesOfParts>
  <Company>Департамент финансов администрации г.Перми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Катцина Анна Владиславовна</dc:creator>
  <cp:lastModifiedBy>Колышкина Елена Владимировна</cp:lastModifiedBy>
  <cp:lastPrinted>2018-12-18T10:02:51Z</cp:lastPrinted>
  <dcterms:created xsi:type="dcterms:W3CDTF">2013-10-12T06:09:22Z</dcterms:created>
  <dcterms:modified xsi:type="dcterms:W3CDTF">2018-12-18T10:03:18Z</dcterms:modified>
</cp:coreProperties>
</file>