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РАБОТА\Документы Кати\Роспись 2019\Отчет ГОД за 2018\В  ПГД КСП\приложения\"/>
    </mc:Choice>
  </mc:AlternateContent>
  <bookViews>
    <workbookView xWindow="0" yWindow="300" windowWidth="19320" windowHeight="11460"/>
  </bookViews>
  <sheets>
    <sheet name="приложение 3" sheetId="1" r:id="rId1"/>
  </sheets>
  <definedNames>
    <definedName name="_xlnm._FilterDatabase" localSheetId="0" hidden="1">'приложение 3'!$A$6:$U$4770</definedName>
    <definedName name="_xlnm.Print_Titles" localSheetId="0">'приложение 3'!$6:$6</definedName>
    <definedName name="_xlnm.Print_Area" localSheetId="0">'приложение 3'!$A$1:$K$4770</definedName>
  </definedNames>
  <calcPr calcId="152511"/>
</workbook>
</file>

<file path=xl/calcChain.xml><?xml version="1.0" encoding="utf-8"?>
<calcChain xmlns="http://schemas.openxmlformats.org/spreadsheetml/2006/main">
  <c r="K4769" i="1" l="1"/>
  <c r="K4766" i="1"/>
  <c r="K4761" i="1"/>
  <c r="K4760" i="1"/>
  <c r="K4758" i="1"/>
  <c r="K4750" i="1"/>
  <c r="K4745" i="1"/>
  <c r="K4743" i="1"/>
  <c r="K4741" i="1"/>
  <c r="K4738" i="1"/>
  <c r="K4730" i="1"/>
  <c r="K4728" i="1"/>
  <c r="K4723" i="1"/>
  <c r="K4716" i="1"/>
  <c r="K4709" i="1"/>
  <c r="K4706" i="1"/>
  <c r="K4701" i="1"/>
  <c r="K4698" i="1"/>
  <c r="K4695" i="1"/>
  <c r="K4692" i="1"/>
  <c r="K4689" i="1"/>
  <c r="K4686" i="1"/>
  <c r="K4683" i="1"/>
  <c r="K4678" i="1"/>
  <c r="K4670" i="1"/>
  <c r="K4668" i="1"/>
  <c r="K4666" i="1"/>
  <c r="K4659" i="1"/>
  <c r="K4654" i="1"/>
  <c r="K4652" i="1"/>
  <c r="K4648" i="1"/>
  <c r="K4647" i="1"/>
  <c r="K4645" i="1"/>
  <c r="K4640" i="1"/>
  <c r="K4637" i="1"/>
  <c r="K4633" i="1"/>
  <c r="K4631" i="1"/>
  <c r="K4628" i="1"/>
  <c r="K4625" i="1"/>
  <c r="K4622" i="1"/>
  <c r="K4619" i="1"/>
  <c r="K4616" i="1"/>
  <c r="K4613" i="1"/>
  <c r="K4605" i="1"/>
  <c r="K4600" i="1"/>
  <c r="K4598" i="1"/>
  <c r="K4596" i="1"/>
  <c r="K4593" i="1"/>
  <c r="K4588" i="1"/>
  <c r="K4580" i="1"/>
  <c r="K4575" i="1"/>
  <c r="K4569" i="1"/>
  <c r="K4567" i="1"/>
  <c r="K4565" i="1"/>
  <c r="K4562" i="1"/>
  <c r="K4558" i="1"/>
  <c r="K4555" i="1"/>
  <c r="K4547" i="1"/>
  <c r="K4545" i="1"/>
  <c r="K4543" i="1"/>
  <c r="K4540" i="1"/>
  <c r="K4536" i="1"/>
  <c r="K4528" i="1"/>
  <c r="K4526" i="1"/>
  <c r="K4524" i="1"/>
  <c r="K4521" i="1"/>
  <c r="K4517" i="1"/>
  <c r="K4509" i="1"/>
  <c r="K4507" i="1"/>
  <c r="K4505" i="1"/>
  <c r="K4502" i="1"/>
  <c r="K4496" i="1"/>
  <c r="K4492" i="1"/>
  <c r="K4485" i="1"/>
  <c r="K4482" i="1"/>
  <c r="K4481" i="1"/>
  <c r="K4480" i="1"/>
  <c r="K4478" i="1"/>
  <c r="K4476" i="1"/>
  <c r="K4471" i="1"/>
  <c r="K4468" i="1"/>
  <c r="K4465" i="1"/>
  <c r="K4464" i="1"/>
  <c r="K4463" i="1"/>
  <c r="K4461" i="1"/>
  <c r="K4458" i="1"/>
  <c r="K4451" i="1"/>
  <c r="K4449" i="1"/>
  <c r="K4445" i="1"/>
  <c r="K4443" i="1"/>
  <c r="K4442" i="1"/>
  <c r="K4440" i="1"/>
  <c r="K4438" i="1"/>
  <c r="K4433" i="1"/>
  <c r="K4430" i="1"/>
  <c r="K4426" i="1"/>
  <c r="K4425" i="1"/>
  <c r="K4421" i="1"/>
  <c r="K4419" i="1"/>
  <c r="K4416" i="1"/>
  <c r="K4412" i="1"/>
  <c r="K4410" i="1"/>
  <c r="K4406" i="1"/>
  <c r="K4405" i="1"/>
  <c r="K4399" i="1"/>
  <c r="K4392" i="1"/>
  <c r="K4391" i="1"/>
  <c r="K4385" i="1"/>
  <c r="K4384" i="1"/>
  <c r="K4376" i="1"/>
  <c r="K4375" i="1"/>
  <c r="K4371" i="1"/>
  <c r="K4370" i="1"/>
  <c r="K4363" i="1"/>
  <c r="K4362" i="1"/>
  <c r="K4355" i="1"/>
  <c r="K4354" i="1"/>
  <c r="K4349" i="1"/>
  <c r="K4348" i="1"/>
  <c r="K4345" i="1"/>
  <c r="K4344" i="1"/>
  <c r="K4341" i="1"/>
  <c r="K4338" i="1"/>
  <c r="K4337" i="1"/>
  <c r="K4334" i="1"/>
  <c r="K4333" i="1"/>
  <c r="K4329" i="1"/>
  <c r="K4326" i="1"/>
  <c r="K4325" i="1"/>
  <c r="K4319" i="1"/>
  <c r="K4318" i="1"/>
  <c r="K4310" i="1"/>
  <c r="K4303" i="1"/>
  <c r="K4296" i="1"/>
  <c r="K4294" i="1"/>
  <c r="K4291" i="1"/>
  <c r="K4284" i="1"/>
  <c r="K4281" i="1"/>
  <c r="K4278" i="1"/>
  <c r="K4277" i="1"/>
  <c r="K4274" i="1"/>
  <c r="K4271" i="1"/>
  <c r="K4268" i="1"/>
  <c r="K4266" i="1"/>
  <c r="K4263" i="1"/>
  <c r="K4260" i="1"/>
  <c r="K4257" i="1"/>
  <c r="K4253" i="1"/>
  <c r="K4250" i="1"/>
  <c r="K4246" i="1"/>
  <c r="K4243" i="1"/>
  <c r="K4242" i="1"/>
  <c r="K4240" i="1"/>
  <c r="K4237" i="1"/>
  <c r="K4235" i="1"/>
  <c r="K4233" i="1"/>
  <c r="K4228" i="1"/>
  <c r="K4225" i="1"/>
  <c r="K4221" i="1"/>
  <c r="K4217" i="1"/>
  <c r="K4211" i="1"/>
  <c r="K4205" i="1"/>
  <c r="K4199" i="1"/>
  <c r="K4197" i="1"/>
  <c r="K4192" i="1"/>
  <c r="K4189" i="1"/>
  <c r="K4186" i="1"/>
  <c r="K4182" i="1"/>
  <c r="K4177" i="1"/>
  <c r="K4175" i="1"/>
  <c r="K4171" i="1"/>
  <c r="K4169" i="1"/>
  <c r="K4163" i="1"/>
  <c r="K4161" i="1"/>
  <c r="K4159" i="1"/>
  <c r="K4157" i="1"/>
  <c r="K4154" i="1"/>
  <c r="K4148" i="1"/>
  <c r="K4140" i="1"/>
  <c r="K4138" i="1"/>
  <c r="K4136" i="1"/>
  <c r="K4133" i="1"/>
  <c r="K4128" i="1"/>
  <c r="K4126" i="1"/>
  <c r="K4123" i="1"/>
  <c r="K4121" i="1"/>
  <c r="K4118" i="1"/>
  <c r="K4115" i="1"/>
  <c r="K4111" i="1"/>
  <c r="K4105" i="1"/>
  <c r="K4102" i="1"/>
  <c r="K4099" i="1"/>
  <c r="K4096" i="1"/>
  <c r="K4089" i="1"/>
  <c r="K4085" i="1"/>
  <c r="K4080" i="1"/>
  <c r="K4078" i="1"/>
  <c r="K4076" i="1"/>
  <c r="K4071" i="1"/>
  <c r="K4069" i="1"/>
  <c r="K4066" i="1"/>
  <c r="K4064" i="1"/>
  <c r="K4062" i="1"/>
  <c r="K4058" i="1"/>
  <c r="K4055" i="1"/>
  <c r="K4052" i="1"/>
  <c r="K4048" i="1"/>
  <c r="K4045" i="1"/>
  <c r="K4043" i="1"/>
  <c r="K4041" i="1"/>
  <c r="K4033" i="1"/>
  <c r="K4027" i="1"/>
  <c r="K4019" i="1"/>
  <c r="K4014" i="1"/>
  <c r="K4012" i="1"/>
  <c r="K4010" i="1"/>
  <c r="K4007" i="1"/>
  <c r="K4002" i="1"/>
  <c r="K3999" i="1"/>
  <c r="K3994" i="1"/>
  <c r="K3988" i="1"/>
  <c r="K3986" i="1"/>
  <c r="K3981" i="1"/>
  <c r="K3978" i="1"/>
  <c r="K3972" i="1"/>
  <c r="K3968" i="1"/>
  <c r="K3965" i="1"/>
  <c r="K3962" i="1"/>
  <c r="K3958" i="1"/>
  <c r="K3955" i="1"/>
  <c r="K3952" i="1"/>
  <c r="K3945" i="1"/>
  <c r="K3940" i="1"/>
  <c r="K3936" i="1"/>
  <c r="K3933" i="1"/>
  <c r="K3926" i="1"/>
  <c r="K3924" i="1"/>
  <c r="K3917" i="1"/>
  <c r="K3915" i="1"/>
  <c r="K3913" i="1"/>
  <c r="K3911" i="1"/>
  <c r="K3909" i="1"/>
  <c r="K3905" i="1"/>
  <c r="K3902" i="1"/>
  <c r="K3900" i="1"/>
  <c r="K3897" i="1"/>
  <c r="K3889" i="1"/>
  <c r="K3887" i="1"/>
  <c r="K3878" i="1"/>
  <c r="K3873" i="1"/>
  <c r="K3870" i="1"/>
  <c r="K3864" i="1"/>
  <c r="K3860" i="1"/>
  <c r="K3855" i="1"/>
  <c r="K3853" i="1"/>
  <c r="K3848" i="1"/>
  <c r="K3841" i="1"/>
  <c r="K3833" i="1"/>
  <c r="K3832" i="1"/>
  <c r="K3830" i="1"/>
  <c r="K3828" i="1"/>
  <c r="K3825" i="1"/>
  <c r="K3820" i="1"/>
  <c r="K3812" i="1"/>
  <c r="K3807" i="1"/>
  <c r="K3804" i="1"/>
  <c r="K3801" i="1"/>
  <c r="K3793" i="1"/>
  <c r="K3789" i="1"/>
  <c r="K3784" i="1"/>
  <c r="K3782" i="1"/>
  <c r="K3778" i="1"/>
  <c r="K3774" i="1"/>
  <c r="K3771" i="1"/>
  <c r="K3767" i="1"/>
  <c r="K3765" i="1"/>
  <c r="K3763" i="1"/>
  <c r="K3759" i="1"/>
  <c r="K3753" i="1"/>
  <c r="K3748" i="1"/>
  <c r="K3746" i="1"/>
  <c r="K3744" i="1"/>
  <c r="K3741" i="1"/>
  <c r="K3736" i="1"/>
  <c r="K3731" i="1"/>
  <c r="K3727" i="1"/>
  <c r="K3726" i="1"/>
  <c r="K3724" i="1"/>
  <c r="K3722" i="1"/>
  <c r="K3718" i="1"/>
  <c r="K3715" i="1"/>
  <c r="K3712" i="1"/>
  <c r="K3709" i="1"/>
  <c r="K3706" i="1"/>
  <c r="K3703" i="1"/>
  <c r="K3695" i="1"/>
  <c r="K3693" i="1"/>
  <c r="K3688" i="1"/>
  <c r="K3679" i="1"/>
  <c r="K3677" i="1"/>
  <c r="K3675" i="1"/>
  <c r="K3672" i="1"/>
  <c r="K3667" i="1"/>
  <c r="K3666" i="1"/>
  <c r="K3664" i="1"/>
  <c r="K3662" i="1"/>
  <c r="K3655" i="1"/>
  <c r="K3651" i="1"/>
  <c r="K3648" i="1"/>
  <c r="K3645" i="1"/>
  <c r="K3639" i="1"/>
  <c r="K3635" i="1"/>
  <c r="K3632" i="1"/>
  <c r="K3629" i="1"/>
  <c r="K3625" i="1"/>
  <c r="K3622" i="1"/>
  <c r="K3619" i="1"/>
  <c r="K3616" i="1"/>
  <c r="K3613" i="1"/>
  <c r="K3609" i="1"/>
  <c r="K3606" i="1"/>
  <c r="K3601" i="1"/>
  <c r="K3597" i="1"/>
  <c r="K3594" i="1"/>
  <c r="K3586" i="1"/>
  <c r="K3580" i="1"/>
  <c r="K3576" i="1"/>
  <c r="K3573" i="1"/>
  <c r="K3570" i="1"/>
  <c r="K3567" i="1"/>
  <c r="K3564" i="1"/>
  <c r="K3561" i="1"/>
  <c r="K3558" i="1"/>
  <c r="K3555" i="1"/>
  <c r="K3552" i="1"/>
  <c r="K3549" i="1"/>
  <c r="K3547" i="1"/>
  <c r="K3544" i="1"/>
  <c r="K3541" i="1"/>
  <c r="K3538" i="1"/>
  <c r="K3535" i="1"/>
  <c r="K3532" i="1"/>
  <c r="K3529" i="1"/>
  <c r="K3524" i="1"/>
  <c r="K3520" i="1"/>
  <c r="K3517" i="1"/>
  <c r="K3514" i="1"/>
  <c r="K3511" i="1"/>
  <c r="K3508" i="1"/>
  <c r="K3500" i="1"/>
  <c r="K3491" i="1"/>
  <c r="K3483" i="1"/>
  <c r="K3476" i="1"/>
  <c r="K3475" i="1"/>
  <c r="K3468" i="1"/>
  <c r="K3462" i="1"/>
  <c r="K3455" i="1"/>
  <c r="K3452" i="1"/>
  <c r="K3449" i="1"/>
  <c r="K3446" i="1"/>
  <c r="K3443" i="1"/>
  <c r="K3440" i="1"/>
  <c r="K3437" i="1"/>
  <c r="K3434" i="1"/>
  <c r="K3431" i="1"/>
  <c r="K3428" i="1"/>
  <c r="K3421" i="1"/>
  <c r="K3418" i="1"/>
  <c r="K3415" i="1"/>
  <c r="K3412" i="1"/>
  <c r="K3404" i="1"/>
  <c r="K3396" i="1"/>
  <c r="K3393" i="1"/>
  <c r="K3390" i="1"/>
  <c r="K3387" i="1"/>
  <c r="K3384" i="1"/>
  <c r="K3381" i="1"/>
  <c r="K3378" i="1"/>
  <c r="K3375" i="1"/>
  <c r="K3373" i="1"/>
  <c r="K3370" i="1"/>
  <c r="K3368" i="1"/>
  <c r="K3360" i="1"/>
  <c r="K3359" i="1"/>
  <c r="K3357" i="1"/>
  <c r="K3355" i="1"/>
  <c r="K3350" i="1"/>
  <c r="K3348" i="1"/>
  <c r="K3346" i="1"/>
  <c r="K3343" i="1"/>
  <c r="K3338" i="1"/>
  <c r="K3330" i="1"/>
  <c r="K3322" i="1"/>
  <c r="K3321" i="1"/>
  <c r="K3319" i="1"/>
  <c r="K3314" i="1"/>
  <c r="K3312" i="1"/>
  <c r="K3310" i="1"/>
  <c r="K3307" i="1"/>
  <c r="K3302" i="1"/>
  <c r="K3301" i="1"/>
  <c r="K3299" i="1"/>
  <c r="K3297" i="1"/>
  <c r="K3292" i="1"/>
  <c r="K3290" i="1"/>
  <c r="K3288" i="1"/>
  <c r="K3284" i="1"/>
  <c r="K3281" i="1"/>
  <c r="K3274" i="1"/>
  <c r="K3267" i="1"/>
  <c r="K3265" i="1"/>
  <c r="K3261" i="1"/>
  <c r="K3255" i="1"/>
  <c r="K3250" i="1"/>
  <c r="K3243" i="1"/>
  <c r="K3238" i="1"/>
  <c r="K3236" i="1"/>
  <c r="K3231" i="1"/>
  <c r="K3227" i="1"/>
  <c r="K3224" i="1"/>
  <c r="K3220" i="1"/>
  <c r="K3217" i="1"/>
  <c r="K3213" i="1"/>
  <c r="K3209" i="1"/>
  <c r="K3206" i="1"/>
  <c r="K3203" i="1"/>
  <c r="K3200" i="1"/>
  <c r="K3197" i="1"/>
  <c r="K3194" i="1"/>
  <c r="K3191" i="1"/>
  <c r="K3184" i="1"/>
  <c r="K3182" i="1"/>
  <c r="K3178" i="1"/>
  <c r="K3174" i="1"/>
  <c r="K3169" i="1"/>
  <c r="K3167" i="1"/>
  <c r="K3164" i="1"/>
  <c r="K3160" i="1"/>
  <c r="K3155" i="1"/>
  <c r="K3146" i="1"/>
  <c r="K3142" i="1"/>
  <c r="K3135" i="1"/>
  <c r="K3131" i="1"/>
  <c r="K3123" i="1"/>
  <c r="K3115" i="1"/>
  <c r="K3113" i="1"/>
  <c r="K3111" i="1"/>
  <c r="K3104" i="1"/>
  <c r="K3100" i="1"/>
  <c r="K3094" i="1"/>
  <c r="K3091" i="1"/>
  <c r="K3089" i="1"/>
  <c r="K3084" i="1"/>
  <c r="K3077" i="1"/>
  <c r="K3069" i="1"/>
  <c r="K3064" i="1"/>
  <c r="K3061" i="1"/>
  <c r="K3054" i="1"/>
  <c r="K3049" i="1"/>
  <c r="K3043" i="1"/>
  <c r="K3037" i="1"/>
  <c r="K3032" i="1"/>
  <c r="K3029" i="1"/>
  <c r="K3026" i="1"/>
  <c r="K3018" i="1"/>
  <c r="K3013" i="1"/>
  <c r="K3009" i="1"/>
  <c r="K3007" i="1"/>
  <c r="K2999" i="1"/>
  <c r="K2997" i="1"/>
  <c r="K2992" i="1"/>
  <c r="K2989" i="1"/>
  <c r="K2986" i="1"/>
  <c r="K2980" i="1"/>
  <c r="K2976" i="1"/>
  <c r="K2970" i="1"/>
  <c r="K2968" i="1"/>
  <c r="K2966" i="1"/>
  <c r="K2963" i="1"/>
  <c r="K2958" i="1"/>
  <c r="K2956" i="1"/>
  <c r="K2947" i="1"/>
  <c r="K2943" i="1"/>
  <c r="K2936" i="1"/>
  <c r="K2934" i="1"/>
  <c r="K2930" i="1"/>
  <c r="K2925" i="1"/>
  <c r="K2917" i="1"/>
  <c r="K2909" i="1"/>
  <c r="K2901" i="1"/>
  <c r="K2899" i="1"/>
  <c r="K2897" i="1"/>
  <c r="K2890" i="1"/>
  <c r="K2886" i="1"/>
  <c r="K2884" i="1"/>
  <c r="K2878" i="1"/>
  <c r="K2873" i="1"/>
  <c r="K2867" i="1"/>
  <c r="K2864" i="1"/>
  <c r="K2859" i="1"/>
  <c r="K2852" i="1"/>
  <c r="K2844" i="1"/>
  <c r="K2839" i="1"/>
  <c r="K2834" i="1"/>
  <c r="K2829" i="1"/>
  <c r="K2826" i="1"/>
  <c r="K2819" i="1"/>
  <c r="K2817" i="1"/>
  <c r="K2813" i="1"/>
  <c r="K2811" i="1"/>
  <c r="K2805" i="1"/>
  <c r="K2799" i="1"/>
  <c r="K2794" i="1"/>
  <c r="K2791" i="1"/>
  <c r="K2788" i="1"/>
  <c r="K2780" i="1"/>
  <c r="K2778" i="1"/>
  <c r="K2775" i="1"/>
  <c r="K2770" i="1"/>
  <c r="K2766" i="1"/>
  <c r="K2764" i="1"/>
  <c r="K2758" i="1"/>
  <c r="K2750" i="1"/>
  <c r="K2746" i="1"/>
  <c r="K2743" i="1"/>
  <c r="K2741" i="1"/>
  <c r="K2736" i="1"/>
  <c r="K2733" i="1"/>
  <c r="K2730" i="1"/>
  <c r="K2724" i="1"/>
  <c r="K2720" i="1"/>
  <c r="K2714" i="1"/>
  <c r="K2712" i="1"/>
  <c r="K2710" i="1"/>
  <c r="K2707" i="1"/>
  <c r="K2702" i="1"/>
  <c r="K2700" i="1"/>
  <c r="K2691" i="1"/>
  <c r="K2687" i="1"/>
  <c r="K2680" i="1"/>
  <c r="K2678" i="1"/>
  <c r="K2674" i="1"/>
  <c r="K2666" i="1"/>
  <c r="K2658" i="1"/>
  <c r="K2654" i="1"/>
  <c r="K2646" i="1"/>
  <c r="K2644" i="1"/>
  <c r="K2642" i="1"/>
  <c r="K2635" i="1"/>
  <c r="K2633" i="1"/>
  <c r="K2627" i="1"/>
  <c r="K2622" i="1"/>
  <c r="K2616" i="1"/>
  <c r="K2613" i="1"/>
  <c r="K2608" i="1"/>
  <c r="K2602" i="1"/>
  <c r="K2595" i="1"/>
  <c r="K2587" i="1"/>
  <c r="K2582" i="1"/>
  <c r="K2577" i="1"/>
  <c r="K2572" i="1"/>
  <c r="K2569" i="1"/>
  <c r="K2562" i="1"/>
  <c r="K2558" i="1"/>
  <c r="K2556" i="1"/>
  <c r="K2550" i="1"/>
  <c r="K2544" i="1"/>
  <c r="K2539" i="1"/>
  <c r="K2536" i="1"/>
  <c r="K2533" i="1"/>
  <c r="K2525" i="1"/>
  <c r="K2523" i="1"/>
  <c r="K2520" i="1"/>
  <c r="K2515" i="1"/>
  <c r="K2509" i="1"/>
  <c r="K2502" i="1"/>
  <c r="K2495" i="1"/>
  <c r="K2492" i="1"/>
  <c r="K2487" i="1"/>
  <c r="K2484" i="1"/>
  <c r="K2481" i="1"/>
  <c r="K2475" i="1"/>
  <c r="K2471" i="1"/>
  <c r="K2465" i="1"/>
  <c r="K2463" i="1"/>
  <c r="K2461" i="1"/>
  <c r="K2458" i="1"/>
  <c r="K2453" i="1"/>
  <c r="K2451" i="1"/>
  <c r="K2442" i="1"/>
  <c r="K2435" i="1"/>
  <c r="K2431" i="1"/>
  <c r="K2423" i="1"/>
  <c r="K2415" i="1"/>
  <c r="K2407" i="1"/>
  <c r="K2406" i="1"/>
  <c r="K2404" i="1"/>
  <c r="K2402" i="1"/>
  <c r="K2395" i="1"/>
  <c r="K2393" i="1"/>
  <c r="K2389" i="1"/>
  <c r="K2387" i="1"/>
  <c r="K2381" i="1"/>
  <c r="K2379" i="1"/>
  <c r="K2374" i="1"/>
  <c r="K2368" i="1"/>
  <c r="K2365" i="1"/>
  <c r="K2359" i="1"/>
  <c r="K2354" i="1"/>
  <c r="K2346" i="1"/>
  <c r="K2341" i="1"/>
  <c r="K2336" i="1"/>
  <c r="K2331" i="1"/>
  <c r="K2328" i="1"/>
  <c r="K2321" i="1"/>
  <c r="K2319" i="1"/>
  <c r="K2315" i="1"/>
  <c r="K2313" i="1"/>
  <c r="K2307" i="1"/>
  <c r="K2301" i="1"/>
  <c r="K2296" i="1"/>
  <c r="K2293" i="1"/>
  <c r="K2290" i="1"/>
  <c r="K2287" i="1"/>
  <c r="K2279" i="1"/>
  <c r="K2277" i="1"/>
  <c r="K2274" i="1"/>
  <c r="K2269" i="1"/>
  <c r="K2263" i="1"/>
  <c r="K2256" i="1"/>
  <c r="K2251" i="1"/>
  <c r="K2249" i="1"/>
  <c r="K2244" i="1"/>
  <c r="K2236" i="1"/>
  <c r="K2232" i="1"/>
  <c r="K2229" i="1"/>
  <c r="K2227" i="1"/>
  <c r="K2222" i="1"/>
  <c r="K2219" i="1"/>
  <c r="K2216" i="1"/>
  <c r="K2210" i="1"/>
  <c r="K2206" i="1"/>
  <c r="K2200" i="1"/>
  <c r="K2195" i="1"/>
  <c r="K2193" i="1"/>
  <c r="K2191" i="1"/>
  <c r="K2188" i="1"/>
  <c r="K2183" i="1"/>
  <c r="K2181" i="1"/>
  <c r="K2172" i="1"/>
  <c r="K2168" i="1"/>
  <c r="K2161" i="1"/>
  <c r="K2157" i="1"/>
  <c r="K2149" i="1"/>
  <c r="K2141" i="1"/>
  <c r="K2137" i="1"/>
  <c r="K2129" i="1"/>
  <c r="K2127" i="1"/>
  <c r="K2125" i="1"/>
  <c r="K2118" i="1"/>
  <c r="K2116" i="1"/>
  <c r="K2114" i="1"/>
  <c r="K2110" i="1"/>
  <c r="K2108" i="1"/>
  <c r="K2102" i="1"/>
  <c r="K2097" i="1"/>
  <c r="K2091" i="1"/>
  <c r="K2088" i="1"/>
  <c r="K2083" i="1"/>
  <c r="K2076" i="1"/>
  <c r="K2068" i="1"/>
  <c r="K2063" i="1"/>
  <c r="K2061" i="1"/>
  <c r="K2056" i="1"/>
  <c r="K2051" i="1"/>
  <c r="K2048" i="1"/>
  <c r="K2041" i="1"/>
  <c r="K2039" i="1"/>
  <c r="K2037" i="1"/>
  <c r="K2033" i="1"/>
  <c r="K2027" i="1"/>
  <c r="K2021" i="1"/>
  <c r="K2016" i="1"/>
  <c r="K2013" i="1"/>
  <c r="K2010" i="1"/>
  <c r="K2007" i="1"/>
  <c r="K1999" i="1"/>
  <c r="K1997" i="1"/>
  <c r="K1994" i="1"/>
  <c r="K1989" i="1"/>
  <c r="K1987" i="1"/>
  <c r="K1981" i="1"/>
  <c r="K1974" i="1"/>
  <c r="K1966" i="1"/>
  <c r="K1961" i="1"/>
  <c r="K1957" i="1"/>
  <c r="K1954" i="1"/>
  <c r="K1952" i="1"/>
  <c r="K1947" i="1"/>
  <c r="K1944" i="1"/>
  <c r="K1941" i="1"/>
  <c r="K1935" i="1"/>
  <c r="K1931" i="1"/>
  <c r="K1925" i="1"/>
  <c r="K1923" i="1"/>
  <c r="K1921" i="1"/>
  <c r="K1918" i="1"/>
  <c r="K1913" i="1"/>
  <c r="K1911" i="1"/>
  <c r="K1902" i="1"/>
  <c r="K1895" i="1"/>
  <c r="K1893" i="1"/>
  <c r="K1889" i="1"/>
  <c r="K1881" i="1"/>
  <c r="K1873" i="1"/>
  <c r="K1869" i="1"/>
  <c r="K1861" i="1"/>
  <c r="K1859" i="1"/>
  <c r="K1857" i="1"/>
  <c r="K1850" i="1"/>
  <c r="K1845" i="1"/>
  <c r="K1843" i="1"/>
  <c r="K1841" i="1"/>
  <c r="K1837" i="1"/>
  <c r="K1835" i="1"/>
  <c r="K1829" i="1"/>
  <c r="K1827" i="1"/>
  <c r="K1822" i="1"/>
  <c r="K1816" i="1"/>
  <c r="K1813" i="1"/>
  <c r="K1808" i="1"/>
  <c r="K1802" i="1"/>
  <c r="K1795" i="1"/>
  <c r="K1787" i="1"/>
  <c r="K1781" i="1"/>
  <c r="K1776" i="1"/>
  <c r="K1771" i="1"/>
  <c r="K1768" i="1"/>
  <c r="K1761" i="1"/>
  <c r="K1759" i="1"/>
  <c r="K1757" i="1"/>
  <c r="K1753" i="1"/>
  <c r="K1751" i="1"/>
  <c r="K1745" i="1"/>
  <c r="K1739" i="1"/>
  <c r="K1734" i="1"/>
  <c r="K1731" i="1"/>
  <c r="K1728" i="1"/>
  <c r="K1725" i="1"/>
  <c r="K1717" i="1"/>
  <c r="K1715" i="1"/>
  <c r="K1712" i="1"/>
  <c r="K1707" i="1"/>
  <c r="K1705" i="1"/>
  <c r="K1699" i="1"/>
  <c r="K1692" i="1"/>
  <c r="K1684" i="1"/>
  <c r="K1680" i="1"/>
  <c r="K1677" i="1"/>
  <c r="K1675" i="1"/>
  <c r="K1670" i="1"/>
  <c r="K1667" i="1"/>
  <c r="K1664" i="1"/>
  <c r="K1658" i="1"/>
  <c r="K1654" i="1"/>
  <c r="K1648" i="1"/>
  <c r="K1647" i="1"/>
  <c r="K1645" i="1"/>
  <c r="K1643" i="1"/>
  <c r="K1640" i="1"/>
  <c r="K1635" i="1"/>
  <c r="K1633" i="1"/>
  <c r="K1624" i="1"/>
  <c r="K1620" i="1"/>
  <c r="K1613" i="1"/>
  <c r="K1611" i="1"/>
  <c r="K1607" i="1"/>
  <c r="K1602" i="1"/>
  <c r="K1594" i="1"/>
  <c r="K1586" i="1"/>
  <c r="K1582" i="1"/>
  <c r="K1574" i="1"/>
  <c r="K1572" i="1"/>
  <c r="K1570" i="1"/>
  <c r="K1563" i="1"/>
  <c r="K1561" i="1"/>
  <c r="K1557" i="1"/>
  <c r="K1555" i="1"/>
  <c r="K1549" i="1"/>
  <c r="K1547" i="1"/>
  <c r="K1542" i="1"/>
  <c r="K1536" i="1"/>
  <c r="K1533" i="1"/>
  <c r="K1528" i="1"/>
  <c r="K1521" i="1"/>
  <c r="K1513" i="1"/>
  <c r="K1508" i="1"/>
  <c r="K1506" i="1"/>
  <c r="K1501" i="1"/>
  <c r="K1496" i="1"/>
  <c r="K1493" i="1"/>
  <c r="K1486" i="1"/>
  <c r="K1481" i="1"/>
  <c r="K1479" i="1"/>
  <c r="K1475" i="1"/>
  <c r="K1473" i="1"/>
  <c r="K1467" i="1"/>
  <c r="K1461" i="1"/>
  <c r="K1456" i="1"/>
  <c r="K1453" i="1"/>
  <c r="K1450" i="1"/>
  <c r="K1447" i="1"/>
  <c r="K1439" i="1"/>
  <c r="K1434" i="1"/>
  <c r="K1432" i="1"/>
  <c r="K1429" i="1"/>
  <c r="K1424" i="1"/>
  <c r="K1422" i="1"/>
  <c r="K1416" i="1"/>
  <c r="K1409" i="1"/>
  <c r="K1404" i="1"/>
  <c r="K1396" i="1"/>
  <c r="K1392" i="1"/>
  <c r="K1389" i="1"/>
  <c r="K1387" i="1"/>
  <c r="K1382" i="1"/>
  <c r="K1379" i="1"/>
  <c r="K1376" i="1"/>
  <c r="K1370" i="1"/>
  <c r="K1366" i="1"/>
  <c r="K1360" i="1"/>
  <c r="K1355" i="1"/>
  <c r="K1353" i="1"/>
  <c r="K1351" i="1"/>
  <c r="K1348" i="1"/>
  <c r="K1343" i="1"/>
  <c r="K1341" i="1"/>
  <c r="K1332" i="1"/>
  <c r="K1325" i="1"/>
  <c r="K1321" i="1"/>
  <c r="K1316" i="1"/>
  <c r="K1308" i="1"/>
  <c r="K1300" i="1"/>
  <c r="K1296" i="1"/>
  <c r="K1288" i="1"/>
  <c r="K1287" i="1"/>
  <c r="K1285" i="1"/>
  <c r="K1283" i="1"/>
  <c r="K1276" i="1"/>
  <c r="K1274" i="1"/>
  <c r="K1268" i="1"/>
  <c r="K1266" i="1"/>
  <c r="K1261" i="1"/>
  <c r="K1255" i="1"/>
  <c r="K1252" i="1"/>
  <c r="K1250" i="1"/>
  <c r="K1245" i="1"/>
  <c r="K1239" i="1"/>
  <c r="K1232" i="1"/>
  <c r="K1225" i="1"/>
  <c r="K1218" i="1"/>
  <c r="K1213" i="1"/>
  <c r="K1208" i="1"/>
  <c r="K1205" i="1"/>
  <c r="K1198" i="1"/>
  <c r="K1194" i="1"/>
  <c r="K1192" i="1"/>
  <c r="K1186" i="1"/>
  <c r="K1180" i="1"/>
  <c r="K1175" i="1"/>
  <c r="K1172" i="1"/>
  <c r="K1169" i="1"/>
  <c r="K1166" i="1"/>
  <c r="K1158" i="1"/>
  <c r="K1156" i="1"/>
  <c r="K1153" i="1"/>
  <c r="K1148" i="1"/>
  <c r="K1142" i="1"/>
  <c r="K1135" i="1"/>
  <c r="K1130" i="1"/>
  <c r="K1122" i="1"/>
  <c r="K1117" i="1"/>
  <c r="K1114" i="1"/>
  <c r="K1112" i="1"/>
  <c r="K1107" i="1"/>
  <c r="K1104" i="1"/>
  <c r="K1101" i="1"/>
  <c r="K1095" i="1"/>
  <c r="K1091" i="1"/>
  <c r="K1085" i="1"/>
  <c r="K1083" i="1"/>
  <c r="K1081" i="1"/>
  <c r="K1078" i="1"/>
  <c r="K1073" i="1"/>
  <c r="K1071" i="1"/>
  <c r="K1062" i="1"/>
  <c r="K1061" i="1"/>
  <c r="K1055" i="1"/>
  <c r="K1047" i="1"/>
  <c r="K1044" i="1"/>
  <c r="K1039" i="1"/>
  <c r="K1038" i="1"/>
  <c r="K1035" i="1"/>
  <c r="K1034" i="1"/>
  <c r="K1027" i="1"/>
  <c r="K1025" i="1"/>
  <c r="K1023" i="1"/>
  <c r="K1016" i="1"/>
  <c r="K1015" i="1"/>
  <c r="K1014" i="1"/>
  <c r="K1012" i="1"/>
  <c r="K1008" i="1"/>
  <c r="K1007" i="1"/>
  <c r="K1002" i="1"/>
  <c r="K1000" i="1"/>
  <c r="K995" i="1"/>
  <c r="K993" i="1"/>
  <c r="K990" i="1"/>
  <c r="K989" i="1"/>
  <c r="K988" i="1"/>
  <c r="K986" i="1"/>
  <c r="K981" i="1"/>
  <c r="K980" i="1"/>
  <c r="K978" i="1"/>
  <c r="K976" i="1"/>
  <c r="K970" i="1"/>
  <c r="K969" i="1"/>
  <c r="K967" i="1"/>
  <c r="K959" i="1"/>
  <c r="K954" i="1"/>
  <c r="K952" i="1"/>
  <c r="K950" i="1"/>
  <c r="K947" i="1"/>
  <c r="K942" i="1"/>
  <c r="K941" i="1"/>
  <c r="K937" i="1"/>
  <c r="K935" i="1"/>
  <c r="K931" i="1"/>
  <c r="K927" i="1"/>
  <c r="K925" i="1"/>
  <c r="K922" i="1"/>
  <c r="K921" i="1"/>
  <c r="K918" i="1"/>
  <c r="K915" i="1"/>
  <c r="K911" i="1"/>
  <c r="K908" i="1"/>
  <c r="K905" i="1"/>
  <c r="K903" i="1"/>
  <c r="K902" i="1"/>
  <c r="K900" i="1"/>
  <c r="K898" i="1"/>
  <c r="K893" i="1"/>
  <c r="K888" i="1"/>
  <c r="K886" i="1"/>
  <c r="K880" i="1"/>
  <c r="K879" i="1"/>
  <c r="K873" i="1"/>
  <c r="K870" i="1"/>
  <c r="K865" i="1"/>
  <c r="K859" i="1"/>
  <c r="K858" i="1"/>
  <c r="K851" i="1"/>
  <c r="K848" i="1"/>
  <c r="K841" i="1"/>
  <c r="K836" i="1"/>
  <c r="K831" i="1"/>
  <c r="K829" i="1"/>
  <c r="K826" i="1"/>
  <c r="K824" i="1"/>
  <c r="K821" i="1"/>
  <c r="K818" i="1"/>
  <c r="K816" i="1"/>
  <c r="K813" i="1"/>
  <c r="K811" i="1"/>
  <c r="K809" i="1"/>
  <c r="K807" i="1"/>
  <c r="K801" i="1"/>
  <c r="K794" i="1"/>
  <c r="K793" i="1"/>
  <c r="K790" i="1"/>
  <c r="K789" i="1"/>
  <c r="K784" i="1"/>
  <c r="K783" i="1"/>
  <c r="K780" i="1"/>
  <c r="K777" i="1"/>
  <c r="K774" i="1"/>
  <c r="K771" i="1"/>
  <c r="K768" i="1"/>
  <c r="K764" i="1"/>
  <c r="K761" i="1"/>
  <c r="K758" i="1"/>
  <c r="K757" i="1"/>
  <c r="K754" i="1"/>
  <c r="K753" i="1"/>
  <c r="K747" i="1"/>
  <c r="K744" i="1"/>
  <c r="K743" i="1"/>
  <c r="K738" i="1"/>
  <c r="K733" i="1"/>
  <c r="K732" i="1"/>
  <c r="K729" i="1"/>
  <c r="K728" i="1"/>
  <c r="K726" i="1"/>
  <c r="K722" i="1"/>
  <c r="K719" i="1"/>
  <c r="K716" i="1"/>
  <c r="K713" i="1"/>
  <c r="K710" i="1"/>
  <c r="K707" i="1"/>
  <c r="K706" i="1"/>
  <c r="K700" i="1"/>
  <c r="K699" i="1"/>
  <c r="K693" i="1"/>
  <c r="K691" i="1"/>
  <c r="K686" i="1"/>
  <c r="K683" i="1"/>
  <c r="K682" i="1"/>
  <c r="K679" i="1"/>
  <c r="K674" i="1"/>
  <c r="K672" i="1"/>
  <c r="K667" i="1"/>
  <c r="K662" i="1"/>
  <c r="K659" i="1"/>
  <c r="K658" i="1"/>
  <c r="K656" i="1"/>
  <c r="K654" i="1"/>
  <c r="K650" i="1"/>
  <c r="K647" i="1"/>
  <c r="K644" i="1"/>
  <c r="K643" i="1"/>
  <c r="K640" i="1"/>
  <c r="K639" i="1"/>
  <c r="K630" i="1"/>
  <c r="K624" i="1"/>
  <c r="K623" i="1"/>
  <c r="K615" i="1"/>
  <c r="K613" i="1"/>
  <c r="K611" i="1"/>
  <c r="K608" i="1"/>
  <c r="K602" i="1"/>
  <c r="K601" i="1"/>
  <c r="K597" i="1"/>
  <c r="K594" i="1"/>
  <c r="K591" i="1"/>
  <c r="K588" i="1"/>
  <c r="K585" i="1"/>
  <c r="K580" i="1"/>
  <c r="K576" i="1"/>
  <c r="K575" i="1"/>
  <c r="K571" i="1"/>
  <c r="K568" i="1"/>
  <c r="K565" i="1"/>
  <c r="K562" i="1"/>
  <c r="K559" i="1"/>
  <c r="K555" i="1"/>
  <c r="K552" i="1"/>
  <c r="K551" i="1"/>
  <c r="K548" i="1"/>
  <c r="K545" i="1"/>
  <c r="K542" i="1"/>
  <c r="K539" i="1"/>
  <c r="K538" i="1"/>
  <c r="K534" i="1"/>
  <c r="K531" i="1"/>
  <c r="K528" i="1"/>
  <c r="K527" i="1"/>
  <c r="K524" i="1"/>
  <c r="K523" i="1"/>
  <c r="K520" i="1"/>
  <c r="K519" i="1"/>
  <c r="K516" i="1"/>
  <c r="K511" i="1"/>
  <c r="K510" i="1"/>
  <c r="K508" i="1"/>
  <c r="K506" i="1"/>
  <c r="K503" i="1"/>
  <c r="K502" i="1"/>
  <c r="K499" i="1"/>
  <c r="K498" i="1"/>
  <c r="K495" i="1"/>
  <c r="K489" i="1"/>
  <c r="K488" i="1"/>
  <c r="K484" i="1"/>
  <c r="K478" i="1"/>
  <c r="K474" i="1"/>
  <c r="K473" i="1"/>
  <c r="K471" i="1"/>
  <c r="K464" i="1"/>
  <c r="K460" i="1"/>
  <c r="K456" i="1"/>
  <c r="K453" i="1"/>
  <c r="K451" i="1"/>
  <c r="K448" i="1"/>
  <c r="K445" i="1"/>
  <c r="K438" i="1"/>
  <c r="K434" i="1"/>
  <c r="K428" i="1"/>
  <c r="K427" i="1"/>
  <c r="K421" i="1"/>
  <c r="K416" i="1"/>
  <c r="K412" i="1"/>
  <c r="K409" i="1"/>
  <c r="K407" i="1"/>
  <c r="K405" i="1"/>
  <c r="K402" i="1"/>
  <c r="K399" i="1"/>
  <c r="K393" i="1"/>
  <c r="K387" i="1"/>
  <c r="K384" i="1"/>
  <c r="K381" i="1"/>
  <c r="K378" i="1"/>
  <c r="K375" i="1"/>
  <c r="K370" i="1"/>
  <c r="K366" i="1"/>
  <c r="K361" i="1"/>
  <c r="K353" i="1"/>
  <c r="K351" i="1"/>
  <c r="K347" i="1"/>
  <c r="K344" i="1"/>
  <c r="K341" i="1"/>
  <c r="K339" i="1"/>
  <c r="K336" i="1"/>
  <c r="K334" i="1"/>
  <c r="K332" i="1"/>
  <c r="K325" i="1"/>
  <c r="K323" i="1"/>
  <c r="K321" i="1"/>
  <c r="K318" i="1"/>
  <c r="K313" i="1"/>
  <c r="K311" i="1"/>
  <c r="K305" i="1"/>
  <c r="K301" i="1"/>
  <c r="K297" i="1"/>
  <c r="K296" i="1"/>
  <c r="K292" i="1"/>
  <c r="K284" i="1"/>
  <c r="K279" i="1"/>
  <c r="K275" i="1"/>
  <c r="K272" i="1"/>
  <c r="K271" i="1"/>
  <c r="K269" i="1"/>
  <c r="K267" i="1"/>
  <c r="K263" i="1"/>
  <c r="K258" i="1"/>
  <c r="K249" i="1"/>
  <c r="K247" i="1"/>
  <c r="K245" i="1"/>
  <c r="K237" i="1"/>
  <c r="K232" i="1"/>
  <c r="K229" i="1"/>
  <c r="K224" i="1"/>
  <c r="K221" i="1"/>
  <c r="K218" i="1"/>
  <c r="K213" i="1"/>
  <c r="K209" i="1"/>
  <c r="K206" i="1"/>
  <c r="K205" i="1"/>
  <c r="K203" i="1"/>
  <c r="K200" i="1"/>
  <c r="K196" i="1"/>
  <c r="K192" i="1"/>
  <c r="K190" i="1"/>
  <c r="K188" i="1"/>
  <c r="K182" i="1"/>
  <c r="K174" i="1"/>
  <c r="K172" i="1"/>
  <c r="K170" i="1"/>
  <c r="K167" i="1"/>
  <c r="K159" i="1"/>
  <c r="K154" i="1"/>
  <c r="K151" i="1"/>
  <c r="K145" i="1"/>
  <c r="K139" i="1"/>
  <c r="K137" i="1"/>
  <c r="K135" i="1"/>
  <c r="K132" i="1"/>
  <c r="K124" i="1"/>
  <c r="K121" i="1"/>
  <c r="K113" i="1"/>
  <c r="K108" i="1"/>
  <c r="K105" i="1"/>
  <c r="K98" i="1"/>
  <c r="K95" i="1"/>
  <c r="K92" i="1"/>
  <c r="K89" i="1"/>
  <c r="K86" i="1"/>
  <c r="K83" i="1"/>
  <c r="K80" i="1"/>
  <c r="K77" i="1"/>
  <c r="K69" i="1"/>
  <c r="K66" i="1"/>
  <c r="K58" i="1"/>
  <c r="K53" i="1"/>
  <c r="K51" i="1"/>
  <c r="K49" i="1"/>
  <c r="K46" i="1"/>
  <c r="K41" i="1"/>
  <c r="K38" i="1"/>
  <c r="K33" i="1"/>
  <c r="K32" i="1"/>
  <c r="K30" i="1"/>
  <c r="K27" i="1"/>
  <c r="K25" i="1"/>
  <c r="K23" i="1"/>
  <c r="K18" i="1"/>
  <c r="K17" i="1"/>
  <c r="K15" i="1"/>
  <c r="J3166" i="1" l="1"/>
  <c r="L3166" i="1"/>
  <c r="I3166" i="1"/>
  <c r="K3166" i="1" l="1"/>
  <c r="J2967" i="1"/>
  <c r="I3273" i="1" l="1"/>
  <c r="I3272" i="1" s="1"/>
  <c r="I3271" i="1" s="1"/>
  <c r="I3270" i="1" s="1"/>
  <c r="I3269" i="1" s="1"/>
  <c r="I3268" i="1" s="1"/>
  <c r="J3273" i="1"/>
  <c r="L3273" i="1"/>
  <c r="L3272" i="1" s="1"/>
  <c r="L3271" i="1" s="1"/>
  <c r="L3270" i="1" s="1"/>
  <c r="L3269" i="1" s="1"/>
  <c r="L3268" i="1" s="1"/>
  <c r="H3273" i="1"/>
  <c r="H3272" i="1" s="1"/>
  <c r="H3271" i="1" s="1"/>
  <c r="H3270" i="1" s="1"/>
  <c r="H3269" i="1" s="1"/>
  <c r="H3268" i="1" s="1"/>
  <c r="J3272" i="1" l="1"/>
  <c r="K3273" i="1"/>
  <c r="I3800" i="1"/>
  <c r="I3799" i="1" s="1"/>
  <c r="I3803" i="1"/>
  <c r="I3802" i="1" s="1"/>
  <c r="I3806" i="1"/>
  <c r="I3805" i="1" s="1"/>
  <c r="I3811" i="1"/>
  <c r="I3810" i="1" s="1"/>
  <c r="I3809" i="1" s="1"/>
  <c r="I3808" i="1" s="1"/>
  <c r="J4418" i="1"/>
  <c r="K4418" i="1" s="1"/>
  <c r="L4418" i="1"/>
  <c r="I4418" i="1"/>
  <c r="J4501" i="1"/>
  <c r="J3369" i="1"/>
  <c r="K3369" i="1" s="1"/>
  <c r="L3369" i="1"/>
  <c r="I3369" i="1"/>
  <c r="J4477" i="1"/>
  <c r="L4477" i="1"/>
  <c r="I4477" i="1"/>
  <c r="I4420" i="1"/>
  <c r="I4417" i="1" s="1"/>
  <c r="J4420" i="1"/>
  <c r="L4420" i="1"/>
  <c r="J4353" i="1"/>
  <c r="L4353" i="1"/>
  <c r="L4352" i="1" s="1"/>
  <c r="L4351" i="1" s="1"/>
  <c r="L4350" i="1" s="1"/>
  <c r="I4353" i="1"/>
  <c r="I4352" i="1" s="1"/>
  <c r="I4351" i="1" s="1"/>
  <c r="I4350" i="1" s="1"/>
  <c r="J3711" i="1"/>
  <c r="L3711" i="1"/>
  <c r="L3710" i="1" s="1"/>
  <c r="I3711" i="1"/>
  <c r="I3710" i="1" s="1"/>
  <c r="J3300" i="1"/>
  <c r="L3300" i="1"/>
  <c r="I3300" i="1"/>
  <c r="J3242" i="1"/>
  <c r="L3242" i="1"/>
  <c r="L3241" i="1" s="1"/>
  <c r="L3240" i="1" s="1"/>
  <c r="L3239" i="1" s="1"/>
  <c r="I3242" i="1"/>
  <c r="I3241" i="1" s="1"/>
  <c r="I3240" i="1" s="1"/>
  <c r="I3239" i="1" s="1"/>
  <c r="J3237" i="1"/>
  <c r="L3237" i="1"/>
  <c r="I3237" i="1"/>
  <c r="J3183" i="1"/>
  <c r="L3183" i="1"/>
  <c r="I3183" i="1"/>
  <c r="J2843" i="1"/>
  <c r="L2843" i="1"/>
  <c r="L2842" i="1" s="1"/>
  <c r="L2841" i="1" s="1"/>
  <c r="L2840" i="1" s="1"/>
  <c r="I2843" i="1"/>
  <c r="I2842" i="1" s="1"/>
  <c r="I2841" i="1" s="1"/>
  <c r="I2840" i="1" s="1"/>
  <c r="J2679" i="1"/>
  <c r="L2679" i="1"/>
  <c r="I2679" i="1"/>
  <c r="J2405" i="1"/>
  <c r="L2405" i="1"/>
  <c r="I2405" i="1"/>
  <c r="J2115" i="1"/>
  <c r="L2115" i="1"/>
  <c r="J2117" i="1"/>
  <c r="L2117" i="1"/>
  <c r="I2117" i="1"/>
  <c r="I2115" i="1"/>
  <c r="J2101" i="1"/>
  <c r="L2101" i="1"/>
  <c r="L2100" i="1" s="1"/>
  <c r="L2099" i="1" s="1"/>
  <c r="L2098" i="1" s="1"/>
  <c r="I2101" i="1"/>
  <c r="I2100" i="1" s="1"/>
  <c r="I2099" i="1" s="1"/>
  <c r="I2098" i="1" s="1"/>
  <c r="J1894" i="1"/>
  <c r="L1894" i="1"/>
  <c r="I1894" i="1"/>
  <c r="I1786" i="1"/>
  <c r="I1785" i="1" s="1"/>
  <c r="I1784" i="1" s="1"/>
  <c r="I1783" i="1" s="1"/>
  <c r="I1782" i="1" s="1"/>
  <c r="J1786" i="1"/>
  <c r="L1786" i="1"/>
  <c r="L1785" i="1" s="1"/>
  <c r="L1784" i="1" s="1"/>
  <c r="L1783" i="1" s="1"/>
  <c r="L1782" i="1" s="1"/>
  <c r="J1224" i="1"/>
  <c r="L1224" i="1"/>
  <c r="L1223" i="1" s="1"/>
  <c r="L1222" i="1" s="1"/>
  <c r="L1221" i="1" s="1"/>
  <c r="L1220" i="1" s="1"/>
  <c r="I1224" i="1"/>
  <c r="I1223" i="1" s="1"/>
  <c r="I1222" i="1" s="1"/>
  <c r="I1221" i="1" s="1"/>
  <c r="I1220" i="1" s="1"/>
  <c r="J840" i="1"/>
  <c r="L840" i="1"/>
  <c r="L839" i="1" s="1"/>
  <c r="L838" i="1" s="1"/>
  <c r="L837" i="1" s="1"/>
  <c r="I840" i="1"/>
  <c r="I839" i="1" s="1"/>
  <c r="I838" i="1" s="1"/>
  <c r="I837" i="1" s="1"/>
  <c r="J823" i="1"/>
  <c r="L823" i="1"/>
  <c r="I823" i="1"/>
  <c r="I825" i="1"/>
  <c r="J825" i="1"/>
  <c r="L825" i="1"/>
  <c r="J788" i="1"/>
  <c r="L788" i="1"/>
  <c r="L787" i="1" s="1"/>
  <c r="J792" i="1"/>
  <c r="L792" i="1"/>
  <c r="L791" i="1" s="1"/>
  <c r="I792" i="1"/>
  <c r="I791" i="1" s="1"/>
  <c r="I788" i="1"/>
  <c r="I787" i="1" s="1"/>
  <c r="L782" i="1"/>
  <c r="L781" i="1" s="1"/>
  <c r="J782" i="1"/>
  <c r="I782" i="1"/>
  <c r="I781" i="1" s="1"/>
  <c r="J463" i="1"/>
  <c r="L463" i="1"/>
  <c r="L462" i="1" s="1"/>
  <c r="L461" i="1" s="1"/>
  <c r="I463" i="1"/>
  <c r="I462" i="1" s="1"/>
  <c r="I461" i="1" s="1"/>
  <c r="I380" i="1"/>
  <c r="I379" i="1" s="1"/>
  <c r="J380" i="1"/>
  <c r="L380" i="1"/>
  <c r="L379" i="1" s="1"/>
  <c r="I338" i="1"/>
  <c r="J338" i="1"/>
  <c r="L338" i="1"/>
  <c r="H338" i="1"/>
  <c r="I283" i="1"/>
  <c r="I282" i="1" s="1"/>
  <c r="I281" i="1" s="1"/>
  <c r="I280" i="1" s="1"/>
  <c r="J283" i="1"/>
  <c r="L283" i="1"/>
  <c r="L282" i="1" s="1"/>
  <c r="L281" i="1" s="1"/>
  <c r="L280" i="1" s="1"/>
  <c r="H283" i="1"/>
  <c r="H282" i="1" s="1"/>
  <c r="H281" i="1" s="1"/>
  <c r="H280" i="1" s="1"/>
  <c r="I112" i="1"/>
  <c r="I111" i="1" s="1"/>
  <c r="I110" i="1" s="1"/>
  <c r="I109" i="1" s="1"/>
  <c r="J112" i="1"/>
  <c r="L112" i="1"/>
  <c r="L111" i="1" s="1"/>
  <c r="L110" i="1" s="1"/>
  <c r="L109" i="1" s="1"/>
  <c r="H107" i="1"/>
  <c r="H106" i="1" s="1"/>
  <c r="J107" i="1"/>
  <c r="L107" i="1"/>
  <c r="L106" i="1" s="1"/>
  <c r="I107" i="1"/>
  <c r="I106" i="1" s="1"/>
  <c r="I31" i="1"/>
  <c r="J31" i="1"/>
  <c r="L31" i="1"/>
  <c r="H31" i="1"/>
  <c r="H4769" i="1"/>
  <c r="H4766" i="1"/>
  <c r="H4765" i="1" s="1"/>
  <c r="H4764" i="1" s="1"/>
  <c r="H4760" i="1"/>
  <c r="H4759" i="1" s="1"/>
  <c r="H4758" i="1"/>
  <c r="H4678" i="1"/>
  <c r="H4654" i="1"/>
  <c r="H4653" i="1" s="1"/>
  <c r="H4652" i="1"/>
  <c r="H4651" i="1" s="1"/>
  <c r="H4645" i="1"/>
  <c r="H4628" i="1"/>
  <c r="H4616" i="1"/>
  <c r="H4615" i="1" s="1"/>
  <c r="H4614" i="1" s="1"/>
  <c r="H4485" i="1"/>
  <c r="H4484" i="1" s="1"/>
  <c r="H4483" i="1" s="1"/>
  <c r="H4481" i="1"/>
  <c r="H4476" i="1"/>
  <c r="H4475" i="1" s="1"/>
  <c r="H4471" i="1"/>
  <c r="H4470" i="1" s="1"/>
  <c r="H4469" i="1" s="1"/>
  <c r="H4420" i="1"/>
  <c r="H4417" i="1" s="1"/>
  <c r="H4392" i="1"/>
  <c r="H4391" i="1"/>
  <c r="H4385" i="1"/>
  <c r="H4384" i="1"/>
  <c r="H4371" i="1"/>
  <c r="H4334" i="1"/>
  <c r="H4333" i="1"/>
  <c r="H4326" i="1"/>
  <c r="H4324" i="1" s="1"/>
  <c r="H4323" i="1" s="1"/>
  <c r="H4325" i="1"/>
  <c r="H4310" i="1"/>
  <c r="H4309" i="1" s="1"/>
  <c r="H4308" i="1" s="1"/>
  <c r="H4307" i="1" s="1"/>
  <c r="H4306" i="1" s="1"/>
  <c r="H4305" i="1" s="1"/>
  <c r="H4304" i="1" s="1"/>
  <c r="H4303" i="1"/>
  <c r="H4302" i="1" s="1"/>
  <c r="H4301" i="1" s="1"/>
  <c r="H4300" i="1" s="1"/>
  <c r="H4299" i="1" s="1"/>
  <c r="H4298" i="1" s="1"/>
  <c r="H4297" i="1" s="1"/>
  <c r="H4281" i="1"/>
  <c r="H4280" i="1" s="1"/>
  <c r="H4279" i="1" s="1"/>
  <c r="H4268" i="1"/>
  <c r="H4263" i="1"/>
  <c r="H4262" i="1" s="1"/>
  <c r="H4261" i="1" s="1"/>
  <c r="H4260" i="1"/>
  <c r="H4259" i="1" s="1"/>
  <c r="H4258" i="1" s="1"/>
  <c r="H4246" i="1"/>
  <c r="H4245" i="1" s="1"/>
  <c r="H4244" i="1" s="1"/>
  <c r="H4221" i="1"/>
  <c r="H4217" i="1"/>
  <c r="H4211" i="1"/>
  <c r="H4210" i="1" s="1"/>
  <c r="H4209" i="1" s="1"/>
  <c r="H4208" i="1" s="1"/>
  <c r="H4207" i="1" s="1"/>
  <c r="H4206" i="1" s="1"/>
  <c r="H4197" i="1"/>
  <c r="H4196" i="1" s="1"/>
  <c r="H4048" i="1"/>
  <c r="H4002" i="1"/>
  <c r="H4001" i="1" s="1"/>
  <c r="H4000" i="1" s="1"/>
  <c r="H3994" i="1"/>
  <c r="H3993" i="1" s="1"/>
  <c r="H3992" i="1" s="1"/>
  <c r="H3991" i="1" s="1"/>
  <c r="H3990" i="1" s="1"/>
  <c r="H3978" i="1"/>
  <c r="H3977" i="1" s="1"/>
  <c r="H3976" i="1" s="1"/>
  <c r="H3975" i="1" s="1"/>
  <c r="H3958" i="1"/>
  <c r="H3952" i="1"/>
  <c r="H3951" i="1" s="1"/>
  <c r="H3950" i="1" s="1"/>
  <c r="H3945" i="1"/>
  <c r="H3944" i="1" s="1"/>
  <c r="H3943" i="1" s="1"/>
  <c r="H3942" i="1" s="1"/>
  <c r="H3941" i="1" s="1"/>
  <c r="H3940" i="1"/>
  <c r="H3939" i="1" s="1"/>
  <c r="H3938" i="1" s="1"/>
  <c r="H3937" i="1" s="1"/>
  <c r="H3933" i="1"/>
  <c r="H3841" i="1"/>
  <c r="H3840" i="1" s="1"/>
  <c r="H3839" i="1" s="1"/>
  <c r="H3838" i="1" s="1"/>
  <c r="H3837" i="1" s="1"/>
  <c r="H3836" i="1" s="1"/>
  <c r="H3835" i="1" s="1"/>
  <c r="H3834" i="1" s="1"/>
  <c r="H3804" i="1"/>
  <c r="H3803" i="1" s="1"/>
  <c r="H3802" i="1" s="1"/>
  <c r="H3801" i="1"/>
  <c r="H3800" i="1" s="1"/>
  <c r="H3799" i="1" s="1"/>
  <c r="H3782" i="1"/>
  <c r="H3774" i="1"/>
  <c r="H3773" i="1" s="1"/>
  <c r="H3772" i="1" s="1"/>
  <c r="H3765" i="1"/>
  <c r="H3764" i="1" s="1"/>
  <c r="H3759" i="1"/>
  <c r="H3758" i="1" s="1"/>
  <c r="H3757" i="1" s="1"/>
  <c r="H3718" i="1"/>
  <c r="H3715" i="1"/>
  <c r="H3714" i="1" s="1"/>
  <c r="H3713" i="1" s="1"/>
  <c r="H3635" i="1"/>
  <c r="H3634" i="1" s="1"/>
  <c r="H3633" i="1" s="1"/>
  <c r="H3632" i="1"/>
  <c r="H3631" i="1" s="1"/>
  <c r="H3630" i="1" s="1"/>
  <c r="H3629" i="1"/>
  <c r="H3619" i="1"/>
  <c r="H3618" i="1" s="1"/>
  <c r="H3617" i="1" s="1"/>
  <c r="H3606" i="1"/>
  <c r="H3605" i="1" s="1"/>
  <c r="H3604" i="1" s="1"/>
  <c r="H3601" i="1"/>
  <c r="H3600" i="1" s="1"/>
  <c r="H3599" i="1" s="1"/>
  <c r="H3598" i="1" s="1"/>
  <c r="H3549" i="1"/>
  <c r="H3544" i="1"/>
  <c r="H3543" i="1" s="1"/>
  <c r="H3542" i="1" s="1"/>
  <c r="H3511" i="1"/>
  <c r="H3510" i="1" s="1"/>
  <c r="H3509" i="1" s="1"/>
  <c r="H3483" i="1"/>
  <c r="H3482" i="1" s="1"/>
  <c r="H3481" i="1" s="1"/>
  <c r="H3480" i="1" s="1"/>
  <c r="H3479" i="1" s="1"/>
  <c r="H3478" i="1" s="1"/>
  <c r="H3477" i="1" s="1"/>
  <c r="H3462" i="1"/>
  <c r="H3446" i="1"/>
  <c r="H3445" i="1" s="1"/>
  <c r="H3444" i="1" s="1"/>
  <c r="H3431" i="1"/>
  <c r="H3430" i="1" s="1"/>
  <c r="H3429" i="1" s="1"/>
  <c r="H3384" i="1"/>
  <c r="H3383" i="1" s="1"/>
  <c r="H3382" i="1" s="1"/>
  <c r="H3368" i="1"/>
  <c r="H3357" i="1"/>
  <c r="H3356" i="1" s="1"/>
  <c r="H3281" i="1"/>
  <c r="H3280" i="1" s="1"/>
  <c r="H3279" i="1" s="1"/>
  <c r="H3255" i="1"/>
  <c r="H3254" i="1" s="1"/>
  <c r="H3253" i="1" s="1"/>
  <c r="H3252" i="1" s="1"/>
  <c r="H3251" i="1" s="1"/>
  <c r="H3236" i="1"/>
  <c r="H3224" i="1"/>
  <c r="H3223" i="1" s="1"/>
  <c r="H3222" i="1" s="1"/>
  <c r="H3217" i="1"/>
  <c r="H3216" i="1" s="1"/>
  <c r="H3215" i="1" s="1"/>
  <c r="H3213" i="1"/>
  <c r="H3212" i="1" s="1"/>
  <c r="H3211" i="1" s="1"/>
  <c r="H3210" i="1" s="1"/>
  <c r="H3206" i="1"/>
  <c r="H3203" i="1"/>
  <c r="H3202" i="1" s="1"/>
  <c r="H3201" i="1" s="1"/>
  <c r="H3197" i="1"/>
  <c r="H3196" i="1" s="1"/>
  <c r="H3195" i="1" s="1"/>
  <c r="H3182" i="1"/>
  <c r="H3181" i="1" s="1"/>
  <c r="H3180" i="1" s="1"/>
  <c r="H3179" i="1" s="1"/>
  <c r="H3169" i="1"/>
  <c r="H3164" i="1"/>
  <c r="H3163" i="1" s="1"/>
  <c r="H3162" i="1" s="1"/>
  <c r="H3155" i="1"/>
  <c r="H3154" i="1" s="1"/>
  <c r="H3153" i="1" s="1"/>
  <c r="H3152" i="1" s="1"/>
  <c r="H3151" i="1" s="1"/>
  <c r="H2864" i="1"/>
  <c r="H2863" i="1" s="1"/>
  <c r="H2862" i="1" s="1"/>
  <c r="H2839" i="1"/>
  <c r="H2805" i="1"/>
  <c r="H2804" i="1" s="1"/>
  <c r="H2803" i="1" s="1"/>
  <c r="H2802" i="1" s="1"/>
  <c r="H2801" i="1" s="1"/>
  <c r="H2800" i="1" s="1"/>
  <c r="H2788" i="1"/>
  <c r="H2741" i="1"/>
  <c r="H2740" i="1" s="1"/>
  <c r="H2613" i="1"/>
  <c r="H2595" i="1"/>
  <c r="H2594" i="1" s="1"/>
  <c r="H2593" i="1" s="1"/>
  <c r="H2592" i="1" s="1"/>
  <c r="H2591" i="1" s="1"/>
  <c r="H2590" i="1" s="1"/>
  <c r="H2589" i="1" s="1"/>
  <c r="H2582" i="1"/>
  <c r="H2581" i="1" s="1"/>
  <c r="H2580" i="1" s="1"/>
  <c r="H2579" i="1" s="1"/>
  <c r="H2578" i="1" s="1"/>
  <c r="H2550" i="1"/>
  <c r="H2549" i="1" s="1"/>
  <c r="H2548" i="1" s="1"/>
  <c r="H2547" i="1" s="1"/>
  <c r="H2546" i="1" s="1"/>
  <c r="H2545" i="1" s="1"/>
  <c r="H2544" i="1"/>
  <c r="H2536" i="1"/>
  <c r="H2533" i="1"/>
  <c r="H2532" i="1" s="1"/>
  <c r="H2531" i="1" s="1"/>
  <c r="H2495" i="1"/>
  <c r="H2494" i="1" s="1"/>
  <c r="H2493" i="1" s="1"/>
  <c r="H2365" i="1"/>
  <c r="H2354" i="1"/>
  <c r="H2353" i="1" s="1"/>
  <c r="H2352" i="1" s="1"/>
  <c r="H2351" i="1" s="1"/>
  <c r="H2350" i="1" s="1"/>
  <c r="H2349" i="1" s="1"/>
  <c r="H2341" i="1"/>
  <c r="H2340" i="1" s="1"/>
  <c r="H2339" i="1" s="1"/>
  <c r="H2338" i="1" s="1"/>
  <c r="H2337" i="1" s="1"/>
  <c r="H2328" i="1"/>
  <c r="H2327" i="1" s="1"/>
  <c r="H2326" i="1" s="1"/>
  <c r="H2315" i="1"/>
  <c r="H2301" i="1"/>
  <c r="H2300" i="1" s="1"/>
  <c r="H2299" i="1" s="1"/>
  <c r="H2298" i="1" s="1"/>
  <c r="H2297" i="1" s="1"/>
  <c r="H2293" i="1"/>
  <c r="H2292" i="1" s="1"/>
  <c r="H2291" i="1" s="1"/>
  <c r="H2287" i="1"/>
  <c r="H2286" i="1" s="1"/>
  <c r="H2285" i="1" s="1"/>
  <c r="H2269" i="1"/>
  <c r="H2168" i="1"/>
  <c r="H2167" i="1" s="1"/>
  <c r="H2166" i="1" s="1"/>
  <c r="H2165" i="1" s="1"/>
  <c r="H2164" i="1" s="1"/>
  <c r="H2163" i="1" s="1"/>
  <c r="H2162" i="1" s="1"/>
  <c r="H2157" i="1"/>
  <c r="H2156" i="1" s="1"/>
  <c r="H2155" i="1" s="1"/>
  <c r="H2154" i="1" s="1"/>
  <c r="H2153" i="1" s="1"/>
  <c r="H2152" i="1" s="1"/>
  <c r="H2088" i="1"/>
  <c r="H2087" i="1" s="1"/>
  <c r="H2086" i="1" s="1"/>
  <c r="H2083" i="1"/>
  <c r="H2061" i="1"/>
  <c r="H2060" i="1" s="1"/>
  <c r="H2048" i="1"/>
  <c r="H2047" i="1" s="1"/>
  <c r="H2046" i="1" s="1"/>
  <c r="H2027" i="1"/>
  <c r="H2026" i="1" s="1"/>
  <c r="H2025" i="1" s="1"/>
  <c r="H2024" i="1" s="1"/>
  <c r="H2023" i="1" s="1"/>
  <c r="H2022" i="1" s="1"/>
  <c r="H1987" i="1"/>
  <c r="H1889" i="1"/>
  <c r="H1888" i="1" s="1"/>
  <c r="H1887" i="1" s="1"/>
  <c r="H1886" i="1" s="1"/>
  <c r="H1885" i="1" s="1"/>
  <c r="H1884" i="1" s="1"/>
  <c r="H1813" i="1"/>
  <c r="H1812" i="1" s="1"/>
  <c r="H1811" i="1" s="1"/>
  <c r="H1795" i="1"/>
  <c r="H1794" i="1" s="1"/>
  <c r="H1793" i="1" s="1"/>
  <c r="H1792" i="1" s="1"/>
  <c r="H1791" i="1" s="1"/>
  <c r="H1790" i="1" s="1"/>
  <c r="H1789" i="1" s="1"/>
  <c r="H1781" i="1"/>
  <c r="H1768" i="1"/>
  <c r="H1767" i="1" s="1"/>
  <c r="H1766" i="1" s="1"/>
  <c r="H1753" i="1"/>
  <c r="H1752" i="1" s="1"/>
  <c r="H1745" i="1"/>
  <c r="H1744" i="1" s="1"/>
  <c r="H1743" i="1" s="1"/>
  <c r="H1742" i="1" s="1"/>
  <c r="H1741" i="1" s="1"/>
  <c r="H1740" i="1" s="1"/>
  <c r="H1739" i="1"/>
  <c r="H1731" i="1"/>
  <c r="H1730" i="1" s="1"/>
  <c r="H1729" i="1" s="1"/>
  <c r="H1728" i="1"/>
  <c r="H1725" i="1"/>
  <c r="H1675" i="1"/>
  <c r="H1533" i="1"/>
  <c r="H1532" i="1" s="1"/>
  <c r="H1531" i="1" s="1"/>
  <c r="H1506" i="1"/>
  <c r="H1501" i="1"/>
  <c r="H1500" i="1" s="1"/>
  <c r="H1499" i="1" s="1"/>
  <c r="H1498" i="1" s="1"/>
  <c r="H1497" i="1" s="1"/>
  <c r="H1493" i="1"/>
  <c r="H1475" i="1"/>
  <c r="H1474" i="1" s="1"/>
  <c r="H1467" i="1"/>
  <c r="H1466" i="1" s="1"/>
  <c r="H1465" i="1" s="1"/>
  <c r="H1464" i="1" s="1"/>
  <c r="H1463" i="1" s="1"/>
  <c r="H1462" i="1" s="1"/>
  <c r="H1392" i="1"/>
  <c r="H1391" i="1" s="1"/>
  <c r="H1390" i="1" s="1"/>
  <c r="H1387" i="1"/>
  <c r="H1252" i="1"/>
  <c r="H1251" i="1" s="1"/>
  <c r="H1245" i="1"/>
  <c r="H1244" i="1" s="1"/>
  <c r="H1243" i="1" s="1"/>
  <c r="H1242" i="1" s="1"/>
  <c r="H1241" i="1" s="1"/>
  <c r="H1240" i="1" s="1"/>
  <c r="H1239" i="1"/>
  <c r="H1238" i="1" s="1"/>
  <c r="H1237" i="1" s="1"/>
  <c r="H1236" i="1" s="1"/>
  <c r="H1235" i="1" s="1"/>
  <c r="H1234" i="1" s="1"/>
  <c r="H1232" i="1"/>
  <c r="H1205" i="1"/>
  <c r="H1169" i="1"/>
  <c r="H1168" i="1" s="1"/>
  <c r="H1167" i="1" s="1"/>
  <c r="H1166" i="1"/>
  <c r="H1165" i="1" s="1"/>
  <c r="H1164" i="1" s="1"/>
  <c r="H1047" i="1"/>
  <c r="H1044" i="1"/>
  <c r="H1043" i="1" s="1"/>
  <c r="H1042" i="1" s="1"/>
  <c r="H1039" i="1"/>
  <c r="H1037" i="1" s="1"/>
  <c r="H1036" i="1" s="1"/>
  <c r="H1035" i="1"/>
  <c r="H1033" i="1" s="1"/>
  <c r="H1032" i="1" s="1"/>
  <c r="H970" i="1"/>
  <c r="H836" i="1"/>
  <c r="H835" i="1" s="1"/>
  <c r="H834" i="1" s="1"/>
  <c r="H833" i="1" s="1"/>
  <c r="H832" i="1" s="1"/>
  <c r="H825" i="1"/>
  <c r="H822" i="1" s="1"/>
  <c r="H811" i="1"/>
  <c r="H783" i="1"/>
  <c r="H744" i="1"/>
  <c r="H742" i="1" s="1"/>
  <c r="H741" i="1" s="1"/>
  <c r="H738" i="1"/>
  <c r="H737" i="1" s="1"/>
  <c r="H736" i="1" s="1"/>
  <c r="H735" i="1" s="1"/>
  <c r="H734" i="1" s="1"/>
  <c r="H640" i="1"/>
  <c r="H624" i="1"/>
  <c r="H623" i="1"/>
  <c r="H622" i="1" s="1"/>
  <c r="H621" i="1" s="1"/>
  <c r="H620" i="1" s="1"/>
  <c r="H619" i="1" s="1"/>
  <c r="H618" i="1" s="1"/>
  <c r="H613" i="1"/>
  <c r="H612" i="1" s="1"/>
  <c r="H562" i="1"/>
  <c r="H561" i="1" s="1"/>
  <c r="H560" i="1" s="1"/>
  <c r="H488" i="1"/>
  <c r="H334" i="1"/>
  <c r="H333" i="1" s="1"/>
  <c r="H305" i="1"/>
  <c r="H301" i="1"/>
  <c r="H300" i="1" s="1"/>
  <c r="H299" i="1" s="1"/>
  <c r="H298" i="1" s="1"/>
  <c r="H297" i="1"/>
  <c r="H279" i="1"/>
  <c r="H278" i="1" s="1"/>
  <c r="H277" i="1" s="1"/>
  <c r="H276" i="1" s="1"/>
  <c r="H269" i="1"/>
  <c r="H268" i="1" s="1"/>
  <c r="H221" i="1"/>
  <c r="H220" i="1" s="1"/>
  <c r="H219" i="1" s="1"/>
  <c r="H218" i="1"/>
  <c r="H205" i="1"/>
  <c r="H204" i="1" s="1"/>
  <c r="H203" i="1"/>
  <c r="H202" i="1" s="1"/>
  <c r="H200" i="1"/>
  <c r="H199" i="1" s="1"/>
  <c r="H198" i="1" s="1"/>
  <c r="H190" i="1"/>
  <c r="H188" i="1"/>
  <c r="H187" i="1" s="1"/>
  <c r="H159" i="1"/>
  <c r="H151" i="1"/>
  <c r="H150" i="1" s="1"/>
  <c r="H149" i="1" s="1"/>
  <c r="H121" i="1"/>
  <c r="H113" i="1"/>
  <c r="H112" i="1" s="1"/>
  <c r="H111" i="1" s="1"/>
  <c r="H110" i="1" s="1"/>
  <c r="H109" i="1" s="1"/>
  <c r="H99" i="1" s="1"/>
  <c r="H38" i="1"/>
  <c r="H30" i="1"/>
  <c r="H29" i="1" s="1"/>
  <c r="H15" i="1"/>
  <c r="H4631" i="1"/>
  <c r="H4630" i="1" s="1"/>
  <c r="H4492" i="1"/>
  <c r="H4491" i="1" s="1"/>
  <c r="H4490" i="1" s="1"/>
  <c r="H4489" i="1" s="1"/>
  <c r="H4488" i="1" s="1"/>
  <c r="L4464" i="1"/>
  <c r="L4463" i="1" s="1"/>
  <c r="H4464" i="1"/>
  <c r="H4463" i="1" s="1"/>
  <c r="H4468" i="1"/>
  <c r="H4467" i="1" s="1"/>
  <c r="H4466" i="1" s="1"/>
  <c r="H4412" i="1"/>
  <c r="H4443" i="1"/>
  <c r="H4441" i="1" s="1"/>
  <c r="H4430" i="1"/>
  <c r="H4416" i="1"/>
  <c r="H4415" i="1" s="1"/>
  <c r="H4414" i="1" s="1"/>
  <c r="H4399" i="1"/>
  <c r="H4398" i="1" s="1"/>
  <c r="H4397" i="1" s="1"/>
  <c r="H4396" i="1" s="1"/>
  <c r="H4395" i="1" s="1"/>
  <c r="H4341" i="1"/>
  <c r="H4340" i="1" s="1"/>
  <c r="H4339" i="1" s="1"/>
  <c r="H4337" i="1"/>
  <c r="H4329" i="1"/>
  <c r="H4328" i="1" s="1"/>
  <c r="H4327" i="1" s="1"/>
  <c r="H4319" i="1"/>
  <c r="H4318" i="1"/>
  <c r="H4271" i="1"/>
  <c r="H4257" i="1"/>
  <c r="H4256" i="1" s="1"/>
  <c r="H4255" i="1" s="1"/>
  <c r="H4240" i="1"/>
  <c r="H4239" i="1" s="1"/>
  <c r="H4175" i="1"/>
  <c r="H4174" i="1" s="1"/>
  <c r="H4169" i="1"/>
  <c r="H4128" i="1"/>
  <c r="H4127" i="1" s="1"/>
  <c r="H4123" i="1"/>
  <c r="H4122" i="1" s="1"/>
  <c r="H4064" i="1"/>
  <c r="H4063" i="1" s="1"/>
  <c r="H4055" i="1"/>
  <c r="H4043" i="1"/>
  <c r="H4042" i="1" s="1"/>
  <c r="H3999" i="1"/>
  <c r="H3998" i="1" s="1"/>
  <c r="H3997" i="1" s="1"/>
  <c r="H3955" i="1"/>
  <c r="H3954" i="1" s="1"/>
  <c r="H3953" i="1" s="1"/>
  <c r="H3936" i="1"/>
  <c r="H3926" i="1"/>
  <c r="H3925" i="1" s="1"/>
  <c r="H3924" i="1"/>
  <c r="H3923" i="1" s="1"/>
  <c r="H3905" i="1"/>
  <c r="H3904" i="1" s="1"/>
  <c r="H3903" i="1" s="1"/>
  <c r="H3902" i="1"/>
  <c r="H3897" i="1"/>
  <c r="H3896" i="1" s="1"/>
  <c r="H3895" i="1" s="1"/>
  <c r="H3894" i="1" s="1"/>
  <c r="H3873" i="1"/>
  <c r="H3872" i="1" s="1"/>
  <c r="H3871" i="1" s="1"/>
  <c r="H3870" i="1"/>
  <c r="H3869" i="1" s="1"/>
  <c r="H3868" i="1" s="1"/>
  <c r="H3867" i="1" s="1"/>
  <c r="H3855" i="1"/>
  <c r="H3778" i="1"/>
  <c r="H3777" i="1" s="1"/>
  <c r="H3776" i="1" s="1"/>
  <c r="H3775" i="1" s="1"/>
  <c r="H3771" i="1"/>
  <c r="H3770" i="1" s="1"/>
  <c r="H3769" i="1" s="1"/>
  <c r="H3724" i="1"/>
  <c r="H3723" i="1" s="1"/>
  <c r="H3703" i="1"/>
  <c r="H3667" i="1"/>
  <c r="H3666" i="1"/>
  <c r="H3586" i="1"/>
  <c r="H3585" i="1" s="1"/>
  <c r="H3584" i="1" s="1"/>
  <c r="H3583" i="1" s="1"/>
  <c r="H3582" i="1" s="1"/>
  <c r="H3581" i="1" s="1"/>
  <c r="H3524" i="1"/>
  <c r="H3520" i="1"/>
  <c r="H3519" i="1" s="1"/>
  <c r="H3518" i="1" s="1"/>
  <c r="H3508" i="1"/>
  <c r="H3507" i="1" s="1"/>
  <c r="H3506" i="1" s="1"/>
  <c r="H3491" i="1"/>
  <c r="H3490" i="1" s="1"/>
  <c r="H3489" i="1" s="1"/>
  <c r="H3488" i="1" s="1"/>
  <c r="H3487" i="1" s="1"/>
  <c r="H3486" i="1" s="1"/>
  <c r="H3485" i="1" s="1"/>
  <c r="H3484" i="1" s="1"/>
  <c r="H3468" i="1"/>
  <c r="H3421" i="1"/>
  <c r="H3420" i="1" s="1"/>
  <c r="H3419" i="1" s="1"/>
  <c r="H3390" i="1"/>
  <c r="H3389" i="1" s="1"/>
  <c r="H3388" i="1" s="1"/>
  <c r="H3387" i="1"/>
  <c r="H3386" i="1" s="1"/>
  <c r="H3385" i="1" s="1"/>
  <c r="H3381" i="1"/>
  <c r="H3378" i="1"/>
  <c r="H3377" i="1" s="1"/>
  <c r="H3376" i="1" s="1"/>
  <c r="H3069" i="1"/>
  <c r="H3068" i="1" s="1"/>
  <c r="H3067" i="1" s="1"/>
  <c r="H3066" i="1" s="1"/>
  <c r="H3065" i="1" s="1"/>
  <c r="H2764" i="1"/>
  <c r="H2763" i="1" s="1"/>
  <c r="H2758" i="1"/>
  <c r="H2654" i="1"/>
  <c r="H2653" i="1" s="1"/>
  <c r="H2652" i="1" s="1"/>
  <c r="H2651" i="1" s="1"/>
  <c r="H2616" i="1"/>
  <c r="H2615" i="1" s="1"/>
  <c r="H2614" i="1" s="1"/>
  <c r="H2515" i="1"/>
  <c r="H2404" i="1"/>
  <c r="H2331" i="1"/>
  <c r="H2330" i="1" s="1"/>
  <c r="H2329" i="1" s="1"/>
  <c r="H2227" i="1"/>
  <c r="H2226" i="1" s="1"/>
  <c r="H2216" i="1"/>
  <c r="H2215" i="1" s="1"/>
  <c r="H2214" i="1" s="1"/>
  <c r="H2149" i="1"/>
  <c r="H2076" i="1"/>
  <c r="H2075" i="1" s="1"/>
  <c r="H2074" i="1" s="1"/>
  <c r="H2073" i="1" s="1"/>
  <c r="H2072" i="1" s="1"/>
  <c r="H2071" i="1" s="1"/>
  <c r="H2070" i="1" s="1"/>
  <c r="H2056" i="1"/>
  <c r="H2055" i="1" s="1"/>
  <c r="H2054" i="1" s="1"/>
  <c r="H2053" i="1" s="1"/>
  <c r="H2052" i="1" s="1"/>
  <c r="H1786" i="1"/>
  <c r="H1785" i="1" s="1"/>
  <c r="H1784" i="1" s="1"/>
  <c r="H1783" i="1" s="1"/>
  <c r="H1782" i="1" s="1"/>
  <c r="H1586" i="1"/>
  <c r="H1536" i="1"/>
  <c r="H1535" i="1" s="1"/>
  <c r="H1534" i="1" s="1"/>
  <c r="H1521" i="1"/>
  <c r="H1520" i="1" s="1"/>
  <c r="H1519" i="1" s="1"/>
  <c r="H1518" i="1" s="1"/>
  <c r="H1517" i="1" s="1"/>
  <c r="H1516" i="1" s="1"/>
  <c r="H1515" i="1" s="1"/>
  <c r="H1461" i="1"/>
  <c r="H1460" i="1" s="1"/>
  <c r="H1459" i="1" s="1"/>
  <c r="H1458" i="1" s="1"/>
  <c r="H1457" i="1" s="1"/>
  <c r="H1450" i="1"/>
  <c r="H1447" i="1"/>
  <c r="H1446" i="1" s="1"/>
  <c r="H1445" i="1" s="1"/>
  <c r="H1300" i="1"/>
  <c r="H1299" i="1" s="1"/>
  <c r="H1298" i="1" s="1"/>
  <c r="H1297" i="1" s="1"/>
  <c r="H1250" i="1"/>
  <c r="H1249" i="1" s="1"/>
  <c r="H1112" i="1"/>
  <c r="H1101" i="1"/>
  <c r="H707" i="1"/>
  <c r="H706" i="1"/>
  <c r="H683" i="1"/>
  <c r="H594" i="1"/>
  <c r="H593" i="1" s="1"/>
  <c r="H592" i="1" s="1"/>
  <c r="H552" i="1"/>
  <c r="H551" i="1"/>
  <c r="H542" i="1"/>
  <c r="H528" i="1"/>
  <c r="H527" i="1"/>
  <c r="H511" i="1"/>
  <c r="H509" i="1" s="1"/>
  <c r="H506" i="1"/>
  <c r="H503" i="1"/>
  <c r="H501" i="1" s="1"/>
  <c r="H500" i="1" s="1"/>
  <c r="H380" i="1"/>
  <c r="H379" i="1" s="1"/>
  <c r="H292" i="1"/>
  <c r="H291" i="1" s="1"/>
  <c r="H290" i="1" s="1"/>
  <c r="H289" i="1" s="1"/>
  <c r="H275" i="1"/>
  <c r="H258" i="1"/>
  <c r="H145" i="1"/>
  <c r="H144" i="1" s="1"/>
  <c r="H143" i="1" s="1"/>
  <c r="H142" i="1" s="1"/>
  <c r="H141" i="1" s="1"/>
  <c r="H140" i="1" s="1"/>
  <c r="J4479" i="1"/>
  <c r="J4441" i="1"/>
  <c r="J4324" i="1"/>
  <c r="J4317" i="1"/>
  <c r="J2026" i="1"/>
  <c r="L2026" i="1"/>
  <c r="L2025" i="1" s="1"/>
  <c r="L2024" i="1" s="1"/>
  <c r="L2023" i="1" s="1"/>
  <c r="L2022" i="1" s="1"/>
  <c r="I3372" i="1"/>
  <c r="J3372" i="1"/>
  <c r="L3372" i="1"/>
  <c r="H3372" i="1"/>
  <c r="I4450" i="1"/>
  <c r="J4450" i="1"/>
  <c r="L4450" i="1"/>
  <c r="H4450" i="1"/>
  <c r="H4448" i="1"/>
  <c r="I2935" i="1"/>
  <c r="J2935" i="1"/>
  <c r="K2935" i="1" s="1"/>
  <c r="L2935" i="1"/>
  <c r="H2935" i="1"/>
  <c r="H2933" i="1"/>
  <c r="I1920" i="1"/>
  <c r="J1920" i="1"/>
  <c r="L1920" i="1"/>
  <c r="H1920" i="1"/>
  <c r="I931" i="1"/>
  <c r="I930" i="1" s="1"/>
  <c r="I929" i="1" s="1"/>
  <c r="I928" i="1" s="1"/>
  <c r="I893" i="1"/>
  <c r="I829" i="1"/>
  <c r="I828" i="1" s="1"/>
  <c r="I742" i="1"/>
  <c r="I741" i="1" s="1"/>
  <c r="J742" i="1"/>
  <c r="L742" i="1"/>
  <c r="L741" i="1" s="1"/>
  <c r="I153" i="1"/>
  <c r="I152" i="1" s="1"/>
  <c r="J153" i="1"/>
  <c r="L153" i="1"/>
  <c r="L152" i="1" s="1"/>
  <c r="H153" i="1"/>
  <c r="H152" i="1" s="1"/>
  <c r="I65" i="1"/>
  <c r="I64" i="1" s="1"/>
  <c r="J65" i="1"/>
  <c r="L65" i="1"/>
  <c r="L64" i="1" s="1"/>
  <c r="H65" i="1"/>
  <c r="H64" i="1" s="1"/>
  <c r="I4479" i="1"/>
  <c r="L4479" i="1"/>
  <c r="H4479" i="1"/>
  <c r="I4404" i="1"/>
  <c r="I4403" i="1" s="1"/>
  <c r="I4402" i="1" s="1"/>
  <c r="J4404" i="1"/>
  <c r="L4404" i="1"/>
  <c r="L4403" i="1" s="1"/>
  <c r="L4402" i="1" s="1"/>
  <c r="H4404" i="1"/>
  <c r="H4403" i="1" s="1"/>
  <c r="H4402" i="1" s="1"/>
  <c r="I3725" i="1"/>
  <c r="J3725" i="1"/>
  <c r="K3725" i="1" s="1"/>
  <c r="L3725" i="1"/>
  <c r="H3725" i="1"/>
  <c r="I2062" i="1"/>
  <c r="J2062" i="1"/>
  <c r="K2062" i="1" s="1"/>
  <c r="L2062" i="1"/>
  <c r="H2062" i="1"/>
  <c r="H2038" i="1"/>
  <c r="I2038" i="1"/>
  <c r="J2038" i="1"/>
  <c r="L2038" i="1"/>
  <c r="I1472" i="1"/>
  <c r="J1472" i="1"/>
  <c r="K1472" i="1" s="1"/>
  <c r="L1472" i="1"/>
  <c r="H1472" i="1"/>
  <c r="I1265" i="1"/>
  <c r="J1265" i="1"/>
  <c r="K1265" i="1" s="1"/>
  <c r="L1265" i="1"/>
  <c r="H1265" i="1"/>
  <c r="I1191" i="1"/>
  <c r="J1191" i="1"/>
  <c r="K1191" i="1" s="1"/>
  <c r="L1191" i="1"/>
  <c r="H1191" i="1"/>
  <c r="I926" i="1"/>
  <c r="J926" i="1"/>
  <c r="K926" i="1" s="1"/>
  <c r="L926" i="1"/>
  <c r="H926" i="1"/>
  <c r="I4579" i="1"/>
  <c r="I4578" i="1" s="1"/>
  <c r="I4577" i="1" s="1"/>
  <c r="I4576" i="1" s="1"/>
  <c r="J4579" i="1"/>
  <c r="L4579" i="1"/>
  <c r="L4578" i="1" s="1"/>
  <c r="L4577" i="1" s="1"/>
  <c r="L4576" i="1" s="1"/>
  <c r="H4579" i="1"/>
  <c r="H4578" i="1" s="1"/>
  <c r="H4577" i="1" s="1"/>
  <c r="H4576" i="1" s="1"/>
  <c r="I4084" i="1"/>
  <c r="I4083" i="1" s="1"/>
  <c r="I4082" i="1" s="1"/>
  <c r="J4084" i="1"/>
  <c r="L4084" i="1"/>
  <c r="L4083" i="1" s="1"/>
  <c r="L4082" i="1" s="1"/>
  <c r="H4084" i="1"/>
  <c r="H4083" i="1" s="1"/>
  <c r="H4082" i="1" s="1"/>
  <c r="I3048" i="1"/>
  <c r="I3047" i="1" s="1"/>
  <c r="I3046" i="1" s="1"/>
  <c r="I3045" i="1" s="1"/>
  <c r="I3044" i="1" s="1"/>
  <c r="J3048" i="1"/>
  <c r="L3048" i="1"/>
  <c r="L3047" i="1" s="1"/>
  <c r="L3046" i="1" s="1"/>
  <c r="L3045" i="1" s="1"/>
  <c r="L3044" i="1" s="1"/>
  <c r="H3048" i="1"/>
  <c r="H3047" i="1" s="1"/>
  <c r="H3046" i="1" s="1"/>
  <c r="H3045" i="1" s="1"/>
  <c r="H3044" i="1" s="1"/>
  <c r="I2883" i="1"/>
  <c r="J2883" i="1"/>
  <c r="K2883" i="1" s="1"/>
  <c r="L2883" i="1"/>
  <c r="I2885" i="1"/>
  <c r="J2885" i="1"/>
  <c r="L2885" i="1"/>
  <c r="H2885" i="1"/>
  <c r="H2883" i="1"/>
  <c r="I2877" i="1"/>
  <c r="I2876" i="1" s="1"/>
  <c r="I2875" i="1" s="1"/>
  <c r="I2874" i="1" s="1"/>
  <c r="J2877" i="1"/>
  <c r="L2877" i="1"/>
  <c r="L2876" i="1" s="1"/>
  <c r="L2875" i="1" s="1"/>
  <c r="L2874" i="1" s="1"/>
  <c r="H2877" i="1"/>
  <c r="H2876" i="1" s="1"/>
  <c r="H2875" i="1" s="1"/>
  <c r="H2874" i="1" s="1"/>
  <c r="I2749" i="1"/>
  <c r="I2748" i="1" s="1"/>
  <c r="I2747" i="1" s="1"/>
  <c r="J2749" i="1"/>
  <c r="L2749" i="1"/>
  <c r="L2748" i="1" s="1"/>
  <c r="L2747" i="1" s="1"/>
  <c r="H2749" i="1"/>
  <c r="H2748" i="1" s="1"/>
  <c r="H2747" i="1" s="1"/>
  <c r="I2632" i="1"/>
  <c r="J2632" i="1"/>
  <c r="K2632" i="1" s="1"/>
  <c r="L2632" i="1"/>
  <c r="I2634" i="1"/>
  <c r="J2634" i="1"/>
  <c r="L2634" i="1"/>
  <c r="H2634" i="1"/>
  <c r="H2632" i="1"/>
  <c r="I2586" i="1"/>
  <c r="I2585" i="1" s="1"/>
  <c r="I2584" i="1" s="1"/>
  <c r="I2583" i="1" s="1"/>
  <c r="J2586" i="1"/>
  <c r="L2586" i="1"/>
  <c r="L2585" i="1" s="1"/>
  <c r="L2584" i="1" s="1"/>
  <c r="L2583" i="1" s="1"/>
  <c r="H2586" i="1"/>
  <c r="H2585" i="1" s="1"/>
  <c r="H2584" i="1" s="1"/>
  <c r="H2583" i="1" s="1"/>
  <c r="I2386" i="1"/>
  <c r="J2386" i="1"/>
  <c r="K2386" i="1" s="1"/>
  <c r="L2386" i="1"/>
  <c r="I2388" i="1"/>
  <c r="J2388" i="1"/>
  <c r="L2388" i="1"/>
  <c r="H2388" i="1"/>
  <c r="H2386" i="1"/>
  <c r="I2345" i="1"/>
  <c r="I2344" i="1" s="1"/>
  <c r="I2343" i="1" s="1"/>
  <c r="I2342" i="1" s="1"/>
  <c r="J2345" i="1"/>
  <c r="H2345" i="1"/>
  <c r="H2344" i="1" s="1"/>
  <c r="H2343" i="1" s="1"/>
  <c r="H2342" i="1" s="1"/>
  <c r="I2255" i="1"/>
  <c r="I2254" i="1" s="1"/>
  <c r="I2253" i="1" s="1"/>
  <c r="I2252" i="1" s="1"/>
  <c r="J2255" i="1"/>
  <c r="L2255" i="1"/>
  <c r="L2254" i="1" s="1"/>
  <c r="L2253" i="1" s="1"/>
  <c r="L2252" i="1" s="1"/>
  <c r="H2255" i="1"/>
  <c r="H2254" i="1" s="1"/>
  <c r="H2253" i="1" s="1"/>
  <c r="H2252" i="1" s="1"/>
  <c r="I2107" i="1"/>
  <c r="J2107" i="1"/>
  <c r="L2107" i="1"/>
  <c r="I2109" i="1"/>
  <c r="J2109" i="1"/>
  <c r="L2109" i="1"/>
  <c r="H2109" i="1"/>
  <c r="H2107" i="1"/>
  <c r="I1965" i="1"/>
  <c r="I1964" i="1" s="1"/>
  <c r="I1963" i="1" s="1"/>
  <c r="I1962" i="1" s="1"/>
  <c r="J1965" i="1"/>
  <c r="L1965" i="1"/>
  <c r="L1964" i="1" s="1"/>
  <c r="L1963" i="1" s="1"/>
  <c r="L1962" i="1" s="1"/>
  <c r="H1965" i="1"/>
  <c r="H1964" i="1" s="1"/>
  <c r="H1963" i="1" s="1"/>
  <c r="H1962" i="1" s="1"/>
  <c r="I1849" i="1"/>
  <c r="I1848" i="1" s="1"/>
  <c r="I1847" i="1" s="1"/>
  <c r="I1846" i="1" s="1"/>
  <c r="J1849" i="1"/>
  <c r="L1849" i="1"/>
  <c r="L1848" i="1" s="1"/>
  <c r="L1847" i="1" s="1"/>
  <c r="L1846" i="1" s="1"/>
  <c r="H1849" i="1"/>
  <c r="H1848" i="1" s="1"/>
  <c r="H1847" i="1" s="1"/>
  <c r="H1846" i="1" s="1"/>
  <c r="I1834" i="1"/>
  <c r="J1834" i="1"/>
  <c r="L1834" i="1"/>
  <c r="I1836" i="1"/>
  <c r="J1836" i="1"/>
  <c r="K1836" i="1" s="1"/>
  <c r="L1836" i="1"/>
  <c r="H1836" i="1"/>
  <c r="H1834" i="1"/>
  <c r="I1554" i="1"/>
  <c r="J1554" i="1"/>
  <c r="L1554" i="1"/>
  <c r="I1556" i="1"/>
  <c r="J1556" i="1"/>
  <c r="K1556" i="1" s="1"/>
  <c r="L1556" i="1"/>
  <c r="H1556" i="1"/>
  <c r="H1554" i="1"/>
  <c r="I1546" i="1"/>
  <c r="I1545" i="1" s="1"/>
  <c r="I1544" i="1" s="1"/>
  <c r="I1543" i="1" s="1"/>
  <c r="J1546" i="1"/>
  <c r="L1546" i="1"/>
  <c r="I1548" i="1"/>
  <c r="J1548" i="1"/>
  <c r="L1548" i="1"/>
  <c r="H1548" i="1"/>
  <c r="H1546" i="1"/>
  <c r="I1485" i="1"/>
  <c r="I1484" i="1" s="1"/>
  <c r="I1483" i="1" s="1"/>
  <c r="I1482" i="1" s="1"/>
  <c r="J1485" i="1"/>
  <c r="L1485" i="1"/>
  <c r="L1484" i="1" s="1"/>
  <c r="L1483" i="1" s="1"/>
  <c r="L1482" i="1" s="1"/>
  <c r="H1485" i="1"/>
  <c r="H1484" i="1" s="1"/>
  <c r="H1483" i="1" s="1"/>
  <c r="H1482" i="1" s="1"/>
  <c r="I1359" i="1"/>
  <c r="I1358" i="1" s="1"/>
  <c r="I1357" i="1" s="1"/>
  <c r="I1356" i="1" s="1"/>
  <c r="J1359" i="1"/>
  <c r="L1359" i="1"/>
  <c r="L1358" i="1" s="1"/>
  <c r="L1357" i="1" s="1"/>
  <c r="L1356" i="1" s="1"/>
  <c r="H1359" i="1"/>
  <c r="H1358" i="1" s="1"/>
  <c r="H1357" i="1" s="1"/>
  <c r="H1356" i="1" s="1"/>
  <c r="I1273" i="1"/>
  <c r="J1273" i="1"/>
  <c r="L1273" i="1"/>
  <c r="I1275" i="1"/>
  <c r="J1275" i="1"/>
  <c r="K1275" i="1" s="1"/>
  <c r="L1275" i="1"/>
  <c r="H1275" i="1"/>
  <c r="H1273" i="1"/>
  <c r="I1217" i="1"/>
  <c r="I1216" i="1" s="1"/>
  <c r="I1215" i="1" s="1"/>
  <c r="I1214" i="1" s="1"/>
  <c r="J1217" i="1"/>
  <c r="L1217" i="1"/>
  <c r="L1216" i="1" s="1"/>
  <c r="L1215" i="1" s="1"/>
  <c r="L1214" i="1" s="1"/>
  <c r="H1217" i="1"/>
  <c r="H1216" i="1" s="1"/>
  <c r="H1215" i="1" s="1"/>
  <c r="H1214" i="1" s="1"/>
  <c r="I1121" i="1"/>
  <c r="I1120" i="1" s="1"/>
  <c r="I1119" i="1" s="1"/>
  <c r="I1118" i="1" s="1"/>
  <c r="J1121" i="1"/>
  <c r="L1121" i="1"/>
  <c r="L1120" i="1" s="1"/>
  <c r="L1119" i="1" s="1"/>
  <c r="L1118" i="1" s="1"/>
  <c r="H1121" i="1"/>
  <c r="H1120" i="1" s="1"/>
  <c r="H1119" i="1" s="1"/>
  <c r="H1118" i="1" s="1"/>
  <c r="I1060" i="1"/>
  <c r="I1059" i="1" s="1"/>
  <c r="I1058" i="1" s="1"/>
  <c r="I1057" i="1" s="1"/>
  <c r="I1056" i="1" s="1"/>
  <c r="J1060" i="1"/>
  <c r="L1060" i="1"/>
  <c r="L1059" i="1" s="1"/>
  <c r="L1058" i="1" s="1"/>
  <c r="L1057" i="1" s="1"/>
  <c r="L1056" i="1" s="1"/>
  <c r="H1060" i="1"/>
  <c r="H1059" i="1" s="1"/>
  <c r="H1058" i="1" s="1"/>
  <c r="H1057" i="1" s="1"/>
  <c r="H1056" i="1" s="1"/>
  <c r="I958" i="1"/>
  <c r="I957" i="1" s="1"/>
  <c r="I956" i="1" s="1"/>
  <c r="I955" i="1" s="1"/>
  <c r="J958" i="1"/>
  <c r="L958" i="1"/>
  <c r="L957" i="1" s="1"/>
  <c r="L956" i="1" s="1"/>
  <c r="L955" i="1" s="1"/>
  <c r="H958" i="1"/>
  <c r="H957" i="1" s="1"/>
  <c r="H956" i="1" s="1"/>
  <c r="H955" i="1" s="1"/>
  <c r="I4677" i="1"/>
  <c r="I4676" i="1" s="1"/>
  <c r="I4675" i="1" s="1"/>
  <c r="I4674" i="1" s="1"/>
  <c r="J4677" i="1"/>
  <c r="L4677" i="1"/>
  <c r="L4676" i="1" s="1"/>
  <c r="L4675" i="1" s="1"/>
  <c r="L4674" i="1" s="1"/>
  <c r="H4677" i="1"/>
  <c r="H4676" i="1" s="1"/>
  <c r="H4675" i="1" s="1"/>
  <c r="H4674" i="1" s="1"/>
  <c r="H4622" i="1"/>
  <c r="H4621" i="1" s="1"/>
  <c r="H4620" i="1" s="1"/>
  <c r="H4619" i="1"/>
  <c r="I4467" i="1"/>
  <c r="I4466" i="1" s="1"/>
  <c r="J4467" i="1"/>
  <c r="L4467" i="1"/>
  <c r="L4466" i="1" s="1"/>
  <c r="H4363" i="1"/>
  <c r="I4328" i="1"/>
  <c r="I4327" i="1" s="1"/>
  <c r="J4328" i="1"/>
  <c r="L4328" i="1"/>
  <c r="L4327" i="1" s="1"/>
  <c r="H4192" i="1"/>
  <c r="H4111" i="1"/>
  <c r="H4110" i="1" s="1"/>
  <c r="H4109" i="1" s="1"/>
  <c r="H4108" i="1" s="1"/>
  <c r="H4071" i="1"/>
  <c r="H4070" i="1" s="1"/>
  <c r="H3972" i="1"/>
  <c r="H3971" i="1" s="1"/>
  <c r="H3970" i="1" s="1"/>
  <c r="H3969" i="1" s="1"/>
  <c r="H3789" i="1"/>
  <c r="H3746" i="1"/>
  <c r="H3745" i="1" s="1"/>
  <c r="I3730" i="1"/>
  <c r="I3729" i="1" s="1"/>
  <c r="I3728" i="1" s="1"/>
  <c r="J3730" i="1"/>
  <c r="L3730" i="1"/>
  <c r="L3729" i="1" s="1"/>
  <c r="L3728" i="1" s="1"/>
  <c r="H3730" i="1"/>
  <c r="H3729" i="1" s="1"/>
  <c r="H3728" i="1" s="1"/>
  <c r="H3709" i="1"/>
  <c r="H3639" i="1"/>
  <c r="H3638" i="1" s="1"/>
  <c r="H3637" i="1" s="1"/>
  <c r="H3636" i="1" s="1"/>
  <c r="H3622" i="1"/>
  <c r="H3621" i="1" s="1"/>
  <c r="H3620" i="1" s="1"/>
  <c r="H3609" i="1"/>
  <c r="H3608" i="1" s="1"/>
  <c r="H3607" i="1" s="1"/>
  <c r="H3580" i="1"/>
  <c r="I3546" i="1"/>
  <c r="J3546" i="1"/>
  <c r="L3546" i="1"/>
  <c r="H3546" i="1"/>
  <c r="H3476" i="1"/>
  <c r="H3474" i="1" s="1"/>
  <c r="H3473" i="1" s="1"/>
  <c r="H3472" i="1" s="1"/>
  <c r="H3471" i="1" s="1"/>
  <c r="H3470" i="1" s="1"/>
  <c r="H3469" i="1" s="1"/>
  <c r="H3452" i="1"/>
  <c r="H3449" i="1"/>
  <c r="H3448" i="1" s="1"/>
  <c r="H3447" i="1" s="1"/>
  <c r="I3436" i="1"/>
  <c r="I3435" i="1" s="1"/>
  <c r="J3436" i="1"/>
  <c r="L3436" i="1"/>
  <c r="L3435" i="1" s="1"/>
  <c r="H3436" i="1"/>
  <c r="H3435" i="1" s="1"/>
  <c r="H3404" i="1"/>
  <c r="H3338" i="1"/>
  <c r="H3337" i="1" s="1"/>
  <c r="H3336" i="1" s="1"/>
  <c r="H3335" i="1" s="1"/>
  <c r="H3334" i="1" s="1"/>
  <c r="H3290" i="1"/>
  <c r="H3289" i="1" s="1"/>
  <c r="H3284" i="1"/>
  <c r="H3250" i="1"/>
  <c r="H3231" i="1"/>
  <c r="H3230" i="1" s="1"/>
  <c r="H3229" i="1" s="1"/>
  <c r="H3228" i="1" s="1"/>
  <c r="H3194" i="1"/>
  <c r="H3131" i="1"/>
  <c r="H3100" i="1"/>
  <c r="H3094" i="1"/>
  <c r="H3093" i="1" s="1"/>
  <c r="H3092" i="1" s="1"/>
  <c r="H2930" i="1"/>
  <c r="H2929" i="1" s="1"/>
  <c r="H2928" i="1" s="1"/>
  <c r="H2927" i="1" s="1"/>
  <c r="H2926" i="1" s="1"/>
  <c r="H2925" i="1"/>
  <c r="H2909" i="1"/>
  <c r="H2873" i="1"/>
  <c r="H2872" i="1" s="1"/>
  <c r="H2871" i="1" s="1"/>
  <c r="H2870" i="1" s="1"/>
  <c r="H2869" i="1" s="1"/>
  <c r="H2868" i="1" s="1"/>
  <c r="H2867" i="1"/>
  <c r="H2866" i="1" s="1"/>
  <c r="H2865" i="1" s="1"/>
  <c r="H2859" i="1"/>
  <c r="H2852" i="1"/>
  <c r="H2834" i="1"/>
  <c r="H2833" i="1" s="1"/>
  <c r="H2832" i="1" s="1"/>
  <c r="H2831" i="1" s="1"/>
  <c r="H2830" i="1" s="1"/>
  <c r="H2799" i="1"/>
  <c r="H2798" i="1" s="1"/>
  <c r="H2797" i="1" s="1"/>
  <c r="H2796" i="1" s="1"/>
  <c r="H2795" i="1" s="1"/>
  <c r="H2791" i="1"/>
  <c r="H2658" i="1"/>
  <c r="H2622" i="1"/>
  <c r="H2621" i="1" s="1"/>
  <c r="H2620" i="1" s="1"/>
  <c r="H2619" i="1" s="1"/>
  <c r="H2618" i="1" s="1"/>
  <c r="H2602" i="1"/>
  <c r="H2577" i="1"/>
  <c r="H2572" i="1"/>
  <c r="H2569" i="1"/>
  <c r="H2568" i="1" s="1"/>
  <c r="H2567" i="1" s="1"/>
  <c r="H2415" i="1"/>
  <c r="H2414" i="1" s="1"/>
  <c r="H2413" i="1" s="1"/>
  <c r="H2412" i="1" s="1"/>
  <c r="H2411" i="1" s="1"/>
  <c r="H2410" i="1" s="1"/>
  <c r="H2409" i="1" s="1"/>
  <c r="H2408" i="1" s="1"/>
  <c r="H2374" i="1"/>
  <c r="H2368" i="1"/>
  <c r="H2290" i="1"/>
  <c r="H2289" i="1" s="1"/>
  <c r="H2288" i="1" s="1"/>
  <c r="H2263" i="1"/>
  <c r="H2262" i="1" s="1"/>
  <c r="H2261" i="1" s="1"/>
  <c r="H2260" i="1" s="1"/>
  <c r="H2259" i="1" s="1"/>
  <c r="H2258" i="1" s="1"/>
  <c r="H2141" i="1"/>
  <c r="H2091" i="1"/>
  <c r="H2010" i="1"/>
  <c r="H2009" i="1" s="1"/>
  <c r="H2008" i="1" s="1"/>
  <c r="H2007" i="1"/>
  <c r="H1952" i="1"/>
  <c r="H1902" i="1"/>
  <c r="H1822" i="1"/>
  <c r="H1821" i="1" s="1"/>
  <c r="H1820" i="1" s="1"/>
  <c r="H1819" i="1" s="1"/>
  <c r="H1818" i="1" s="1"/>
  <c r="H1816" i="1"/>
  <c r="H1815" i="1" s="1"/>
  <c r="H1814" i="1" s="1"/>
  <c r="H1802" i="1"/>
  <c r="H1776" i="1"/>
  <c r="H1705" i="1"/>
  <c r="H1704" i="1" s="1"/>
  <c r="H1620" i="1"/>
  <c r="H1619" i="1" s="1"/>
  <c r="H1618" i="1" s="1"/>
  <c r="H1617" i="1" s="1"/>
  <c r="H1616" i="1" s="1"/>
  <c r="H1615" i="1" s="1"/>
  <c r="H1614" i="1" s="1"/>
  <c r="H1607" i="1"/>
  <c r="H1602" i="1"/>
  <c r="H1542" i="1"/>
  <c r="H1541" i="1" s="1"/>
  <c r="H1540" i="1" s="1"/>
  <c r="H1539" i="1" s="1"/>
  <c r="H1538" i="1" s="1"/>
  <c r="H1496" i="1"/>
  <c r="H1495" i="1" s="1"/>
  <c r="H1494" i="1" s="1"/>
  <c r="H1332" i="1"/>
  <c r="H1316" i="1"/>
  <c r="H1261" i="1"/>
  <c r="H1260" i="1" s="1"/>
  <c r="H1259" i="1" s="1"/>
  <c r="H1258" i="1" s="1"/>
  <c r="H1257" i="1" s="1"/>
  <c r="H1255" i="1"/>
  <c r="H1148" i="1"/>
  <c r="H1142" i="1"/>
  <c r="H859" i="1"/>
  <c r="H857" i="1" s="1"/>
  <c r="H856" i="1" s="1"/>
  <c r="H855" i="1" s="1"/>
  <c r="H854" i="1" s="1"/>
  <c r="H853" i="1" s="1"/>
  <c r="H852" i="1" s="1"/>
  <c r="H722" i="1"/>
  <c r="H721" i="1" s="1"/>
  <c r="H720" i="1" s="1"/>
  <c r="H686" i="1"/>
  <c r="H679" i="1"/>
  <c r="H678" i="1" s="1"/>
  <c r="H677" i="1" s="1"/>
  <c r="I596" i="1"/>
  <c r="I595" i="1" s="1"/>
  <c r="J596" i="1"/>
  <c r="L596" i="1"/>
  <c r="L595" i="1" s="1"/>
  <c r="H596" i="1"/>
  <c r="H595" i="1" s="1"/>
  <c r="H588" i="1"/>
  <c r="H587" i="1" s="1"/>
  <c r="H586" i="1" s="1"/>
  <c r="H474" i="1"/>
  <c r="H472" i="1" s="1"/>
  <c r="H428" i="1"/>
  <c r="H426" i="1" s="1"/>
  <c r="H425" i="1" s="1"/>
  <c r="H424" i="1" s="1"/>
  <c r="H423" i="1" s="1"/>
  <c r="H422" i="1" s="1"/>
  <c r="H405" i="1"/>
  <c r="I401" i="1"/>
  <c r="I400" i="1" s="1"/>
  <c r="J401" i="1"/>
  <c r="L401" i="1"/>
  <c r="L400" i="1" s="1"/>
  <c r="H401" i="1"/>
  <c r="H400" i="1" s="1"/>
  <c r="H263" i="1"/>
  <c r="H262" i="1" s="1"/>
  <c r="H261" i="1" s="1"/>
  <c r="H260" i="1" s="1"/>
  <c r="H196" i="1"/>
  <c r="I91" i="1"/>
  <c r="I90" i="1" s="1"/>
  <c r="J91" i="1"/>
  <c r="L91" i="1"/>
  <c r="L90" i="1" s="1"/>
  <c r="I94" i="1"/>
  <c r="I93" i="1" s="1"/>
  <c r="J94" i="1"/>
  <c r="L94" i="1"/>
  <c r="L93" i="1" s="1"/>
  <c r="H94" i="1"/>
  <c r="H93" i="1" s="1"/>
  <c r="H91" i="1"/>
  <c r="H90" i="1" s="1"/>
  <c r="I68" i="1"/>
  <c r="I67" i="1" s="1"/>
  <c r="J68" i="1"/>
  <c r="L68" i="1"/>
  <c r="L67" i="1" s="1"/>
  <c r="H68" i="1"/>
  <c r="H67" i="1" s="1"/>
  <c r="I40" i="1"/>
  <c r="I39" i="1" s="1"/>
  <c r="J40" i="1"/>
  <c r="L40" i="1"/>
  <c r="L39" i="1" s="1"/>
  <c r="H40" i="1"/>
  <c r="H39" i="1" s="1"/>
  <c r="H25" i="1"/>
  <c r="H24" i="1" s="1"/>
  <c r="H18" i="1"/>
  <c r="H16" i="1" s="1"/>
  <c r="J1013" i="1"/>
  <c r="L698" i="1"/>
  <c r="L697" i="1" s="1"/>
  <c r="L696" i="1" s="1"/>
  <c r="L695" i="1" s="1"/>
  <c r="J763" i="1"/>
  <c r="K763" i="1" s="1"/>
  <c r="I4697" i="1"/>
  <c r="I4696" i="1" s="1"/>
  <c r="J4697" i="1"/>
  <c r="L4697" i="1"/>
  <c r="L4696" i="1" s="1"/>
  <c r="H4697" i="1"/>
  <c r="H4696" i="1" s="1"/>
  <c r="I4682" i="1"/>
  <c r="I4681" i="1" s="1"/>
  <c r="J4682" i="1"/>
  <c r="L4682" i="1"/>
  <c r="L4681" i="1" s="1"/>
  <c r="H4682" i="1"/>
  <c r="H4681" i="1" s="1"/>
  <c r="I4470" i="1"/>
  <c r="I4469" i="1" s="1"/>
  <c r="J4470" i="1"/>
  <c r="L4470" i="1"/>
  <c r="L4469" i="1" s="1"/>
  <c r="I4125" i="1"/>
  <c r="J4125" i="1"/>
  <c r="L4125" i="1"/>
  <c r="H4125" i="1"/>
  <c r="I4120" i="1"/>
  <c r="J4120" i="1"/>
  <c r="L4120" i="1"/>
  <c r="H4120" i="1"/>
  <c r="H4088" i="1"/>
  <c r="H4087" i="1" s="1"/>
  <c r="H4086" i="1" s="1"/>
  <c r="J4088" i="1"/>
  <c r="L4088" i="1"/>
  <c r="L4087" i="1" s="1"/>
  <c r="L4086" i="1" s="1"/>
  <c r="I4088" i="1"/>
  <c r="I4087" i="1" s="1"/>
  <c r="I4086" i="1" s="1"/>
  <c r="I3318" i="1"/>
  <c r="J3318" i="1"/>
  <c r="L3318" i="1"/>
  <c r="H3318" i="1"/>
  <c r="H3317" i="1" s="1"/>
  <c r="H3316" i="1" s="1"/>
  <c r="H3315" i="1" s="1"/>
  <c r="I3053" i="1"/>
  <c r="I3052" i="1" s="1"/>
  <c r="I3051" i="1" s="1"/>
  <c r="I3050" i="1" s="1"/>
  <c r="J3053" i="1"/>
  <c r="L3053" i="1"/>
  <c r="L3052" i="1" s="1"/>
  <c r="L3051" i="1" s="1"/>
  <c r="L3050" i="1" s="1"/>
  <c r="H3053" i="1"/>
  <c r="H3052" i="1" s="1"/>
  <c r="H3051" i="1" s="1"/>
  <c r="H3050" i="1" s="1"/>
  <c r="I2957" i="1"/>
  <c r="J2957" i="1"/>
  <c r="L2957" i="1"/>
  <c r="H2957" i="1"/>
  <c r="I2810" i="1"/>
  <c r="J2810" i="1"/>
  <c r="L2810" i="1"/>
  <c r="H2810" i="1"/>
  <c r="I2626" i="1"/>
  <c r="I2625" i="1" s="1"/>
  <c r="I2624" i="1" s="1"/>
  <c r="I2623" i="1" s="1"/>
  <c r="J2626" i="1"/>
  <c r="L2626" i="1"/>
  <c r="L2625" i="1" s="1"/>
  <c r="L2624" i="1" s="1"/>
  <c r="L2623" i="1" s="1"/>
  <c r="H2626" i="1"/>
  <c r="H2625" i="1" s="1"/>
  <c r="H2624" i="1" s="1"/>
  <c r="H2623" i="1" s="1"/>
  <c r="I2555" i="1"/>
  <c r="J2555" i="1"/>
  <c r="L2555" i="1"/>
  <c r="H2555" i="1"/>
  <c r="I2378" i="1"/>
  <c r="J2378" i="1"/>
  <c r="L2378" i="1"/>
  <c r="I2380" i="1"/>
  <c r="J2380" i="1"/>
  <c r="K2380" i="1" s="1"/>
  <c r="L2380" i="1"/>
  <c r="H2378" i="1"/>
  <c r="H2380" i="1"/>
  <c r="H2392" i="1"/>
  <c r="H2391" i="1" s="1"/>
  <c r="H2390" i="1" s="1"/>
  <c r="H2401" i="1"/>
  <c r="H2403" i="1"/>
  <c r="H2405" i="1"/>
  <c r="H2423" i="1"/>
  <c r="H2422" i="1" s="1"/>
  <c r="H2421" i="1" s="1"/>
  <c r="H2420" i="1" s="1"/>
  <c r="H2419" i="1" s="1"/>
  <c r="H2418" i="1" s="1"/>
  <c r="H2417" i="1" s="1"/>
  <c r="H2416" i="1" s="1"/>
  <c r="H2430" i="1"/>
  <c r="H2429" i="1" s="1"/>
  <c r="H2428" i="1" s="1"/>
  <c r="H2427" i="1" s="1"/>
  <c r="H2426" i="1" s="1"/>
  <c r="I2320" i="1"/>
  <c r="J2320" i="1"/>
  <c r="L2320" i="1"/>
  <c r="H2320" i="1"/>
  <c r="I2312" i="1"/>
  <c r="J2312" i="1"/>
  <c r="L2312" i="1"/>
  <c r="H2312" i="1"/>
  <c r="I1826" i="1"/>
  <c r="J1826" i="1"/>
  <c r="L1826" i="1"/>
  <c r="I1828" i="1"/>
  <c r="J1828" i="1"/>
  <c r="L1828" i="1"/>
  <c r="H1828" i="1"/>
  <c r="H1826" i="1"/>
  <c r="I1758" i="1"/>
  <c r="J1758" i="1"/>
  <c r="L1758" i="1"/>
  <c r="I1760" i="1"/>
  <c r="J1760" i="1"/>
  <c r="K1760" i="1" s="1"/>
  <c r="L1760" i="1"/>
  <c r="H1760" i="1"/>
  <c r="H1758" i="1"/>
  <c r="I1750" i="1"/>
  <c r="J1750" i="1"/>
  <c r="L1750" i="1"/>
  <c r="H1750" i="1"/>
  <c r="I1612" i="1"/>
  <c r="J1612" i="1"/>
  <c r="L1612" i="1"/>
  <c r="H1612" i="1"/>
  <c r="I1562" i="1"/>
  <c r="J1562" i="1"/>
  <c r="L1562" i="1"/>
  <c r="H1562" i="1"/>
  <c r="H1560" i="1"/>
  <c r="I1342" i="1"/>
  <c r="J1342" i="1"/>
  <c r="K1342" i="1" s="1"/>
  <c r="L1342" i="1"/>
  <c r="H1342" i="1"/>
  <c r="I1072" i="1"/>
  <c r="J1072" i="1"/>
  <c r="K1072" i="1" s="1"/>
  <c r="L1072" i="1"/>
  <c r="H1072" i="1"/>
  <c r="I815" i="1"/>
  <c r="J815" i="1"/>
  <c r="K815" i="1" s="1"/>
  <c r="L815" i="1"/>
  <c r="H815" i="1"/>
  <c r="I763" i="1"/>
  <c r="I762" i="1" s="1"/>
  <c r="L763" i="1"/>
  <c r="L762" i="1" s="1"/>
  <c r="H763" i="1"/>
  <c r="H762" i="1" s="1"/>
  <c r="I88" i="1"/>
  <c r="I87" i="1" s="1"/>
  <c r="J88" i="1"/>
  <c r="L88" i="1"/>
  <c r="L87" i="1" s="1"/>
  <c r="I97" i="1"/>
  <c r="I96" i="1" s="1"/>
  <c r="J97" i="1"/>
  <c r="L97" i="1"/>
  <c r="L96" i="1" s="1"/>
  <c r="H97" i="1"/>
  <c r="H96" i="1" s="1"/>
  <c r="H88" i="1"/>
  <c r="H87" i="1" s="1"/>
  <c r="J1026" i="1"/>
  <c r="I4241" i="1"/>
  <c r="J4241" i="1"/>
  <c r="K4241" i="1" s="1"/>
  <c r="L4241" i="1"/>
  <c r="H4241" i="1"/>
  <c r="I4104" i="1"/>
  <c r="I4103" i="1" s="1"/>
  <c r="J4104" i="1"/>
  <c r="L4104" i="1"/>
  <c r="L4103" i="1" s="1"/>
  <c r="H4104" i="1"/>
  <c r="H4103" i="1" s="1"/>
  <c r="I3877" i="1"/>
  <c r="I3876" i="1" s="1"/>
  <c r="I3875" i="1" s="1"/>
  <c r="I3874" i="1" s="1"/>
  <c r="J3877" i="1"/>
  <c r="L3877" i="1"/>
  <c r="L3876" i="1" s="1"/>
  <c r="L3875" i="1" s="1"/>
  <c r="L3874" i="1" s="1"/>
  <c r="H3877" i="1"/>
  <c r="H3876" i="1" s="1"/>
  <c r="H3875" i="1" s="1"/>
  <c r="H3874" i="1" s="1"/>
  <c r="I3831" i="1"/>
  <c r="J3831" i="1"/>
  <c r="K3831" i="1" s="1"/>
  <c r="L3831" i="1"/>
  <c r="H3831" i="1"/>
  <c r="I3442" i="1"/>
  <c r="I3441" i="1" s="1"/>
  <c r="J3442" i="1"/>
  <c r="L3442" i="1"/>
  <c r="L3441" i="1" s="1"/>
  <c r="H3442" i="1"/>
  <c r="H3441" i="1" s="1"/>
  <c r="I2358" i="1"/>
  <c r="I2357" i="1" s="1"/>
  <c r="I2356" i="1" s="1"/>
  <c r="I2355" i="1" s="1"/>
  <c r="J2358" i="1"/>
  <c r="L2358" i="1"/>
  <c r="L2357" i="1" s="1"/>
  <c r="L2356" i="1" s="1"/>
  <c r="L2355" i="1" s="1"/>
  <c r="H2358" i="1"/>
  <c r="H2357" i="1" s="1"/>
  <c r="H2356" i="1" s="1"/>
  <c r="H2355" i="1" s="1"/>
  <c r="I2199" i="1"/>
  <c r="I2198" i="1" s="1"/>
  <c r="I2197" i="1" s="1"/>
  <c r="I2196" i="1" s="1"/>
  <c r="J2199" i="1"/>
  <c r="L2199" i="1"/>
  <c r="L2198" i="1" s="1"/>
  <c r="L2197" i="1" s="1"/>
  <c r="L2196" i="1" s="1"/>
  <c r="H2199" i="1"/>
  <c r="H2198" i="1" s="1"/>
  <c r="H2197" i="1" s="1"/>
  <c r="H2196" i="1" s="1"/>
  <c r="I1512" i="1"/>
  <c r="I1511" i="1" s="1"/>
  <c r="I1510" i="1" s="1"/>
  <c r="I1509" i="1" s="1"/>
  <c r="J1512" i="1"/>
  <c r="L1512" i="1"/>
  <c r="L1511" i="1" s="1"/>
  <c r="L1510" i="1" s="1"/>
  <c r="L1509" i="1" s="1"/>
  <c r="H1512" i="1"/>
  <c r="H1511" i="1" s="1"/>
  <c r="H1510" i="1" s="1"/>
  <c r="H1509" i="1" s="1"/>
  <c r="I1286" i="1"/>
  <c r="J1286" i="1"/>
  <c r="K1286" i="1" s="1"/>
  <c r="L1286" i="1"/>
  <c r="H1286" i="1"/>
  <c r="I966" i="1"/>
  <c r="J966" i="1"/>
  <c r="K966" i="1" s="1"/>
  <c r="L966" i="1"/>
  <c r="H966" i="1"/>
  <c r="I509" i="1"/>
  <c r="J509" i="1"/>
  <c r="K509" i="1" s="1"/>
  <c r="L509" i="1"/>
  <c r="I507" i="1"/>
  <c r="J507" i="1"/>
  <c r="L507" i="1"/>
  <c r="H507" i="1"/>
  <c r="I426" i="1"/>
  <c r="I425" i="1" s="1"/>
  <c r="I424" i="1" s="1"/>
  <c r="I423" i="1" s="1"/>
  <c r="I422" i="1" s="1"/>
  <c r="J426" i="1"/>
  <c r="L426" i="1"/>
  <c r="L425" i="1" s="1"/>
  <c r="L424" i="1" s="1"/>
  <c r="L423" i="1" s="1"/>
  <c r="L422" i="1" s="1"/>
  <c r="I386" i="1"/>
  <c r="I385" i="1" s="1"/>
  <c r="J386" i="1"/>
  <c r="L386" i="1"/>
  <c r="L385" i="1" s="1"/>
  <c r="H386" i="1"/>
  <c r="H385" i="1" s="1"/>
  <c r="I295" i="1"/>
  <c r="I294" i="1" s="1"/>
  <c r="I293" i="1" s="1"/>
  <c r="J295" i="1"/>
  <c r="L295" i="1"/>
  <c r="L294" i="1" s="1"/>
  <c r="L293" i="1" s="1"/>
  <c r="H295" i="1"/>
  <c r="H294" i="1" s="1"/>
  <c r="H293" i="1" s="1"/>
  <c r="J16" i="1"/>
  <c r="I16" i="1"/>
  <c r="L16" i="1"/>
  <c r="I4460" i="1"/>
  <c r="I4459" i="1" s="1"/>
  <c r="J4460" i="1"/>
  <c r="L4460" i="1"/>
  <c r="L4459" i="1" s="1"/>
  <c r="H4460" i="1"/>
  <c r="H4459" i="1" s="1"/>
  <c r="H4338" i="1"/>
  <c r="H4336" i="1" s="1"/>
  <c r="H4335" i="1" s="1"/>
  <c r="H4102" i="1"/>
  <c r="H4101" i="1" s="1"/>
  <c r="H4100" i="1" s="1"/>
  <c r="H4078" i="1"/>
  <c r="H4077" i="1" s="1"/>
  <c r="H3763" i="1"/>
  <c r="H3665" i="1"/>
  <c r="I3650" i="1"/>
  <c r="I3649" i="1" s="1"/>
  <c r="J3650" i="1"/>
  <c r="L3650" i="1"/>
  <c r="L3649" i="1" s="1"/>
  <c r="I3654" i="1"/>
  <c r="I3653" i="1" s="1"/>
  <c r="I3652" i="1" s="1"/>
  <c r="J3654" i="1"/>
  <c r="L3654" i="1"/>
  <c r="L3653" i="1" s="1"/>
  <c r="L3652" i="1" s="1"/>
  <c r="H3650" i="1"/>
  <c r="H3649" i="1" s="1"/>
  <c r="H3654" i="1"/>
  <c r="H3653" i="1" s="1"/>
  <c r="H3652" i="1" s="1"/>
  <c r="H3648" i="1"/>
  <c r="H3647" i="1" s="1"/>
  <c r="H3646" i="1" s="1"/>
  <c r="I3644" i="1"/>
  <c r="I3643" i="1" s="1"/>
  <c r="J3644" i="1"/>
  <c r="L3644" i="1"/>
  <c r="L3643" i="1" s="1"/>
  <c r="H3644" i="1"/>
  <c r="H3643" i="1" s="1"/>
  <c r="H3561" i="1"/>
  <c r="H3560" i="1" s="1"/>
  <c r="H3559" i="1" s="1"/>
  <c r="H3555" i="1"/>
  <c r="H3554" i="1" s="1"/>
  <c r="H3553" i="1" s="1"/>
  <c r="H3514" i="1"/>
  <c r="H3455" i="1"/>
  <c r="H3454" i="1" s="1"/>
  <c r="H3453" i="1" s="1"/>
  <c r="I3451" i="1"/>
  <c r="I3450" i="1" s="1"/>
  <c r="J3451" i="1"/>
  <c r="L3451" i="1"/>
  <c r="L3450" i="1" s="1"/>
  <c r="H3451" i="1"/>
  <c r="H3450" i="1" s="1"/>
  <c r="I3445" i="1"/>
  <c r="I3444" i="1" s="1"/>
  <c r="J3445" i="1"/>
  <c r="L3445" i="1"/>
  <c r="L3444" i="1" s="1"/>
  <c r="I3439" i="1"/>
  <c r="I3438" i="1" s="1"/>
  <c r="J3439" i="1"/>
  <c r="L3439" i="1"/>
  <c r="L3438" i="1" s="1"/>
  <c r="H3439" i="1"/>
  <c r="H3438" i="1" s="1"/>
  <c r="H3434" i="1"/>
  <c r="H3428" i="1"/>
  <c r="H3427" i="1" s="1"/>
  <c r="H3426" i="1" s="1"/>
  <c r="I3367" i="1"/>
  <c r="J3367" i="1"/>
  <c r="K3367" i="1" s="1"/>
  <c r="L3367" i="1"/>
  <c r="H3367" i="1"/>
  <c r="H3366" i="1" s="1"/>
  <c r="H3123" i="1"/>
  <c r="H3089" i="1"/>
  <c r="H3088" i="1" s="1"/>
  <c r="H2917" i="1"/>
  <c r="H2916" i="1" s="1"/>
  <c r="H2915" i="1" s="1"/>
  <c r="H2914" i="1" s="1"/>
  <c r="H2913" i="1" s="1"/>
  <c r="H2912" i="1" s="1"/>
  <c r="H2911" i="1" s="1"/>
  <c r="H2910" i="1" s="1"/>
  <c r="H2826" i="1"/>
  <c r="H2825" i="1" s="1"/>
  <c r="H2824" i="1" s="1"/>
  <c r="H2666" i="1"/>
  <c r="I2607" i="1"/>
  <c r="I2606" i="1" s="1"/>
  <c r="I2605" i="1" s="1"/>
  <c r="I2604" i="1" s="1"/>
  <c r="I2603" i="1" s="1"/>
  <c r="J2607" i="1"/>
  <c r="L2607" i="1"/>
  <c r="L2606" i="1" s="1"/>
  <c r="L2605" i="1" s="1"/>
  <c r="L2604" i="1" s="1"/>
  <c r="L2603" i="1" s="1"/>
  <c r="H2607" i="1"/>
  <c r="H2606" i="1" s="1"/>
  <c r="H2605" i="1" s="1"/>
  <c r="H2604" i="1" s="1"/>
  <c r="H2603" i="1" s="1"/>
  <c r="H2492" i="1"/>
  <c r="I2082" i="1"/>
  <c r="I2081" i="1" s="1"/>
  <c r="I2080" i="1" s="1"/>
  <c r="I2079" i="1" s="1"/>
  <c r="I2078" i="1" s="1"/>
  <c r="J2082" i="1"/>
  <c r="L2082" i="1"/>
  <c r="L2081" i="1" s="1"/>
  <c r="L2080" i="1" s="1"/>
  <c r="L2079" i="1" s="1"/>
  <c r="L2078" i="1" s="1"/>
  <c r="H2082" i="1"/>
  <c r="H2081" i="1" s="1"/>
  <c r="H2080" i="1" s="1"/>
  <c r="H2079" i="1" s="1"/>
  <c r="H2078" i="1" s="1"/>
  <c r="H2051" i="1"/>
  <c r="H2050" i="1" s="1"/>
  <c r="H2049" i="1" s="1"/>
  <c r="H1881" i="1"/>
  <c r="I1807" i="1"/>
  <c r="I1806" i="1" s="1"/>
  <c r="I1805" i="1" s="1"/>
  <c r="I1804" i="1" s="1"/>
  <c r="I1803" i="1" s="1"/>
  <c r="J1807" i="1"/>
  <c r="L1807" i="1"/>
  <c r="L1806" i="1" s="1"/>
  <c r="L1805" i="1" s="1"/>
  <c r="L1804" i="1" s="1"/>
  <c r="L1803" i="1" s="1"/>
  <c r="H1807" i="1"/>
  <c r="H1806" i="1" s="1"/>
  <c r="H1805" i="1" s="1"/>
  <c r="H1804" i="1" s="1"/>
  <c r="H1803" i="1" s="1"/>
  <c r="H1707" i="1"/>
  <c r="H1680" i="1"/>
  <c r="H1594" i="1"/>
  <c r="H1593" i="1" s="1"/>
  <c r="H1592" i="1" s="1"/>
  <c r="H1591" i="1" s="1"/>
  <c r="H1590" i="1" s="1"/>
  <c r="H1589" i="1" s="1"/>
  <c r="H1588" i="1" s="1"/>
  <c r="H1587" i="1" s="1"/>
  <c r="I1527" i="1"/>
  <c r="I1526" i="1" s="1"/>
  <c r="I1525" i="1" s="1"/>
  <c r="I1524" i="1" s="1"/>
  <c r="I1523" i="1" s="1"/>
  <c r="J1527" i="1"/>
  <c r="L1527" i="1"/>
  <c r="L1526" i="1" s="1"/>
  <c r="L1525" i="1" s="1"/>
  <c r="L1524" i="1" s="1"/>
  <c r="L1523" i="1" s="1"/>
  <c r="H1527" i="1"/>
  <c r="H1526" i="1" s="1"/>
  <c r="H1525" i="1" s="1"/>
  <c r="H1524" i="1" s="1"/>
  <c r="H1523" i="1" s="1"/>
  <c r="H1416" i="1"/>
  <c r="H1376" i="1"/>
  <c r="H1308" i="1"/>
  <c r="H1307" i="1" s="1"/>
  <c r="H1306" i="1" s="1"/>
  <c r="H1305" i="1" s="1"/>
  <c r="H1304" i="1" s="1"/>
  <c r="H1303" i="1" s="1"/>
  <c r="H1302" i="1" s="1"/>
  <c r="H1301" i="1" s="1"/>
  <c r="I1251" i="1"/>
  <c r="J1251" i="1"/>
  <c r="K1251" i="1" s="1"/>
  <c r="L1251" i="1"/>
  <c r="I1244" i="1"/>
  <c r="I1243" i="1" s="1"/>
  <c r="I1242" i="1" s="1"/>
  <c r="I1241" i="1" s="1"/>
  <c r="I1240" i="1" s="1"/>
  <c r="J1244" i="1"/>
  <c r="L1244" i="1"/>
  <c r="L1243" i="1" s="1"/>
  <c r="L1242" i="1" s="1"/>
  <c r="L1241" i="1" s="1"/>
  <c r="L1240" i="1" s="1"/>
  <c r="H1208" i="1"/>
  <c r="H1207" i="1" s="1"/>
  <c r="H1206" i="1" s="1"/>
  <c r="H915" i="1"/>
  <c r="H902" i="1"/>
  <c r="H901" i="1" s="1"/>
  <c r="H870" i="1"/>
  <c r="H869" i="1" s="1"/>
  <c r="H868" i="1" s="1"/>
  <c r="H782" i="1"/>
  <c r="H781" i="1" s="1"/>
  <c r="I760" i="1"/>
  <c r="I759" i="1" s="1"/>
  <c r="J760" i="1"/>
  <c r="L760" i="1"/>
  <c r="L759" i="1" s="1"/>
  <c r="H760" i="1"/>
  <c r="H759" i="1" s="1"/>
  <c r="H753" i="1"/>
  <c r="H747" i="1"/>
  <c r="H746" i="1" s="1"/>
  <c r="H745" i="1" s="1"/>
  <c r="I593" i="1"/>
  <c r="I592" i="1" s="1"/>
  <c r="J593" i="1"/>
  <c r="L593" i="1"/>
  <c r="L592" i="1" s="1"/>
  <c r="H576" i="1"/>
  <c r="H575" i="1"/>
  <c r="I561" i="1"/>
  <c r="I560" i="1" s="1"/>
  <c r="J561" i="1"/>
  <c r="L561" i="1"/>
  <c r="L560" i="1" s="1"/>
  <c r="I550" i="1"/>
  <c r="I549" i="1" s="1"/>
  <c r="J550" i="1"/>
  <c r="L550" i="1"/>
  <c r="L549" i="1" s="1"/>
  <c r="I526" i="1"/>
  <c r="I525" i="1" s="1"/>
  <c r="J526" i="1"/>
  <c r="L526" i="1"/>
  <c r="L525" i="1" s="1"/>
  <c r="H448" i="1"/>
  <c r="H445" i="1"/>
  <c r="H444" i="1" s="1"/>
  <c r="H443" i="1" s="1"/>
  <c r="H366" i="1"/>
  <c r="H232" i="1"/>
  <c r="H231" i="1" s="1"/>
  <c r="H230" i="1" s="1"/>
  <c r="H229" i="1"/>
  <c r="I85" i="1"/>
  <c r="I84" i="1" s="1"/>
  <c r="J85" i="1"/>
  <c r="L85" i="1"/>
  <c r="L84" i="1" s="1"/>
  <c r="H85" i="1"/>
  <c r="H84" i="1" s="1"/>
  <c r="I82" i="1"/>
  <c r="I81" i="1" s="1"/>
  <c r="J82" i="1"/>
  <c r="L82" i="1"/>
  <c r="L81" i="1" s="1"/>
  <c r="H82" i="1"/>
  <c r="H81" i="1" s="1"/>
  <c r="I4759" i="1"/>
  <c r="J4759" i="1"/>
  <c r="K4759" i="1" s="1"/>
  <c r="L4759" i="1"/>
  <c r="I4627" i="1"/>
  <c r="I4626" i="1" s="1"/>
  <c r="J4627" i="1"/>
  <c r="L4627" i="1"/>
  <c r="L4626" i="1" s="1"/>
  <c r="H4627" i="1"/>
  <c r="H4626" i="1" s="1"/>
  <c r="I4621" i="1"/>
  <c r="I4620" i="1" s="1"/>
  <c r="J4621" i="1"/>
  <c r="L4621" i="1"/>
  <c r="L4620" i="1" s="1"/>
  <c r="H4567" i="1"/>
  <c r="H4496" i="1"/>
  <c r="H4495" i="1" s="1"/>
  <c r="H4494" i="1" s="1"/>
  <c r="H4493" i="1" s="1"/>
  <c r="H4440" i="1"/>
  <c r="H4438" i="1"/>
  <c r="H4437" i="1" s="1"/>
  <c r="H4278" i="1"/>
  <c r="H4277" i="1"/>
  <c r="H4276" i="1" s="1"/>
  <c r="H4275" i="1" s="1"/>
  <c r="H4205" i="1"/>
  <c r="I4117" i="1"/>
  <c r="I4116" i="1" s="1"/>
  <c r="J4117" i="1"/>
  <c r="L4117" i="1"/>
  <c r="L4116" i="1" s="1"/>
  <c r="H4117" i="1"/>
  <c r="H4116" i="1" s="1"/>
  <c r="H4062" i="1"/>
  <c r="H4061" i="1" s="1"/>
  <c r="I3993" i="1"/>
  <c r="I3992" i="1" s="1"/>
  <c r="I3991" i="1" s="1"/>
  <c r="I3990" i="1" s="1"/>
  <c r="J3993" i="1"/>
  <c r="L3993" i="1"/>
  <c r="L3992" i="1" s="1"/>
  <c r="L3991" i="1" s="1"/>
  <c r="L3990" i="1" s="1"/>
  <c r="I3702" i="1"/>
  <c r="I3701" i="1" s="1"/>
  <c r="J3702" i="1"/>
  <c r="L3702" i="1"/>
  <c r="L3701" i="1" s="1"/>
  <c r="H3702" i="1"/>
  <c r="H3701" i="1" s="1"/>
  <c r="H3664" i="1"/>
  <c r="H3663" i="1" s="1"/>
  <c r="H3662" i="1"/>
  <c r="H3594" i="1"/>
  <c r="H3593" i="1" s="1"/>
  <c r="H3592" i="1" s="1"/>
  <c r="I3358" i="1"/>
  <c r="J3358" i="1"/>
  <c r="K3358" i="1" s="1"/>
  <c r="L3358" i="1"/>
  <c r="H3358" i="1"/>
  <c r="H3299" i="1"/>
  <c r="H3261" i="1"/>
  <c r="H3260" i="1" s="1"/>
  <c r="H3259" i="1" s="1"/>
  <c r="H3258" i="1" s="1"/>
  <c r="H3257" i="1" s="1"/>
  <c r="H3256" i="1" s="1"/>
  <c r="H3113" i="1"/>
  <c r="H3084" i="1"/>
  <c r="H3083" i="1" s="1"/>
  <c r="H3082" i="1" s="1"/>
  <c r="H3081" i="1" s="1"/>
  <c r="H3080" i="1" s="1"/>
  <c r="H3079" i="1" s="1"/>
  <c r="H3037" i="1"/>
  <c r="H3029" i="1"/>
  <c r="H3028" i="1" s="1"/>
  <c r="H3027" i="1" s="1"/>
  <c r="H3026" i="1"/>
  <c r="I3012" i="1"/>
  <c r="I3011" i="1" s="1"/>
  <c r="I3010" i="1" s="1"/>
  <c r="J3012" i="1"/>
  <c r="L3012" i="1"/>
  <c r="L3011" i="1" s="1"/>
  <c r="L3010" i="1" s="1"/>
  <c r="H3012" i="1"/>
  <c r="H3011" i="1" s="1"/>
  <c r="H3010" i="1" s="1"/>
  <c r="I2769" i="1"/>
  <c r="I2768" i="1" s="1"/>
  <c r="I2767" i="1" s="1"/>
  <c r="J2769" i="1"/>
  <c r="L2769" i="1"/>
  <c r="L2768" i="1" s="1"/>
  <c r="L2767" i="1" s="1"/>
  <c r="H2769" i="1"/>
  <c r="H2768" i="1" s="1"/>
  <c r="H2767" i="1" s="1"/>
  <c r="H2687" i="1"/>
  <c r="H2686" i="1" s="1"/>
  <c r="H2685" i="1" s="1"/>
  <c r="H2684" i="1" s="1"/>
  <c r="H2683" i="1" s="1"/>
  <c r="H2682" i="1" s="1"/>
  <c r="H2681" i="1" s="1"/>
  <c r="H2674" i="1"/>
  <c r="H2442" i="1"/>
  <c r="H2441" i="1" s="1"/>
  <c r="H2440" i="1" s="1"/>
  <c r="H2439" i="1" s="1"/>
  <c r="H2438" i="1" s="1"/>
  <c r="H2437" i="1" s="1"/>
  <c r="H2436" i="1" s="1"/>
  <c r="H2336" i="1"/>
  <c r="H2021" i="1"/>
  <c r="H2020" i="1" s="1"/>
  <c r="H2019" i="1" s="1"/>
  <c r="H2018" i="1" s="1"/>
  <c r="H2017" i="1" s="1"/>
  <c r="H1422" i="1"/>
  <c r="I649" i="1"/>
  <c r="I648" i="1" s="1"/>
  <c r="J649" i="1"/>
  <c r="L649" i="1"/>
  <c r="L648" i="1" s="1"/>
  <c r="H649" i="1"/>
  <c r="H648" i="1" s="1"/>
  <c r="I590" i="1"/>
  <c r="I589" i="1" s="1"/>
  <c r="J590" i="1"/>
  <c r="L590" i="1"/>
  <c r="L589" i="1" s="1"/>
  <c r="H590" i="1"/>
  <c r="H589" i="1" s="1"/>
  <c r="H571" i="1"/>
  <c r="H570" i="1" s="1"/>
  <c r="H569" i="1" s="1"/>
  <c r="I547" i="1"/>
  <c r="I546" i="1" s="1"/>
  <c r="J547" i="1"/>
  <c r="L547" i="1"/>
  <c r="L546" i="1" s="1"/>
  <c r="H547" i="1"/>
  <c r="H546" i="1" s="1"/>
  <c r="L497" i="1"/>
  <c r="L496" i="1" s="1"/>
  <c r="I497" i="1"/>
  <c r="I496" i="1" s="1"/>
  <c r="J497" i="1"/>
  <c r="H497" i="1"/>
  <c r="H496" i="1" s="1"/>
  <c r="H267" i="1"/>
  <c r="H213" i="1"/>
  <c r="H212" i="1" s="1"/>
  <c r="H211" i="1" s="1"/>
  <c r="H210" i="1" s="1"/>
  <c r="J3474" i="1"/>
  <c r="L3474" i="1"/>
  <c r="L3473" i="1" s="1"/>
  <c r="L3472" i="1" s="1"/>
  <c r="L3471" i="1" s="1"/>
  <c r="L3470" i="1" s="1"/>
  <c r="L3469" i="1" s="1"/>
  <c r="I3474" i="1"/>
  <c r="I3473" i="1" s="1"/>
  <c r="I3472" i="1" s="1"/>
  <c r="I3471" i="1" s="1"/>
  <c r="I3470" i="1" s="1"/>
  <c r="I3469" i="1" s="1"/>
  <c r="J756" i="1"/>
  <c r="L756" i="1"/>
  <c r="L755" i="1" s="1"/>
  <c r="I756" i="1"/>
  <c r="I755" i="1" s="1"/>
  <c r="J752" i="1"/>
  <c r="L752" i="1"/>
  <c r="L751" i="1" s="1"/>
  <c r="I752" i="1"/>
  <c r="I751" i="1" s="1"/>
  <c r="J1676" i="1"/>
  <c r="J4749" i="1"/>
  <c r="L4749" i="1"/>
  <c r="L4748" i="1" s="1"/>
  <c r="L4747" i="1" s="1"/>
  <c r="L4746" i="1" s="1"/>
  <c r="I4749" i="1"/>
  <c r="I4748" i="1" s="1"/>
  <c r="I4747" i="1" s="1"/>
  <c r="I4746" i="1" s="1"/>
  <c r="J4708" i="1"/>
  <c r="L4708" i="1"/>
  <c r="L4707" i="1" s="1"/>
  <c r="I4708" i="1"/>
  <c r="I4707" i="1" s="1"/>
  <c r="J4694" i="1"/>
  <c r="L4694" i="1"/>
  <c r="L4693" i="1" s="1"/>
  <c r="I4694" i="1"/>
  <c r="I4693" i="1" s="1"/>
  <c r="J4653" i="1"/>
  <c r="L4653" i="1"/>
  <c r="I4653" i="1"/>
  <c r="J4646" i="1"/>
  <c r="L4646" i="1"/>
  <c r="I4646" i="1"/>
  <c r="J4604" i="1"/>
  <c r="L4604" i="1"/>
  <c r="L4603" i="1" s="1"/>
  <c r="L4602" i="1" s="1"/>
  <c r="L4601" i="1" s="1"/>
  <c r="I4604" i="1"/>
  <c r="I4603" i="1" s="1"/>
  <c r="I4602" i="1" s="1"/>
  <c r="I4601" i="1" s="1"/>
  <c r="J4504" i="1"/>
  <c r="L4504" i="1"/>
  <c r="I4504" i="1"/>
  <c r="J4448" i="1"/>
  <c r="L4448" i="1"/>
  <c r="I4448" i="1"/>
  <c r="J4374" i="1"/>
  <c r="L4374" i="1"/>
  <c r="L4373" i="1" s="1"/>
  <c r="L4372" i="1" s="1"/>
  <c r="I4374" i="1"/>
  <c r="I4373" i="1" s="1"/>
  <c r="I4372" i="1" s="1"/>
  <c r="J4347" i="1"/>
  <c r="L4347" i="1"/>
  <c r="L4346" i="1" s="1"/>
  <c r="I4347" i="1"/>
  <c r="I4346" i="1" s="1"/>
  <c r="J4160" i="1"/>
  <c r="L4160" i="1"/>
  <c r="I4160" i="1"/>
  <c r="J4018" i="1"/>
  <c r="L4018" i="1"/>
  <c r="L4017" i="1" s="1"/>
  <c r="L4016" i="1" s="1"/>
  <c r="L4015" i="1" s="1"/>
  <c r="I4018" i="1"/>
  <c r="I4017" i="1" s="1"/>
  <c r="I4016" i="1" s="1"/>
  <c r="I4015" i="1" s="1"/>
  <c r="J3985" i="1"/>
  <c r="L3985" i="1"/>
  <c r="J3987" i="1"/>
  <c r="L3987" i="1"/>
  <c r="I3987" i="1"/>
  <c r="I3985" i="1"/>
  <c r="J3811" i="1"/>
  <c r="L3811" i="1"/>
  <c r="L3810" i="1" s="1"/>
  <c r="L3809" i="1" s="1"/>
  <c r="L3808" i="1" s="1"/>
  <c r="J3792" i="1"/>
  <c r="L3792" i="1"/>
  <c r="L3791" i="1" s="1"/>
  <c r="L3790" i="1" s="1"/>
  <c r="I3792" i="1"/>
  <c r="I3791" i="1" s="1"/>
  <c r="I3790" i="1" s="1"/>
  <c r="J3752" i="1"/>
  <c r="L3752" i="1"/>
  <c r="L3751" i="1" s="1"/>
  <c r="L3750" i="1" s="1"/>
  <c r="L3749" i="1" s="1"/>
  <c r="I3752" i="1"/>
  <c r="I3751" i="1" s="1"/>
  <c r="I3750" i="1" s="1"/>
  <c r="I3749" i="1" s="1"/>
  <c r="J3692" i="1"/>
  <c r="L3692" i="1"/>
  <c r="J3694" i="1"/>
  <c r="L3694" i="1"/>
  <c r="I3692" i="1"/>
  <c r="I3694" i="1"/>
  <c r="I3705" i="1"/>
  <c r="I3704" i="1" s="1"/>
  <c r="I3708" i="1"/>
  <c r="I3707" i="1" s="1"/>
  <c r="I3714" i="1"/>
  <c r="I3713" i="1" s="1"/>
  <c r="I3717" i="1"/>
  <c r="I3716" i="1" s="1"/>
  <c r="J3665" i="1"/>
  <c r="L3665" i="1"/>
  <c r="I3665" i="1"/>
  <c r="J3320" i="1"/>
  <c r="L3320" i="1"/>
  <c r="I3320" i="1"/>
  <c r="J3264" i="1"/>
  <c r="L3264" i="1"/>
  <c r="I3264" i="1"/>
  <c r="J3177" i="1"/>
  <c r="L3177" i="1"/>
  <c r="L3176" i="1" s="1"/>
  <c r="L3175" i="1" s="1"/>
  <c r="I3177" i="1"/>
  <c r="I3176" i="1" s="1"/>
  <c r="I3175" i="1" s="1"/>
  <c r="J3145" i="1"/>
  <c r="L3145" i="1"/>
  <c r="L3144" i="1" s="1"/>
  <c r="L3143" i="1" s="1"/>
  <c r="I3145" i="1"/>
  <c r="I3144" i="1" s="1"/>
  <c r="I3143" i="1" s="1"/>
  <c r="J3134" i="1"/>
  <c r="L3134" i="1"/>
  <c r="L3133" i="1" s="1"/>
  <c r="L3132" i="1" s="1"/>
  <c r="I3134" i="1"/>
  <c r="I3133" i="1" s="1"/>
  <c r="I3132" i="1" s="1"/>
  <c r="J3103" i="1"/>
  <c r="L3103" i="1"/>
  <c r="L3102" i="1" s="1"/>
  <c r="L3101" i="1" s="1"/>
  <c r="I3103" i="1"/>
  <c r="I3102" i="1" s="1"/>
  <c r="I3101" i="1" s="1"/>
  <c r="J3031" i="1"/>
  <c r="L3031" i="1"/>
  <c r="L3030" i="1" s="1"/>
  <c r="I3031" i="1"/>
  <c r="I3030" i="1" s="1"/>
  <c r="J3017" i="1"/>
  <c r="L3017" i="1"/>
  <c r="L3016" i="1" s="1"/>
  <c r="L3015" i="1" s="1"/>
  <c r="L3014" i="1" s="1"/>
  <c r="I3017" i="1"/>
  <c r="I3016" i="1" s="1"/>
  <c r="I3015" i="1" s="1"/>
  <c r="I3014" i="1" s="1"/>
  <c r="J2946" i="1"/>
  <c r="L2946" i="1"/>
  <c r="L2945" i="1" s="1"/>
  <c r="L2944" i="1" s="1"/>
  <c r="I2946" i="1"/>
  <c r="I2945" i="1" s="1"/>
  <c r="I2944" i="1" s="1"/>
  <c r="J2933" i="1"/>
  <c r="L2933" i="1"/>
  <c r="I2933" i="1"/>
  <c r="J2818" i="1"/>
  <c r="L2818" i="1"/>
  <c r="I2818" i="1"/>
  <c r="J2793" i="1"/>
  <c r="L2793" i="1"/>
  <c r="L2792" i="1" s="1"/>
  <c r="I2793" i="1"/>
  <c r="I2792" i="1" s="1"/>
  <c r="J2774" i="1"/>
  <c r="L2774" i="1"/>
  <c r="L2773" i="1" s="1"/>
  <c r="J2777" i="1"/>
  <c r="L2777" i="1"/>
  <c r="J2779" i="1"/>
  <c r="L2779" i="1"/>
  <c r="I2779" i="1"/>
  <c r="I2777" i="1"/>
  <c r="I2774" i="1"/>
  <c r="I2773" i="1" s="1"/>
  <c r="J2690" i="1"/>
  <c r="L2690" i="1"/>
  <c r="L2689" i="1" s="1"/>
  <c r="L2688" i="1" s="1"/>
  <c r="I2690" i="1"/>
  <c r="I2689" i="1" s="1"/>
  <c r="I2688" i="1" s="1"/>
  <c r="J2538" i="1"/>
  <c r="L2538" i="1"/>
  <c r="L2537" i="1" s="1"/>
  <c r="I2538" i="1"/>
  <c r="I2537" i="1" s="1"/>
  <c r="J2519" i="1"/>
  <c r="L2519" i="1"/>
  <c r="L2518" i="1" s="1"/>
  <c r="J2522" i="1"/>
  <c r="L2522" i="1"/>
  <c r="J2524" i="1"/>
  <c r="L2524" i="1"/>
  <c r="I2524" i="1"/>
  <c r="I2522" i="1"/>
  <c r="I2519" i="1"/>
  <c r="I2518" i="1" s="1"/>
  <c r="J2460" i="1"/>
  <c r="L2460" i="1"/>
  <c r="I2460" i="1"/>
  <c r="J2394" i="1"/>
  <c r="L2394" i="1"/>
  <c r="I2394" i="1"/>
  <c r="J2295" i="1"/>
  <c r="L2295" i="1"/>
  <c r="L2294" i="1" s="1"/>
  <c r="I2295" i="1"/>
  <c r="I2294" i="1" s="1"/>
  <c r="J2273" i="1"/>
  <c r="L2273" i="1"/>
  <c r="L2272" i="1" s="1"/>
  <c r="J2276" i="1"/>
  <c r="L2276" i="1"/>
  <c r="J2278" i="1"/>
  <c r="L2278" i="1"/>
  <c r="I2278" i="1"/>
  <c r="I2276" i="1"/>
  <c r="I2273" i="1"/>
  <c r="I2272" i="1" s="1"/>
  <c r="J2171" i="1"/>
  <c r="L2171" i="1"/>
  <c r="L2170" i="1" s="1"/>
  <c r="L2169" i="1" s="1"/>
  <c r="I2171" i="1"/>
  <c r="I2170" i="1" s="1"/>
  <c r="I2169" i="1" s="1"/>
  <c r="J2067" i="1"/>
  <c r="L2067" i="1"/>
  <c r="L2066" i="1" s="1"/>
  <c r="L2065" i="1" s="1"/>
  <c r="L2064" i="1" s="1"/>
  <c r="I2067" i="1"/>
  <c r="I2066" i="1" s="1"/>
  <c r="I2065" i="1" s="1"/>
  <c r="I2064" i="1" s="1"/>
  <c r="J2040" i="1"/>
  <c r="L2040" i="1"/>
  <c r="I2040" i="1"/>
  <c r="J2015" i="1"/>
  <c r="L2015" i="1"/>
  <c r="L2014" i="1" s="1"/>
  <c r="I2015" i="1"/>
  <c r="I2014" i="1" s="1"/>
  <c r="J1993" i="1"/>
  <c r="L1993" i="1"/>
  <c r="L1992" i="1" s="1"/>
  <c r="J1996" i="1"/>
  <c r="L1996" i="1"/>
  <c r="J1998" i="1"/>
  <c r="L1998" i="1"/>
  <c r="I1998" i="1"/>
  <c r="I1996" i="1"/>
  <c r="I1993" i="1"/>
  <c r="I1992" i="1" s="1"/>
  <c r="J1844" i="1"/>
  <c r="L1844" i="1"/>
  <c r="I1844" i="1"/>
  <c r="J1733" i="1"/>
  <c r="L1733" i="1"/>
  <c r="L1732" i="1" s="1"/>
  <c r="I1733" i="1"/>
  <c r="I1732" i="1" s="1"/>
  <c r="J1711" i="1"/>
  <c r="L1711" i="1"/>
  <c r="L1710" i="1" s="1"/>
  <c r="J1714" i="1"/>
  <c r="L1714" i="1"/>
  <c r="J1716" i="1"/>
  <c r="L1716" i="1"/>
  <c r="I1716" i="1"/>
  <c r="I1714" i="1"/>
  <c r="I1711" i="1"/>
  <c r="I1710" i="1" s="1"/>
  <c r="J1683" i="1"/>
  <c r="L1683" i="1"/>
  <c r="L1682" i="1" s="1"/>
  <c r="L1681" i="1" s="1"/>
  <c r="I1683" i="1"/>
  <c r="I1682" i="1" s="1"/>
  <c r="I1681" i="1" s="1"/>
  <c r="J1646" i="1"/>
  <c r="L1646" i="1"/>
  <c r="I1646" i="1"/>
  <c r="J1642" i="1"/>
  <c r="L1642" i="1"/>
  <c r="I1642" i="1"/>
  <c r="J1634" i="1"/>
  <c r="L1634" i="1"/>
  <c r="I1634" i="1"/>
  <c r="J1623" i="1"/>
  <c r="L1623" i="1"/>
  <c r="L1622" i="1" s="1"/>
  <c r="L1621" i="1" s="1"/>
  <c r="I1623" i="1"/>
  <c r="I1622" i="1" s="1"/>
  <c r="I1621" i="1" s="1"/>
  <c r="J1560" i="1"/>
  <c r="L1560" i="1"/>
  <c r="L1559" i="1" s="1"/>
  <c r="L1558" i="1" s="1"/>
  <c r="I1560" i="1"/>
  <c r="J1507" i="1"/>
  <c r="L1507" i="1"/>
  <c r="I1507" i="1"/>
  <c r="J1455" i="1"/>
  <c r="L1455" i="1"/>
  <c r="L1454" i="1" s="1"/>
  <c r="I1455" i="1"/>
  <c r="I1454" i="1" s="1"/>
  <c r="J1428" i="1"/>
  <c r="L1428" i="1"/>
  <c r="L1427" i="1" s="1"/>
  <c r="J1431" i="1"/>
  <c r="L1431" i="1"/>
  <c r="J1433" i="1"/>
  <c r="L1433" i="1"/>
  <c r="J1438" i="1"/>
  <c r="L1438" i="1"/>
  <c r="L1437" i="1" s="1"/>
  <c r="L1436" i="1" s="1"/>
  <c r="L1435" i="1" s="1"/>
  <c r="I1438" i="1"/>
  <c r="I1437" i="1" s="1"/>
  <c r="I1436" i="1" s="1"/>
  <c r="I1435" i="1" s="1"/>
  <c r="I1433" i="1"/>
  <c r="I1431" i="1"/>
  <c r="I1428" i="1"/>
  <c r="I1427" i="1" s="1"/>
  <c r="J1395" i="1"/>
  <c r="L1395" i="1"/>
  <c r="L1394" i="1" s="1"/>
  <c r="L1393" i="1" s="1"/>
  <c r="I1395" i="1"/>
  <c r="I1394" i="1" s="1"/>
  <c r="I1393" i="1" s="1"/>
  <c r="J1324" i="1"/>
  <c r="L1324" i="1"/>
  <c r="L1323" i="1" s="1"/>
  <c r="L1322" i="1" s="1"/>
  <c r="I1324" i="1"/>
  <c r="I1323" i="1" s="1"/>
  <c r="I1322" i="1" s="1"/>
  <c r="J1174" i="1"/>
  <c r="L1174" i="1"/>
  <c r="L1173" i="1" s="1"/>
  <c r="I1174" i="1"/>
  <c r="I1173" i="1" s="1"/>
  <c r="J1152" i="1"/>
  <c r="L1152" i="1"/>
  <c r="L1151" i="1" s="1"/>
  <c r="J1155" i="1"/>
  <c r="L1155" i="1"/>
  <c r="J1157" i="1"/>
  <c r="L1157" i="1"/>
  <c r="I1157" i="1"/>
  <c r="I1155" i="1"/>
  <c r="I1152" i="1"/>
  <c r="I1151" i="1" s="1"/>
  <c r="J1134" i="1"/>
  <c r="L1134" i="1"/>
  <c r="L1133" i="1" s="1"/>
  <c r="L1132" i="1" s="1"/>
  <c r="L1131" i="1" s="1"/>
  <c r="I1134" i="1"/>
  <c r="I1133" i="1" s="1"/>
  <c r="I1132" i="1" s="1"/>
  <c r="I1131" i="1" s="1"/>
  <c r="J977" i="1"/>
  <c r="L977" i="1"/>
  <c r="I977" i="1"/>
  <c r="J940" i="1"/>
  <c r="L940" i="1"/>
  <c r="L939" i="1" s="1"/>
  <c r="L938" i="1" s="1"/>
  <c r="I940" i="1"/>
  <c r="I939" i="1" s="1"/>
  <c r="I938" i="1" s="1"/>
  <c r="J930" i="1"/>
  <c r="L930" i="1"/>
  <c r="L929" i="1" s="1"/>
  <c r="L928" i="1" s="1"/>
  <c r="J910" i="1"/>
  <c r="L910" i="1"/>
  <c r="L909" i="1" s="1"/>
  <c r="I910" i="1"/>
  <c r="I909" i="1" s="1"/>
  <c r="J892" i="1"/>
  <c r="L892" i="1"/>
  <c r="L891" i="1" s="1"/>
  <c r="L890" i="1" s="1"/>
  <c r="L889" i="1" s="1"/>
  <c r="J885" i="1"/>
  <c r="L885" i="1"/>
  <c r="J887" i="1"/>
  <c r="L887" i="1"/>
  <c r="I887" i="1"/>
  <c r="I885" i="1"/>
  <c r="J850" i="1"/>
  <c r="L850" i="1"/>
  <c r="L849" i="1" s="1"/>
  <c r="I850" i="1"/>
  <c r="I849" i="1" s="1"/>
  <c r="J828" i="1"/>
  <c r="L828" i="1"/>
  <c r="J830" i="1"/>
  <c r="L830" i="1"/>
  <c r="I830" i="1"/>
  <c r="J600" i="1"/>
  <c r="L600" i="1"/>
  <c r="L599" i="1" s="1"/>
  <c r="L598" i="1" s="1"/>
  <c r="I600" i="1"/>
  <c r="I599" i="1" s="1"/>
  <c r="I598" i="1" s="1"/>
  <c r="J567" i="1"/>
  <c r="L567" i="1"/>
  <c r="L566" i="1" s="1"/>
  <c r="I567" i="1"/>
  <c r="I566" i="1" s="1"/>
  <c r="J533" i="1"/>
  <c r="L533" i="1"/>
  <c r="L532" i="1" s="1"/>
  <c r="I533" i="1"/>
  <c r="I532" i="1" s="1"/>
  <c r="J459" i="1"/>
  <c r="L459" i="1"/>
  <c r="L458" i="1" s="1"/>
  <c r="I459" i="1"/>
  <c r="I458" i="1" s="1"/>
  <c r="I457" i="1" s="1"/>
  <c r="J437" i="1"/>
  <c r="L437" i="1"/>
  <c r="L436" i="1" s="1"/>
  <c r="L435" i="1" s="1"/>
  <c r="I437" i="1"/>
  <c r="I436" i="1" s="1"/>
  <c r="I435" i="1" s="1"/>
  <c r="J310" i="1"/>
  <c r="L310" i="1"/>
  <c r="J312" i="1"/>
  <c r="L312" i="1"/>
  <c r="I312" i="1"/>
  <c r="I310" i="1"/>
  <c r="J270" i="1"/>
  <c r="L270" i="1"/>
  <c r="I270" i="1"/>
  <c r="J236" i="1"/>
  <c r="L236" i="1"/>
  <c r="L235" i="1" s="1"/>
  <c r="L234" i="1" s="1"/>
  <c r="L233" i="1" s="1"/>
  <c r="I236" i="1"/>
  <c r="I235" i="1" s="1"/>
  <c r="I234" i="1" s="1"/>
  <c r="I233" i="1" s="1"/>
  <c r="J104" i="1"/>
  <c r="L104" i="1"/>
  <c r="L103" i="1" s="1"/>
  <c r="I104" i="1"/>
  <c r="I103" i="1" s="1"/>
  <c r="I4768" i="1"/>
  <c r="I4767" i="1" s="1"/>
  <c r="I4765" i="1"/>
  <c r="I4764" i="1" s="1"/>
  <c r="I4757" i="1"/>
  <c r="I4744" i="1"/>
  <c r="I4742" i="1"/>
  <c r="I4740" i="1"/>
  <c r="I4737" i="1"/>
  <c r="I4736" i="1" s="1"/>
  <c r="I4729" i="1"/>
  <c r="I4727" i="1"/>
  <c r="I4722" i="1"/>
  <c r="I4721" i="1" s="1"/>
  <c r="I4720" i="1" s="1"/>
  <c r="I4719" i="1" s="1"/>
  <c r="I4718" i="1" s="1"/>
  <c r="I4715" i="1"/>
  <c r="I4714" i="1" s="1"/>
  <c r="I4713" i="1" s="1"/>
  <c r="I4712" i="1" s="1"/>
  <c r="I4711" i="1" s="1"/>
  <c r="I4710" i="1" s="1"/>
  <c r="I4705" i="1"/>
  <c r="I4704" i="1" s="1"/>
  <c r="I4700" i="1"/>
  <c r="I4699" i="1" s="1"/>
  <c r="I4691" i="1"/>
  <c r="I4690" i="1" s="1"/>
  <c r="I4688" i="1"/>
  <c r="I4687" i="1" s="1"/>
  <c r="I4685" i="1"/>
  <c r="I4684" i="1" s="1"/>
  <c r="I4669" i="1"/>
  <c r="I4667" i="1"/>
  <c r="I4665" i="1"/>
  <c r="I4658" i="1"/>
  <c r="I4657" i="1" s="1"/>
  <c r="I4656" i="1" s="1"/>
  <c r="I4655" i="1" s="1"/>
  <c r="I4651" i="1"/>
  <c r="I4644" i="1"/>
  <c r="I4639" i="1"/>
  <c r="I4638" i="1" s="1"/>
  <c r="I4636" i="1"/>
  <c r="I4635" i="1" s="1"/>
  <c r="I4632" i="1"/>
  <c r="I4630" i="1"/>
  <c r="I4624" i="1"/>
  <c r="I4623" i="1" s="1"/>
  <c r="I4618" i="1"/>
  <c r="I4617" i="1" s="1"/>
  <c r="I4615" i="1"/>
  <c r="I4614" i="1" s="1"/>
  <c r="I4612" i="1"/>
  <c r="I4611" i="1" s="1"/>
  <c r="I4599" i="1"/>
  <c r="I4597" i="1"/>
  <c r="I4595" i="1"/>
  <c r="I4592" i="1"/>
  <c r="I4591" i="1" s="1"/>
  <c r="I4587" i="1"/>
  <c r="I4586" i="1" s="1"/>
  <c r="I4585" i="1" s="1"/>
  <c r="I4584" i="1" s="1"/>
  <c r="I4574" i="1"/>
  <c r="I4573" i="1" s="1"/>
  <c r="I4572" i="1" s="1"/>
  <c r="I4571" i="1" s="1"/>
  <c r="I4568" i="1"/>
  <c r="I4566" i="1"/>
  <c r="I4564" i="1"/>
  <c r="I4561" i="1"/>
  <c r="I4560" i="1" s="1"/>
  <c r="I4557" i="1"/>
  <c r="I4556" i="1" s="1"/>
  <c r="I4554" i="1"/>
  <c r="I4553" i="1" s="1"/>
  <c r="I4546" i="1"/>
  <c r="I4544" i="1"/>
  <c r="I4542" i="1"/>
  <c r="I4539" i="1"/>
  <c r="I4538" i="1" s="1"/>
  <c r="I4535" i="1"/>
  <c r="I4534" i="1" s="1"/>
  <c r="I4533" i="1" s="1"/>
  <c r="I4527" i="1"/>
  <c r="I4525" i="1"/>
  <c r="I4523" i="1"/>
  <c r="I4520" i="1"/>
  <c r="I4519" i="1" s="1"/>
  <c r="I4516" i="1"/>
  <c r="I4515" i="1" s="1"/>
  <c r="I4514" i="1" s="1"/>
  <c r="I4508" i="1"/>
  <c r="I4506" i="1"/>
  <c r="I4501" i="1"/>
  <c r="I4500" i="1" s="1"/>
  <c r="I4495" i="1"/>
  <c r="I4494" i="1" s="1"/>
  <c r="I4493" i="1" s="1"/>
  <c r="I4491" i="1"/>
  <c r="I4490" i="1" s="1"/>
  <c r="I4489" i="1" s="1"/>
  <c r="I4488" i="1" s="1"/>
  <c r="I4484" i="1"/>
  <c r="I4483" i="1" s="1"/>
  <c r="I4475" i="1"/>
  <c r="I4457" i="1"/>
  <c r="I4456" i="1" s="1"/>
  <c r="I4444" i="1"/>
  <c r="I4441" i="1"/>
  <c r="I4439" i="1"/>
  <c r="I4437" i="1"/>
  <c r="I4432" i="1"/>
  <c r="I4431" i="1" s="1"/>
  <c r="I4429" i="1"/>
  <c r="I4428" i="1" s="1"/>
  <c r="I4424" i="1"/>
  <c r="I4423" i="1" s="1"/>
  <c r="I4422" i="1" s="1"/>
  <c r="I4415" i="1"/>
  <c r="I4414" i="1" s="1"/>
  <c r="I4411" i="1"/>
  <c r="I4409" i="1"/>
  <c r="I4398" i="1"/>
  <c r="I4397" i="1" s="1"/>
  <c r="I4396" i="1" s="1"/>
  <c r="I4395" i="1" s="1"/>
  <c r="I4390" i="1"/>
  <c r="I4389" i="1" s="1"/>
  <c r="I4388" i="1" s="1"/>
  <c r="I4387" i="1" s="1"/>
  <c r="I4386" i="1" s="1"/>
  <c r="I4383" i="1"/>
  <c r="I4382" i="1" s="1"/>
  <c r="I4381" i="1" s="1"/>
  <c r="I4380" i="1" s="1"/>
  <c r="I4379" i="1" s="1"/>
  <c r="I4369" i="1"/>
  <c r="I4368" i="1" s="1"/>
  <c r="I4367" i="1" s="1"/>
  <c r="I4366" i="1" s="1"/>
  <c r="I4365" i="1" s="1"/>
  <c r="I4361" i="1"/>
  <c r="I4360" i="1" s="1"/>
  <c r="I4359" i="1" s="1"/>
  <c r="I4358" i="1" s="1"/>
  <c r="I4357" i="1" s="1"/>
  <c r="I4356" i="1" s="1"/>
  <c r="I4343" i="1"/>
  <c r="I4342" i="1" s="1"/>
  <c r="I4340" i="1"/>
  <c r="I4339" i="1" s="1"/>
  <c r="I4336" i="1"/>
  <c r="I4335" i="1" s="1"/>
  <c r="I4332" i="1"/>
  <c r="I4331" i="1" s="1"/>
  <c r="I4324" i="1"/>
  <c r="I4323" i="1" s="1"/>
  <c r="I4317" i="1"/>
  <c r="I4316" i="1" s="1"/>
  <c r="I4315" i="1" s="1"/>
  <c r="I4314" i="1" s="1"/>
  <c r="I4309" i="1"/>
  <c r="I4308" i="1" s="1"/>
  <c r="I4307" i="1" s="1"/>
  <c r="I4306" i="1" s="1"/>
  <c r="I4305" i="1" s="1"/>
  <c r="I4304" i="1" s="1"/>
  <c r="I4302" i="1"/>
  <c r="I4301" i="1" s="1"/>
  <c r="I4300" i="1" s="1"/>
  <c r="I4299" i="1" s="1"/>
  <c r="I4298" i="1" s="1"/>
  <c r="I4297" i="1" s="1"/>
  <c r="I4295" i="1"/>
  <c r="I4293" i="1"/>
  <c r="I4290" i="1"/>
  <c r="I4289" i="1" s="1"/>
  <c r="I4283" i="1"/>
  <c r="I4282" i="1" s="1"/>
  <c r="I4280" i="1"/>
  <c r="I4279" i="1" s="1"/>
  <c r="I4276" i="1"/>
  <c r="I4275" i="1" s="1"/>
  <c r="I4273" i="1"/>
  <c r="I4272" i="1" s="1"/>
  <c r="I4270" i="1"/>
  <c r="I4269" i="1" s="1"/>
  <c r="I4267" i="1"/>
  <c r="I4265" i="1"/>
  <c r="I4262" i="1"/>
  <c r="I4261" i="1" s="1"/>
  <c r="I4259" i="1"/>
  <c r="I4258" i="1" s="1"/>
  <c r="I4256" i="1"/>
  <c r="I4255" i="1" s="1"/>
  <c r="I4252" i="1"/>
  <c r="I4251" i="1" s="1"/>
  <c r="I4249" i="1"/>
  <c r="I4248" i="1" s="1"/>
  <c r="I4247" i="1" s="1"/>
  <c r="I4245" i="1"/>
  <c r="I4244" i="1" s="1"/>
  <c r="I4239" i="1"/>
  <c r="I4236" i="1"/>
  <c r="I4234" i="1"/>
  <c r="I4232" i="1"/>
  <c r="I4227" i="1"/>
  <c r="I4226" i="1" s="1"/>
  <c r="I4224" i="1"/>
  <c r="I4223" i="1" s="1"/>
  <c r="I4220" i="1"/>
  <c r="I4219" i="1" s="1"/>
  <c r="I4218" i="1" s="1"/>
  <c r="I4216" i="1"/>
  <c r="I4215" i="1" s="1"/>
  <c r="I4214" i="1" s="1"/>
  <c r="I4210" i="1"/>
  <c r="I4209" i="1" s="1"/>
  <c r="I4208" i="1" s="1"/>
  <c r="I4207" i="1" s="1"/>
  <c r="I4206" i="1" s="1"/>
  <c r="I4204" i="1"/>
  <c r="I4203" i="1" s="1"/>
  <c r="I4202" i="1" s="1"/>
  <c r="I4201" i="1" s="1"/>
  <c r="I4200" i="1" s="1"/>
  <c r="I4198" i="1"/>
  <c r="I4196" i="1"/>
  <c r="I4191" i="1"/>
  <c r="I4190" i="1" s="1"/>
  <c r="I4188" i="1"/>
  <c r="I4187" i="1" s="1"/>
  <c r="I4185" i="1"/>
  <c r="I4184" i="1" s="1"/>
  <c r="I4181" i="1"/>
  <c r="I4180" i="1" s="1"/>
  <c r="I4176" i="1"/>
  <c r="I4174" i="1"/>
  <c r="I4170" i="1"/>
  <c r="I4168" i="1"/>
  <c r="I4162" i="1"/>
  <c r="I4158" i="1"/>
  <c r="I4156" i="1"/>
  <c r="I4153" i="1"/>
  <c r="I4152" i="1" s="1"/>
  <c r="I4147" i="1"/>
  <c r="I4146" i="1" s="1"/>
  <c r="I4145" i="1" s="1"/>
  <c r="I4144" i="1" s="1"/>
  <c r="I4143" i="1" s="1"/>
  <c r="I4139" i="1"/>
  <c r="I4137" i="1"/>
  <c r="I4135" i="1"/>
  <c r="I4132" i="1"/>
  <c r="I4131" i="1" s="1"/>
  <c r="I4127" i="1"/>
  <c r="I4122" i="1"/>
  <c r="I4114" i="1"/>
  <c r="I4113" i="1" s="1"/>
  <c r="I4110" i="1"/>
  <c r="I4109" i="1" s="1"/>
  <c r="I4108" i="1" s="1"/>
  <c r="I4101" i="1"/>
  <c r="I4100" i="1" s="1"/>
  <c r="I4098" i="1"/>
  <c r="I4097" i="1" s="1"/>
  <c r="I4095" i="1"/>
  <c r="I4094" i="1" s="1"/>
  <c r="I4079" i="1"/>
  <c r="I4077" i="1"/>
  <c r="I4075" i="1"/>
  <c r="I4070" i="1"/>
  <c r="I4068" i="1"/>
  <c r="I4065" i="1"/>
  <c r="I4063" i="1"/>
  <c r="I4061" i="1"/>
  <c r="I4057" i="1"/>
  <c r="I4056" i="1" s="1"/>
  <c r="I4054" i="1"/>
  <c r="I4053" i="1" s="1"/>
  <c r="I4051" i="1"/>
  <c r="I4050" i="1" s="1"/>
  <c r="I4047" i="1"/>
  <c r="I4046" i="1" s="1"/>
  <c r="I4044" i="1"/>
  <c r="I4042" i="1"/>
  <c r="I4040" i="1"/>
  <c r="I4032" i="1"/>
  <c r="I4031" i="1" s="1"/>
  <c r="I4030" i="1" s="1"/>
  <c r="I4029" i="1" s="1"/>
  <c r="I4028" i="1" s="1"/>
  <c r="I4026" i="1"/>
  <c r="I4025" i="1" s="1"/>
  <c r="I4024" i="1" s="1"/>
  <c r="I4023" i="1" s="1"/>
  <c r="I4022" i="1" s="1"/>
  <c r="I4013" i="1"/>
  <c r="I4011" i="1"/>
  <c r="I4009" i="1"/>
  <c r="I4006" i="1"/>
  <c r="I4005" i="1" s="1"/>
  <c r="I4001" i="1"/>
  <c r="I4000" i="1" s="1"/>
  <c r="I3998" i="1"/>
  <c r="I3997" i="1" s="1"/>
  <c r="I3980" i="1"/>
  <c r="I3979" i="1" s="1"/>
  <c r="I3977" i="1"/>
  <c r="I3976" i="1" s="1"/>
  <c r="I3975" i="1" s="1"/>
  <c r="I3971" i="1"/>
  <c r="I3970" i="1" s="1"/>
  <c r="I3969" i="1" s="1"/>
  <c r="I3967" i="1"/>
  <c r="I3966" i="1" s="1"/>
  <c r="I3964" i="1"/>
  <c r="I3963" i="1" s="1"/>
  <c r="I3961" i="1"/>
  <c r="I3960" i="1" s="1"/>
  <c r="I3957" i="1"/>
  <c r="I3956" i="1" s="1"/>
  <c r="I3954" i="1"/>
  <c r="I3953" i="1" s="1"/>
  <c r="I3951" i="1"/>
  <c r="I3950" i="1" s="1"/>
  <c r="I3944" i="1"/>
  <c r="I3943" i="1" s="1"/>
  <c r="I3942" i="1" s="1"/>
  <c r="I3941" i="1" s="1"/>
  <c r="I3939" i="1"/>
  <c r="I3938" i="1" s="1"/>
  <c r="I3937" i="1" s="1"/>
  <c r="I3935" i="1"/>
  <c r="I3934" i="1" s="1"/>
  <c r="I3932" i="1"/>
  <c r="I3931" i="1" s="1"/>
  <c r="I3925" i="1"/>
  <c r="I3923" i="1"/>
  <c r="I3916" i="1"/>
  <c r="I3914" i="1"/>
  <c r="I3912" i="1"/>
  <c r="I3910" i="1"/>
  <c r="I3908" i="1"/>
  <c r="I3904" i="1"/>
  <c r="I3903" i="1" s="1"/>
  <c r="I3901" i="1"/>
  <c r="I3899" i="1"/>
  <c r="I3896" i="1"/>
  <c r="I3895" i="1" s="1"/>
  <c r="I3894" i="1" s="1"/>
  <c r="I3888" i="1"/>
  <c r="I3886" i="1"/>
  <c r="I3872" i="1"/>
  <c r="I3871" i="1" s="1"/>
  <c r="I3869" i="1"/>
  <c r="I3868" i="1" s="1"/>
  <c r="I3867" i="1" s="1"/>
  <c r="I3863" i="1"/>
  <c r="I3862" i="1" s="1"/>
  <c r="I3861" i="1" s="1"/>
  <c r="I3859" i="1"/>
  <c r="I3858" i="1" s="1"/>
  <c r="I3857" i="1" s="1"/>
  <c r="I3854" i="1"/>
  <c r="I3852" i="1"/>
  <c r="I3847" i="1"/>
  <c r="I3846" i="1" s="1"/>
  <c r="I3845" i="1" s="1"/>
  <c r="I3840" i="1"/>
  <c r="I3839" i="1" s="1"/>
  <c r="I3838" i="1" s="1"/>
  <c r="I3837" i="1" s="1"/>
  <c r="I3836" i="1" s="1"/>
  <c r="I3835" i="1" s="1"/>
  <c r="I3834" i="1" s="1"/>
  <c r="I3829" i="1"/>
  <c r="I3827" i="1"/>
  <c r="I3824" i="1"/>
  <c r="I3823" i="1" s="1"/>
  <c r="I3819" i="1"/>
  <c r="I3818" i="1" s="1"/>
  <c r="I3817" i="1" s="1"/>
  <c r="I3816" i="1" s="1"/>
  <c r="I3788" i="1"/>
  <c r="I3787" i="1" s="1"/>
  <c r="I3786" i="1" s="1"/>
  <c r="I3785" i="1" s="1"/>
  <c r="I3783" i="1"/>
  <c r="I3781" i="1"/>
  <c r="I3777" i="1"/>
  <c r="I3776" i="1" s="1"/>
  <c r="I3775" i="1" s="1"/>
  <c r="I3773" i="1"/>
  <c r="I3772" i="1" s="1"/>
  <c r="I3770" i="1"/>
  <c r="I3769" i="1" s="1"/>
  <c r="I3766" i="1"/>
  <c r="I3764" i="1"/>
  <c r="I3762" i="1"/>
  <c r="I3758" i="1"/>
  <c r="I3757" i="1" s="1"/>
  <c r="I3747" i="1"/>
  <c r="I3745" i="1"/>
  <c r="I3743" i="1"/>
  <c r="I3740" i="1"/>
  <c r="I3739" i="1" s="1"/>
  <c r="I3735" i="1"/>
  <c r="I3734" i="1" s="1"/>
  <c r="I3733" i="1" s="1"/>
  <c r="I3732" i="1" s="1"/>
  <c r="I3723" i="1"/>
  <c r="I3721" i="1"/>
  <c r="I3687" i="1"/>
  <c r="I3686" i="1" s="1"/>
  <c r="I3685" i="1" s="1"/>
  <c r="I3684" i="1" s="1"/>
  <c r="I3683" i="1" s="1"/>
  <c r="I3678" i="1"/>
  <c r="I3676" i="1"/>
  <c r="I3674" i="1"/>
  <c r="I3671" i="1"/>
  <c r="I3670" i="1" s="1"/>
  <c r="I3663" i="1"/>
  <c r="I3661" i="1"/>
  <c r="I3647" i="1"/>
  <c r="I3646" i="1" s="1"/>
  <c r="I3638" i="1"/>
  <c r="I3637" i="1" s="1"/>
  <c r="I3636" i="1" s="1"/>
  <c r="I3634" i="1"/>
  <c r="I3633" i="1" s="1"/>
  <c r="I3631" i="1"/>
  <c r="I3630" i="1" s="1"/>
  <c r="I3628" i="1"/>
  <c r="I3627" i="1" s="1"/>
  <c r="I3624" i="1"/>
  <c r="I3623" i="1" s="1"/>
  <c r="I3621" i="1"/>
  <c r="I3620" i="1" s="1"/>
  <c r="I3618" i="1"/>
  <c r="I3617" i="1" s="1"/>
  <c r="I3615" i="1"/>
  <c r="I3614" i="1" s="1"/>
  <c r="I3612" i="1"/>
  <c r="I3611" i="1" s="1"/>
  <c r="I3608" i="1"/>
  <c r="I3607" i="1" s="1"/>
  <c r="I3605" i="1"/>
  <c r="I3604" i="1" s="1"/>
  <c r="I3600" i="1"/>
  <c r="I3599" i="1" s="1"/>
  <c r="I3598" i="1" s="1"/>
  <c r="I3596" i="1"/>
  <c r="I3595" i="1" s="1"/>
  <c r="I3593" i="1"/>
  <c r="I3592" i="1" s="1"/>
  <c r="I3585" i="1"/>
  <c r="I3584" i="1" s="1"/>
  <c r="I3583" i="1" s="1"/>
  <c r="I3582" i="1" s="1"/>
  <c r="I3581" i="1" s="1"/>
  <c r="I3579" i="1"/>
  <c r="I3578" i="1" s="1"/>
  <c r="I3577" i="1" s="1"/>
  <c r="I3575" i="1"/>
  <c r="I3574" i="1" s="1"/>
  <c r="I3572" i="1"/>
  <c r="I3571" i="1" s="1"/>
  <c r="I3569" i="1"/>
  <c r="I3568" i="1" s="1"/>
  <c r="I3566" i="1"/>
  <c r="I3565" i="1" s="1"/>
  <c r="I3563" i="1"/>
  <c r="I3562" i="1" s="1"/>
  <c r="I3560" i="1"/>
  <c r="I3559" i="1" s="1"/>
  <c r="I3557" i="1"/>
  <c r="I3556" i="1" s="1"/>
  <c r="I3554" i="1"/>
  <c r="I3553" i="1" s="1"/>
  <c r="I3551" i="1"/>
  <c r="I3550" i="1" s="1"/>
  <c r="I3548" i="1"/>
  <c r="I3543" i="1"/>
  <c r="I3542" i="1" s="1"/>
  <c r="I3540" i="1"/>
  <c r="I3539" i="1" s="1"/>
  <c r="I3537" i="1"/>
  <c r="I3536" i="1" s="1"/>
  <c r="I3534" i="1"/>
  <c r="I3533" i="1" s="1"/>
  <c r="I3531" i="1"/>
  <c r="I3530" i="1" s="1"/>
  <c r="I3528" i="1"/>
  <c r="I3527" i="1" s="1"/>
  <c r="I3523" i="1"/>
  <c r="I3522" i="1" s="1"/>
  <c r="I3521" i="1" s="1"/>
  <c r="I3519" i="1"/>
  <c r="I3518" i="1" s="1"/>
  <c r="I3516" i="1"/>
  <c r="I3515" i="1" s="1"/>
  <c r="I3513" i="1"/>
  <c r="I3512" i="1" s="1"/>
  <c r="I3510" i="1"/>
  <c r="I3509" i="1" s="1"/>
  <c r="I3507" i="1"/>
  <c r="I3506" i="1" s="1"/>
  <c r="I3499" i="1"/>
  <c r="I3498" i="1" s="1"/>
  <c r="I3497" i="1" s="1"/>
  <c r="I3496" i="1" s="1"/>
  <c r="I3495" i="1" s="1"/>
  <c r="I3494" i="1" s="1"/>
  <c r="I3493" i="1" s="1"/>
  <c r="I3490" i="1"/>
  <c r="I3489" i="1" s="1"/>
  <c r="I3488" i="1" s="1"/>
  <c r="I3487" i="1" s="1"/>
  <c r="I3486" i="1" s="1"/>
  <c r="I3485" i="1" s="1"/>
  <c r="I3484" i="1" s="1"/>
  <c r="I3482" i="1"/>
  <c r="I3481" i="1" s="1"/>
  <c r="I3480" i="1" s="1"/>
  <c r="I3479" i="1" s="1"/>
  <c r="I3478" i="1" s="1"/>
  <c r="I3477" i="1" s="1"/>
  <c r="I3467" i="1"/>
  <c r="I3466" i="1" s="1"/>
  <c r="I3465" i="1" s="1"/>
  <c r="I3464" i="1" s="1"/>
  <c r="I3463" i="1" s="1"/>
  <c r="I3461" i="1"/>
  <c r="I3460" i="1" s="1"/>
  <c r="I3459" i="1" s="1"/>
  <c r="I3458" i="1" s="1"/>
  <c r="I3457" i="1" s="1"/>
  <c r="I3454" i="1"/>
  <c r="I3453" i="1" s="1"/>
  <c r="I3448" i="1"/>
  <c r="I3447" i="1" s="1"/>
  <c r="I3433" i="1"/>
  <c r="I3432" i="1" s="1"/>
  <c r="I3430" i="1"/>
  <c r="I3429" i="1" s="1"/>
  <c r="I3427" i="1"/>
  <c r="I3426" i="1" s="1"/>
  <c r="I3420" i="1"/>
  <c r="I3419" i="1" s="1"/>
  <c r="I3417" i="1"/>
  <c r="I3416" i="1" s="1"/>
  <c r="I3414" i="1"/>
  <c r="I3413" i="1" s="1"/>
  <c r="I3411" i="1"/>
  <c r="I3410" i="1" s="1"/>
  <c r="I3403" i="1"/>
  <c r="I3402" i="1" s="1"/>
  <c r="I3401" i="1" s="1"/>
  <c r="I3400" i="1" s="1"/>
  <c r="I3399" i="1" s="1"/>
  <c r="I3398" i="1" s="1"/>
  <c r="I3397" i="1" s="1"/>
  <c r="I3395" i="1"/>
  <c r="I3394" i="1" s="1"/>
  <c r="I3392" i="1"/>
  <c r="I3391" i="1" s="1"/>
  <c r="I3389" i="1"/>
  <c r="I3388" i="1" s="1"/>
  <c r="I3386" i="1"/>
  <c r="I3385" i="1" s="1"/>
  <c r="I3383" i="1"/>
  <c r="I3382" i="1" s="1"/>
  <c r="I3380" i="1"/>
  <c r="I3379" i="1" s="1"/>
  <c r="I3377" i="1"/>
  <c r="I3376" i="1" s="1"/>
  <c r="I3374" i="1"/>
  <c r="I3356" i="1"/>
  <c r="I3354" i="1"/>
  <c r="I3349" i="1"/>
  <c r="I3347" i="1"/>
  <c r="I3345" i="1"/>
  <c r="I3342" i="1"/>
  <c r="I3341" i="1" s="1"/>
  <c r="I3337" i="1"/>
  <c r="I3336" i="1" s="1"/>
  <c r="I3335" i="1" s="1"/>
  <c r="I3334" i="1" s="1"/>
  <c r="I3329" i="1"/>
  <c r="I3328" i="1" s="1"/>
  <c r="I3327" i="1" s="1"/>
  <c r="I3326" i="1" s="1"/>
  <c r="I3325" i="1" s="1"/>
  <c r="I3324" i="1" s="1"/>
  <c r="I3323" i="1" s="1"/>
  <c r="I3313" i="1"/>
  <c r="I3311" i="1"/>
  <c r="I3309" i="1"/>
  <c r="I3306" i="1"/>
  <c r="I3305" i="1" s="1"/>
  <c r="I3298" i="1"/>
  <c r="I3296" i="1"/>
  <c r="I3291" i="1"/>
  <c r="I3289" i="1"/>
  <c r="I3287" i="1"/>
  <c r="I3283" i="1"/>
  <c r="I3282" i="1" s="1"/>
  <c r="I3280" i="1"/>
  <c r="I3279" i="1" s="1"/>
  <c r="I3266" i="1"/>
  <c r="I3260" i="1"/>
  <c r="I3259" i="1" s="1"/>
  <c r="I3258" i="1" s="1"/>
  <c r="I3257" i="1" s="1"/>
  <c r="I3256" i="1" s="1"/>
  <c r="I3254" i="1"/>
  <c r="I3253" i="1" s="1"/>
  <c r="I3252" i="1" s="1"/>
  <c r="I3251" i="1" s="1"/>
  <c r="I3249" i="1"/>
  <c r="I3248" i="1" s="1"/>
  <c r="I3247" i="1" s="1"/>
  <c r="I3246" i="1" s="1"/>
  <c r="I3235" i="1"/>
  <c r="I3230" i="1"/>
  <c r="I3229" i="1" s="1"/>
  <c r="I3228" i="1" s="1"/>
  <c r="I3226" i="1"/>
  <c r="I3225" i="1" s="1"/>
  <c r="I3223" i="1"/>
  <c r="I3222" i="1" s="1"/>
  <c r="I3219" i="1"/>
  <c r="I3218" i="1" s="1"/>
  <c r="I3216" i="1"/>
  <c r="I3215" i="1" s="1"/>
  <c r="I3212" i="1"/>
  <c r="I3211" i="1" s="1"/>
  <c r="I3210" i="1" s="1"/>
  <c r="I3208" i="1"/>
  <c r="I3207" i="1" s="1"/>
  <c r="I3205" i="1"/>
  <c r="I3204" i="1" s="1"/>
  <c r="I3202" i="1"/>
  <c r="I3201" i="1" s="1"/>
  <c r="I3199" i="1"/>
  <c r="I3198" i="1" s="1"/>
  <c r="I3196" i="1"/>
  <c r="I3195" i="1" s="1"/>
  <c r="I3193" i="1"/>
  <c r="I3192" i="1" s="1"/>
  <c r="I3190" i="1"/>
  <c r="I3189" i="1" s="1"/>
  <c r="I3181" i="1"/>
  <c r="I3173" i="1"/>
  <c r="I3172" i="1" s="1"/>
  <c r="I3171" i="1" s="1"/>
  <c r="I3168" i="1"/>
  <c r="I3165" i="1" s="1"/>
  <c r="I3163" i="1"/>
  <c r="I3162" i="1" s="1"/>
  <c r="I3159" i="1"/>
  <c r="I3158" i="1" s="1"/>
  <c r="I3157" i="1" s="1"/>
  <c r="I3154" i="1"/>
  <c r="I3153" i="1" s="1"/>
  <c r="I3152" i="1" s="1"/>
  <c r="I3151" i="1" s="1"/>
  <c r="I3141" i="1"/>
  <c r="I3140" i="1" s="1"/>
  <c r="I3139" i="1" s="1"/>
  <c r="I3138" i="1" s="1"/>
  <c r="I3130" i="1"/>
  <c r="I3129" i="1" s="1"/>
  <c r="I3128" i="1" s="1"/>
  <c r="I3127" i="1" s="1"/>
  <c r="I3126" i="1" s="1"/>
  <c r="I3122" i="1"/>
  <c r="I3121" i="1" s="1"/>
  <c r="I3120" i="1" s="1"/>
  <c r="I3119" i="1" s="1"/>
  <c r="I3118" i="1" s="1"/>
  <c r="I3117" i="1" s="1"/>
  <c r="I3116" i="1" s="1"/>
  <c r="I3114" i="1"/>
  <c r="I3112" i="1"/>
  <c r="I3110" i="1"/>
  <c r="I3099" i="1"/>
  <c r="I3098" i="1" s="1"/>
  <c r="I3097" i="1" s="1"/>
  <c r="I3096" i="1" s="1"/>
  <c r="I3095" i="1" s="1"/>
  <c r="I3093" i="1"/>
  <c r="I3092" i="1" s="1"/>
  <c r="I3090" i="1"/>
  <c r="I3088" i="1"/>
  <c r="I3083" i="1"/>
  <c r="I3082" i="1" s="1"/>
  <c r="I3081" i="1" s="1"/>
  <c r="I3080" i="1" s="1"/>
  <c r="I3079" i="1" s="1"/>
  <c r="I3076" i="1"/>
  <c r="I3075" i="1" s="1"/>
  <c r="I3074" i="1" s="1"/>
  <c r="I3073" i="1" s="1"/>
  <c r="I3072" i="1" s="1"/>
  <c r="I3071" i="1" s="1"/>
  <c r="I3068" i="1"/>
  <c r="I3067" i="1" s="1"/>
  <c r="I3066" i="1" s="1"/>
  <c r="I3065" i="1" s="1"/>
  <c r="I3063" i="1"/>
  <c r="I3062" i="1" s="1"/>
  <c r="I3060" i="1"/>
  <c r="I3059" i="1" s="1"/>
  <c r="I3042" i="1"/>
  <c r="I3041" i="1" s="1"/>
  <c r="I3040" i="1" s="1"/>
  <c r="I3039" i="1" s="1"/>
  <c r="I3038" i="1" s="1"/>
  <c r="I3036" i="1"/>
  <c r="I3035" i="1" s="1"/>
  <c r="I3034" i="1" s="1"/>
  <c r="I3033" i="1" s="1"/>
  <c r="I3028" i="1"/>
  <c r="I3027" i="1" s="1"/>
  <c r="I3025" i="1"/>
  <c r="I3024" i="1" s="1"/>
  <c r="I3008" i="1"/>
  <c r="I3006" i="1"/>
  <c r="I2998" i="1"/>
  <c r="I2996" i="1"/>
  <c r="I2991" i="1"/>
  <c r="I2990" i="1" s="1"/>
  <c r="I2988" i="1"/>
  <c r="I2987" i="1" s="1"/>
  <c r="I2985" i="1"/>
  <c r="I2984" i="1" s="1"/>
  <c r="I2979" i="1"/>
  <c r="I2978" i="1" s="1"/>
  <c r="I2977" i="1" s="1"/>
  <c r="I2975" i="1"/>
  <c r="I2974" i="1" s="1"/>
  <c r="I2973" i="1" s="1"/>
  <c r="I2969" i="1"/>
  <c r="I2967" i="1"/>
  <c r="K2967" i="1" s="1"/>
  <c r="I2965" i="1"/>
  <c r="I2962" i="1"/>
  <c r="I2961" i="1" s="1"/>
  <c r="I2955" i="1"/>
  <c r="I2942" i="1"/>
  <c r="I2941" i="1" s="1"/>
  <c r="I2940" i="1" s="1"/>
  <c r="I2939" i="1" s="1"/>
  <c r="I2929" i="1"/>
  <c r="I2928" i="1" s="1"/>
  <c r="I2927" i="1" s="1"/>
  <c r="I2926" i="1" s="1"/>
  <c r="I2924" i="1"/>
  <c r="I2923" i="1" s="1"/>
  <c r="I2922" i="1" s="1"/>
  <c r="I2921" i="1" s="1"/>
  <c r="I2916" i="1"/>
  <c r="I2915" i="1" s="1"/>
  <c r="I2914" i="1" s="1"/>
  <c r="I2913" i="1" s="1"/>
  <c r="I2912" i="1" s="1"/>
  <c r="I2911" i="1" s="1"/>
  <c r="I2910" i="1" s="1"/>
  <c r="I2908" i="1"/>
  <c r="I2907" i="1" s="1"/>
  <c r="I2906" i="1" s="1"/>
  <c r="I2905" i="1" s="1"/>
  <c r="I2904" i="1" s="1"/>
  <c r="I2903" i="1" s="1"/>
  <c r="I2902" i="1" s="1"/>
  <c r="I2900" i="1"/>
  <c r="I2898" i="1"/>
  <c r="I2896" i="1"/>
  <c r="I2889" i="1"/>
  <c r="I2888" i="1" s="1"/>
  <c r="I2887" i="1" s="1"/>
  <c r="I2872" i="1"/>
  <c r="I2871" i="1" s="1"/>
  <c r="I2870" i="1" s="1"/>
  <c r="I2869" i="1" s="1"/>
  <c r="I2866" i="1"/>
  <c r="I2865" i="1" s="1"/>
  <c r="I2863" i="1"/>
  <c r="I2862" i="1" s="1"/>
  <c r="I2858" i="1"/>
  <c r="I2857" i="1" s="1"/>
  <c r="I2856" i="1" s="1"/>
  <c r="I2855" i="1" s="1"/>
  <c r="I2854" i="1" s="1"/>
  <c r="I2851" i="1"/>
  <c r="I2850" i="1" s="1"/>
  <c r="I2838" i="1"/>
  <c r="I2837" i="1" s="1"/>
  <c r="I2836" i="1" s="1"/>
  <c r="I2835" i="1" s="1"/>
  <c r="I2833" i="1"/>
  <c r="I2832" i="1" s="1"/>
  <c r="I2831" i="1" s="1"/>
  <c r="I2830" i="1" s="1"/>
  <c r="I2828" i="1"/>
  <c r="I2827" i="1" s="1"/>
  <c r="I2825" i="1"/>
  <c r="I2824" i="1" s="1"/>
  <c r="I2816" i="1"/>
  <c r="I2812" i="1"/>
  <c r="I2804" i="1"/>
  <c r="I2803" i="1" s="1"/>
  <c r="I2802" i="1" s="1"/>
  <c r="I2801" i="1" s="1"/>
  <c r="I2800" i="1" s="1"/>
  <c r="I2798" i="1"/>
  <c r="I2797" i="1" s="1"/>
  <c r="I2796" i="1" s="1"/>
  <c r="I2795" i="1" s="1"/>
  <c r="I2790" i="1"/>
  <c r="I2789" i="1" s="1"/>
  <c r="I2787" i="1"/>
  <c r="I2786" i="1" s="1"/>
  <c r="I2765" i="1"/>
  <c r="I2763" i="1"/>
  <c r="I2757" i="1"/>
  <c r="I2756" i="1" s="1"/>
  <c r="I2755" i="1" s="1"/>
  <c r="I2754" i="1" s="1"/>
  <c r="I2753" i="1" s="1"/>
  <c r="I2745" i="1"/>
  <c r="I2744" i="1" s="1"/>
  <c r="I2742" i="1"/>
  <c r="I2740" i="1"/>
  <c r="I2735" i="1"/>
  <c r="I2734" i="1" s="1"/>
  <c r="I2732" i="1"/>
  <c r="I2731" i="1" s="1"/>
  <c r="I2729" i="1"/>
  <c r="I2728" i="1" s="1"/>
  <c r="I2723" i="1"/>
  <c r="I2722" i="1" s="1"/>
  <c r="I2721" i="1" s="1"/>
  <c r="I2719" i="1"/>
  <c r="I2718" i="1" s="1"/>
  <c r="I2717" i="1" s="1"/>
  <c r="I2713" i="1"/>
  <c r="I2711" i="1"/>
  <c r="I2709" i="1"/>
  <c r="I2706" i="1"/>
  <c r="I2705" i="1" s="1"/>
  <c r="I2701" i="1"/>
  <c r="I2699" i="1"/>
  <c r="I2686" i="1"/>
  <c r="I2685" i="1" s="1"/>
  <c r="I2684" i="1" s="1"/>
  <c r="I2683" i="1" s="1"/>
  <c r="I2677" i="1"/>
  <c r="I2673" i="1"/>
  <c r="I2672" i="1" s="1"/>
  <c r="I2671" i="1" s="1"/>
  <c r="I2670" i="1" s="1"/>
  <c r="I2669" i="1" s="1"/>
  <c r="I2665" i="1"/>
  <c r="I2664" i="1" s="1"/>
  <c r="I2663" i="1" s="1"/>
  <c r="I2662" i="1" s="1"/>
  <c r="I2661" i="1" s="1"/>
  <c r="I2660" i="1" s="1"/>
  <c r="I2659" i="1" s="1"/>
  <c r="I2657" i="1"/>
  <c r="I2656" i="1" s="1"/>
  <c r="I2655" i="1" s="1"/>
  <c r="I2653" i="1"/>
  <c r="I2652" i="1" s="1"/>
  <c r="I2651" i="1" s="1"/>
  <c r="I2645" i="1"/>
  <c r="I2643" i="1"/>
  <c r="I2641" i="1"/>
  <c r="I2621" i="1"/>
  <c r="I2620" i="1" s="1"/>
  <c r="I2619" i="1" s="1"/>
  <c r="I2618" i="1" s="1"/>
  <c r="I2615" i="1"/>
  <c r="I2614" i="1" s="1"/>
  <c r="I2612" i="1"/>
  <c r="I2611" i="1" s="1"/>
  <c r="I2601" i="1"/>
  <c r="I2600" i="1" s="1"/>
  <c r="I2599" i="1" s="1"/>
  <c r="I2598" i="1" s="1"/>
  <c r="I2597" i="1" s="1"/>
  <c r="I2594" i="1"/>
  <c r="I2593" i="1" s="1"/>
  <c r="I2592" i="1" s="1"/>
  <c r="I2591" i="1" s="1"/>
  <c r="I2590" i="1" s="1"/>
  <c r="I2589" i="1" s="1"/>
  <c r="I2581" i="1"/>
  <c r="I2580" i="1" s="1"/>
  <c r="I2579" i="1" s="1"/>
  <c r="I2578" i="1" s="1"/>
  <c r="I2576" i="1"/>
  <c r="I2575" i="1" s="1"/>
  <c r="I2574" i="1" s="1"/>
  <c r="I2573" i="1" s="1"/>
  <c r="I2571" i="1"/>
  <c r="I2570" i="1" s="1"/>
  <c r="I2568" i="1"/>
  <c r="I2567" i="1" s="1"/>
  <c r="I2561" i="1"/>
  <c r="I2560" i="1" s="1"/>
  <c r="I2559" i="1" s="1"/>
  <c r="I2557" i="1"/>
  <c r="I2549" i="1"/>
  <c r="I2548" i="1" s="1"/>
  <c r="I2547" i="1" s="1"/>
  <c r="I2546" i="1" s="1"/>
  <c r="I2545" i="1" s="1"/>
  <c r="I2543" i="1"/>
  <c r="I2542" i="1" s="1"/>
  <c r="I2541" i="1" s="1"/>
  <c r="I2540" i="1" s="1"/>
  <c r="I2535" i="1"/>
  <c r="I2534" i="1" s="1"/>
  <c r="I2532" i="1"/>
  <c r="I2531" i="1" s="1"/>
  <c r="I2514" i="1"/>
  <c r="I2513" i="1" s="1"/>
  <c r="I2512" i="1" s="1"/>
  <c r="I2511" i="1" s="1"/>
  <c r="I2510" i="1" s="1"/>
  <c r="I2508" i="1"/>
  <c r="I2507" i="1" s="1"/>
  <c r="I2506" i="1" s="1"/>
  <c r="I2505" i="1" s="1"/>
  <c r="I2504" i="1" s="1"/>
  <c r="I2501" i="1"/>
  <c r="I2500" i="1" s="1"/>
  <c r="I2499" i="1" s="1"/>
  <c r="I2498" i="1" s="1"/>
  <c r="I2497" i="1" s="1"/>
  <c r="I2494" i="1"/>
  <c r="I2493" i="1" s="1"/>
  <c r="I2491" i="1"/>
  <c r="I2490" i="1" s="1"/>
  <c r="I2486" i="1"/>
  <c r="I2485" i="1" s="1"/>
  <c r="I2483" i="1"/>
  <c r="I2482" i="1" s="1"/>
  <c r="I2480" i="1"/>
  <c r="I2479" i="1" s="1"/>
  <c r="I2474" i="1"/>
  <c r="I2473" i="1" s="1"/>
  <c r="I2472" i="1" s="1"/>
  <c r="I2470" i="1"/>
  <c r="I2469" i="1" s="1"/>
  <c r="I2468" i="1" s="1"/>
  <c r="I2464" i="1"/>
  <c r="I2462" i="1"/>
  <c r="I2457" i="1"/>
  <c r="I2456" i="1" s="1"/>
  <c r="I2452" i="1"/>
  <c r="I2450" i="1"/>
  <c r="I2441" i="1"/>
  <c r="I2440" i="1" s="1"/>
  <c r="I2439" i="1" s="1"/>
  <c r="I2438" i="1" s="1"/>
  <c r="I2437" i="1" s="1"/>
  <c r="I2436" i="1" s="1"/>
  <c r="I2434" i="1"/>
  <c r="I2433" i="1" s="1"/>
  <c r="I2432" i="1" s="1"/>
  <c r="I2430" i="1"/>
  <c r="I2429" i="1" s="1"/>
  <c r="I2428" i="1" s="1"/>
  <c r="I2427" i="1" s="1"/>
  <c r="I2426" i="1" s="1"/>
  <c r="I2422" i="1"/>
  <c r="I2421" i="1" s="1"/>
  <c r="I2420" i="1" s="1"/>
  <c r="I2419" i="1" s="1"/>
  <c r="I2418" i="1" s="1"/>
  <c r="I2417" i="1" s="1"/>
  <c r="I2416" i="1" s="1"/>
  <c r="I2414" i="1"/>
  <c r="I2413" i="1" s="1"/>
  <c r="I2412" i="1" s="1"/>
  <c r="I2411" i="1" s="1"/>
  <c r="I2410" i="1" s="1"/>
  <c r="I2409" i="1" s="1"/>
  <c r="I2408" i="1" s="1"/>
  <c r="I2403" i="1"/>
  <c r="I2401" i="1"/>
  <c r="I2392" i="1"/>
  <c r="I2373" i="1"/>
  <c r="I2372" i="1" s="1"/>
  <c r="I2371" i="1" s="1"/>
  <c r="I2370" i="1" s="1"/>
  <c r="I2367" i="1"/>
  <c r="I2366" i="1" s="1"/>
  <c r="I2364" i="1"/>
  <c r="I2363" i="1" s="1"/>
  <c r="I2353" i="1"/>
  <c r="I2352" i="1" s="1"/>
  <c r="I2351" i="1" s="1"/>
  <c r="I2350" i="1" s="1"/>
  <c r="I2349" i="1" s="1"/>
  <c r="I2340" i="1"/>
  <c r="I2339" i="1" s="1"/>
  <c r="I2338" i="1" s="1"/>
  <c r="I2337" i="1" s="1"/>
  <c r="I2335" i="1"/>
  <c r="I2334" i="1" s="1"/>
  <c r="I2333" i="1" s="1"/>
  <c r="I2332" i="1" s="1"/>
  <c r="I2330" i="1"/>
  <c r="I2329" i="1" s="1"/>
  <c r="I2327" i="1"/>
  <c r="I2326" i="1" s="1"/>
  <c r="I2318" i="1"/>
  <c r="I2314" i="1"/>
  <c r="I2306" i="1"/>
  <c r="I2305" i="1" s="1"/>
  <c r="I2304" i="1" s="1"/>
  <c r="I2303" i="1" s="1"/>
  <c r="I2302" i="1" s="1"/>
  <c r="I2300" i="1"/>
  <c r="I2299" i="1" s="1"/>
  <c r="I2298" i="1" s="1"/>
  <c r="I2297" i="1" s="1"/>
  <c r="I2292" i="1"/>
  <c r="I2291" i="1" s="1"/>
  <c r="I2289" i="1"/>
  <c r="I2288" i="1" s="1"/>
  <c r="I2286" i="1"/>
  <c r="I2285" i="1" s="1"/>
  <c r="I2268" i="1"/>
  <c r="I2267" i="1" s="1"/>
  <c r="I2266" i="1" s="1"/>
  <c r="I2265" i="1" s="1"/>
  <c r="I2264" i="1" s="1"/>
  <c r="I2262" i="1"/>
  <c r="I2261" i="1" s="1"/>
  <c r="I2260" i="1" s="1"/>
  <c r="I2259" i="1" s="1"/>
  <c r="I2258" i="1" s="1"/>
  <c r="I2250" i="1"/>
  <c r="I2248" i="1"/>
  <c r="I2243" i="1"/>
  <c r="I2242" i="1" s="1"/>
  <c r="I2241" i="1" s="1"/>
  <c r="I2240" i="1" s="1"/>
  <c r="I2239" i="1" s="1"/>
  <c r="I2235" i="1"/>
  <c r="I2234" i="1" s="1"/>
  <c r="I2233" i="1" s="1"/>
  <c r="I2231" i="1"/>
  <c r="I2230" i="1" s="1"/>
  <c r="I2228" i="1"/>
  <c r="I2226" i="1"/>
  <c r="I2221" i="1"/>
  <c r="I2220" i="1" s="1"/>
  <c r="I2218" i="1"/>
  <c r="I2217" i="1" s="1"/>
  <c r="I2215" i="1"/>
  <c r="I2214" i="1" s="1"/>
  <c r="I2209" i="1"/>
  <c r="I2208" i="1" s="1"/>
  <c r="I2207" i="1" s="1"/>
  <c r="I2205" i="1"/>
  <c r="I2204" i="1" s="1"/>
  <c r="I2203" i="1" s="1"/>
  <c r="I2194" i="1"/>
  <c r="I2192" i="1"/>
  <c r="I2190" i="1"/>
  <c r="I2187" i="1"/>
  <c r="I2186" i="1" s="1"/>
  <c r="I2182" i="1"/>
  <c r="I2180" i="1"/>
  <c r="I2167" i="1"/>
  <c r="I2166" i="1" s="1"/>
  <c r="I2165" i="1" s="1"/>
  <c r="I2164" i="1" s="1"/>
  <c r="I2160" i="1"/>
  <c r="I2159" i="1" s="1"/>
  <c r="I2158" i="1" s="1"/>
  <c r="I2156" i="1"/>
  <c r="I2155" i="1" s="1"/>
  <c r="I2154" i="1" s="1"/>
  <c r="I2153" i="1" s="1"/>
  <c r="I2152" i="1" s="1"/>
  <c r="I2148" i="1"/>
  <c r="I2147" i="1" s="1"/>
  <c r="I2146" i="1" s="1"/>
  <c r="I2145" i="1" s="1"/>
  <c r="I2144" i="1" s="1"/>
  <c r="I2143" i="1" s="1"/>
  <c r="I2142" i="1" s="1"/>
  <c r="I2140" i="1"/>
  <c r="I2139" i="1" s="1"/>
  <c r="I2138" i="1" s="1"/>
  <c r="I2136" i="1"/>
  <c r="I2135" i="1" s="1"/>
  <c r="I2134" i="1" s="1"/>
  <c r="I2128" i="1"/>
  <c r="I2126" i="1"/>
  <c r="I2124" i="1"/>
  <c r="I2113" i="1"/>
  <c r="I2096" i="1"/>
  <c r="I2095" i="1" s="1"/>
  <c r="I2094" i="1" s="1"/>
  <c r="I2093" i="1" s="1"/>
  <c r="I2090" i="1"/>
  <c r="I2089" i="1" s="1"/>
  <c r="I2087" i="1"/>
  <c r="I2086" i="1" s="1"/>
  <c r="I2075" i="1"/>
  <c r="I2074" i="1" s="1"/>
  <c r="I2073" i="1" s="1"/>
  <c r="I2072" i="1" s="1"/>
  <c r="I2071" i="1" s="1"/>
  <c r="I2070" i="1" s="1"/>
  <c r="I2060" i="1"/>
  <c r="I2055" i="1"/>
  <c r="I2054" i="1" s="1"/>
  <c r="I2053" i="1" s="1"/>
  <c r="I2052" i="1" s="1"/>
  <c r="I2050" i="1"/>
  <c r="I2049" i="1" s="1"/>
  <c r="I2047" i="1"/>
  <c r="I2046" i="1" s="1"/>
  <c r="I2036" i="1"/>
  <c r="I2032" i="1"/>
  <c r="I2031" i="1" s="1"/>
  <c r="I2030" i="1" s="1"/>
  <c r="I2029" i="1" s="1"/>
  <c r="I2028" i="1" s="1"/>
  <c r="I2026" i="1"/>
  <c r="I2025" i="1" s="1"/>
  <c r="I2024" i="1" s="1"/>
  <c r="I2023" i="1" s="1"/>
  <c r="I2022" i="1" s="1"/>
  <c r="I2020" i="1"/>
  <c r="I2019" i="1" s="1"/>
  <c r="I2018" i="1" s="1"/>
  <c r="I2017" i="1" s="1"/>
  <c r="I2012" i="1"/>
  <c r="I2011" i="1" s="1"/>
  <c r="I2009" i="1"/>
  <c r="I2008" i="1" s="1"/>
  <c r="I2006" i="1"/>
  <c r="I2005" i="1" s="1"/>
  <c r="I1988" i="1"/>
  <c r="I1986" i="1"/>
  <c r="I1980" i="1"/>
  <c r="I1979" i="1" s="1"/>
  <c r="I1978" i="1" s="1"/>
  <c r="I1977" i="1" s="1"/>
  <c r="I1976" i="1" s="1"/>
  <c r="I1973" i="1"/>
  <c r="I1972" i="1" s="1"/>
  <c r="I1971" i="1" s="1"/>
  <c r="I1970" i="1" s="1"/>
  <c r="I1969" i="1" s="1"/>
  <c r="I1968" i="1" s="1"/>
  <c r="I1960" i="1"/>
  <c r="I1959" i="1" s="1"/>
  <c r="I1958" i="1" s="1"/>
  <c r="I1956" i="1"/>
  <c r="I1955" i="1" s="1"/>
  <c r="I1953" i="1"/>
  <c r="I1951" i="1"/>
  <c r="I1946" i="1"/>
  <c r="I1945" i="1" s="1"/>
  <c r="I1943" i="1"/>
  <c r="I1942" i="1" s="1"/>
  <c r="I1940" i="1"/>
  <c r="I1939" i="1" s="1"/>
  <c r="I1934" i="1"/>
  <c r="I1933" i="1" s="1"/>
  <c r="I1932" i="1" s="1"/>
  <c r="I1930" i="1"/>
  <c r="I1929" i="1" s="1"/>
  <c r="I1928" i="1" s="1"/>
  <c r="I1924" i="1"/>
  <c r="I1922" i="1"/>
  <c r="I1917" i="1"/>
  <c r="I1916" i="1" s="1"/>
  <c r="I1912" i="1"/>
  <c r="I1910" i="1"/>
  <c r="I1901" i="1"/>
  <c r="I1900" i="1" s="1"/>
  <c r="I1899" i="1" s="1"/>
  <c r="I1898" i="1" s="1"/>
  <c r="I1897" i="1" s="1"/>
  <c r="I1896" i="1" s="1"/>
  <c r="I1892" i="1"/>
  <c r="I1888" i="1"/>
  <c r="I1887" i="1" s="1"/>
  <c r="I1886" i="1" s="1"/>
  <c r="I1885" i="1" s="1"/>
  <c r="I1884" i="1" s="1"/>
  <c r="I1880" i="1"/>
  <c r="I1879" i="1" s="1"/>
  <c r="I1878" i="1" s="1"/>
  <c r="I1877" i="1" s="1"/>
  <c r="I1876" i="1" s="1"/>
  <c r="I1875" i="1" s="1"/>
  <c r="I1874" i="1" s="1"/>
  <c r="I1872" i="1"/>
  <c r="I1871" i="1" s="1"/>
  <c r="I1870" i="1" s="1"/>
  <c r="I1868" i="1"/>
  <c r="I1867" i="1" s="1"/>
  <c r="I1866" i="1" s="1"/>
  <c r="I1860" i="1"/>
  <c r="I1858" i="1"/>
  <c r="I1856" i="1"/>
  <c r="I1842" i="1"/>
  <c r="I1840" i="1"/>
  <c r="I1821" i="1"/>
  <c r="I1820" i="1" s="1"/>
  <c r="I1819" i="1" s="1"/>
  <c r="I1818" i="1" s="1"/>
  <c r="I1815" i="1"/>
  <c r="I1814" i="1" s="1"/>
  <c r="I1812" i="1"/>
  <c r="I1811" i="1" s="1"/>
  <c r="I1801" i="1"/>
  <c r="I1800" i="1" s="1"/>
  <c r="I1799" i="1" s="1"/>
  <c r="I1798" i="1" s="1"/>
  <c r="I1797" i="1" s="1"/>
  <c r="I1794" i="1"/>
  <c r="I1793" i="1" s="1"/>
  <c r="I1792" i="1" s="1"/>
  <c r="I1791" i="1" s="1"/>
  <c r="I1790" i="1" s="1"/>
  <c r="I1789" i="1" s="1"/>
  <c r="I1780" i="1"/>
  <c r="I1779" i="1" s="1"/>
  <c r="I1778" i="1" s="1"/>
  <c r="I1777" i="1" s="1"/>
  <c r="I1775" i="1"/>
  <c r="I1774" i="1" s="1"/>
  <c r="I1773" i="1" s="1"/>
  <c r="I1772" i="1" s="1"/>
  <c r="I1770" i="1"/>
  <c r="I1769" i="1" s="1"/>
  <c r="I1767" i="1"/>
  <c r="I1766" i="1" s="1"/>
  <c r="I1756" i="1"/>
  <c r="I1752" i="1"/>
  <c r="I1744" i="1"/>
  <c r="I1743" i="1" s="1"/>
  <c r="I1742" i="1" s="1"/>
  <c r="I1741" i="1" s="1"/>
  <c r="I1740" i="1" s="1"/>
  <c r="I1738" i="1"/>
  <c r="I1737" i="1" s="1"/>
  <c r="I1736" i="1" s="1"/>
  <c r="I1735" i="1" s="1"/>
  <c r="I1730" i="1"/>
  <c r="I1729" i="1" s="1"/>
  <c r="I1727" i="1"/>
  <c r="I1726" i="1" s="1"/>
  <c r="I1724" i="1"/>
  <c r="I1723" i="1" s="1"/>
  <c r="I1706" i="1"/>
  <c r="I1704" i="1"/>
  <c r="I1698" i="1"/>
  <c r="I1697" i="1" s="1"/>
  <c r="I1696" i="1" s="1"/>
  <c r="I1695" i="1" s="1"/>
  <c r="I1694" i="1" s="1"/>
  <c r="I1691" i="1"/>
  <c r="I1690" i="1" s="1"/>
  <c r="I1689" i="1" s="1"/>
  <c r="I1688" i="1" s="1"/>
  <c r="I1687" i="1" s="1"/>
  <c r="I1686" i="1" s="1"/>
  <c r="I1679" i="1"/>
  <c r="I1678" i="1" s="1"/>
  <c r="I1676" i="1"/>
  <c r="I1674" i="1"/>
  <c r="I1669" i="1"/>
  <c r="I1668" i="1" s="1"/>
  <c r="I1666" i="1"/>
  <c r="I1665" i="1" s="1"/>
  <c r="I1663" i="1"/>
  <c r="I1662" i="1" s="1"/>
  <c r="I1657" i="1"/>
  <c r="I1656" i="1" s="1"/>
  <c r="I1655" i="1" s="1"/>
  <c r="I1653" i="1"/>
  <c r="I1652" i="1" s="1"/>
  <c r="I1651" i="1" s="1"/>
  <c r="I1644" i="1"/>
  <c r="I1639" i="1"/>
  <c r="I1638" i="1" s="1"/>
  <c r="I1632" i="1"/>
  <c r="I1619" i="1"/>
  <c r="I1618" i="1" s="1"/>
  <c r="I1617" i="1" s="1"/>
  <c r="I1616" i="1" s="1"/>
  <c r="I1610" i="1"/>
  <c r="I1606" i="1"/>
  <c r="I1605" i="1" s="1"/>
  <c r="I1604" i="1" s="1"/>
  <c r="I1603" i="1" s="1"/>
  <c r="I1601" i="1"/>
  <c r="I1600" i="1" s="1"/>
  <c r="I1599" i="1" s="1"/>
  <c r="I1598" i="1" s="1"/>
  <c r="I1593" i="1"/>
  <c r="I1592" i="1" s="1"/>
  <c r="I1591" i="1" s="1"/>
  <c r="I1590" i="1" s="1"/>
  <c r="I1589" i="1" s="1"/>
  <c r="I1588" i="1" s="1"/>
  <c r="I1587" i="1" s="1"/>
  <c r="I1585" i="1"/>
  <c r="I1584" i="1" s="1"/>
  <c r="I1583" i="1" s="1"/>
  <c r="I1581" i="1"/>
  <c r="I1580" i="1" s="1"/>
  <c r="I1579" i="1" s="1"/>
  <c r="I1573" i="1"/>
  <c r="I1571" i="1"/>
  <c r="I1569" i="1"/>
  <c r="I1541" i="1"/>
  <c r="I1540" i="1" s="1"/>
  <c r="I1539" i="1" s="1"/>
  <c r="I1538" i="1" s="1"/>
  <c r="I1535" i="1"/>
  <c r="I1534" i="1" s="1"/>
  <c r="I1532" i="1"/>
  <c r="I1531" i="1" s="1"/>
  <c r="I1520" i="1"/>
  <c r="I1519" i="1" s="1"/>
  <c r="I1518" i="1" s="1"/>
  <c r="I1517" i="1" s="1"/>
  <c r="I1516" i="1" s="1"/>
  <c r="I1515" i="1" s="1"/>
  <c r="I1505" i="1"/>
  <c r="I1500" i="1"/>
  <c r="I1499" i="1" s="1"/>
  <c r="I1498" i="1" s="1"/>
  <c r="I1497" i="1" s="1"/>
  <c r="I1495" i="1"/>
  <c r="I1494" i="1" s="1"/>
  <c r="I1492" i="1"/>
  <c r="I1491" i="1" s="1"/>
  <c r="I1480" i="1"/>
  <c r="I1478" i="1"/>
  <c r="I1474" i="1"/>
  <c r="I1466" i="1"/>
  <c r="I1465" i="1" s="1"/>
  <c r="I1464" i="1" s="1"/>
  <c r="I1463" i="1" s="1"/>
  <c r="I1462" i="1" s="1"/>
  <c r="I1460" i="1"/>
  <c r="I1459" i="1" s="1"/>
  <c r="I1458" i="1" s="1"/>
  <c r="I1457" i="1" s="1"/>
  <c r="I1452" i="1"/>
  <c r="I1451" i="1" s="1"/>
  <c r="I1449" i="1"/>
  <c r="I1448" i="1" s="1"/>
  <c r="I1446" i="1"/>
  <c r="I1445" i="1" s="1"/>
  <c r="I1423" i="1"/>
  <c r="I1421" i="1"/>
  <c r="I1415" i="1"/>
  <c r="I1414" i="1" s="1"/>
  <c r="I1413" i="1" s="1"/>
  <c r="I1412" i="1" s="1"/>
  <c r="I1411" i="1" s="1"/>
  <c r="I1408" i="1"/>
  <c r="I1407" i="1" s="1"/>
  <c r="I1406" i="1" s="1"/>
  <c r="I1405" i="1" s="1"/>
  <c r="I1403" i="1"/>
  <c r="I1402" i="1" s="1"/>
  <c r="I1401" i="1" s="1"/>
  <c r="I1400" i="1" s="1"/>
  <c r="I1399" i="1" s="1"/>
  <c r="I1391" i="1"/>
  <c r="I1390" i="1" s="1"/>
  <c r="I1388" i="1"/>
  <c r="I1386" i="1"/>
  <c r="I1381" i="1"/>
  <c r="I1380" i="1" s="1"/>
  <c r="I1378" i="1"/>
  <c r="I1377" i="1" s="1"/>
  <c r="I1375" i="1"/>
  <c r="I1374" i="1" s="1"/>
  <c r="I1369" i="1"/>
  <c r="I1368" i="1" s="1"/>
  <c r="I1367" i="1" s="1"/>
  <c r="I1365" i="1"/>
  <c r="I1364" i="1" s="1"/>
  <c r="I1363" i="1" s="1"/>
  <c r="I1354" i="1"/>
  <c r="I1352" i="1"/>
  <c r="I1350" i="1"/>
  <c r="I1347" i="1"/>
  <c r="I1346" i="1" s="1"/>
  <c r="I1340" i="1"/>
  <c r="I1331" i="1"/>
  <c r="I1330" i="1" s="1"/>
  <c r="I1329" i="1" s="1"/>
  <c r="I1328" i="1" s="1"/>
  <c r="I1327" i="1" s="1"/>
  <c r="I1326" i="1" s="1"/>
  <c r="I1320" i="1"/>
  <c r="I1319" i="1" s="1"/>
  <c r="I1318" i="1" s="1"/>
  <c r="I1317" i="1" s="1"/>
  <c r="I1315" i="1"/>
  <c r="I1314" i="1" s="1"/>
  <c r="I1313" i="1" s="1"/>
  <c r="I1312" i="1" s="1"/>
  <c r="I1307" i="1"/>
  <c r="I1306" i="1" s="1"/>
  <c r="I1305" i="1" s="1"/>
  <c r="I1304" i="1" s="1"/>
  <c r="I1303" i="1" s="1"/>
  <c r="I1302" i="1" s="1"/>
  <c r="I1301" i="1" s="1"/>
  <c r="I1299" i="1"/>
  <c r="I1298" i="1" s="1"/>
  <c r="I1297" i="1" s="1"/>
  <c r="I1295" i="1"/>
  <c r="I1294" i="1" s="1"/>
  <c r="I1293" i="1" s="1"/>
  <c r="I1284" i="1"/>
  <c r="I1282" i="1"/>
  <c r="I1267" i="1"/>
  <c r="I1260" i="1"/>
  <c r="I1259" i="1" s="1"/>
  <c r="I1258" i="1" s="1"/>
  <c r="I1257" i="1" s="1"/>
  <c r="I1254" i="1"/>
  <c r="I1253" i="1" s="1"/>
  <c r="I1249" i="1"/>
  <c r="I1238" i="1"/>
  <c r="I1237" i="1" s="1"/>
  <c r="I1236" i="1" s="1"/>
  <c r="I1235" i="1" s="1"/>
  <c r="I1234" i="1" s="1"/>
  <c r="I1231" i="1"/>
  <c r="I1230" i="1" s="1"/>
  <c r="I1229" i="1" s="1"/>
  <c r="I1228" i="1" s="1"/>
  <c r="I1227" i="1" s="1"/>
  <c r="I1226" i="1" s="1"/>
  <c r="I1212" i="1"/>
  <c r="I1211" i="1" s="1"/>
  <c r="I1210" i="1" s="1"/>
  <c r="I1209" i="1" s="1"/>
  <c r="I1207" i="1"/>
  <c r="I1206" i="1" s="1"/>
  <c r="I1204" i="1"/>
  <c r="I1203" i="1" s="1"/>
  <c r="I1197" i="1"/>
  <c r="I1196" i="1" s="1"/>
  <c r="I1195" i="1" s="1"/>
  <c r="I1193" i="1"/>
  <c r="I1185" i="1"/>
  <c r="I1184" i="1" s="1"/>
  <c r="I1183" i="1" s="1"/>
  <c r="I1182" i="1" s="1"/>
  <c r="I1181" i="1" s="1"/>
  <c r="I1179" i="1"/>
  <c r="I1178" i="1" s="1"/>
  <c r="I1177" i="1" s="1"/>
  <c r="I1176" i="1" s="1"/>
  <c r="I1171" i="1"/>
  <c r="I1170" i="1" s="1"/>
  <c r="I1168" i="1"/>
  <c r="I1167" i="1" s="1"/>
  <c r="I1165" i="1"/>
  <c r="I1164" i="1" s="1"/>
  <c r="I1147" i="1"/>
  <c r="I1146" i="1" s="1"/>
  <c r="I1145" i="1" s="1"/>
  <c r="I1144" i="1" s="1"/>
  <c r="I1143" i="1" s="1"/>
  <c r="I1141" i="1"/>
  <c r="I1140" i="1" s="1"/>
  <c r="I1139" i="1" s="1"/>
  <c r="I1138" i="1" s="1"/>
  <c r="I1137" i="1" s="1"/>
  <c r="I1129" i="1"/>
  <c r="I1128" i="1" s="1"/>
  <c r="I1127" i="1" s="1"/>
  <c r="I1126" i="1" s="1"/>
  <c r="I1125" i="1" s="1"/>
  <c r="I1116" i="1"/>
  <c r="I1115" i="1" s="1"/>
  <c r="I1113" i="1"/>
  <c r="I1111" i="1"/>
  <c r="I1106" i="1"/>
  <c r="I1105" i="1" s="1"/>
  <c r="I1103" i="1"/>
  <c r="I1102" i="1" s="1"/>
  <c r="I1100" i="1"/>
  <c r="I1099" i="1" s="1"/>
  <c r="I1094" i="1"/>
  <c r="I1093" i="1" s="1"/>
  <c r="I1092" i="1" s="1"/>
  <c r="I1090" i="1"/>
  <c r="I1089" i="1" s="1"/>
  <c r="I1088" i="1" s="1"/>
  <c r="I1084" i="1"/>
  <c r="I1082" i="1"/>
  <c r="I1080" i="1"/>
  <c r="I1077" i="1"/>
  <c r="I1076" i="1" s="1"/>
  <c r="I1070" i="1"/>
  <c r="I1069" i="1" s="1"/>
  <c r="I1068" i="1" s="1"/>
  <c r="I1067" i="1" s="1"/>
  <c r="I1066" i="1" s="1"/>
  <c r="I1054" i="1"/>
  <c r="I1053" i="1" s="1"/>
  <c r="I1052" i="1" s="1"/>
  <c r="I1051" i="1" s="1"/>
  <c r="I1050" i="1" s="1"/>
  <c r="I1049" i="1" s="1"/>
  <c r="I1046" i="1"/>
  <c r="I1045" i="1" s="1"/>
  <c r="I1043" i="1"/>
  <c r="I1042" i="1" s="1"/>
  <c r="I1037" i="1"/>
  <c r="I1036" i="1" s="1"/>
  <c r="I1033" i="1"/>
  <c r="I1032" i="1" s="1"/>
  <c r="I1026" i="1"/>
  <c r="I1024" i="1"/>
  <c r="I1022" i="1"/>
  <c r="I1013" i="1"/>
  <c r="I1011" i="1"/>
  <c r="I1006" i="1"/>
  <c r="I1005" i="1" s="1"/>
  <c r="I1004" i="1" s="1"/>
  <c r="I1001" i="1"/>
  <c r="I999" i="1"/>
  <c r="I994" i="1"/>
  <c r="I992" i="1"/>
  <c r="I987" i="1"/>
  <c r="I985" i="1"/>
  <c r="I979" i="1"/>
  <c r="I975" i="1"/>
  <c r="I968" i="1"/>
  <c r="I953" i="1"/>
  <c r="I951" i="1"/>
  <c r="I949" i="1"/>
  <c r="I946" i="1"/>
  <c r="I945" i="1" s="1"/>
  <c r="I936" i="1"/>
  <c r="I934" i="1"/>
  <c r="I924" i="1"/>
  <c r="I920" i="1"/>
  <c r="I919" i="1" s="1"/>
  <c r="I917" i="1"/>
  <c r="I916" i="1" s="1"/>
  <c r="I914" i="1"/>
  <c r="I913" i="1" s="1"/>
  <c r="I907" i="1"/>
  <c r="I906" i="1" s="1"/>
  <c r="I904" i="1"/>
  <c r="I901" i="1"/>
  <c r="I899" i="1"/>
  <c r="I897" i="1"/>
  <c r="I878" i="1"/>
  <c r="I877" i="1" s="1"/>
  <c r="I876" i="1" s="1"/>
  <c r="I875" i="1" s="1"/>
  <c r="I874" i="1" s="1"/>
  <c r="I872" i="1"/>
  <c r="I871" i="1" s="1"/>
  <c r="I869" i="1"/>
  <c r="I868" i="1" s="1"/>
  <c r="I864" i="1"/>
  <c r="I863" i="1" s="1"/>
  <c r="I862" i="1" s="1"/>
  <c r="I861" i="1" s="1"/>
  <c r="I857" i="1"/>
  <c r="I856" i="1" s="1"/>
  <c r="I855" i="1" s="1"/>
  <c r="I854" i="1" s="1"/>
  <c r="I853" i="1" s="1"/>
  <c r="I852" i="1" s="1"/>
  <c r="I847" i="1"/>
  <c r="I846" i="1" s="1"/>
  <c r="I835" i="1"/>
  <c r="I834" i="1" s="1"/>
  <c r="I833" i="1" s="1"/>
  <c r="I832" i="1" s="1"/>
  <c r="I820" i="1"/>
  <c r="I819" i="1" s="1"/>
  <c r="I817" i="1"/>
  <c r="I812" i="1"/>
  <c r="I810" i="1"/>
  <c r="I808" i="1"/>
  <c r="I806" i="1"/>
  <c r="I800" i="1"/>
  <c r="I799" i="1" s="1"/>
  <c r="I798" i="1" s="1"/>
  <c r="I797" i="1" s="1"/>
  <c r="I796" i="1" s="1"/>
  <c r="I779" i="1"/>
  <c r="I778" i="1" s="1"/>
  <c r="I776" i="1"/>
  <c r="I775" i="1" s="1"/>
  <c r="I773" i="1"/>
  <c r="I772" i="1" s="1"/>
  <c r="I770" i="1"/>
  <c r="I769" i="1" s="1"/>
  <c r="I767" i="1"/>
  <c r="I766" i="1" s="1"/>
  <c r="I746" i="1"/>
  <c r="I745" i="1" s="1"/>
  <c r="I737" i="1"/>
  <c r="I736" i="1" s="1"/>
  <c r="I735" i="1" s="1"/>
  <c r="I734" i="1" s="1"/>
  <c r="I731" i="1"/>
  <c r="I730" i="1" s="1"/>
  <c r="I727" i="1"/>
  <c r="I725" i="1"/>
  <c r="I721" i="1"/>
  <c r="I720" i="1" s="1"/>
  <c r="I718" i="1"/>
  <c r="I717" i="1" s="1"/>
  <c r="I715" i="1"/>
  <c r="I714" i="1" s="1"/>
  <c r="I712" i="1"/>
  <c r="I711" i="1" s="1"/>
  <c r="I709" i="1"/>
  <c r="I708" i="1" s="1"/>
  <c r="I705" i="1"/>
  <c r="I704" i="1" s="1"/>
  <c r="I698" i="1"/>
  <c r="I697" i="1" s="1"/>
  <c r="I696" i="1" s="1"/>
  <c r="I695" i="1" s="1"/>
  <c r="I692" i="1"/>
  <c r="I690" i="1"/>
  <c r="I685" i="1"/>
  <c r="I684" i="1" s="1"/>
  <c r="I681" i="1"/>
  <c r="I680" i="1" s="1"/>
  <c r="I678" i="1"/>
  <c r="I677" i="1" s="1"/>
  <c r="I673" i="1"/>
  <c r="I671" i="1"/>
  <c r="I666" i="1"/>
  <c r="I665" i="1" s="1"/>
  <c r="I664" i="1" s="1"/>
  <c r="I663" i="1" s="1"/>
  <c r="I661" i="1"/>
  <c r="I660" i="1" s="1"/>
  <c r="I657" i="1"/>
  <c r="I655" i="1"/>
  <c r="I653" i="1"/>
  <c r="I646" i="1"/>
  <c r="I645" i="1" s="1"/>
  <c r="I642" i="1"/>
  <c r="I641" i="1" s="1"/>
  <c r="I638" i="1"/>
  <c r="I637" i="1" s="1"/>
  <c r="I629" i="1"/>
  <c r="I628" i="1" s="1"/>
  <c r="I627" i="1" s="1"/>
  <c r="I626" i="1" s="1"/>
  <c r="I625" i="1" s="1"/>
  <c r="I622" i="1"/>
  <c r="I621" i="1" s="1"/>
  <c r="I620" i="1" s="1"/>
  <c r="I619" i="1" s="1"/>
  <c r="I618" i="1" s="1"/>
  <c r="I614" i="1"/>
  <c r="I612" i="1"/>
  <c r="I610" i="1"/>
  <c r="I607" i="1"/>
  <c r="I606" i="1" s="1"/>
  <c r="I587" i="1"/>
  <c r="I586" i="1" s="1"/>
  <c r="I584" i="1"/>
  <c r="I583" i="1" s="1"/>
  <c r="I579" i="1"/>
  <c r="I578" i="1" s="1"/>
  <c r="I577" i="1" s="1"/>
  <c r="I574" i="1"/>
  <c r="I573" i="1" s="1"/>
  <c r="I570" i="1"/>
  <c r="I569" i="1" s="1"/>
  <c r="I564" i="1"/>
  <c r="I563" i="1" s="1"/>
  <c r="I558" i="1"/>
  <c r="I557" i="1" s="1"/>
  <c r="I554" i="1"/>
  <c r="I553" i="1" s="1"/>
  <c r="I544" i="1"/>
  <c r="I543" i="1" s="1"/>
  <c r="I541" i="1"/>
  <c r="I540" i="1" s="1"/>
  <c r="I537" i="1"/>
  <c r="I536" i="1" s="1"/>
  <c r="I530" i="1"/>
  <c r="I529" i="1" s="1"/>
  <c r="I522" i="1"/>
  <c r="I521" i="1" s="1"/>
  <c r="I518" i="1"/>
  <c r="I517" i="1" s="1"/>
  <c r="I515" i="1"/>
  <c r="I514" i="1" s="1"/>
  <c r="I505" i="1"/>
  <c r="I501" i="1"/>
  <c r="I500" i="1" s="1"/>
  <c r="I494" i="1"/>
  <c r="I493" i="1" s="1"/>
  <c r="I487" i="1"/>
  <c r="I486" i="1" s="1"/>
  <c r="I485" i="1" s="1"/>
  <c r="I483" i="1"/>
  <c r="I482" i="1" s="1"/>
  <c r="I481" i="1" s="1"/>
  <c r="I480" i="1" s="1"/>
  <c r="I477" i="1"/>
  <c r="I476" i="1" s="1"/>
  <c r="I475" i="1" s="1"/>
  <c r="I472" i="1"/>
  <c r="I470" i="1"/>
  <c r="I455" i="1"/>
  <c r="I454" i="1" s="1"/>
  <c r="I452" i="1"/>
  <c r="I450" i="1"/>
  <c r="I447" i="1"/>
  <c r="I446" i="1" s="1"/>
  <c r="I444" i="1"/>
  <c r="I443" i="1" s="1"/>
  <c r="I433" i="1"/>
  <c r="I432" i="1" s="1"/>
  <c r="I431" i="1" s="1"/>
  <c r="I430" i="1" s="1"/>
  <c r="I429" i="1" s="1"/>
  <c r="I420" i="1"/>
  <c r="I419" i="1" s="1"/>
  <c r="I418" i="1" s="1"/>
  <c r="I417" i="1" s="1"/>
  <c r="I415" i="1"/>
  <c r="I414" i="1" s="1"/>
  <c r="I413" i="1" s="1"/>
  <c r="I411" i="1"/>
  <c r="I410" i="1" s="1"/>
  <c r="I408" i="1"/>
  <c r="I406" i="1"/>
  <c r="I404" i="1"/>
  <c r="I398" i="1"/>
  <c r="I397" i="1" s="1"/>
  <c r="I392" i="1"/>
  <c r="I391" i="1" s="1"/>
  <c r="I390" i="1" s="1"/>
  <c r="I389" i="1" s="1"/>
  <c r="I383" i="1"/>
  <c r="I382" i="1" s="1"/>
  <c r="I377" i="1"/>
  <c r="I376" i="1" s="1"/>
  <c r="I374" i="1"/>
  <c r="I373" i="1" s="1"/>
  <c r="I369" i="1"/>
  <c r="I368" i="1" s="1"/>
  <c r="I367" i="1" s="1"/>
  <c r="I365" i="1"/>
  <c r="I364" i="1" s="1"/>
  <c r="I360" i="1"/>
  <c r="I359" i="1" s="1"/>
  <c r="I358" i="1" s="1"/>
  <c r="I357" i="1" s="1"/>
  <c r="I352" i="1"/>
  <c r="I350" i="1"/>
  <c r="I346" i="1"/>
  <c r="I345" i="1" s="1"/>
  <c r="I343" i="1"/>
  <c r="I342" i="1" s="1"/>
  <c r="I340" i="1"/>
  <c r="I335" i="1"/>
  <c r="I333" i="1"/>
  <c r="I331" i="1"/>
  <c r="I324" i="1"/>
  <c r="I322" i="1"/>
  <c r="I320" i="1"/>
  <c r="I317" i="1"/>
  <c r="I316" i="1" s="1"/>
  <c r="I304" i="1"/>
  <c r="I303" i="1" s="1"/>
  <c r="I302" i="1" s="1"/>
  <c r="I300" i="1"/>
  <c r="I299" i="1" s="1"/>
  <c r="I298" i="1" s="1"/>
  <c r="I291" i="1"/>
  <c r="I290" i="1" s="1"/>
  <c r="I289" i="1" s="1"/>
  <c r="I278" i="1"/>
  <c r="I277" i="1" s="1"/>
  <c r="I276" i="1" s="1"/>
  <c r="I274" i="1"/>
  <c r="I273" i="1" s="1"/>
  <c r="I268" i="1"/>
  <c r="I266" i="1"/>
  <c r="I262" i="1"/>
  <c r="I261" i="1" s="1"/>
  <c r="I260" i="1" s="1"/>
  <c r="I257" i="1"/>
  <c r="I256" i="1" s="1"/>
  <c r="I255" i="1" s="1"/>
  <c r="I254" i="1" s="1"/>
  <c r="I248" i="1"/>
  <c r="I246" i="1"/>
  <c r="I244" i="1"/>
  <c r="I231" i="1"/>
  <c r="I230" i="1" s="1"/>
  <c r="I228" i="1"/>
  <c r="I227" i="1" s="1"/>
  <c r="I223" i="1"/>
  <c r="I222" i="1" s="1"/>
  <c r="I220" i="1"/>
  <c r="I219" i="1" s="1"/>
  <c r="I217" i="1"/>
  <c r="I216" i="1" s="1"/>
  <c r="I215" i="1" s="1"/>
  <c r="I212" i="1"/>
  <c r="I211" i="1" s="1"/>
  <c r="I210" i="1" s="1"/>
  <c r="I208" i="1"/>
  <c r="I207" i="1" s="1"/>
  <c r="I204" i="1"/>
  <c r="I202" i="1"/>
  <c r="I199" i="1"/>
  <c r="I198" i="1" s="1"/>
  <c r="I195" i="1"/>
  <c r="I194" i="1" s="1"/>
  <c r="I193" i="1" s="1"/>
  <c r="I191" i="1"/>
  <c r="I189" i="1"/>
  <c r="I187" i="1"/>
  <c r="I181" i="1"/>
  <c r="I180" i="1" s="1"/>
  <c r="I179" i="1" s="1"/>
  <c r="I178" i="1" s="1"/>
  <c r="I177" i="1" s="1"/>
  <c r="I173" i="1"/>
  <c r="I171" i="1"/>
  <c r="I169" i="1"/>
  <c r="I166" i="1"/>
  <c r="I165" i="1" s="1"/>
  <c r="I158" i="1"/>
  <c r="I157" i="1" s="1"/>
  <c r="I156" i="1" s="1"/>
  <c r="I155" i="1" s="1"/>
  <c r="I150" i="1"/>
  <c r="I149" i="1" s="1"/>
  <c r="I144" i="1"/>
  <c r="I143" i="1" s="1"/>
  <c r="I142" i="1" s="1"/>
  <c r="I141" i="1" s="1"/>
  <c r="I140" i="1" s="1"/>
  <c r="I138" i="1"/>
  <c r="I136" i="1"/>
  <c r="I134" i="1"/>
  <c r="I131" i="1"/>
  <c r="I130" i="1" s="1"/>
  <c r="I123" i="1"/>
  <c r="I122" i="1" s="1"/>
  <c r="I120" i="1"/>
  <c r="I119" i="1" s="1"/>
  <c r="I79" i="1"/>
  <c r="I78" i="1" s="1"/>
  <c r="I76" i="1"/>
  <c r="I75" i="1" s="1"/>
  <c r="I57" i="1"/>
  <c r="I56" i="1" s="1"/>
  <c r="I55" i="1" s="1"/>
  <c r="I54" i="1" s="1"/>
  <c r="I52" i="1"/>
  <c r="I50" i="1"/>
  <c r="I48" i="1"/>
  <c r="I45" i="1"/>
  <c r="I44" i="1" s="1"/>
  <c r="I37" i="1"/>
  <c r="I36" i="1" s="1"/>
  <c r="I29" i="1"/>
  <c r="I26" i="1"/>
  <c r="I24" i="1"/>
  <c r="I22" i="1"/>
  <c r="I14" i="1"/>
  <c r="H4768" i="1"/>
  <c r="H4767" i="1" s="1"/>
  <c r="H4757" i="1"/>
  <c r="H4744" i="1"/>
  <c r="H4742" i="1"/>
  <c r="H4740" i="1"/>
  <c r="H4737" i="1"/>
  <c r="H4736" i="1" s="1"/>
  <c r="H4729" i="1"/>
  <c r="H4727" i="1"/>
  <c r="H4722" i="1"/>
  <c r="H4721" i="1" s="1"/>
  <c r="H4720" i="1" s="1"/>
  <c r="H4719" i="1" s="1"/>
  <c r="H4718" i="1" s="1"/>
  <c r="H4715" i="1"/>
  <c r="H4714" i="1" s="1"/>
  <c r="H4713" i="1" s="1"/>
  <c r="H4712" i="1" s="1"/>
  <c r="H4711" i="1" s="1"/>
  <c r="H4710" i="1" s="1"/>
  <c r="H4705" i="1"/>
  <c r="H4704" i="1" s="1"/>
  <c r="H4703" i="1" s="1"/>
  <c r="H4702" i="1" s="1"/>
  <c r="H4700" i="1"/>
  <c r="H4699" i="1" s="1"/>
  <c r="H4691" i="1"/>
  <c r="H4690" i="1" s="1"/>
  <c r="H4688" i="1"/>
  <c r="H4687" i="1" s="1"/>
  <c r="H4685" i="1"/>
  <c r="H4684" i="1" s="1"/>
  <c r="H4669" i="1"/>
  <c r="H4667" i="1"/>
  <c r="H4665" i="1"/>
  <c r="H4658" i="1"/>
  <c r="H4657" i="1" s="1"/>
  <c r="H4656" i="1" s="1"/>
  <c r="H4655" i="1" s="1"/>
  <c r="H4646" i="1"/>
  <c r="H4644" i="1"/>
  <c r="H4639" i="1"/>
  <c r="H4638" i="1" s="1"/>
  <c r="H4636" i="1"/>
  <c r="H4635" i="1" s="1"/>
  <c r="H4632" i="1"/>
  <c r="H4624" i="1"/>
  <c r="H4623" i="1" s="1"/>
  <c r="H4618" i="1"/>
  <c r="H4617" i="1" s="1"/>
  <c r="H4612" i="1"/>
  <c r="H4611" i="1" s="1"/>
  <c r="H4599" i="1"/>
  <c r="H4597" i="1"/>
  <c r="H4595" i="1"/>
  <c r="H4592" i="1"/>
  <c r="H4591" i="1" s="1"/>
  <c r="H4587" i="1"/>
  <c r="H4586" i="1" s="1"/>
  <c r="H4585" i="1" s="1"/>
  <c r="H4584" i="1" s="1"/>
  <c r="H4574" i="1"/>
  <c r="H4573" i="1" s="1"/>
  <c r="H4572" i="1" s="1"/>
  <c r="H4571" i="1" s="1"/>
  <c r="H4568" i="1"/>
  <c r="H4566" i="1"/>
  <c r="H4564" i="1"/>
  <c r="H4561" i="1"/>
  <c r="H4560" i="1" s="1"/>
  <c r="H4557" i="1"/>
  <c r="H4556" i="1" s="1"/>
  <c r="H4554" i="1"/>
  <c r="H4553" i="1" s="1"/>
  <c r="H4546" i="1"/>
  <c r="H4544" i="1"/>
  <c r="H4542" i="1"/>
  <c r="H4539" i="1"/>
  <c r="H4538" i="1" s="1"/>
  <c r="H4535" i="1"/>
  <c r="H4534" i="1" s="1"/>
  <c r="H4533" i="1" s="1"/>
  <c r="H4527" i="1"/>
  <c r="H4525" i="1"/>
  <c r="H4523" i="1"/>
  <c r="H4520" i="1"/>
  <c r="H4519" i="1" s="1"/>
  <c r="H4516" i="1"/>
  <c r="H4515" i="1" s="1"/>
  <c r="H4514" i="1" s="1"/>
  <c r="H4508" i="1"/>
  <c r="H4506" i="1"/>
  <c r="H4501" i="1"/>
  <c r="H4500" i="1" s="1"/>
  <c r="H4457" i="1"/>
  <c r="H4456" i="1" s="1"/>
  <c r="H4455" i="1" s="1"/>
  <c r="H4444" i="1"/>
  <c r="H4439" i="1"/>
  <c r="H4432" i="1"/>
  <c r="H4431" i="1" s="1"/>
  <c r="H4429" i="1"/>
  <c r="H4428" i="1" s="1"/>
  <c r="H4424" i="1"/>
  <c r="H4423" i="1" s="1"/>
  <c r="H4422" i="1" s="1"/>
  <c r="H4411" i="1"/>
  <c r="H4409" i="1"/>
  <c r="H4369" i="1"/>
  <c r="H4368" i="1" s="1"/>
  <c r="H4367" i="1" s="1"/>
  <c r="H4366" i="1" s="1"/>
  <c r="H4365" i="1" s="1"/>
  <c r="H4364" i="1" s="1"/>
  <c r="H4361" i="1"/>
  <c r="H4360" i="1" s="1"/>
  <c r="H4359" i="1" s="1"/>
  <c r="H4358" i="1" s="1"/>
  <c r="H4357" i="1" s="1"/>
  <c r="H4356" i="1" s="1"/>
  <c r="H4343" i="1"/>
  <c r="H4342" i="1" s="1"/>
  <c r="H4332" i="1"/>
  <c r="H4331" i="1" s="1"/>
  <c r="H4295" i="1"/>
  <c r="H4293" i="1"/>
  <c r="H4290" i="1"/>
  <c r="H4289" i="1" s="1"/>
  <c r="H4283" i="1"/>
  <c r="H4282" i="1" s="1"/>
  <c r="H4273" i="1"/>
  <c r="H4272" i="1" s="1"/>
  <c r="H4270" i="1"/>
  <c r="H4269" i="1" s="1"/>
  <c r="H4267" i="1"/>
  <c r="H4265" i="1"/>
  <c r="H4252" i="1"/>
  <c r="H4251" i="1" s="1"/>
  <c r="H4249" i="1"/>
  <c r="H4248" i="1" s="1"/>
  <c r="H4247" i="1" s="1"/>
  <c r="H4236" i="1"/>
  <c r="H4234" i="1"/>
  <c r="H4232" i="1"/>
  <c r="H4227" i="1"/>
  <c r="H4226" i="1" s="1"/>
  <c r="H4224" i="1"/>
  <c r="H4223" i="1" s="1"/>
  <c r="H4220" i="1"/>
  <c r="H4219" i="1" s="1"/>
  <c r="H4218" i="1" s="1"/>
  <c r="H4216" i="1"/>
  <c r="H4215" i="1" s="1"/>
  <c r="H4214" i="1" s="1"/>
  <c r="H4204" i="1"/>
  <c r="H4203" i="1" s="1"/>
  <c r="H4202" i="1" s="1"/>
  <c r="H4201" i="1" s="1"/>
  <c r="H4200" i="1" s="1"/>
  <c r="H4198" i="1"/>
  <c r="H4191" i="1"/>
  <c r="H4190" i="1" s="1"/>
  <c r="H4188" i="1"/>
  <c r="H4187" i="1" s="1"/>
  <c r="H4185" i="1"/>
  <c r="H4184" i="1" s="1"/>
  <c r="H4181" i="1"/>
  <c r="H4180" i="1" s="1"/>
  <c r="H4176" i="1"/>
  <c r="H4170" i="1"/>
  <c r="H4168" i="1"/>
  <c r="H4162" i="1"/>
  <c r="H4158" i="1"/>
  <c r="H4156" i="1"/>
  <c r="H4153" i="1"/>
  <c r="H4152" i="1" s="1"/>
  <c r="H4147" i="1"/>
  <c r="H4146" i="1" s="1"/>
  <c r="H4145" i="1" s="1"/>
  <c r="H4144" i="1" s="1"/>
  <c r="H4143" i="1" s="1"/>
  <c r="H4139" i="1"/>
  <c r="H4137" i="1"/>
  <c r="H4135" i="1"/>
  <c r="H4132" i="1"/>
  <c r="H4131" i="1" s="1"/>
  <c r="H4114" i="1"/>
  <c r="H4113" i="1" s="1"/>
  <c r="H4098" i="1"/>
  <c r="H4097" i="1" s="1"/>
  <c r="H4095" i="1"/>
  <c r="H4094" i="1" s="1"/>
  <c r="H4079" i="1"/>
  <c r="H4075" i="1"/>
  <c r="H4068" i="1"/>
  <c r="H4065" i="1"/>
  <c r="H4057" i="1"/>
  <c r="H4056" i="1" s="1"/>
  <c r="H4054" i="1"/>
  <c r="H4053" i="1" s="1"/>
  <c r="H4051" i="1"/>
  <c r="H4050" i="1" s="1"/>
  <c r="H4047" i="1"/>
  <c r="H4046" i="1" s="1"/>
  <c r="H4044" i="1"/>
  <c r="H4040" i="1"/>
  <c r="H4032" i="1"/>
  <c r="H4031" i="1" s="1"/>
  <c r="H4030" i="1" s="1"/>
  <c r="H4029" i="1" s="1"/>
  <c r="H4028" i="1" s="1"/>
  <c r="H4026" i="1"/>
  <c r="H4025" i="1" s="1"/>
  <c r="H4024" i="1" s="1"/>
  <c r="H4023" i="1" s="1"/>
  <c r="H4022" i="1" s="1"/>
  <c r="H4013" i="1"/>
  <c r="H4011" i="1"/>
  <c r="H4009" i="1"/>
  <c r="H4006" i="1"/>
  <c r="H4005" i="1" s="1"/>
  <c r="H3980" i="1"/>
  <c r="H3979" i="1" s="1"/>
  <c r="H3967" i="1"/>
  <c r="H3966" i="1" s="1"/>
  <c r="H3964" i="1"/>
  <c r="H3963" i="1" s="1"/>
  <c r="H3961" i="1"/>
  <c r="H3960" i="1" s="1"/>
  <c r="H3957" i="1"/>
  <c r="H3956" i="1" s="1"/>
  <c r="H3935" i="1"/>
  <c r="H3934" i="1" s="1"/>
  <c r="H3932" i="1"/>
  <c r="H3931" i="1" s="1"/>
  <c r="H3916" i="1"/>
  <c r="H3914" i="1"/>
  <c r="H3912" i="1"/>
  <c r="H3910" i="1"/>
  <c r="H3908" i="1"/>
  <c r="H3901" i="1"/>
  <c r="H3899" i="1"/>
  <c r="H3888" i="1"/>
  <c r="H3886" i="1"/>
  <c r="H3863" i="1"/>
  <c r="H3862" i="1" s="1"/>
  <c r="H3861" i="1" s="1"/>
  <c r="H3859" i="1"/>
  <c r="H3858" i="1" s="1"/>
  <c r="H3857" i="1" s="1"/>
  <c r="H3854" i="1"/>
  <c r="H3852" i="1"/>
  <c r="H3847" i="1"/>
  <c r="H3846" i="1" s="1"/>
  <c r="H3845" i="1" s="1"/>
  <c r="H3829" i="1"/>
  <c r="H3827" i="1"/>
  <c r="H3824" i="1"/>
  <c r="H3823" i="1" s="1"/>
  <c r="H3819" i="1"/>
  <c r="H3818" i="1" s="1"/>
  <c r="H3817" i="1" s="1"/>
  <c r="H3816" i="1" s="1"/>
  <c r="H3806" i="1"/>
  <c r="H3805" i="1" s="1"/>
  <c r="H3788" i="1"/>
  <c r="H3787" i="1" s="1"/>
  <c r="H3786" i="1" s="1"/>
  <c r="H3785" i="1" s="1"/>
  <c r="H3783" i="1"/>
  <c r="H3781" i="1"/>
  <c r="H3766" i="1"/>
  <c r="H3762" i="1"/>
  <c r="H3747" i="1"/>
  <c r="H3743" i="1"/>
  <c r="H3740" i="1"/>
  <c r="H3739" i="1" s="1"/>
  <c r="H3735" i="1"/>
  <c r="H3734" i="1" s="1"/>
  <c r="H3733" i="1" s="1"/>
  <c r="H3732" i="1" s="1"/>
  <c r="H3721" i="1"/>
  <c r="H3717" i="1"/>
  <c r="H3716" i="1" s="1"/>
  <c r="H3708" i="1"/>
  <c r="H3707" i="1" s="1"/>
  <c r="H3705" i="1"/>
  <c r="H3704" i="1" s="1"/>
  <c r="H3687" i="1"/>
  <c r="H3686" i="1" s="1"/>
  <c r="H3685" i="1" s="1"/>
  <c r="H3684" i="1" s="1"/>
  <c r="H3683" i="1" s="1"/>
  <c r="H3682" i="1" s="1"/>
  <c r="H3681" i="1" s="1"/>
  <c r="H3678" i="1"/>
  <c r="H3676" i="1"/>
  <c r="H3674" i="1"/>
  <c r="H3671" i="1"/>
  <c r="H3670" i="1" s="1"/>
  <c r="H3661" i="1"/>
  <c r="H3628" i="1"/>
  <c r="H3627" i="1" s="1"/>
  <c r="H3624" i="1"/>
  <c r="H3623" i="1" s="1"/>
  <c r="H3615" i="1"/>
  <c r="H3614" i="1" s="1"/>
  <c r="H3612" i="1"/>
  <c r="H3611" i="1" s="1"/>
  <c r="H3596" i="1"/>
  <c r="H3595" i="1" s="1"/>
  <c r="H3579" i="1"/>
  <c r="H3578" i="1" s="1"/>
  <c r="H3577" i="1" s="1"/>
  <c r="H3575" i="1"/>
  <c r="H3574" i="1" s="1"/>
  <c r="H3572" i="1"/>
  <c r="H3571" i="1" s="1"/>
  <c r="H3569" i="1"/>
  <c r="H3568" i="1" s="1"/>
  <c r="H3566" i="1"/>
  <c r="H3565" i="1" s="1"/>
  <c r="H3563" i="1"/>
  <c r="H3562" i="1" s="1"/>
  <c r="H3557" i="1"/>
  <c r="H3556" i="1" s="1"/>
  <c r="H3551" i="1"/>
  <c r="H3550" i="1" s="1"/>
  <c r="H3548" i="1"/>
  <c r="H3540" i="1"/>
  <c r="H3539" i="1" s="1"/>
  <c r="H3537" i="1"/>
  <c r="H3536" i="1" s="1"/>
  <c r="H3534" i="1"/>
  <c r="H3533" i="1" s="1"/>
  <c r="H3531" i="1"/>
  <c r="H3530" i="1" s="1"/>
  <c r="H3528" i="1"/>
  <c r="H3527" i="1" s="1"/>
  <c r="H3523" i="1"/>
  <c r="H3522" i="1" s="1"/>
  <c r="H3521" i="1" s="1"/>
  <c r="H3516" i="1"/>
  <c r="H3515" i="1" s="1"/>
  <c r="H3513" i="1"/>
  <c r="H3512" i="1" s="1"/>
  <c r="H3499" i="1"/>
  <c r="H3498" i="1" s="1"/>
  <c r="H3497" i="1" s="1"/>
  <c r="H3496" i="1" s="1"/>
  <c r="H3495" i="1" s="1"/>
  <c r="H3494" i="1" s="1"/>
  <c r="H3493" i="1" s="1"/>
  <c r="H3467" i="1"/>
  <c r="H3466" i="1" s="1"/>
  <c r="H3465" i="1" s="1"/>
  <c r="H3464" i="1" s="1"/>
  <c r="H3463" i="1" s="1"/>
  <c r="H3461" i="1"/>
  <c r="H3460" i="1" s="1"/>
  <c r="H3459" i="1" s="1"/>
  <c r="H3458" i="1" s="1"/>
  <c r="H3457" i="1" s="1"/>
  <c r="H3433" i="1"/>
  <c r="H3432" i="1" s="1"/>
  <c r="H3417" i="1"/>
  <c r="H3416" i="1" s="1"/>
  <c r="H3414" i="1"/>
  <c r="H3413" i="1" s="1"/>
  <c r="H3411" i="1"/>
  <c r="H3410" i="1" s="1"/>
  <c r="H3403" i="1"/>
  <c r="H3402" i="1" s="1"/>
  <c r="H3401" i="1" s="1"/>
  <c r="H3400" i="1" s="1"/>
  <c r="H3399" i="1" s="1"/>
  <c r="H3398" i="1" s="1"/>
  <c r="H3397" i="1" s="1"/>
  <c r="H3395" i="1"/>
  <c r="H3394" i="1" s="1"/>
  <c r="H3392" i="1"/>
  <c r="H3391" i="1" s="1"/>
  <c r="H3380" i="1"/>
  <c r="H3379" i="1" s="1"/>
  <c r="H3374" i="1"/>
  <c r="H3354" i="1"/>
  <c r="H3349" i="1"/>
  <c r="H3347" i="1"/>
  <c r="H3345" i="1"/>
  <c r="H3342" i="1"/>
  <c r="H3341" i="1" s="1"/>
  <c r="H3329" i="1"/>
  <c r="H3328" i="1" s="1"/>
  <c r="H3327" i="1" s="1"/>
  <c r="H3326" i="1" s="1"/>
  <c r="H3325" i="1" s="1"/>
  <c r="H3324" i="1" s="1"/>
  <c r="H3323" i="1" s="1"/>
  <c r="H3313" i="1"/>
  <c r="H3311" i="1"/>
  <c r="H3309" i="1"/>
  <c r="H3306" i="1"/>
  <c r="H3305" i="1" s="1"/>
  <c r="H3300" i="1"/>
  <c r="H3298" i="1"/>
  <c r="H3296" i="1"/>
  <c r="H3291" i="1"/>
  <c r="H3287" i="1"/>
  <c r="H3283" i="1"/>
  <c r="H3282" i="1" s="1"/>
  <c r="H3266" i="1"/>
  <c r="H3263" i="1" s="1"/>
  <c r="H3262" i="1" s="1"/>
  <c r="H3249" i="1"/>
  <c r="H3248" i="1" s="1"/>
  <c r="H3247" i="1" s="1"/>
  <c r="H3246" i="1" s="1"/>
  <c r="H3235" i="1"/>
  <c r="H3234" i="1" s="1"/>
  <c r="H3233" i="1" s="1"/>
  <c r="H3232" i="1" s="1"/>
  <c r="H3226" i="1"/>
  <c r="H3225" i="1" s="1"/>
  <c r="H3219" i="1"/>
  <c r="H3218" i="1" s="1"/>
  <c r="H3208" i="1"/>
  <c r="H3207" i="1" s="1"/>
  <c r="H3205" i="1"/>
  <c r="H3204" i="1" s="1"/>
  <c r="H3199" i="1"/>
  <c r="H3198" i="1" s="1"/>
  <c r="H3193" i="1"/>
  <c r="H3192" i="1" s="1"/>
  <c r="H3190" i="1"/>
  <c r="H3189" i="1" s="1"/>
  <c r="H3173" i="1"/>
  <c r="H3172" i="1" s="1"/>
  <c r="H3171" i="1" s="1"/>
  <c r="H3168" i="1"/>
  <c r="H3165" i="1" s="1"/>
  <c r="H3159" i="1"/>
  <c r="H3158" i="1" s="1"/>
  <c r="H3157" i="1" s="1"/>
  <c r="H3141" i="1"/>
  <c r="H3140" i="1" s="1"/>
  <c r="H3139" i="1" s="1"/>
  <c r="H3138" i="1" s="1"/>
  <c r="H3137" i="1" s="1"/>
  <c r="H3136" i="1" s="1"/>
  <c r="H3130" i="1"/>
  <c r="H3129" i="1" s="1"/>
  <c r="H3128" i="1" s="1"/>
  <c r="H3127" i="1" s="1"/>
  <c r="H3126" i="1" s="1"/>
  <c r="H3125" i="1" s="1"/>
  <c r="H3124" i="1" s="1"/>
  <c r="H3122" i="1"/>
  <c r="H3121" i="1" s="1"/>
  <c r="H3120" i="1" s="1"/>
  <c r="H3119" i="1" s="1"/>
  <c r="H3118" i="1" s="1"/>
  <c r="H3117" i="1" s="1"/>
  <c r="H3116" i="1" s="1"/>
  <c r="H3114" i="1"/>
  <c r="H3112" i="1"/>
  <c r="H3110" i="1"/>
  <c r="H3099" i="1"/>
  <c r="H3098" i="1" s="1"/>
  <c r="H3097" i="1" s="1"/>
  <c r="H3096" i="1" s="1"/>
  <c r="H3095" i="1" s="1"/>
  <c r="H3090" i="1"/>
  <c r="H3076" i="1"/>
  <c r="H3075" i="1" s="1"/>
  <c r="H3074" i="1" s="1"/>
  <c r="H3073" i="1" s="1"/>
  <c r="H3072" i="1" s="1"/>
  <c r="H3071" i="1" s="1"/>
  <c r="H3063" i="1"/>
  <c r="H3062" i="1" s="1"/>
  <c r="H3060" i="1"/>
  <c r="H3059" i="1" s="1"/>
  <c r="H3042" i="1"/>
  <c r="H3041" i="1" s="1"/>
  <c r="H3040" i="1" s="1"/>
  <c r="H3039" i="1" s="1"/>
  <c r="H3038" i="1" s="1"/>
  <c r="H3036" i="1"/>
  <c r="H3035" i="1" s="1"/>
  <c r="H3034" i="1" s="1"/>
  <c r="H3033" i="1" s="1"/>
  <c r="H3025" i="1"/>
  <c r="H3024" i="1" s="1"/>
  <c r="H3008" i="1"/>
  <c r="H3006" i="1"/>
  <c r="H2998" i="1"/>
  <c r="H2996" i="1"/>
  <c r="H2991" i="1"/>
  <c r="H2990" i="1" s="1"/>
  <c r="H2988" i="1"/>
  <c r="H2987" i="1" s="1"/>
  <c r="H2985" i="1"/>
  <c r="H2984" i="1" s="1"/>
  <c r="H2979" i="1"/>
  <c r="H2978" i="1" s="1"/>
  <c r="H2977" i="1" s="1"/>
  <c r="H2975" i="1"/>
  <c r="H2974" i="1" s="1"/>
  <c r="H2973" i="1" s="1"/>
  <c r="H2969" i="1"/>
  <c r="H2967" i="1"/>
  <c r="H2965" i="1"/>
  <c r="H2962" i="1"/>
  <c r="H2961" i="1" s="1"/>
  <c r="H2955" i="1"/>
  <c r="H2954" i="1" s="1"/>
  <c r="H2953" i="1" s="1"/>
  <c r="H2952" i="1" s="1"/>
  <c r="H2951" i="1" s="1"/>
  <c r="H2942" i="1"/>
  <c r="H2941" i="1" s="1"/>
  <c r="H2940" i="1" s="1"/>
  <c r="H2939" i="1" s="1"/>
  <c r="H2938" i="1" s="1"/>
  <c r="H2937" i="1" s="1"/>
  <c r="H2924" i="1"/>
  <c r="H2923" i="1" s="1"/>
  <c r="H2922" i="1" s="1"/>
  <c r="H2921" i="1" s="1"/>
  <c r="H2908" i="1"/>
  <c r="H2907" i="1" s="1"/>
  <c r="H2906" i="1" s="1"/>
  <c r="H2905" i="1" s="1"/>
  <c r="H2904" i="1" s="1"/>
  <c r="H2903" i="1" s="1"/>
  <c r="H2902" i="1" s="1"/>
  <c r="H2900" i="1"/>
  <c r="H2898" i="1"/>
  <c r="H2896" i="1"/>
  <c r="H2889" i="1"/>
  <c r="H2888" i="1" s="1"/>
  <c r="H2887" i="1" s="1"/>
  <c r="H2858" i="1"/>
  <c r="H2857" i="1" s="1"/>
  <c r="H2856" i="1" s="1"/>
  <c r="H2855" i="1" s="1"/>
  <c r="H2854" i="1" s="1"/>
  <c r="H2851" i="1"/>
  <c r="H2850" i="1" s="1"/>
  <c r="H2838" i="1"/>
  <c r="H2837" i="1" s="1"/>
  <c r="H2836" i="1" s="1"/>
  <c r="H2835" i="1" s="1"/>
  <c r="H2828" i="1"/>
  <c r="H2827" i="1" s="1"/>
  <c r="H2816" i="1"/>
  <c r="H2815" i="1" s="1"/>
  <c r="H2814" i="1" s="1"/>
  <c r="H2812" i="1"/>
  <c r="H2790" i="1"/>
  <c r="H2789" i="1" s="1"/>
  <c r="H2787" i="1"/>
  <c r="H2786" i="1" s="1"/>
  <c r="H2765" i="1"/>
  <c r="H2757" i="1"/>
  <c r="H2756" i="1" s="1"/>
  <c r="H2755" i="1" s="1"/>
  <c r="H2754" i="1" s="1"/>
  <c r="H2753" i="1" s="1"/>
  <c r="H2745" i="1"/>
  <c r="H2744" i="1" s="1"/>
  <c r="H2742" i="1"/>
  <c r="H2735" i="1"/>
  <c r="H2734" i="1" s="1"/>
  <c r="H2732" i="1"/>
  <c r="H2731" i="1" s="1"/>
  <c r="H2729" i="1"/>
  <c r="H2728" i="1" s="1"/>
  <c r="H2723" i="1"/>
  <c r="H2722" i="1" s="1"/>
  <c r="H2721" i="1" s="1"/>
  <c r="H2719" i="1"/>
  <c r="H2718" i="1" s="1"/>
  <c r="H2717" i="1" s="1"/>
  <c r="H2713" i="1"/>
  <c r="H2711" i="1"/>
  <c r="H2709" i="1"/>
  <c r="H2706" i="1"/>
  <c r="H2705" i="1" s="1"/>
  <c r="H2701" i="1"/>
  <c r="H2699" i="1"/>
  <c r="H2677" i="1"/>
  <c r="H2676" i="1" s="1"/>
  <c r="H2675" i="1" s="1"/>
  <c r="H2673" i="1"/>
  <c r="H2672" i="1" s="1"/>
  <c r="H2671" i="1" s="1"/>
  <c r="H2670" i="1" s="1"/>
  <c r="H2669" i="1" s="1"/>
  <c r="H2665" i="1"/>
  <c r="H2664" i="1" s="1"/>
  <c r="H2663" i="1" s="1"/>
  <c r="H2662" i="1" s="1"/>
  <c r="H2661" i="1" s="1"/>
  <c r="H2660" i="1" s="1"/>
  <c r="H2659" i="1" s="1"/>
  <c r="H2657" i="1"/>
  <c r="H2656" i="1" s="1"/>
  <c r="H2655" i="1" s="1"/>
  <c r="H2645" i="1"/>
  <c r="H2643" i="1"/>
  <c r="H2641" i="1"/>
  <c r="H2612" i="1"/>
  <c r="H2611" i="1" s="1"/>
  <c r="H2601" i="1"/>
  <c r="H2600" i="1" s="1"/>
  <c r="H2599" i="1" s="1"/>
  <c r="H2598" i="1" s="1"/>
  <c r="H2597" i="1" s="1"/>
  <c r="H2576" i="1"/>
  <c r="H2575" i="1" s="1"/>
  <c r="H2574" i="1" s="1"/>
  <c r="H2573" i="1" s="1"/>
  <c r="H2571" i="1"/>
  <c r="H2570" i="1" s="1"/>
  <c r="H2561" i="1"/>
  <c r="H2560" i="1" s="1"/>
  <c r="H2559" i="1" s="1"/>
  <c r="H2557" i="1"/>
  <c r="H2543" i="1"/>
  <c r="H2542" i="1" s="1"/>
  <c r="H2541" i="1" s="1"/>
  <c r="H2540" i="1" s="1"/>
  <c r="H2535" i="1"/>
  <c r="H2534" i="1" s="1"/>
  <c r="H2514" i="1"/>
  <c r="H2513" i="1" s="1"/>
  <c r="H2512" i="1" s="1"/>
  <c r="H2511" i="1" s="1"/>
  <c r="H2510" i="1" s="1"/>
  <c r="H2508" i="1"/>
  <c r="H2507" i="1" s="1"/>
  <c r="H2506" i="1" s="1"/>
  <c r="H2505" i="1" s="1"/>
  <c r="H2504" i="1" s="1"/>
  <c r="H2501" i="1"/>
  <c r="H2500" i="1" s="1"/>
  <c r="H2499" i="1" s="1"/>
  <c r="H2498" i="1" s="1"/>
  <c r="H2497" i="1" s="1"/>
  <c r="H2491" i="1"/>
  <c r="H2490" i="1" s="1"/>
  <c r="H2486" i="1"/>
  <c r="H2485" i="1" s="1"/>
  <c r="H2483" i="1"/>
  <c r="H2482" i="1" s="1"/>
  <c r="H2480" i="1"/>
  <c r="H2479" i="1" s="1"/>
  <c r="H2474" i="1"/>
  <c r="H2473" i="1" s="1"/>
  <c r="H2472" i="1" s="1"/>
  <c r="H2470" i="1"/>
  <c r="H2469" i="1" s="1"/>
  <c r="H2468" i="1" s="1"/>
  <c r="H2464" i="1"/>
  <c r="H2462" i="1"/>
  <c r="H2457" i="1"/>
  <c r="H2456" i="1" s="1"/>
  <c r="H2452" i="1"/>
  <c r="H2450" i="1"/>
  <c r="H2434" i="1"/>
  <c r="H2433" i="1" s="1"/>
  <c r="H2432" i="1" s="1"/>
  <c r="H2373" i="1"/>
  <c r="H2372" i="1" s="1"/>
  <c r="H2371" i="1" s="1"/>
  <c r="H2370" i="1" s="1"/>
  <c r="H2367" i="1"/>
  <c r="H2366" i="1" s="1"/>
  <c r="H2364" i="1"/>
  <c r="H2363" i="1" s="1"/>
  <c r="H2335" i="1"/>
  <c r="H2334" i="1" s="1"/>
  <c r="H2333" i="1" s="1"/>
  <c r="H2332" i="1" s="1"/>
  <c r="H2318" i="1"/>
  <c r="H2314" i="1"/>
  <c r="H2306" i="1"/>
  <c r="H2305" i="1" s="1"/>
  <c r="H2304" i="1" s="1"/>
  <c r="H2303" i="1" s="1"/>
  <c r="H2302" i="1" s="1"/>
  <c r="H2268" i="1"/>
  <c r="H2267" i="1" s="1"/>
  <c r="H2266" i="1" s="1"/>
  <c r="H2265" i="1" s="1"/>
  <c r="H2264" i="1" s="1"/>
  <c r="H2250" i="1"/>
  <c r="H2248" i="1"/>
  <c r="H2243" i="1"/>
  <c r="H2242" i="1" s="1"/>
  <c r="H2241" i="1" s="1"/>
  <c r="H2240" i="1" s="1"/>
  <c r="H2239" i="1" s="1"/>
  <c r="H2235" i="1"/>
  <c r="H2234" i="1" s="1"/>
  <c r="H2233" i="1" s="1"/>
  <c r="H2231" i="1"/>
  <c r="H2230" i="1" s="1"/>
  <c r="H2228" i="1"/>
  <c r="H2221" i="1"/>
  <c r="H2220" i="1" s="1"/>
  <c r="H2218" i="1"/>
  <c r="H2217" i="1" s="1"/>
  <c r="H2209" i="1"/>
  <c r="H2208" i="1" s="1"/>
  <c r="H2207" i="1" s="1"/>
  <c r="H2205" i="1"/>
  <c r="H2204" i="1" s="1"/>
  <c r="H2203" i="1" s="1"/>
  <c r="H2194" i="1"/>
  <c r="H2192" i="1"/>
  <c r="H2190" i="1"/>
  <c r="H2187" i="1"/>
  <c r="H2186" i="1" s="1"/>
  <c r="H2182" i="1"/>
  <c r="H2180" i="1"/>
  <c r="H2160" i="1"/>
  <c r="H2159" i="1" s="1"/>
  <c r="H2158" i="1" s="1"/>
  <c r="H2148" i="1"/>
  <c r="H2147" i="1" s="1"/>
  <c r="H2146" i="1" s="1"/>
  <c r="H2145" i="1" s="1"/>
  <c r="H2144" i="1" s="1"/>
  <c r="H2143" i="1" s="1"/>
  <c r="H2142" i="1" s="1"/>
  <c r="H2140" i="1"/>
  <c r="H2139" i="1" s="1"/>
  <c r="H2138" i="1" s="1"/>
  <c r="H2136" i="1"/>
  <c r="H2135" i="1" s="1"/>
  <c r="H2134" i="1" s="1"/>
  <c r="H2128" i="1"/>
  <c r="H2126" i="1"/>
  <c r="H2124" i="1"/>
  <c r="H2113" i="1"/>
  <c r="H2112" i="1" s="1"/>
  <c r="H2111" i="1" s="1"/>
  <c r="H2096" i="1"/>
  <c r="H2095" i="1" s="1"/>
  <c r="H2094" i="1" s="1"/>
  <c r="H2093" i="1" s="1"/>
  <c r="H2092" i="1" s="1"/>
  <c r="H2090" i="1"/>
  <c r="H2089" i="1" s="1"/>
  <c r="H2036" i="1"/>
  <c r="H2032" i="1"/>
  <c r="H2031" i="1" s="1"/>
  <c r="H2030" i="1" s="1"/>
  <c r="H2029" i="1" s="1"/>
  <c r="H2028" i="1" s="1"/>
  <c r="H2012" i="1"/>
  <c r="H2011" i="1" s="1"/>
  <c r="H2006" i="1"/>
  <c r="H2005" i="1" s="1"/>
  <c r="H1988" i="1"/>
  <c r="H1986" i="1"/>
  <c r="H1980" i="1"/>
  <c r="H1979" i="1" s="1"/>
  <c r="H1978" i="1" s="1"/>
  <c r="H1977" i="1" s="1"/>
  <c r="H1976" i="1" s="1"/>
  <c r="H1973" i="1"/>
  <c r="H1972" i="1" s="1"/>
  <c r="H1971" i="1" s="1"/>
  <c r="H1970" i="1" s="1"/>
  <c r="H1969" i="1" s="1"/>
  <c r="H1968" i="1" s="1"/>
  <c r="H1960" i="1"/>
  <c r="H1959" i="1" s="1"/>
  <c r="H1958" i="1" s="1"/>
  <c r="H1956" i="1"/>
  <c r="H1955" i="1" s="1"/>
  <c r="H1953" i="1"/>
  <c r="H1951" i="1"/>
  <c r="H1946" i="1"/>
  <c r="H1945" i="1" s="1"/>
  <c r="H1943" i="1"/>
  <c r="H1942" i="1" s="1"/>
  <c r="H1940" i="1"/>
  <c r="H1939" i="1" s="1"/>
  <c r="H1934" i="1"/>
  <c r="H1933" i="1" s="1"/>
  <c r="H1932" i="1" s="1"/>
  <c r="H1930" i="1"/>
  <c r="H1929" i="1" s="1"/>
  <c r="H1928" i="1" s="1"/>
  <c r="H1924" i="1"/>
  <c r="H1922" i="1"/>
  <c r="H1917" i="1"/>
  <c r="H1916" i="1" s="1"/>
  <c r="H1912" i="1"/>
  <c r="H1910" i="1"/>
  <c r="H1901" i="1"/>
  <c r="H1900" i="1" s="1"/>
  <c r="H1899" i="1" s="1"/>
  <c r="H1898" i="1" s="1"/>
  <c r="H1897" i="1" s="1"/>
  <c r="H1896" i="1" s="1"/>
  <c r="H1892" i="1"/>
  <c r="H1891" i="1" s="1"/>
  <c r="H1890" i="1" s="1"/>
  <c r="H1880" i="1"/>
  <c r="H1879" i="1" s="1"/>
  <c r="H1878" i="1" s="1"/>
  <c r="H1877" i="1" s="1"/>
  <c r="H1876" i="1" s="1"/>
  <c r="H1875" i="1" s="1"/>
  <c r="H1874" i="1" s="1"/>
  <c r="H1872" i="1"/>
  <c r="H1871" i="1" s="1"/>
  <c r="H1870" i="1" s="1"/>
  <c r="H1868" i="1"/>
  <c r="H1867" i="1" s="1"/>
  <c r="H1866" i="1" s="1"/>
  <c r="H1860" i="1"/>
  <c r="H1858" i="1"/>
  <c r="H1856" i="1"/>
  <c r="H1842" i="1"/>
  <c r="H1840" i="1"/>
  <c r="H1801" i="1"/>
  <c r="H1800" i="1" s="1"/>
  <c r="H1799" i="1" s="1"/>
  <c r="H1798" i="1" s="1"/>
  <c r="H1797" i="1" s="1"/>
  <c r="H1780" i="1"/>
  <c r="H1779" i="1" s="1"/>
  <c r="H1778" i="1" s="1"/>
  <c r="H1777" i="1" s="1"/>
  <c r="H1775" i="1"/>
  <c r="H1774" i="1" s="1"/>
  <c r="H1773" i="1" s="1"/>
  <c r="H1772" i="1" s="1"/>
  <c r="H1770" i="1"/>
  <c r="H1769" i="1" s="1"/>
  <c r="H1756" i="1"/>
  <c r="H1738" i="1"/>
  <c r="H1737" i="1" s="1"/>
  <c r="H1736" i="1" s="1"/>
  <c r="H1735" i="1" s="1"/>
  <c r="H1727" i="1"/>
  <c r="H1726" i="1" s="1"/>
  <c r="H1724" i="1"/>
  <c r="H1723" i="1" s="1"/>
  <c r="H1706" i="1"/>
  <c r="H1698" i="1"/>
  <c r="H1697" i="1" s="1"/>
  <c r="H1696" i="1" s="1"/>
  <c r="H1695" i="1" s="1"/>
  <c r="H1694" i="1" s="1"/>
  <c r="H1691" i="1"/>
  <c r="H1690" i="1" s="1"/>
  <c r="H1689" i="1" s="1"/>
  <c r="H1688" i="1" s="1"/>
  <c r="H1687" i="1" s="1"/>
  <c r="H1686" i="1" s="1"/>
  <c r="H1679" i="1"/>
  <c r="H1678" i="1" s="1"/>
  <c r="H1676" i="1"/>
  <c r="H1674" i="1"/>
  <c r="H1669" i="1"/>
  <c r="H1668" i="1" s="1"/>
  <c r="H1666" i="1"/>
  <c r="H1665" i="1" s="1"/>
  <c r="H1663" i="1"/>
  <c r="H1662" i="1" s="1"/>
  <c r="H1657" i="1"/>
  <c r="H1656" i="1" s="1"/>
  <c r="H1655" i="1" s="1"/>
  <c r="H1653" i="1"/>
  <c r="H1652" i="1" s="1"/>
  <c r="H1651" i="1" s="1"/>
  <c r="H1646" i="1"/>
  <c r="H1644" i="1"/>
  <c r="H1639" i="1"/>
  <c r="H1638" i="1" s="1"/>
  <c r="H1632" i="1"/>
  <c r="H1631" i="1" s="1"/>
  <c r="H1630" i="1" s="1"/>
  <c r="H1629" i="1" s="1"/>
  <c r="H1628" i="1" s="1"/>
  <c r="H1610" i="1"/>
  <c r="H1606" i="1"/>
  <c r="H1605" i="1" s="1"/>
  <c r="H1604" i="1" s="1"/>
  <c r="H1603" i="1" s="1"/>
  <c r="H1601" i="1"/>
  <c r="H1600" i="1" s="1"/>
  <c r="H1599" i="1" s="1"/>
  <c r="H1598" i="1" s="1"/>
  <c r="H1585" i="1"/>
  <c r="H1584" i="1" s="1"/>
  <c r="H1583" i="1" s="1"/>
  <c r="H1581" i="1"/>
  <c r="H1580" i="1" s="1"/>
  <c r="H1579" i="1" s="1"/>
  <c r="H1573" i="1"/>
  <c r="H1571" i="1"/>
  <c r="H1569" i="1"/>
  <c r="H1505" i="1"/>
  <c r="H1504" i="1" s="1"/>
  <c r="H1503" i="1" s="1"/>
  <c r="H1502" i="1" s="1"/>
  <c r="H1492" i="1"/>
  <c r="H1491" i="1" s="1"/>
  <c r="H1480" i="1"/>
  <c r="H1478" i="1"/>
  <c r="H1452" i="1"/>
  <c r="H1451" i="1" s="1"/>
  <c r="H1449" i="1"/>
  <c r="H1448" i="1" s="1"/>
  <c r="H1423" i="1"/>
  <c r="H1421" i="1"/>
  <c r="H1415" i="1"/>
  <c r="H1414" i="1" s="1"/>
  <c r="H1413" i="1" s="1"/>
  <c r="H1412" i="1" s="1"/>
  <c r="H1411" i="1" s="1"/>
  <c r="H1408" i="1"/>
  <c r="H1407" i="1" s="1"/>
  <c r="H1406" i="1" s="1"/>
  <c r="H1405" i="1" s="1"/>
  <c r="H1403" i="1"/>
  <c r="H1402" i="1" s="1"/>
  <c r="H1401" i="1" s="1"/>
  <c r="H1400" i="1" s="1"/>
  <c r="H1399" i="1" s="1"/>
  <c r="H1388" i="1"/>
  <c r="H1386" i="1"/>
  <c r="H1381" i="1"/>
  <c r="H1380" i="1" s="1"/>
  <c r="H1378" i="1"/>
  <c r="H1377" i="1" s="1"/>
  <c r="H1375" i="1"/>
  <c r="H1374" i="1" s="1"/>
  <c r="H1369" i="1"/>
  <c r="H1368" i="1" s="1"/>
  <c r="H1367" i="1" s="1"/>
  <c r="H1365" i="1"/>
  <c r="H1364" i="1" s="1"/>
  <c r="H1363" i="1" s="1"/>
  <c r="H1354" i="1"/>
  <c r="H1352" i="1"/>
  <c r="H1350" i="1"/>
  <c r="H1347" i="1"/>
  <c r="H1346" i="1" s="1"/>
  <c r="H1340" i="1"/>
  <c r="H1331" i="1"/>
  <c r="H1330" i="1" s="1"/>
  <c r="H1329" i="1" s="1"/>
  <c r="H1328" i="1" s="1"/>
  <c r="H1327" i="1" s="1"/>
  <c r="H1326" i="1" s="1"/>
  <c r="H1320" i="1"/>
  <c r="H1319" i="1" s="1"/>
  <c r="H1318" i="1" s="1"/>
  <c r="H1317" i="1" s="1"/>
  <c r="H1315" i="1"/>
  <c r="H1314" i="1" s="1"/>
  <c r="H1313" i="1" s="1"/>
  <c r="H1312" i="1" s="1"/>
  <c r="H1295" i="1"/>
  <c r="H1294" i="1" s="1"/>
  <c r="H1293" i="1" s="1"/>
  <c r="H1284" i="1"/>
  <c r="H1282" i="1"/>
  <c r="H1267" i="1"/>
  <c r="H1254" i="1"/>
  <c r="H1253" i="1" s="1"/>
  <c r="H1231" i="1"/>
  <c r="H1230" i="1" s="1"/>
  <c r="H1229" i="1" s="1"/>
  <c r="H1228" i="1" s="1"/>
  <c r="H1227" i="1" s="1"/>
  <c r="H1226" i="1" s="1"/>
  <c r="H1212" i="1"/>
  <c r="H1211" i="1" s="1"/>
  <c r="H1210" i="1" s="1"/>
  <c r="H1209" i="1" s="1"/>
  <c r="H1204" i="1"/>
  <c r="H1203" i="1" s="1"/>
  <c r="H1197" i="1"/>
  <c r="H1196" i="1" s="1"/>
  <c r="H1195" i="1" s="1"/>
  <c r="H1193" i="1"/>
  <c r="H1185" i="1"/>
  <c r="H1184" i="1" s="1"/>
  <c r="H1183" i="1" s="1"/>
  <c r="H1182" i="1" s="1"/>
  <c r="H1181" i="1" s="1"/>
  <c r="H1179" i="1"/>
  <c r="H1178" i="1" s="1"/>
  <c r="H1177" i="1" s="1"/>
  <c r="H1176" i="1" s="1"/>
  <c r="H1171" i="1"/>
  <c r="H1170" i="1" s="1"/>
  <c r="H1147" i="1"/>
  <c r="H1146" i="1" s="1"/>
  <c r="H1145" i="1" s="1"/>
  <c r="H1144" i="1" s="1"/>
  <c r="H1143" i="1" s="1"/>
  <c r="H1141" i="1"/>
  <c r="H1140" i="1" s="1"/>
  <c r="H1139" i="1" s="1"/>
  <c r="H1138" i="1" s="1"/>
  <c r="H1137" i="1" s="1"/>
  <c r="H1129" i="1"/>
  <c r="H1128" i="1" s="1"/>
  <c r="H1127" i="1" s="1"/>
  <c r="H1126" i="1" s="1"/>
  <c r="H1125" i="1" s="1"/>
  <c r="H1124" i="1" s="1"/>
  <c r="H1116" i="1"/>
  <c r="H1115" i="1" s="1"/>
  <c r="H1113" i="1"/>
  <c r="H1111" i="1"/>
  <c r="H1106" i="1"/>
  <c r="H1105" i="1" s="1"/>
  <c r="H1103" i="1"/>
  <c r="H1102" i="1" s="1"/>
  <c r="H1100" i="1"/>
  <c r="H1099" i="1" s="1"/>
  <c r="H1094" i="1"/>
  <c r="H1093" i="1" s="1"/>
  <c r="H1092" i="1" s="1"/>
  <c r="H1090" i="1"/>
  <c r="H1089" i="1" s="1"/>
  <c r="H1088" i="1" s="1"/>
  <c r="H1084" i="1"/>
  <c r="H1082" i="1"/>
  <c r="H1080" i="1"/>
  <c r="H1077" i="1"/>
  <c r="H1076" i="1" s="1"/>
  <c r="H1070" i="1"/>
  <c r="H1054" i="1"/>
  <c r="H1053" i="1" s="1"/>
  <c r="H1052" i="1" s="1"/>
  <c r="H1051" i="1" s="1"/>
  <c r="H1050" i="1" s="1"/>
  <c r="H1049" i="1" s="1"/>
  <c r="H1048" i="1" s="1"/>
  <c r="H1046" i="1"/>
  <c r="H1045" i="1" s="1"/>
  <c r="H1026" i="1"/>
  <c r="H1024" i="1"/>
  <c r="H1022" i="1"/>
  <c r="H1013" i="1"/>
  <c r="H1011" i="1"/>
  <c r="H1006" i="1"/>
  <c r="H1005" i="1" s="1"/>
  <c r="H1004" i="1" s="1"/>
  <c r="H1001" i="1"/>
  <c r="H999" i="1"/>
  <c r="H994" i="1"/>
  <c r="H992" i="1"/>
  <c r="H987" i="1"/>
  <c r="H985" i="1"/>
  <c r="H979" i="1"/>
  <c r="H975" i="1"/>
  <c r="H968" i="1"/>
  <c r="H953" i="1"/>
  <c r="H951" i="1"/>
  <c r="H949" i="1"/>
  <c r="H946" i="1"/>
  <c r="H945" i="1" s="1"/>
  <c r="H940" i="1"/>
  <c r="H939" i="1" s="1"/>
  <c r="H938" i="1" s="1"/>
  <c r="H936" i="1"/>
  <c r="H934" i="1"/>
  <c r="H924" i="1"/>
  <c r="H920" i="1"/>
  <c r="H919" i="1" s="1"/>
  <c r="H917" i="1"/>
  <c r="H916" i="1" s="1"/>
  <c r="H914" i="1"/>
  <c r="H913" i="1" s="1"/>
  <c r="H907" i="1"/>
  <c r="H906" i="1" s="1"/>
  <c r="H904" i="1"/>
  <c r="H899" i="1"/>
  <c r="H897" i="1"/>
  <c r="H878" i="1"/>
  <c r="H877" i="1" s="1"/>
  <c r="H876" i="1" s="1"/>
  <c r="H875" i="1" s="1"/>
  <c r="H874" i="1" s="1"/>
  <c r="H872" i="1"/>
  <c r="H871" i="1" s="1"/>
  <c r="H864" i="1"/>
  <c r="H863" i="1" s="1"/>
  <c r="H862" i="1" s="1"/>
  <c r="H861" i="1" s="1"/>
  <c r="H847" i="1"/>
  <c r="H846" i="1" s="1"/>
  <c r="H845" i="1" s="1"/>
  <c r="H844" i="1" s="1"/>
  <c r="H843" i="1" s="1"/>
  <c r="H842" i="1" s="1"/>
  <c r="H820" i="1"/>
  <c r="H819" i="1" s="1"/>
  <c r="H817" i="1"/>
  <c r="H812" i="1"/>
  <c r="H810" i="1"/>
  <c r="H808" i="1"/>
  <c r="H806" i="1"/>
  <c r="H800" i="1"/>
  <c r="H799" i="1" s="1"/>
  <c r="H798" i="1" s="1"/>
  <c r="H797" i="1" s="1"/>
  <c r="H796" i="1" s="1"/>
  <c r="H779" i="1"/>
  <c r="H778" i="1" s="1"/>
  <c r="H776" i="1"/>
  <c r="H775" i="1" s="1"/>
  <c r="H773" i="1"/>
  <c r="H772" i="1" s="1"/>
  <c r="H770" i="1"/>
  <c r="H769" i="1" s="1"/>
  <c r="H767" i="1"/>
  <c r="H766" i="1" s="1"/>
  <c r="H756" i="1"/>
  <c r="H755" i="1" s="1"/>
  <c r="H752" i="1"/>
  <c r="H751" i="1" s="1"/>
  <c r="H731" i="1"/>
  <c r="H730" i="1" s="1"/>
  <c r="H727" i="1"/>
  <c r="H725" i="1"/>
  <c r="H718" i="1"/>
  <c r="H717" i="1" s="1"/>
  <c r="H715" i="1"/>
  <c r="H714" i="1" s="1"/>
  <c r="H712" i="1"/>
  <c r="H711" i="1" s="1"/>
  <c r="H709" i="1"/>
  <c r="H708" i="1" s="1"/>
  <c r="H698" i="1"/>
  <c r="H697" i="1" s="1"/>
  <c r="H696" i="1" s="1"/>
  <c r="H695" i="1" s="1"/>
  <c r="H692" i="1"/>
  <c r="H690" i="1"/>
  <c r="H685" i="1"/>
  <c r="H684" i="1" s="1"/>
  <c r="H681" i="1"/>
  <c r="H680" i="1" s="1"/>
  <c r="H673" i="1"/>
  <c r="H671" i="1"/>
  <c r="H666" i="1"/>
  <c r="H665" i="1" s="1"/>
  <c r="H664" i="1" s="1"/>
  <c r="H663" i="1" s="1"/>
  <c r="H661" i="1"/>
  <c r="H660" i="1" s="1"/>
  <c r="H657" i="1"/>
  <c r="H655" i="1"/>
  <c r="H653" i="1"/>
  <c r="H646" i="1"/>
  <c r="H645" i="1" s="1"/>
  <c r="H642" i="1"/>
  <c r="H641" i="1" s="1"/>
  <c r="H638" i="1"/>
  <c r="H637" i="1" s="1"/>
  <c r="H629" i="1"/>
  <c r="H628" i="1" s="1"/>
  <c r="H627" i="1" s="1"/>
  <c r="H626" i="1" s="1"/>
  <c r="H625" i="1" s="1"/>
  <c r="H614" i="1"/>
  <c r="H610" i="1"/>
  <c r="H607" i="1"/>
  <c r="H606" i="1" s="1"/>
  <c r="H584" i="1"/>
  <c r="H583" i="1" s="1"/>
  <c r="H579" i="1"/>
  <c r="H578" i="1" s="1"/>
  <c r="H577" i="1" s="1"/>
  <c r="H564" i="1"/>
  <c r="H563" i="1" s="1"/>
  <c r="H558" i="1"/>
  <c r="H557" i="1" s="1"/>
  <c r="H554" i="1"/>
  <c r="H553" i="1" s="1"/>
  <c r="H544" i="1"/>
  <c r="H543" i="1" s="1"/>
  <c r="H541" i="1"/>
  <c r="H540" i="1" s="1"/>
  <c r="H537" i="1"/>
  <c r="H536" i="1" s="1"/>
  <c r="H530" i="1"/>
  <c r="H529" i="1" s="1"/>
  <c r="H522" i="1"/>
  <c r="H521" i="1" s="1"/>
  <c r="H518" i="1"/>
  <c r="H517" i="1" s="1"/>
  <c r="H515" i="1"/>
  <c r="H514" i="1" s="1"/>
  <c r="H505" i="1"/>
  <c r="H494" i="1"/>
  <c r="H493" i="1" s="1"/>
  <c r="H487" i="1"/>
  <c r="H486" i="1" s="1"/>
  <c r="H485" i="1" s="1"/>
  <c r="H483" i="1"/>
  <c r="H482" i="1" s="1"/>
  <c r="H481" i="1" s="1"/>
  <c r="H480" i="1" s="1"/>
  <c r="H477" i="1"/>
  <c r="H476" i="1" s="1"/>
  <c r="H475" i="1" s="1"/>
  <c r="H470" i="1"/>
  <c r="H455" i="1"/>
  <c r="H454" i="1" s="1"/>
  <c r="H452" i="1"/>
  <c r="H450" i="1"/>
  <c r="H447" i="1"/>
  <c r="H446" i="1" s="1"/>
  <c r="H433" i="1"/>
  <c r="H432" i="1" s="1"/>
  <c r="H431" i="1" s="1"/>
  <c r="H430" i="1" s="1"/>
  <c r="H429" i="1" s="1"/>
  <c r="H420" i="1"/>
  <c r="H419" i="1" s="1"/>
  <c r="H418" i="1" s="1"/>
  <c r="H417" i="1" s="1"/>
  <c r="H415" i="1"/>
  <c r="H414" i="1" s="1"/>
  <c r="H413" i="1" s="1"/>
  <c r="H411" i="1"/>
  <c r="H410" i="1" s="1"/>
  <c r="H408" i="1"/>
  <c r="H406" i="1"/>
  <c r="H404" i="1"/>
  <c r="H398" i="1"/>
  <c r="H397" i="1" s="1"/>
  <c r="H392" i="1"/>
  <c r="H391" i="1" s="1"/>
  <c r="H390" i="1" s="1"/>
  <c r="H389" i="1" s="1"/>
  <c r="H383" i="1"/>
  <c r="H382" i="1" s="1"/>
  <c r="H377" i="1"/>
  <c r="H376" i="1" s="1"/>
  <c r="H374" i="1"/>
  <c r="H373" i="1" s="1"/>
  <c r="H369" i="1"/>
  <c r="H368" i="1" s="1"/>
  <c r="H367" i="1" s="1"/>
  <c r="H365" i="1"/>
  <c r="H364" i="1" s="1"/>
  <c r="H360" i="1"/>
  <c r="H359" i="1" s="1"/>
  <c r="H358" i="1" s="1"/>
  <c r="H357" i="1" s="1"/>
  <c r="H352" i="1"/>
  <c r="H350" i="1"/>
  <c r="H346" i="1"/>
  <c r="H345" i="1" s="1"/>
  <c r="H343" i="1"/>
  <c r="H342" i="1" s="1"/>
  <c r="H340" i="1"/>
  <c r="H337" i="1" s="1"/>
  <c r="H335" i="1"/>
  <c r="H331" i="1"/>
  <c r="H324" i="1"/>
  <c r="H322" i="1"/>
  <c r="H320" i="1"/>
  <c r="H317" i="1"/>
  <c r="H316" i="1" s="1"/>
  <c r="H304" i="1"/>
  <c r="H303" i="1" s="1"/>
  <c r="H302" i="1" s="1"/>
  <c r="H274" i="1"/>
  <c r="H273" i="1" s="1"/>
  <c r="H270" i="1"/>
  <c r="H266" i="1"/>
  <c r="H257" i="1"/>
  <c r="H256" i="1" s="1"/>
  <c r="H255" i="1" s="1"/>
  <c r="H254" i="1" s="1"/>
  <c r="H248" i="1"/>
  <c r="H246" i="1"/>
  <c r="H244" i="1"/>
  <c r="H228" i="1"/>
  <c r="H227" i="1" s="1"/>
  <c r="H223" i="1"/>
  <c r="H222" i="1" s="1"/>
  <c r="H217" i="1"/>
  <c r="H216" i="1" s="1"/>
  <c r="H215" i="1" s="1"/>
  <c r="H208" i="1"/>
  <c r="H207" i="1" s="1"/>
  <c r="H195" i="1"/>
  <c r="H194" i="1" s="1"/>
  <c r="H193" i="1" s="1"/>
  <c r="H191" i="1"/>
  <c r="H189" i="1"/>
  <c r="H181" i="1"/>
  <c r="H180" i="1" s="1"/>
  <c r="H179" i="1" s="1"/>
  <c r="H178" i="1" s="1"/>
  <c r="H177" i="1" s="1"/>
  <c r="H173" i="1"/>
  <c r="H171" i="1"/>
  <c r="H169" i="1"/>
  <c r="H166" i="1"/>
  <c r="H165" i="1" s="1"/>
  <c r="H158" i="1"/>
  <c r="H157" i="1" s="1"/>
  <c r="H156" i="1" s="1"/>
  <c r="H155" i="1" s="1"/>
  <c r="H138" i="1"/>
  <c r="H136" i="1"/>
  <c r="H134" i="1"/>
  <c r="H131" i="1"/>
  <c r="H130" i="1" s="1"/>
  <c r="H123" i="1"/>
  <c r="H122" i="1" s="1"/>
  <c r="H120" i="1"/>
  <c r="H119" i="1" s="1"/>
  <c r="H79" i="1"/>
  <c r="H78" i="1" s="1"/>
  <c r="H76" i="1"/>
  <c r="H75" i="1" s="1"/>
  <c r="H57" i="1"/>
  <c r="H56" i="1" s="1"/>
  <c r="H55" i="1" s="1"/>
  <c r="H54" i="1" s="1"/>
  <c r="H52" i="1"/>
  <c r="H50" i="1"/>
  <c r="H48" i="1"/>
  <c r="H45" i="1"/>
  <c r="H44" i="1" s="1"/>
  <c r="H37" i="1"/>
  <c r="H36" i="1" s="1"/>
  <c r="H26" i="1"/>
  <c r="H22" i="1"/>
  <c r="H14" i="1"/>
  <c r="J57" i="1"/>
  <c r="L57" i="1"/>
  <c r="L56" i="1" s="1"/>
  <c r="L55" i="1" s="1"/>
  <c r="L54" i="1" s="1"/>
  <c r="J4768" i="1"/>
  <c r="J4765" i="1"/>
  <c r="J4757" i="1"/>
  <c r="J4744" i="1"/>
  <c r="K4744" i="1" s="1"/>
  <c r="J4742" i="1"/>
  <c r="K4742" i="1" s="1"/>
  <c r="J4740" i="1"/>
  <c r="J4737" i="1"/>
  <c r="J4729" i="1"/>
  <c r="K4729" i="1" s="1"/>
  <c r="J4727" i="1"/>
  <c r="K4727" i="1" s="1"/>
  <c r="J4722" i="1"/>
  <c r="J4715" i="1"/>
  <c r="J4705" i="1"/>
  <c r="J4700" i="1"/>
  <c r="J4691" i="1"/>
  <c r="J4688" i="1"/>
  <c r="J4685" i="1"/>
  <c r="J4669" i="1"/>
  <c r="K4669" i="1" s="1"/>
  <c r="J4667" i="1"/>
  <c r="J4665" i="1"/>
  <c r="J4658" i="1"/>
  <c r="J4651" i="1"/>
  <c r="K4651" i="1" s="1"/>
  <c r="J4644" i="1"/>
  <c r="J4639" i="1"/>
  <c r="J4636" i="1"/>
  <c r="J4632" i="1"/>
  <c r="K4632" i="1" s="1"/>
  <c r="J4630" i="1"/>
  <c r="J4624" i="1"/>
  <c r="J4618" i="1"/>
  <c r="J4615" i="1"/>
  <c r="J4612" i="1"/>
  <c r="J4599" i="1"/>
  <c r="J4597" i="1"/>
  <c r="K4597" i="1" s="1"/>
  <c r="J4595" i="1"/>
  <c r="K4595" i="1" s="1"/>
  <c r="J4592" i="1"/>
  <c r="J4587" i="1"/>
  <c r="J4574" i="1"/>
  <c r="J4568" i="1"/>
  <c r="K4568" i="1" s="1"/>
  <c r="J4566" i="1"/>
  <c r="J4564" i="1"/>
  <c r="J4561" i="1"/>
  <c r="J4557" i="1"/>
  <c r="J4554" i="1"/>
  <c r="J4546" i="1"/>
  <c r="J4544" i="1"/>
  <c r="K4544" i="1" s="1"/>
  <c r="J4542" i="1"/>
  <c r="K4542" i="1" s="1"/>
  <c r="J4539" i="1"/>
  <c r="J4535" i="1"/>
  <c r="J4527" i="1"/>
  <c r="K4527" i="1" s="1"/>
  <c r="J4525" i="1"/>
  <c r="K4525" i="1" s="1"/>
  <c r="J4523" i="1"/>
  <c r="J4520" i="1"/>
  <c r="J4516" i="1"/>
  <c r="J4508" i="1"/>
  <c r="K4508" i="1" s="1"/>
  <c r="J4506" i="1"/>
  <c r="J4495" i="1"/>
  <c r="J4491" i="1"/>
  <c r="J4484" i="1"/>
  <c r="J4475" i="1"/>
  <c r="J4457" i="1"/>
  <c r="J4444" i="1"/>
  <c r="K4444" i="1" s="1"/>
  <c r="J4439" i="1"/>
  <c r="J4437" i="1"/>
  <c r="K4437" i="1" s="1"/>
  <c r="J4432" i="1"/>
  <c r="J4429" i="1"/>
  <c r="J4424" i="1"/>
  <c r="J4415" i="1"/>
  <c r="J4411" i="1"/>
  <c r="K4411" i="1" s="1"/>
  <c r="J4409" i="1"/>
  <c r="K4409" i="1" s="1"/>
  <c r="J4398" i="1"/>
  <c r="J4390" i="1"/>
  <c r="J4383" i="1"/>
  <c r="J4369" i="1"/>
  <c r="J4361" i="1"/>
  <c r="J4343" i="1"/>
  <c r="J4340" i="1"/>
  <c r="J4336" i="1"/>
  <c r="J4332" i="1"/>
  <c r="J4309" i="1"/>
  <c r="J4302" i="1"/>
  <c r="J4295" i="1"/>
  <c r="K4295" i="1" s="1"/>
  <c r="J4293" i="1"/>
  <c r="K4293" i="1" s="1"/>
  <c r="J4290" i="1"/>
  <c r="J4283" i="1"/>
  <c r="J4280" i="1"/>
  <c r="J4276" i="1"/>
  <c r="J4273" i="1"/>
  <c r="J4270" i="1"/>
  <c r="J4267" i="1"/>
  <c r="K4267" i="1" s="1"/>
  <c r="J4265" i="1"/>
  <c r="K4265" i="1" s="1"/>
  <c r="J4262" i="1"/>
  <c r="J4259" i="1"/>
  <c r="J4256" i="1"/>
  <c r="J4252" i="1"/>
  <c r="J4249" i="1"/>
  <c r="J4245" i="1"/>
  <c r="J4239" i="1"/>
  <c r="J4236" i="1"/>
  <c r="K4236" i="1" s="1"/>
  <c r="J4234" i="1"/>
  <c r="J4232" i="1"/>
  <c r="J4227" i="1"/>
  <c r="J4224" i="1"/>
  <c r="J4220" i="1"/>
  <c r="J4216" i="1"/>
  <c r="J4210" i="1"/>
  <c r="J4204" i="1"/>
  <c r="J4198" i="1"/>
  <c r="J4196" i="1"/>
  <c r="J4191" i="1"/>
  <c r="J4188" i="1"/>
  <c r="J4185" i="1"/>
  <c r="J4181" i="1"/>
  <c r="J4176" i="1"/>
  <c r="K4176" i="1" s="1"/>
  <c r="J4174" i="1"/>
  <c r="K4174" i="1" s="1"/>
  <c r="J4170" i="1"/>
  <c r="J4168" i="1"/>
  <c r="J4162" i="1"/>
  <c r="K4162" i="1" s="1"/>
  <c r="J4158" i="1"/>
  <c r="K4158" i="1" s="1"/>
  <c r="J4156" i="1"/>
  <c r="J4153" i="1"/>
  <c r="J4147" i="1"/>
  <c r="J4139" i="1"/>
  <c r="K4139" i="1" s="1"/>
  <c r="J4137" i="1"/>
  <c r="J4135" i="1"/>
  <c r="J4132" i="1"/>
  <c r="J4127" i="1"/>
  <c r="K4127" i="1" s="1"/>
  <c r="J4122" i="1"/>
  <c r="J4114" i="1"/>
  <c r="J4110" i="1"/>
  <c r="J4101" i="1"/>
  <c r="J4098" i="1"/>
  <c r="J4095" i="1"/>
  <c r="J4079" i="1"/>
  <c r="K4079" i="1" s="1"/>
  <c r="J4077" i="1"/>
  <c r="K4077" i="1" s="1"/>
  <c r="J4075" i="1"/>
  <c r="J4070" i="1"/>
  <c r="J4068" i="1"/>
  <c r="K4068" i="1" s="1"/>
  <c r="J4065" i="1"/>
  <c r="K4065" i="1" s="1"/>
  <c r="J4063" i="1"/>
  <c r="J4061" i="1"/>
  <c r="J4057" i="1"/>
  <c r="J4054" i="1"/>
  <c r="J4051" i="1"/>
  <c r="J4047" i="1"/>
  <c r="J4044" i="1"/>
  <c r="K4044" i="1" s="1"/>
  <c r="J4042" i="1"/>
  <c r="K4042" i="1" s="1"/>
  <c r="J4040" i="1"/>
  <c r="J4032" i="1"/>
  <c r="J4026" i="1"/>
  <c r="J4013" i="1"/>
  <c r="K4013" i="1" s="1"/>
  <c r="J4011" i="1"/>
  <c r="J4009" i="1"/>
  <c r="J4006" i="1"/>
  <c r="J4001" i="1"/>
  <c r="J3998" i="1"/>
  <c r="J3980" i="1"/>
  <c r="J3977" i="1"/>
  <c r="J3971" i="1"/>
  <c r="J3967" i="1"/>
  <c r="J3964" i="1"/>
  <c r="J3961" i="1"/>
  <c r="J3957" i="1"/>
  <c r="J3954" i="1"/>
  <c r="J3951" i="1"/>
  <c r="J3944" i="1"/>
  <c r="J3939" i="1"/>
  <c r="J3935" i="1"/>
  <c r="J3932" i="1"/>
  <c r="J3925" i="1"/>
  <c r="K3925" i="1" s="1"/>
  <c r="J3923" i="1"/>
  <c r="K3923" i="1" s="1"/>
  <c r="J3916" i="1"/>
  <c r="J3914" i="1"/>
  <c r="J3912" i="1"/>
  <c r="K3912" i="1" s="1"/>
  <c r="J3910" i="1"/>
  <c r="K3910" i="1" s="1"/>
  <c r="J3908" i="1"/>
  <c r="J3904" i="1"/>
  <c r="J3901" i="1"/>
  <c r="K3901" i="1" s="1"/>
  <c r="J3899" i="1"/>
  <c r="K3899" i="1" s="1"/>
  <c r="J3896" i="1"/>
  <c r="J3888" i="1"/>
  <c r="J3886" i="1"/>
  <c r="K3886" i="1" s="1"/>
  <c r="J3872" i="1"/>
  <c r="J3869" i="1"/>
  <c r="J3863" i="1"/>
  <c r="J3859" i="1"/>
  <c r="J3854" i="1"/>
  <c r="K3854" i="1" s="1"/>
  <c r="J3852" i="1"/>
  <c r="J3847" i="1"/>
  <c r="J3840" i="1"/>
  <c r="J3829" i="1"/>
  <c r="K3829" i="1" s="1"/>
  <c r="J3827" i="1"/>
  <c r="J3824" i="1"/>
  <c r="J3819" i="1"/>
  <c r="J3806" i="1"/>
  <c r="J3803" i="1"/>
  <c r="J3800" i="1"/>
  <c r="J3788" i="1"/>
  <c r="J3783" i="1"/>
  <c r="J3781" i="1"/>
  <c r="J3777" i="1"/>
  <c r="J3773" i="1"/>
  <c r="J3770" i="1"/>
  <c r="J3766" i="1"/>
  <c r="J3764" i="1"/>
  <c r="K3764" i="1" s="1"/>
  <c r="J3762" i="1"/>
  <c r="K3762" i="1" s="1"/>
  <c r="J3758" i="1"/>
  <c r="J3747" i="1"/>
  <c r="J3745" i="1"/>
  <c r="K3745" i="1" s="1"/>
  <c r="J3743" i="1"/>
  <c r="K3743" i="1" s="1"/>
  <c r="J3740" i="1"/>
  <c r="J3735" i="1"/>
  <c r="J3723" i="1"/>
  <c r="K3723" i="1" s="1"/>
  <c r="J3721" i="1"/>
  <c r="K3721" i="1" s="1"/>
  <c r="J3717" i="1"/>
  <c r="J3714" i="1"/>
  <c r="J3708" i="1"/>
  <c r="J3705" i="1"/>
  <c r="J3687" i="1"/>
  <c r="J3678" i="1"/>
  <c r="J3676" i="1"/>
  <c r="K3676" i="1" s="1"/>
  <c r="J3674" i="1"/>
  <c r="K3674" i="1" s="1"/>
  <c r="J3671" i="1"/>
  <c r="J3663" i="1"/>
  <c r="J3661" i="1"/>
  <c r="K3661" i="1" s="1"/>
  <c r="J3647" i="1"/>
  <c r="J3638" i="1"/>
  <c r="J3634" i="1"/>
  <c r="J3631" i="1"/>
  <c r="J3628" i="1"/>
  <c r="J3624" i="1"/>
  <c r="J3621" i="1"/>
  <c r="J3618" i="1"/>
  <c r="J3615" i="1"/>
  <c r="J3612" i="1"/>
  <c r="J3608" i="1"/>
  <c r="J3605" i="1"/>
  <c r="J3600" i="1"/>
  <c r="J3596" i="1"/>
  <c r="J3593" i="1"/>
  <c r="J3585" i="1"/>
  <c r="J3579" i="1"/>
  <c r="J3575" i="1"/>
  <c r="J3572" i="1"/>
  <c r="J3569" i="1"/>
  <c r="J3566" i="1"/>
  <c r="J3563" i="1"/>
  <c r="J3560" i="1"/>
  <c r="J3557" i="1"/>
  <c r="J3554" i="1"/>
  <c r="J3551" i="1"/>
  <c r="J3548" i="1"/>
  <c r="J3543" i="1"/>
  <c r="J3540" i="1"/>
  <c r="J3537" i="1"/>
  <c r="J3534" i="1"/>
  <c r="J3531" i="1"/>
  <c r="J3528" i="1"/>
  <c r="J3523" i="1"/>
  <c r="J3519" i="1"/>
  <c r="J3516" i="1"/>
  <c r="J3513" i="1"/>
  <c r="J3510" i="1"/>
  <c r="J3507" i="1"/>
  <c r="J3499" i="1"/>
  <c r="J3490" i="1"/>
  <c r="J3482" i="1"/>
  <c r="J3467" i="1"/>
  <c r="J3461" i="1"/>
  <c r="J3454" i="1"/>
  <c r="J3448" i="1"/>
  <c r="J3433" i="1"/>
  <c r="J3430" i="1"/>
  <c r="J3427" i="1"/>
  <c r="J3420" i="1"/>
  <c r="J3417" i="1"/>
  <c r="J3414" i="1"/>
  <c r="J3411" i="1"/>
  <c r="J3403" i="1"/>
  <c r="J3395" i="1"/>
  <c r="J3392" i="1"/>
  <c r="J3389" i="1"/>
  <c r="J3386" i="1"/>
  <c r="J3383" i="1"/>
  <c r="J3380" i="1"/>
  <c r="J3377" i="1"/>
  <c r="J3374" i="1"/>
  <c r="J3356" i="1"/>
  <c r="J3354" i="1"/>
  <c r="K3354" i="1" s="1"/>
  <c r="J3349" i="1"/>
  <c r="K3349" i="1" s="1"/>
  <c r="J3347" i="1"/>
  <c r="J3345" i="1"/>
  <c r="J3342" i="1"/>
  <c r="J3337" i="1"/>
  <c r="J3329" i="1"/>
  <c r="J3313" i="1"/>
  <c r="J3311" i="1"/>
  <c r="K3311" i="1" s="1"/>
  <c r="J3309" i="1"/>
  <c r="K3309" i="1" s="1"/>
  <c r="J3306" i="1"/>
  <c r="J3298" i="1"/>
  <c r="J3296" i="1"/>
  <c r="K3296" i="1" s="1"/>
  <c r="J3291" i="1"/>
  <c r="K3291" i="1" s="1"/>
  <c r="J3289" i="1"/>
  <c r="J3287" i="1"/>
  <c r="J3283" i="1"/>
  <c r="J3280" i="1"/>
  <c r="J3266" i="1"/>
  <c r="J3260" i="1"/>
  <c r="J3254" i="1"/>
  <c r="J3249" i="1"/>
  <c r="J3235" i="1"/>
  <c r="J3230" i="1"/>
  <c r="J3226" i="1"/>
  <c r="J3223" i="1"/>
  <c r="J3219" i="1"/>
  <c r="J3216" i="1"/>
  <c r="J3212" i="1"/>
  <c r="J3208" i="1"/>
  <c r="J3205" i="1"/>
  <c r="J3202" i="1"/>
  <c r="J3199" i="1"/>
  <c r="J3196" i="1"/>
  <c r="J3193" i="1"/>
  <c r="J3190" i="1"/>
  <c r="J3181" i="1"/>
  <c r="K3181" i="1" s="1"/>
  <c r="J3173" i="1"/>
  <c r="J3168" i="1"/>
  <c r="J3163" i="1"/>
  <c r="J3159" i="1"/>
  <c r="J3154" i="1"/>
  <c r="J3141" i="1"/>
  <c r="J3130" i="1"/>
  <c r="J3122" i="1"/>
  <c r="J3114" i="1"/>
  <c r="K3114" i="1" s="1"/>
  <c r="J3112" i="1"/>
  <c r="J3110" i="1"/>
  <c r="J3099" i="1"/>
  <c r="J3093" i="1"/>
  <c r="J3090" i="1"/>
  <c r="J3088" i="1"/>
  <c r="J3083" i="1"/>
  <c r="J3076" i="1"/>
  <c r="J3068" i="1"/>
  <c r="J3063" i="1"/>
  <c r="J3060" i="1"/>
  <c r="J3042" i="1"/>
  <c r="J3036" i="1"/>
  <c r="J3028" i="1"/>
  <c r="J3025" i="1"/>
  <c r="J3008" i="1"/>
  <c r="K3008" i="1" s="1"/>
  <c r="J3006" i="1"/>
  <c r="J2998" i="1"/>
  <c r="J2996" i="1"/>
  <c r="K2996" i="1" s="1"/>
  <c r="J2991" i="1"/>
  <c r="J2988" i="1"/>
  <c r="J2985" i="1"/>
  <c r="J2979" i="1"/>
  <c r="J2975" i="1"/>
  <c r="J2969" i="1"/>
  <c r="J2965" i="1"/>
  <c r="K2965" i="1" s="1"/>
  <c r="J2962" i="1"/>
  <c r="J2955" i="1"/>
  <c r="K2955" i="1" s="1"/>
  <c r="J2942" i="1"/>
  <c r="J2929" i="1"/>
  <c r="J2924" i="1"/>
  <c r="J2916" i="1"/>
  <c r="J2908" i="1"/>
  <c r="J2900" i="1"/>
  <c r="K2900" i="1" s="1"/>
  <c r="J2898" i="1"/>
  <c r="J2896" i="1"/>
  <c r="K2896" i="1" s="1"/>
  <c r="J2889" i="1"/>
  <c r="J2872" i="1"/>
  <c r="J2866" i="1"/>
  <c r="J2863" i="1"/>
  <c r="J2858" i="1"/>
  <c r="J2851" i="1"/>
  <c r="K2851" i="1" s="1"/>
  <c r="J2838" i="1"/>
  <c r="J2833" i="1"/>
  <c r="J2828" i="1"/>
  <c r="J2825" i="1"/>
  <c r="J2816" i="1"/>
  <c r="J2812" i="1"/>
  <c r="J2804" i="1"/>
  <c r="J2798" i="1"/>
  <c r="J2790" i="1"/>
  <c r="J2787" i="1"/>
  <c r="J2765" i="1"/>
  <c r="J2763" i="1"/>
  <c r="K2763" i="1" s="1"/>
  <c r="J2757" i="1"/>
  <c r="J2745" i="1"/>
  <c r="J2742" i="1"/>
  <c r="J2740" i="1"/>
  <c r="K2740" i="1" s="1"/>
  <c r="J2735" i="1"/>
  <c r="J2732" i="1"/>
  <c r="J2729" i="1"/>
  <c r="J2723" i="1"/>
  <c r="J2719" i="1"/>
  <c r="J2713" i="1"/>
  <c r="K2713" i="1" s="1"/>
  <c r="J2711" i="1"/>
  <c r="J2709" i="1"/>
  <c r="K2709" i="1" s="1"/>
  <c r="J2706" i="1"/>
  <c r="J2701" i="1"/>
  <c r="K2701" i="1" s="1"/>
  <c r="J2699" i="1"/>
  <c r="J2686" i="1"/>
  <c r="J2677" i="1"/>
  <c r="J2673" i="1"/>
  <c r="J2665" i="1"/>
  <c r="J2657" i="1"/>
  <c r="J2653" i="1"/>
  <c r="J2645" i="1"/>
  <c r="K2645" i="1" s="1"/>
  <c r="J2643" i="1"/>
  <c r="J2641" i="1"/>
  <c r="K2641" i="1" s="1"/>
  <c r="J2621" i="1"/>
  <c r="J2615" i="1"/>
  <c r="J2612" i="1"/>
  <c r="J2601" i="1"/>
  <c r="J2594" i="1"/>
  <c r="J2581" i="1"/>
  <c r="J2576" i="1"/>
  <c r="J2571" i="1"/>
  <c r="J2568" i="1"/>
  <c r="J2561" i="1"/>
  <c r="J2557" i="1"/>
  <c r="J2549" i="1"/>
  <c r="J2543" i="1"/>
  <c r="J2535" i="1"/>
  <c r="J2532" i="1"/>
  <c r="J2514" i="1"/>
  <c r="J2508" i="1"/>
  <c r="J2501" i="1"/>
  <c r="J2494" i="1"/>
  <c r="J2491" i="1"/>
  <c r="J2486" i="1"/>
  <c r="J2483" i="1"/>
  <c r="J2480" i="1"/>
  <c r="J2474" i="1"/>
  <c r="J2470" i="1"/>
  <c r="J2464" i="1"/>
  <c r="K2464" i="1" s="1"/>
  <c r="J2462" i="1"/>
  <c r="J2457" i="1"/>
  <c r="J2452" i="1"/>
  <c r="J2450" i="1"/>
  <c r="K2450" i="1" s="1"/>
  <c r="J2441" i="1"/>
  <c r="J2434" i="1"/>
  <c r="J2430" i="1"/>
  <c r="J2422" i="1"/>
  <c r="J2414" i="1"/>
  <c r="J2403" i="1"/>
  <c r="K2403" i="1" s="1"/>
  <c r="J2401" i="1"/>
  <c r="J2392" i="1"/>
  <c r="K2392" i="1" s="1"/>
  <c r="J2373" i="1"/>
  <c r="J2367" i="1"/>
  <c r="J2364" i="1"/>
  <c r="J2353" i="1"/>
  <c r="J2340" i="1"/>
  <c r="J2335" i="1"/>
  <c r="J2330" i="1"/>
  <c r="J2327" i="1"/>
  <c r="J2318" i="1"/>
  <c r="J2314" i="1"/>
  <c r="K2314" i="1" s="1"/>
  <c r="J2306" i="1"/>
  <c r="J2300" i="1"/>
  <c r="J2292" i="1"/>
  <c r="J2289" i="1"/>
  <c r="J2286" i="1"/>
  <c r="J2268" i="1"/>
  <c r="J2262" i="1"/>
  <c r="J2250" i="1"/>
  <c r="K2250" i="1" s="1"/>
  <c r="J2248" i="1"/>
  <c r="J2243" i="1"/>
  <c r="J2235" i="1"/>
  <c r="J2231" i="1"/>
  <c r="J2228" i="1"/>
  <c r="J2226" i="1"/>
  <c r="K2226" i="1" s="1"/>
  <c r="J2221" i="1"/>
  <c r="J2218" i="1"/>
  <c r="J2215" i="1"/>
  <c r="J2209" i="1"/>
  <c r="J2205" i="1"/>
  <c r="J2194" i="1"/>
  <c r="K2194" i="1" s="1"/>
  <c r="J2192" i="1"/>
  <c r="J2190" i="1"/>
  <c r="K2190" i="1" s="1"/>
  <c r="J2187" i="1"/>
  <c r="J2182" i="1"/>
  <c r="K2182" i="1" s="1"/>
  <c r="J2180" i="1"/>
  <c r="J2167" i="1"/>
  <c r="J2160" i="1"/>
  <c r="J2156" i="1"/>
  <c r="J2148" i="1"/>
  <c r="J2140" i="1"/>
  <c r="J2136" i="1"/>
  <c r="J2128" i="1"/>
  <c r="K2128" i="1" s="1"/>
  <c r="J2126" i="1"/>
  <c r="J2124" i="1"/>
  <c r="K2124" i="1" s="1"/>
  <c r="J2113" i="1"/>
  <c r="J2096" i="1"/>
  <c r="J2090" i="1"/>
  <c r="J2087" i="1"/>
  <c r="J2075" i="1"/>
  <c r="J2060" i="1"/>
  <c r="K2060" i="1" s="1"/>
  <c r="J2055" i="1"/>
  <c r="J2050" i="1"/>
  <c r="J2047" i="1"/>
  <c r="J2036" i="1"/>
  <c r="K2036" i="1" s="1"/>
  <c r="J2032" i="1"/>
  <c r="J2020" i="1"/>
  <c r="J2012" i="1"/>
  <c r="J2009" i="1"/>
  <c r="J2006" i="1"/>
  <c r="J1988" i="1"/>
  <c r="K1988" i="1" s="1"/>
  <c r="J1986" i="1"/>
  <c r="K1986" i="1" s="1"/>
  <c r="J1980" i="1"/>
  <c r="J1973" i="1"/>
  <c r="J1960" i="1"/>
  <c r="J1956" i="1"/>
  <c r="J1953" i="1"/>
  <c r="K1953" i="1" s="1"/>
  <c r="J1951" i="1"/>
  <c r="K1951" i="1" s="1"/>
  <c r="J1946" i="1"/>
  <c r="J1943" i="1"/>
  <c r="J1940" i="1"/>
  <c r="J1934" i="1"/>
  <c r="J1930" i="1"/>
  <c r="J1924" i="1"/>
  <c r="K1924" i="1" s="1"/>
  <c r="J1922" i="1"/>
  <c r="K1922" i="1" s="1"/>
  <c r="J1917" i="1"/>
  <c r="J1912" i="1"/>
  <c r="K1912" i="1" s="1"/>
  <c r="J1910" i="1"/>
  <c r="K1910" i="1" s="1"/>
  <c r="J1901" i="1"/>
  <c r="J1892" i="1"/>
  <c r="K1892" i="1" s="1"/>
  <c r="J1888" i="1"/>
  <c r="J1880" i="1"/>
  <c r="J1872" i="1"/>
  <c r="J1868" i="1"/>
  <c r="J1860" i="1"/>
  <c r="K1860" i="1" s="1"/>
  <c r="J1858" i="1"/>
  <c r="K1858" i="1" s="1"/>
  <c r="J1856" i="1"/>
  <c r="K1856" i="1" s="1"/>
  <c r="J1842" i="1"/>
  <c r="K1842" i="1" s="1"/>
  <c r="J1840" i="1"/>
  <c r="K1840" i="1" s="1"/>
  <c r="J1821" i="1"/>
  <c r="J1815" i="1"/>
  <c r="J1812" i="1"/>
  <c r="J1801" i="1"/>
  <c r="J1794" i="1"/>
  <c r="J1780" i="1"/>
  <c r="J1775" i="1"/>
  <c r="J1770" i="1"/>
  <c r="J1767" i="1"/>
  <c r="J1756" i="1"/>
  <c r="K1756" i="1" s="1"/>
  <c r="J1752" i="1"/>
  <c r="J1744" i="1"/>
  <c r="J1738" i="1"/>
  <c r="J1730" i="1"/>
  <c r="J1727" i="1"/>
  <c r="J1724" i="1"/>
  <c r="J1706" i="1"/>
  <c r="K1706" i="1" s="1"/>
  <c r="J1704" i="1"/>
  <c r="K1704" i="1" s="1"/>
  <c r="J1698" i="1"/>
  <c r="J1691" i="1"/>
  <c r="J1679" i="1"/>
  <c r="J1674" i="1"/>
  <c r="J1669" i="1"/>
  <c r="J1666" i="1"/>
  <c r="J1663" i="1"/>
  <c r="J1657" i="1"/>
  <c r="J1653" i="1"/>
  <c r="J1644" i="1"/>
  <c r="K1644" i="1" s="1"/>
  <c r="J1639" i="1"/>
  <c r="J1632" i="1"/>
  <c r="J1619" i="1"/>
  <c r="J1610" i="1"/>
  <c r="K1610" i="1" s="1"/>
  <c r="J1606" i="1"/>
  <c r="J1601" i="1"/>
  <c r="J1593" i="1"/>
  <c r="J1585" i="1"/>
  <c r="J1581" i="1"/>
  <c r="J1573" i="1"/>
  <c r="J1571" i="1"/>
  <c r="J1569" i="1"/>
  <c r="K1569" i="1" s="1"/>
  <c r="J1541" i="1"/>
  <c r="J1535" i="1"/>
  <c r="J1532" i="1"/>
  <c r="J1520" i="1"/>
  <c r="J1505" i="1"/>
  <c r="K1505" i="1" s="1"/>
  <c r="J1500" i="1"/>
  <c r="J1495" i="1"/>
  <c r="J1492" i="1"/>
  <c r="J1480" i="1"/>
  <c r="K1480" i="1" s="1"/>
  <c r="J1478" i="1"/>
  <c r="J1474" i="1"/>
  <c r="J1466" i="1"/>
  <c r="J1460" i="1"/>
  <c r="J1452" i="1"/>
  <c r="J1449" i="1"/>
  <c r="J1446" i="1"/>
  <c r="J1423" i="1"/>
  <c r="K1423" i="1" s="1"/>
  <c r="J1421" i="1"/>
  <c r="J1415" i="1"/>
  <c r="J1408" i="1"/>
  <c r="J1403" i="1"/>
  <c r="J1391" i="1"/>
  <c r="J1388" i="1"/>
  <c r="J1386" i="1"/>
  <c r="K1386" i="1" s="1"/>
  <c r="J1381" i="1"/>
  <c r="J1378" i="1"/>
  <c r="J1375" i="1"/>
  <c r="J1369" i="1"/>
  <c r="J1365" i="1"/>
  <c r="J1354" i="1"/>
  <c r="J1352" i="1"/>
  <c r="J1350" i="1"/>
  <c r="K1350" i="1" s="1"/>
  <c r="J1347" i="1"/>
  <c r="J1340" i="1"/>
  <c r="J1331" i="1"/>
  <c r="J1320" i="1"/>
  <c r="J1315" i="1"/>
  <c r="J1307" i="1"/>
  <c r="J1299" i="1"/>
  <c r="J1295" i="1"/>
  <c r="J1284" i="1"/>
  <c r="K1284" i="1" s="1"/>
  <c r="J1282" i="1"/>
  <c r="J1267" i="1"/>
  <c r="J1260" i="1"/>
  <c r="J1254" i="1"/>
  <c r="J1249" i="1"/>
  <c r="J1238" i="1"/>
  <c r="J1231" i="1"/>
  <c r="J1212" i="1"/>
  <c r="J1207" i="1"/>
  <c r="J1204" i="1"/>
  <c r="J1197" i="1"/>
  <c r="J1193" i="1"/>
  <c r="J1185" i="1"/>
  <c r="J1179" i="1"/>
  <c r="J1171" i="1"/>
  <c r="J1168" i="1"/>
  <c r="J1165" i="1"/>
  <c r="J1147" i="1"/>
  <c r="J1141" i="1"/>
  <c r="J1129" i="1"/>
  <c r="J1116" i="1"/>
  <c r="J1113" i="1"/>
  <c r="J1111" i="1"/>
  <c r="K1111" i="1" s="1"/>
  <c r="J1106" i="1"/>
  <c r="J1103" i="1"/>
  <c r="J1100" i="1"/>
  <c r="J1094" i="1"/>
  <c r="J1090" i="1"/>
  <c r="J1084" i="1"/>
  <c r="J1082" i="1"/>
  <c r="J1080" i="1"/>
  <c r="K1080" i="1" s="1"/>
  <c r="J1077" i="1"/>
  <c r="J1070" i="1"/>
  <c r="J1054" i="1"/>
  <c r="J1046" i="1"/>
  <c r="J1043" i="1"/>
  <c r="J1037" i="1"/>
  <c r="J1033" i="1"/>
  <c r="J1024" i="1"/>
  <c r="K1024" i="1" s="1"/>
  <c r="J1022" i="1"/>
  <c r="J1011" i="1"/>
  <c r="K1011" i="1" s="1"/>
  <c r="J1006" i="1"/>
  <c r="J1001" i="1"/>
  <c r="K1001" i="1" s="1"/>
  <c r="J999" i="1"/>
  <c r="J994" i="1"/>
  <c r="K994" i="1" s="1"/>
  <c r="J992" i="1"/>
  <c r="J987" i="1"/>
  <c r="K987" i="1" s="1"/>
  <c r="J985" i="1"/>
  <c r="J979" i="1"/>
  <c r="K979" i="1" s="1"/>
  <c r="J975" i="1"/>
  <c r="J968" i="1"/>
  <c r="K968" i="1" s="1"/>
  <c r="J953" i="1"/>
  <c r="J951" i="1"/>
  <c r="K951" i="1" s="1"/>
  <c r="J949" i="1"/>
  <c r="J946" i="1"/>
  <c r="J936" i="1"/>
  <c r="J934" i="1"/>
  <c r="K934" i="1" s="1"/>
  <c r="J924" i="1"/>
  <c r="J920" i="1"/>
  <c r="J917" i="1"/>
  <c r="J914" i="1"/>
  <c r="J907" i="1"/>
  <c r="J904" i="1"/>
  <c r="K904" i="1" s="1"/>
  <c r="J901" i="1"/>
  <c r="J899" i="1"/>
  <c r="K899" i="1" s="1"/>
  <c r="J897" i="1"/>
  <c r="J878" i="1"/>
  <c r="J872" i="1"/>
  <c r="J869" i="1"/>
  <c r="J864" i="1"/>
  <c r="J857" i="1"/>
  <c r="J847" i="1"/>
  <c r="J835" i="1"/>
  <c r="J820" i="1"/>
  <c r="J817" i="1"/>
  <c r="K817" i="1" s="1"/>
  <c r="J812" i="1"/>
  <c r="J810" i="1"/>
  <c r="K810" i="1" s="1"/>
  <c r="J808" i="1"/>
  <c r="J806" i="1"/>
  <c r="K806" i="1" s="1"/>
  <c r="J800" i="1"/>
  <c r="J779" i="1"/>
  <c r="J776" i="1"/>
  <c r="J773" i="1"/>
  <c r="J770" i="1"/>
  <c r="J767" i="1"/>
  <c r="J746" i="1"/>
  <c r="J737" i="1"/>
  <c r="J731" i="1"/>
  <c r="J727" i="1"/>
  <c r="K727" i="1" s="1"/>
  <c r="J725" i="1"/>
  <c r="J721" i="1"/>
  <c r="J718" i="1"/>
  <c r="J715" i="1"/>
  <c r="J712" i="1"/>
  <c r="J709" i="1"/>
  <c r="J705" i="1"/>
  <c r="J698" i="1"/>
  <c r="J692" i="1"/>
  <c r="J690" i="1"/>
  <c r="K690" i="1" s="1"/>
  <c r="J685" i="1"/>
  <c r="J681" i="1"/>
  <c r="J678" i="1"/>
  <c r="J673" i="1"/>
  <c r="K673" i="1" s="1"/>
  <c r="J671" i="1"/>
  <c r="J666" i="1"/>
  <c r="J661" i="1"/>
  <c r="J657" i="1"/>
  <c r="K657" i="1" s="1"/>
  <c r="J655" i="1"/>
  <c r="J653" i="1"/>
  <c r="K653" i="1" s="1"/>
  <c r="J646" i="1"/>
  <c r="J642" i="1"/>
  <c r="J638" i="1"/>
  <c r="J629" i="1"/>
  <c r="J622" i="1"/>
  <c r="J614" i="1"/>
  <c r="K614" i="1" s="1"/>
  <c r="J612" i="1"/>
  <c r="J610" i="1"/>
  <c r="K610" i="1" s="1"/>
  <c r="J607" i="1"/>
  <c r="J587" i="1"/>
  <c r="J584" i="1"/>
  <c r="J579" i="1"/>
  <c r="J574" i="1"/>
  <c r="J570" i="1"/>
  <c r="J564" i="1"/>
  <c r="J558" i="1"/>
  <c r="J554" i="1"/>
  <c r="J544" i="1"/>
  <c r="J541" i="1"/>
  <c r="J537" i="1"/>
  <c r="J530" i="1"/>
  <c r="J522" i="1"/>
  <c r="J518" i="1"/>
  <c r="J515" i="1"/>
  <c r="J505" i="1"/>
  <c r="J501" i="1"/>
  <c r="J494" i="1"/>
  <c r="J487" i="1"/>
  <c r="J483" i="1"/>
  <c r="J477" i="1"/>
  <c r="J472" i="1"/>
  <c r="J470" i="1"/>
  <c r="K470" i="1" s="1"/>
  <c r="J455" i="1"/>
  <c r="J452" i="1"/>
  <c r="K452" i="1" s="1"/>
  <c r="J450" i="1"/>
  <c r="J447" i="1"/>
  <c r="J444" i="1"/>
  <c r="J433" i="1"/>
  <c r="J420" i="1"/>
  <c r="J415" i="1"/>
  <c r="J411" i="1"/>
  <c r="J408" i="1"/>
  <c r="K408" i="1" s="1"/>
  <c r="J406" i="1"/>
  <c r="J404" i="1"/>
  <c r="K404" i="1" s="1"/>
  <c r="J398" i="1"/>
  <c r="J392" i="1"/>
  <c r="J383" i="1"/>
  <c r="J377" i="1"/>
  <c r="J374" i="1"/>
  <c r="J369" i="1"/>
  <c r="J365" i="1"/>
  <c r="J360" i="1"/>
  <c r="J352" i="1"/>
  <c r="J350" i="1"/>
  <c r="K350" i="1" s="1"/>
  <c r="J346" i="1"/>
  <c r="J343" i="1"/>
  <c r="J340" i="1"/>
  <c r="J335" i="1"/>
  <c r="K335" i="1" s="1"/>
  <c r="J333" i="1"/>
  <c r="J331" i="1"/>
  <c r="K331" i="1" s="1"/>
  <c r="J324" i="1"/>
  <c r="J322" i="1"/>
  <c r="K322" i="1" s="1"/>
  <c r="J320" i="1"/>
  <c r="J317" i="1"/>
  <c r="J304" i="1"/>
  <c r="J300" i="1"/>
  <c r="J291" i="1"/>
  <c r="J278" i="1"/>
  <c r="J274" i="1"/>
  <c r="J268" i="1"/>
  <c r="K268" i="1" s="1"/>
  <c r="J266" i="1"/>
  <c r="J262" i="1"/>
  <c r="J257" i="1"/>
  <c r="J248" i="1"/>
  <c r="K248" i="1" s="1"/>
  <c r="J246" i="1"/>
  <c r="J244" i="1"/>
  <c r="K244" i="1" s="1"/>
  <c r="J231" i="1"/>
  <c r="J228" i="1"/>
  <c r="J223" i="1"/>
  <c r="J220" i="1"/>
  <c r="J217" i="1"/>
  <c r="J212" i="1"/>
  <c r="J208" i="1"/>
  <c r="J204" i="1"/>
  <c r="K204" i="1" s="1"/>
  <c r="J202" i="1"/>
  <c r="J199" i="1"/>
  <c r="J195" i="1"/>
  <c r="J191" i="1"/>
  <c r="K191" i="1" s="1"/>
  <c r="J189" i="1"/>
  <c r="J187" i="1"/>
  <c r="K187" i="1" s="1"/>
  <c r="J181" i="1"/>
  <c r="J173" i="1"/>
  <c r="K173" i="1" s="1"/>
  <c r="J171" i="1"/>
  <c r="J169" i="1"/>
  <c r="K169" i="1" s="1"/>
  <c r="J166" i="1"/>
  <c r="J158" i="1"/>
  <c r="J150" i="1"/>
  <c r="J144" i="1"/>
  <c r="J138" i="1"/>
  <c r="J136" i="1"/>
  <c r="K136" i="1" s="1"/>
  <c r="J134" i="1"/>
  <c r="J131" i="1"/>
  <c r="J123" i="1"/>
  <c r="J120" i="1"/>
  <c r="J79" i="1"/>
  <c r="J76" i="1"/>
  <c r="J52" i="1"/>
  <c r="K52" i="1" s="1"/>
  <c r="J50" i="1"/>
  <c r="K50" i="1" s="1"/>
  <c r="J48" i="1"/>
  <c r="K48" i="1" s="1"/>
  <c r="J45" i="1"/>
  <c r="J37" i="1"/>
  <c r="J29" i="1"/>
  <c r="K29" i="1" s="1"/>
  <c r="J26" i="1"/>
  <c r="K26" i="1" s="1"/>
  <c r="J24" i="1"/>
  <c r="K24" i="1" s="1"/>
  <c r="J22" i="1"/>
  <c r="K22" i="1" s="1"/>
  <c r="J14" i="1"/>
  <c r="K14" i="1" s="1"/>
  <c r="L444" i="1"/>
  <c r="L443" i="1" s="1"/>
  <c r="L494" i="1"/>
  <c r="L493" i="1" s="1"/>
  <c r="L4057" i="1"/>
  <c r="L4056" i="1" s="1"/>
  <c r="L661" i="1"/>
  <c r="L660" i="1" s="1"/>
  <c r="L4636" i="1"/>
  <c r="L4635" i="1" s="1"/>
  <c r="L4639" i="1"/>
  <c r="L4638" i="1" s="1"/>
  <c r="L4624" i="1"/>
  <c r="L4623" i="1" s="1"/>
  <c r="L4612" i="1"/>
  <c r="L4611" i="1" s="1"/>
  <c r="L3249" i="1"/>
  <c r="L3248" i="1" s="1"/>
  <c r="L3247" i="1" s="1"/>
  <c r="L3246" i="1" s="1"/>
  <c r="L4685" i="1"/>
  <c r="L4684" i="1" s="1"/>
  <c r="L515" i="1"/>
  <c r="L514" i="1" s="1"/>
  <c r="L3516" i="1"/>
  <c r="L3515" i="1" s="1"/>
  <c r="L3998" i="1"/>
  <c r="L3997" i="1" s="1"/>
  <c r="L76" i="1"/>
  <c r="L75" i="1" s="1"/>
  <c r="L3543" i="1"/>
  <c r="L3542" i="1" s="1"/>
  <c r="L776" i="1"/>
  <c r="L775" i="1" s="1"/>
  <c r="L779" i="1"/>
  <c r="L778" i="1" s="1"/>
  <c r="L1267" i="1"/>
  <c r="L3392" i="1"/>
  <c r="L3391" i="1" s="1"/>
  <c r="L3395" i="1"/>
  <c r="L3394" i="1" s="1"/>
  <c r="L3420" i="1"/>
  <c r="L3419" i="1" s="1"/>
  <c r="L3199" i="1"/>
  <c r="L3198" i="1" s="1"/>
  <c r="L3163" i="1"/>
  <c r="L3162" i="1" s="1"/>
  <c r="L3548" i="1"/>
  <c r="L3528" i="1"/>
  <c r="L3527" i="1" s="1"/>
  <c r="L3551" i="1"/>
  <c r="L3550" i="1" s="1"/>
  <c r="L3566" i="1"/>
  <c r="L3565" i="1" s="1"/>
  <c r="L3534" i="1"/>
  <c r="L3533" i="1" s="1"/>
  <c r="L4122" i="1"/>
  <c r="L4127" i="1"/>
  <c r="L4409" i="1"/>
  <c r="L181" i="1"/>
  <c r="L180" i="1" s="1"/>
  <c r="L179" i="1" s="1"/>
  <c r="L178" i="1" s="1"/>
  <c r="L177" i="1" s="1"/>
  <c r="L2677" i="1"/>
  <c r="L2434" i="1"/>
  <c r="L2433" i="1" s="1"/>
  <c r="L2432" i="1" s="1"/>
  <c r="L2160" i="1"/>
  <c r="L2159" i="1" s="1"/>
  <c r="L2158" i="1" s="1"/>
  <c r="L1892" i="1"/>
  <c r="L1891" i="1" s="1"/>
  <c r="L1890" i="1" s="1"/>
  <c r="L1610" i="1"/>
  <c r="L2235" i="1"/>
  <c r="L2234" i="1" s="1"/>
  <c r="L2233" i="1" s="1"/>
  <c r="L1960" i="1"/>
  <c r="L1959" i="1" s="1"/>
  <c r="L1958" i="1" s="1"/>
  <c r="L2889" i="1"/>
  <c r="L2888" i="1" s="1"/>
  <c r="L2887" i="1" s="1"/>
  <c r="L2816" i="1"/>
  <c r="L2815" i="1" s="1"/>
  <c r="L2814" i="1" s="1"/>
  <c r="L2561" i="1"/>
  <c r="L2560" i="1" s="1"/>
  <c r="L2559" i="1" s="1"/>
  <c r="L2392" i="1"/>
  <c r="L2318" i="1"/>
  <c r="L2113" i="1"/>
  <c r="L2036" i="1"/>
  <c r="L1840" i="1"/>
  <c r="L1756" i="1"/>
  <c r="L1478" i="1"/>
  <c r="L1197" i="1"/>
  <c r="L1196" i="1" s="1"/>
  <c r="L1195" i="1" s="1"/>
  <c r="L3266" i="1"/>
  <c r="L1842" i="1"/>
  <c r="L1480" i="1"/>
  <c r="L3448" i="1"/>
  <c r="L3447" i="1" s="1"/>
  <c r="L3260" i="1"/>
  <c r="L3259" i="1" s="1"/>
  <c r="L3258" i="1" s="1"/>
  <c r="L3257" i="1" s="1"/>
  <c r="L3256" i="1" s="1"/>
  <c r="L3554" i="1"/>
  <c r="L3553" i="1" s="1"/>
  <c r="L731" i="1"/>
  <c r="L730" i="1" s="1"/>
  <c r="L4383" i="1"/>
  <c r="L4382" i="1" s="1"/>
  <c r="L4381" i="1" s="1"/>
  <c r="L4380" i="1" s="1"/>
  <c r="L4379" i="1" s="1"/>
  <c r="L968" i="1"/>
  <c r="L622" i="1"/>
  <c r="L621" i="1" s="1"/>
  <c r="L620" i="1" s="1"/>
  <c r="L619" i="1" s="1"/>
  <c r="L618" i="1" s="1"/>
  <c r="L746" i="1"/>
  <c r="L745" i="1" s="1"/>
  <c r="L685" i="1"/>
  <c r="L684" i="1" s="1"/>
  <c r="L3888" i="1"/>
  <c r="L4457" i="1"/>
  <c r="L4456" i="1" s="1"/>
  <c r="L223" i="1"/>
  <c r="L222" i="1" s="1"/>
  <c r="L934" i="1"/>
  <c r="L3173" i="1"/>
  <c r="L3172" i="1" s="1"/>
  <c r="L3171" i="1" s="1"/>
  <c r="L936" i="1"/>
  <c r="L1046" i="1"/>
  <c r="L1045" i="1" s="1"/>
  <c r="L1037" i="1"/>
  <c r="L1036" i="1" s="1"/>
  <c r="L3482" i="1"/>
  <c r="L3481" i="1" s="1"/>
  <c r="L3480" i="1" s="1"/>
  <c r="L3479" i="1" s="1"/>
  <c r="L3478" i="1" s="1"/>
  <c r="L3477" i="1" s="1"/>
  <c r="L4340" i="1"/>
  <c r="L4339" i="1" s="1"/>
  <c r="L1043" i="1"/>
  <c r="L1042" i="1" s="1"/>
  <c r="L3944" i="1"/>
  <c r="L3943" i="1" s="1"/>
  <c r="L3942" i="1" s="1"/>
  <c r="L3941" i="1" s="1"/>
  <c r="L2900" i="1"/>
  <c r="L1354" i="1"/>
  <c r="L1033" i="1"/>
  <c r="L1032" i="1" s="1"/>
  <c r="L907" i="1"/>
  <c r="L906" i="1" s="1"/>
  <c r="L408" i="1"/>
  <c r="L350" i="1"/>
  <c r="L994" i="1"/>
  <c r="L992" i="1"/>
  <c r="L767" i="1"/>
  <c r="L766" i="1" s="1"/>
  <c r="L4727" i="1"/>
  <c r="L4729" i="1"/>
  <c r="L4715" i="1"/>
  <c r="L4714" i="1" s="1"/>
  <c r="L4713" i="1" s="1"/>
  <c r="L4712" i="1" s="1"/>
  <c r="L4711" i="1" s="1"/>
  <c r="L4710" i="1" s="1"/>
  <c r="L4491" i="1"/>
  <c r="L4490" i="1" s="1"/>
  <c r="L4489" i="1" s="1"/>
  <c r="L4488" i="1" s="1"/>
  <c r="L4495" i="1"/>
  <c r="L4494" i="1" s="1"/>
  <c r="L4493" i="1" s="1"/>
  <c r="L4484" i="1"/>
  <c r="L4483" i="1" s="1"/>
  <c r="L4441" i="1"/>
  <c r="L690" i="1"/>
  <c r="L4227" i="1"/>
  <c r="L4226" i="1" s="1"/>
  <c r="L4079" i="1"/>
  <c r="L4075" i="1"/>
  <c r="L4026" i="1"/>
  <c r="L4025" i="1" s="1"/>
  <c r="L4024" i="1" s="1"/>
  <c r="L4023" i="1" s="1"/>
  <c r="L4022" i="1" s="1"/>
  <c r="L3624" i="1"/>
  <c r="L3623" i="1" s="1"/>
  <c r="L3621" i="1"/>
  <c r="L3620" i="1" s="1"/>
  <c r="L3585" i="1"/>
  <c r="L3584" i="1" s="1"/>
  <c r="L3583" i="1" s="1"/>
  <c r="L3582" i="1" s="1"/>
  <c r="L3581" i="1" s="1"/>
  <c r="L3540" i="1"/>
  <c r="L3539" i="1" s="1"/>
  <c r="L3417" i="1"/>
  <c r="L3416" i="1" s="1"/>
  <c r="L3414" i="1"/>
  <c r="L3413" i="1" s="1"/>
  <c r="L3403" i="1"/>
  <c r="L3402" i="1" s="1"/>
  <c r="L3401" i="1" s="1"/>
  <c r="L3400" i="1" s="1"/>
  <c r="L3399" i="1" s="1"/>
  <c r="L3398" i="1" s="1"/>
  <c r="L3397" i="1" s="1"/>
  <c r="L3389" i="1"/>
  <c r="L3388" i="1" s="1"/>
  <c r="L3386" i="1"/>
  <c r="L3385" i="1" s="1"/>
  <c r="L3383" i="1"/>
  <c r="L3382" i="1" s="1"/>
  <c r="L3380" i="1"/>
  <c r="L3379" i="1" s="1"/>
  <c r="L3377" i="1"/>
  <c r="L3376" i="1" s="1"/>
  <c r="L3345" i="1"/>
  <c r="L3349" i="1"/>
  <c r="L3329" i="1"/>
  <c r="L3328" i="1" s="1"/>
  <c r="L3327" i="1" s="1"/>
  <c r="L3326" i="1" s="1"/>
  <c r="L3325" i="1" s="1"/>
  <c r="L3324" i="1" s="1"/>
  <c r="L3323" i="1" s="1"/>
  <c r="L3254" i="1"/>
  <c r="L3253" i="1" s="1"/>
  <c r="L3252" i="1" s="1"/>
  <c r="L3251" i="1" s="1"/>
  <c r="L3154" i="1"/>
  <c r="L3153" i="1" s="1"/>
  <c r="L3152" i="1" s="1"/>
  <c r="L3151" i="1" s="1"/>
  <c r="L3076" i="1"/>
  <c r="L3075" i="1" s="1"/>
  <c r="L3074" i="1" s="1"/>
  <c r="L3073" i="1" s="1"/>
  <c r="L3072" i="1" s="1"/>
  <c r="L3071" i="1" s="1"/>
  <c r="L3063" i="1"/>
  <c r="L3062" i="1" s="1"/>
  <c r="L2998" i="1"/>
  <c r="L2828" i="1"/>
  <c r="L2827" i="1" s="1"/>
  <c r="L2709" i="1"/>
  <c r="L2571" i="1"/>
  <c r="L2570" i="1" s="1"/>
  <c r="L2330" i="1"/>
  <c r="L2329" i="1" s="1"/>
  <c r="L2292" i="1"/>
  <c r="L2291" i="1" s="1"/>
  <c r="L2250" i="1"/>
  <c r="L2243" i="1"/>
  <c r="L2242" i="1" s="1"/>
  <c r="L2241" i="1" s="1"/>
  <c r="L2240" i="1" s="1"/>
  <c r="L2239" i="1" s="1"/>
  <c r="L2050" i="1"/>
  <c r="L2049" i="1" s="1"/>
  <c r="L2012" i="1"/>
  <c r="L2011" i="1" s="1"/>
  <c r="L1973" i="1"/>
  <c r="L1972" i="1" s="1"/>
  <c r="L1971" i="1" s="1"/>
  <c r="L1970" i="1" s="1"/>
  <c r="L1969" i="1" s="1"/>
  <c r="L1968" i="1" s="1"/>
  <c r="L433" i="1"/>
  <c r="L432" i="1" s="1"/>
  <c r="L431" i="1" s="1"/>
  <c r="L430" i="1" s="1"/>
  <c r="L429" i="1" s="1"/>
  <c r="L1770" i="1"/>
  <c r="L1769" i="1" s="1"/>
  <c r="L1730" i="1"/>
  <c r="L1729" i="1" s="1"/>
  <c r="L1691" i="1"/>
  <c r="L1690" i="1" s="1"/>
  <c r="L1689" i="1" s="1"/>
  <c r="L1688" i="1" s="1"/>
  <c r="L1687" i="1" s="1"/>
  <c r="L1686" i="1" s="1"/>
  <c r="L1495" i="1"/>
  <c r="L1494" i="1" s="1"/>
  <c r="L1452" i="1"/>
  <c r="L1451" i="1" s="1"/>
  <c r="L1403" i="1"/>
  <c r="L1402" i="1" s="1"/>
  <c r="L1401" i="1" s="1"/>
  <c r="L1400" i="1" s="1"/>
  <c r="L1399" i="1" s="1"/>
  <c r="L1207" i="1"/>
  <c r="L1206" i="1" s="1"/>
  <c r="L1171" i="1"/>
  <c r="L1170" i="1" s="1"/>
  <c r="L346" i="1"/>
  <c r="L345" i="1" s="1"/>
  <c r="L1022" i="1"/>
  <c r="L1024" i="1"/>
  <c r="L1026" i="1"/>
  <c r="L1011" i="1"/>
  <c r="L1013" i="1"/>
  <c r="L985" i="1"/>
  <c r="L979" i="1"/>
  <c r="L773" i="1"/>
  <c r="L772" i="1" s="1"/>
  <c r="L770" i="1"/>
  <c r="L769" i="1" s="1"/>
  <c r="L725" i="1"/>
  <c r="L653" i="1"/>
  <c r="L655" i="1"/>
  <c r="L579" i="1"/>
  <c r="L578" i="1" s="1"/>
  <c r="L577" i="1" s="1"/>
  <c r="L564" i="1"/>
  <c r="L563" i="1" s="1"/>
  <c r="L554" i="1"/>
  <c r="L553" i="1" s="1"/>
  <c r="L530" i="1"/>
  <c r="L529" i="1" s="1"/>
  <c r="L415" i="1"/>
  <c r="L414" i="1" s="1"/>
  <c r="L413" i="1" s="1"/>
  <c r="L383" i="1"/>
  <c r="L382" i="1" s="1"/>
  <c r="L369" i="1"/>
  <c r="L368" i="1" s="1"/>
  <c r="L367" i="1" s="1"/>
  <c r="L360" i="1"/>
  <c r="L359" i="1" s="1"/>
  <c r="L358" i="1" s="1"/>
  <c r="L357" i="1" s="1"/>
  <c r="L208" i="1"/>
  <c r="L207" i="1" s="1"/>
  <c r="L202" i="1"/>
  <c r="L204" i="1"/>
  <c r="L120" i="1"/>
  <c r="L119" i="1" s="1"/>
  <c r="L123" i="1"/>
  <c r="L122" i="1" s="1"/>
  <c r="L570" i="1"/>
  <c r="L569" i="1" s="1"/>
  <c r="L3708" i="1"/>
  <c r="L3707" i="1" s="1"/>
  <c r="L3770" i="1"/>
  <c r="L3769" i="1" s="1"/>
  <c r="L3230" i="1"/>
  <c r="L3229" i="1" s="1"/>
  <c r="L3228" i="1" s="1"/>
  <c r="L3499" i="1"/>
  <c r="L3498" i="1" s="1"/>
  <c r="L3497" i="1" s="1"/>
  <c r="L3496" i="1" s="1"/>
  <c r="L3495" i="1" s="1"/>
  <c r="L3494" i="1" s="1"/>
  <c r="L3493" i="1" s="1"/>
  <c r="L3208" i="1"/>
  <c r="L3207" i="1" s="1"/>
  <c r="L544" i="1"/>
  <c r="L543" i="1" s="1"/>
  <c r="L1054" i="1"/>
  <c r="L1053" i="1" s="1"/>
  <c r="L1052" i="1" s="1"/>
  <c r="L1051" i="1" s="1"/>
  <c r="L1050" i="1" s="1"/>
  <c r="L1049" i="1" s="1"/>
  <c r="L3612" i="1"/>
  <c r="L3611" i="1" s="1"/>
  <c r="L3872" i="1"/>
  <c r="L3871" i="1" s="1"/>
  <c r="L3777" i="1"/>
  <c r="L3776" i="1" s="1"/>
  <c r="L3775" i="1" s="1"/>
  <c r="L4424" i="1"/>
  <c r="L4423" i="1" s="1"/>
  <c r="L4422" i="1" s="1"/>
  <c r="L3579" i="1"/>
  <c r="L3578" i="1" s="1"/>
  <c r="L3577" i="1" s="1"/>
  <c r="L3531" i="1"/>
  <c r="L3530" i="1" s="1"/>
  <c r="L673" i="1"/>
  <c r="L3575" i="1"/>
  <c r="L3574" i="1" s="1"/>
  <c r="L3615" i="1"/>
  <c r="L3614" i="1" s="1"/>
  <c r="L3374" i="1"/>
  <c r="L3647" i="1"/>
  <c r="L3646" i="1" s="1"/>
  <c r="L3280" i="1"/>
  <c r="L3279" i="1" s="1"/>
  <c r="L2851" i="1"/>
  <c r="L2849" i="1" s="1"/>
  <c r="L2848" i="1" s="1"/>
  <c r="L2847" i="1" s="1"/>
  <c r="L2846" i="1" s="1"/>
  <c r="L2594" i="1"/>
  <c r="L2593" i="1" s="1"/>
  <c r="L2592" i="1" s="1"/>
  <c r="L2591" i="1" s="1"/>
  <c r="L2590" i="1" s="1"/>
  <c r="L2589" i="1" s="1"/>
  <c r="L2353" i="1"/>
  <c r="L2352" i="1" s="1"/>
  <c r="L2351" i="1" s="1"/>
  <c r="L2350" i="1" s="1"/>
  <c r="L2349" i="1" s="1"/>
  <c r="L2075" i="1"/>
  <c r="L2074" i="1" s="1"/>
  <c r="L2073" i="1" s="1"/>
  <c r="L2072" i="1" s="1"/>
  <c r="L2071" i="1" s="1"/>
  <c r="L2070" i="1" s="1"/>
  <c r="L1794" i="1"/>
  <c r="L1793" i="1" s="1"/>
  <c r="L1792" i="1" s="1"/>
  <c r="L1791" i="1" s="1"/>
  <c r="L1790" i="1" s="1"/>
  <c r="L1789" i="1" s="1"/>
  <c r="L1520" i="1"/>
  <c r="L1519" i="1" s="1"/>
  <c r="L1518" i="1" s="1"/>
  <c r="L1517" i="1" s="1"/>
  <c r="L1516" i="1" s="1"/>
  <c r="L1515" i="1" s="1"/>
  <c r="L1231" i="1"/>
  <c r="L1230" i="1" s="1"/>
  <c r="L1229" i="1" s="1"/>
  <c r="L1228" i="1" s="1"/>
  <c r="L1227" i="1" s="1"/>
  <c r="L1226" i="1" s="1"/>
  <c r="L3572" i="1"/>
  <c r="L3571" i="1" s="1"/>
  <c r="L4722" i="1"/>
  <c r="L4721" i="1" s="1"/>
  <c r="L4720" i="1" s="1"/>
  <c r="L4719" i="1" s="1"/>
  <c r="L4718" i="1" s="1"/>
  <c r="L3226" i="1"/>
  <c r="L3225" i="1" s="1"/>
  <c r="L244" i="1"/>
  <c r="L246" i="1"/>
  <c r="L248" i="1"/>
  <c r="L666" i="1"/>
  <c r="L665" i="1" s="1"/>
  <c r="L664" i="1" s="1"/>
  <c r="L663" i="1" s="1"/>
  <c r="L4095" i="1"/>
  <c r="L4094" i="1" s="1"/>
  <c r="L4688" i="1"/>
  <c r="L4687" i="1" s="1"/>
  <c r="L4691" i="1"/>
  <c r="L4690" i="1" s="1"/>
  <c r="L4658" i="1"/>
  <c r="L4657" i="1" s="1"/>
  <c r="L4656" i="1" s="1"/>
  <c r="L4655" i="1" s="1"/>
  <c r="L343" i="1"/>
  <c r="L342" i="1" s="1"/>
  <c r="L3168" i="1"/>
  <c r="L3165" i="1" s="1"/>
  <c r="L3618" i="1"/>
  <c r="L3617" i="1" s="1"/>
  <c r="L3569" i="1"/>
  <c r="L3568" i="1" s="1"/>
  <c r="L4054" i="1"/>
  <c r="L4053" i="1" s="1"/>
  <c r="L4276" i="1"/>
  <c r="L4275" i="1" s="1"/>
  <c r="L4262" i="1"/>
  <c r="L4261" i="1" s="1"/>
  <c r="L4283" i="1"/>
  <c r="L4282" i="1" s="1"/>
  <c r="L3411" i="1"/>
  <c r="L3410" i="1" s="1"/>
  <c r="L3840" i="1"/>
  <c r="L3839" i="1" s="1"/>
  <c r="L3838" i="1" s="1"/>
  <c r="L3837" i="1" s="1"/>
  <c r="L3836" i="1" s="1"/>
  <c r="L3835" i="1" s="1"/>
  <c r="L3834" i="1" s="1"/>
  <c r="L4259" i="1"/>
  <c r="L4258" i="1" s="1"/>
  <c r="L4147" i="1"/>
  <c r="L4146" i="1" s="1"/>
  <c r="L4145" i="1" s="1"/>
  <c r="L4144" i="1" s="1"/>
  <c r="L4143" i="1" s="1"/>
  <c r="L3687" i="1"/>
  <c r="L3686" i="1" s="1"/>
  <c r="L3685" i="1" s="1"/>
  <c r="L3684" i="1" s="1"/>
  <c r="L3683" i="1" s="1"/>
  <c r="L3454" i="1"/>
  <c r="L3453" i="1" s="1"/>
  <c r="L352" i="1"/>
  <c r="L340" i="1"/>
  <c r="L335" i="1"/>
  <c r="L333" i="1"/>
  <c r="L331" i="1"/>
  <c r="L2908" i="1"/>
  <c r="L2907" i="1" s="1"/>
  <c r="L2906" i="1" s="1"/>
  <c r="L2905" i="1" s="1"/>
  <c r="L2904" i="1" s="1"/>
  <c r="L2903" i="1" s="1"/>
  <c r="L2902" i="1" s="1"/>
  <c r="L2657" i="1"/>
  <c r="L2656" i="1" s="1"/>
  <c r="L2655" i="1" s="1"/>
  <c r="L2414" i="1"/>
  <c r="L2413" i="1" s="1"/>
  <c r="L2412" i="1" s="1"/>
  <c r="L2411" i="1" s="1"/>
  <c r="L2410" i="1" s="1"/>
  <c r="L2409" i="1" s="1"/>
  <c r="L2408" i="1" s="1"/>
  <c r="L2140" i="1"/>
  <c r="L2139" i="1" s="1"/>
  <c r="L2138" i="1" s="1"/>
  <c r="L1872" i="1"/>
  <c r="L1871" i="1" s="1"/>
  <c r="L1870" i="1" s="1"/>
  <c r="L1585" i="1"/>
  <c r="L1584" i="1" s="1"/>
  <c r="L1583" i="1" s="1"/>
  <c r="L1299" i="1"/>
  <c r="L1298" i="1" s="1"/>
  <c r="L1297" i="1" s="1"/>
  <c r="L808" i="1"/>
  <c r="L4343" i="1"/>
  <c r="L4342" i="1" s="1"/>
  <c r="L4568" i="1"/>
  <c r="L4437" i="1"/>
  <c r="L4439" i="1"/>
  <c r="L4444" i="1"/>
  <c r="L4429" i="1"/>
  <c r="L4428" i="1" s="1"/>
  <c r="L4432" i="1"/>
  <c r="L4431" i="1" s="1"/>
  <c r="L4398" i="1"/>
  <c r="L4397" i="1" s="1"/>
  <c r="L4396" i="1" s="1"/>
  <c r="L4395" i="1" s="1"/>
  <c r="L4390" i="1"/>
  <c r="L4389" i="1" s="1"/>
  <c r="L4388" i="1" s="1"/>
  <c r="L4387" i="1" s="1"/>
  <c r="L4386" i="1" s="1"/>
  <c r="L4317" i="1"/>
  <c r="L4316" i="1" s="1"/>
  <c r="L4315" i="1" s="1"/>
  <c r="L4314" i="1" s="1"/>
  <c r="L4293" i="1"/>
  <c r="L4295" i="1"/>
  <c r="L4256" i="1"/>
  <c r="L4255" i="1" s="1"/>
  <c r="L4252" i="1"/>
  <c r="L4251" i="1" s="1"/>
  <c r="L4239" i="1"/>
  <c r="L4238" i="1" s="1"/>
  <c r="L4216" i="1"/>
  <c r="L4215" i="1" s="1"/>
  <c r="L4214" i="1" s="1"/>
  <c r="L4220" i="1"/>
  <c r="L4219" i="1" s="1"/>
  <c r="L4218" i="1" s="1"/>
  <c r="L4224" i="1"/>
  <c r="L4223" i="1" s="1"/>
  <c r="L4114" i="1"/>
  <c r="L4113" i="1" s="1"/>
  <c r="L4098" i="1"/>
  <c r="L4097" i="1" s="1"/>
  <c r="L4068" i="1"/>
  <c r="L4070" i="1"/>
  <c r="L4061" i="1"/>
  <c r="L4063" i="1"/>
  <c r="L4065" i="1"/>
  <c r="L4051" i="1"/>
  <c r="L4050" i="1" s="1"/>
  <c r="L4047" i="1"/>
  <c r="L4046" i="1" s="1"/>
  <c r="L3961" i="1"/>
  <c r="L3960" i="1" s="1"/>
  <c r="L3964" i="1"/>
  <c r="L3963" i="1" s="1"/>
  <c r="L3951" i="1"/>
  <c r="L3950" i="1" s="1"/>
  <c r="L3954" i="1"/>
  <c r="L3953" i="1" s="1"/>
  <c r="L3957" i="1"/>
  <c r="L3956" i="1" s="1"/>
  <c r="L3932" i="1"/>
  <c r="L3931" i="1" s="1"/>
  <c r="L3935" i="1"/>
  <c r="L3934" i="1" s="1"/>
  <c r="L3869" i="1"/>
  <c r="L3868" i="1" s="1"/>
  <c r="L3867" i="1" s="1"/>
  <c r="L3806" i="1"/>
  <c r="L3805" i="1" s="1"/>
  <c r="L3593" i="1"/>
  <c r="L3592" i="1" s="1"/>
  <c r="L3596" i="1"/>
  <c r="L3595" i="1" s="1"/>
  <c r="L3563" i="1"/>
  <c r="L3562" i="1" s="1"/>
  <c r="L3560" i="1"/>
  <c r="L3559" i="1" s="1"/>
  <c r="L3523" i="1"/>
  <c r="L3522" i="1" s="1"/>
  <c r="L3521" i="1" s="1"/>
  <c r="L3507" i="1"/>
  <c r="L3506" i="1" s="1"/>
  <c r="L3510" i="1"/>
  <c r="L3509" i="1" s="1"/>
  <c r="L3513" i="1"/>
  <c r="L3512" i="1" s="1"/>
  <c r="L3461" i="1"/>
  <c r="L3460" i="1" s="1"/>
  <c r="L3459" i="1" s="1"/>
  <c r="L3458" i="1" s="1"/>
  <c r="L3457" i="1" s="1"/>
  <c r="L3337" i="1"/>
  <c r="L3336" i="1" s="1"/>
  <c r="L3335" i="1" s="1"/>
  <c r="L3334" i="1" s="1"/>
  <c r="L3287" i="1"/>
  <c r="L3289" i="1"/>
  <c r="L3291" i="1"/>
  <c r="L3283" i="1"/>
  <c r="L3282" i="1" s="1"/>
  <c r="L3122" i="1"/>
  <c r="L3121" i="1" s="1"/>
  <c r="L3120" i="1" s="1"/>
  <c r="L3119" i="1" s="1"/>
  <c r="L3118" i="1" s="1"/>
  <c r="L3117" i="1" s="1"/>
  <c r="L3116" i="1" s="1"/>
  <c r="L3028" i="1"/>
  <c r="L3027" i="1" s="1"/>
  <c r="L3025" i="1"/>
  <c r="L3024" i="1" s="1"/>
  <c r="L2916" i="1"/>
  <c r="L2915" i="1" s="1"/>
  <c r="L2914" i="1" s="1"/>
  <c r="L2913" i="1" s="1"/>
  <c r="L2912" i="1" s="1"/>
  <c r="L2911" i="1" s="1"/>
  <c r="L2910" i="1" s="1"/>
  <c r="L2812" i="1"/>
  <c r="L2790" i="1"/>
  <c r="L2789" i="1" s="1"/>
  <c r="L2787" i="1"/>
  <c r="L2786" i="1" s="1"/>
  <c r="L2765" i="1"/>
  <c r="L2665" i="1"/>
  <c r="L2664" i="1" s="1"/>
  <c r="L2663" i="1" s="1"/>
  <c r="L2662" i="1" s="1"/>
  <c r="L2661" i="1" s="1"/>
  <c r="L2660" i="1" s="1"/>
  <c r="L2659" i="1" s="1"/>
  <c r="L2557" i="1"/>
  <c r="L2535" i="1"/>
  <c r="L2534" i="1" s="1"/>
  <c r="L2532" i="1"/>
  <c r="L2531" i="1" s="1"/>
  <c r="L2422" i="1"/>
  <c r="L2421" i="1" s="1"/>
  <c r="L2420" i="1" s="1"/>
  <c r="L2419" i="1" s="1"/>
  <c r="L2418" i="1" s="1"/>
  <c r="L2417" i="1" s="1"/>
  <c r="L2416" i="1" s="1"/>
  <c r="L2314" i="1"/>
  <c r="L2289" i="1"/>
  <c r="L2288" i="1" s="1"/>
  <c r="L2286" i="1"/>
  <c r="L2285" i="1" s="1"/>
  <c r="L2148" i="1"/>
  <c r="L2147" i="1" s="1"/>
  <c r="L2146" i="1" s="1"/>
  <c r="L2145" i="1" s="1"/>
  <c r="L2144" i="1" s="1"/>
  <c r="L2143" i="1" s="1"/>
  <c r="L2142" i="1" s="1"/>
  <c r="L2032" i="1"/>
  <c r="L2031" i="1" s="1"/>
  <c r="L2030" i="1" s="1"/>
  <c r="L2029" i="1" s="1"/>
  <c r="L2028" i="1" s="1"/>
  <c r="L2009" i="1"/>
  <c r="L2008" i="1" s="1"/>
  <c r="L2006" i="1"/>
  <c r="L2005" i="1" s="1"/>
  <c r="L1880" i="1"/>
  <c r="L1879" i="1" s="1"/>
  <c r="L1878" i="1" s="1"/>
  <c r="L1877" i="1" s="1"/>
  <c r="L1876" i="1" s="1"/>
  <c r="L1875" i="1" s="1"/>
  <c r="L1874" i="1" s="1"/>
  <c r="L1780" i="1"/>
  <c r="L1779" i="1" s="1"/>
  <c r="L1778" i="1" s="1"/>
  <c r="L1777" i="1" s="1"/>
  <c r="L1752" i="1"/>
  <c r="L1749" i="1" s="1"/>
  <c r="L1748" i="1" s="1"/>
  <c r="L1747" i="1" s="1"/>
  <c r="L1746" i="1" s="1"/>
  <c r="L1727" i="1"/>
  <c r="L1726" i="1" s="1"/>
  <c r="L1724" i="1"/>
  <c r="L1723" i="1" s="1"/>
  <c r="L1593" i="1"/>
  <c r="L1592" i="1" s="1"/>
  <c r="L1591" i="1" s="1"/>
  <c r="L1590" i="1" s="1"/>
  <c r="L1589" i="1" s="1"/>
  <c r="L1588" i="1" s="1"/>
  <c r="L1587" i="1" s="1"/>
  <c r="L1307" i="1"/>
  <c r="L1306" i="1" s="1"/>
  <c r="L1305" i="1" s="1"/>
  <c r="L1304" i="1" s="1"/>
  <c r="L1303" i="1" s="1"/>
  <c r="L1302" i="1" s="1"/>
  <c r="L1301" i="1" s="1"/>
  <c r="L1474" i="1"/>
  <c r="L1449" i="1"/>
  <c r="L1448" i="1" s="1"/>
  <c r="L1446" i="1"/>
  <c r="L1445" i="1" s="1"/>
  <c r="L1423" i="1"/>
  <c r="L1212" i="1"/>
  <c r="L1211" i="1" s="1"/>
  <c r="L1210" i="1" s="1"/>
  <c r="L1209" i="1" s="1"/>
  <c r="L1193" i="1"/>
  <c r="L1165" i="1"/>
  <c r="L1164" i="1" s="1"/>
  <c r="L1168" i="1"/>
  <c r="L1167" i="1" s="1"/>
  <c r="L1080" i="1"/>
  <c r="L999" i="1"/>
  <c r="L1001" i="1"/>
  <c r="L847" i="1"/>
  <c r="L846" i="1" s="1"/>
  <c r="L835" i="1"/>
  <c r="L834" i="1" s="1"/>
  <c r="L833" i="1" s="1"/>
  <c r="L832" i="1" s="1"/>
  <c r="L820" i="1"/>
  <c r="L819" i="1" s="1"/>
  <c r="L692" i="1"/>
  <c r="L629" i="1"/>
  <c r="L628" i="1" s="1"/>
  <c r="L627" i="1" s="1"/>
  <c r="L626" i="1" s="1"/>
  <c r="L625" i="1" s="1"/>
  <c r="L483" i="1"/>
  <c r="L482" i="1" s="1"/>
  <c r="L481" i="1" s="1"/>
  <c r="L480" i="1" s="1"/>
  <c r="L450" i="1"/>
  <c r="L420" i="1"/>
  <c r="L419" i="1" s="1"/>
  <c r="L418" i="1" s="1"/>
  <c r="L417" i="1" s="1"/>
  <c r="L212" i="1"/>
  <c r="L211" i="1" s="1"/>
  <c r="L210" i="1" s="1"/>
  <c r="L187" i="1"/>
  <c r="L189" i="1"/>
  <c r="L191" i="1"/>
  <c r="L150" i="1"/>
  <c r="L149" i="1" s="1"/>
  <c r="L37" i="1"/>
  <c r="L36" i="1" s="1"/>
  <c r="L3223" i="1"/>
  <c r="L3222" i="1" s="1"/>
  <c r="L3433" i="1"/>
  <c r="L3432" i="1" s="1"/>
  <c r="L4557" i="1"/>
  <c r="L4556" i="1" s="1"/>
  <c r="L217" i="1"/>
  <c r="L216" i="1" s="1"/>
  <c r="L215" i="1" s="1"/>
  <c r="L4651" i="1"/>
  <c r="L4650" i="1" s="1"/>
  <c r="L4649" i="1" s="1"/>
  <c r="L1988" i="1"/>
  <c r="L3803" i="1"/>
  <c r="L3802" i="1" s="1"/>
  <c r="L3800" i="1"/>
  <c r="L3799" i="1" s="1"/>
  <c r="L4267" i="1"/>
  <c r="L4001" i="1"/>
  <c r="L4000" i="1" s="1"/>
  <c r="L4700" i="1"/>
  <c r="L4699" i="1" s="1"/>
  <c r="L721" i="1"/>
  <c r="L720" i="1" s="1"/>
  <c r="L522" i="1"/>
  <c r="L521" i="1" s="1"/>
  <c r="L1295" i="1"/>
  <c r="L1294" i="1" s="1"/>
  <c r="L1293" i="1" s="1"/>
  <c r="L3490" i="1"/>
  <c r="L3489" i="1" s="1"/>
  <c r="L3488" i="1" s="1"/>
  <c r="L3487" i="1" s="1"/>
  <c r="L3486" i="1" s="1"/>
  <c r="L3485" i="1" s="1"/>
  <c r="L3484" i="1" s="1"/>
  <c r="L4369" i="1"/>
  <c r="L4368" i="1" s="1"/>
  <c r="L4367" i="1" s="1"/>
  <c r="L4366" i="1" s="1"/>
  <c r="L4365" i="1" s="1"/>
  <c r="L3181" i="1"/>
  <c r="L4705" i="1"/>
  <c r="L4704" i="1" s="1"/>
  <c r="L4665" i="1"/>
  <c r="L4667" i="1"/>
  <c r="L4669" i="1"/>
  <c r="L4644" i="1"/>
  <c r="L4630" i="1"/>
  <c r="L4632" i="1"/>
  <c r="L4615" i="1"/>
  <c r="L4614" i="1" s="1"/>
  <c r="L4618" i="1"/>
  <c r="L4617" i="1" s="1"/>
  <c r="L4592" i="1"/>
  <c r="L4591" i="1" s="1"/>
  <c r="L4595" i="1"/>
  <c r="L4597" i="1"/>
  <c r="L4599" i="1"/>
  <c r="L4587" i="1"/>
  <c r="L4586" i="1" s="1"/>
  <c r="L4585" i="1" s="1"/>
  <c r="L4584" i="1" s="1"/>
  <c r="L4501" i="1"/>
  <c r="L4500" i="1" s="1"/>
  <c r="L4506" i="1"/>
  <c r="L4508" i="1"/>
  <c r="L4475" i="1"/>
  <c r="L4474" i="1" s="1"/>
  <c r="L4415" i="1"/>
  <c r="L4414" i="1" s="1"/>
  <c r="L4411" i="1"/>
  <c r="L4361" i="1"/>
  <c r="L4360" i="1" s="1"/>
  <c r="L4359" i="1" s="1"/>
  <c r="L4358" i="1" s="1"/>
  <c r="L4357" i="1" s="1"/>
  <c r="L4356" i="1" s="1"/>
  <c r="L4332" i="1"/>
  <c r="L4331" i="1" s="1"/>
  <c r="L4336" i="1"/>
  <c r="L4335" i="1" s="1"/>
  <c r="L4324" i="1"/>
  <c r="L4323" i="1" s="1"/>
  <c r="L4322" i="1" s="1"/>
  <c r="L4309" i="1"/>
  <c r="L4308" i="1" s="1"/>
  <c r="L4307" i="1" s="1"/>
  <c r="L4306" i="1" s="1"/>
  <c r="L4305" i="1" s="1"/>
  <c r="L4304" i="1" s="1"/>
  <c r="L4302" i="1"/>
  <c r="L4301" i="1" s="1"/>
  <c r="L4300" i="1" s="1"/>
  <c r="L4299" i="1" s="1"/>
  <c r="L4298" i="1" s="1"/>
  <c r="L4297" i="1" s="1"/>
  <c r="L4290" i="1"/>
  <c r="L4289" i="1" s="1"/>
  <c r="L4265" i="1"/>
  <c r="L4270" i="1"/>
  <c r="L4269" i="1" s="1"/>
  <c r="L4273" i="1"/>
  <c r="L4272" i="1" s="1"/>
  <c r="L4280" i="1"/>
  <c r="L4279" i="1" s="1"/>
  <c r="L4249" i="1"/>
  <c r="L4248" i="1" s="1"/>
  <c r="L4247" i="1" s="1"/>
  <c r="L4232" i="1"/>
  <c r="L4234" i="1"/>
  <c r="L4236" i="1"/>
  <c r="L4245" i="1"/>
  <c r="L4244" i="1" s="1"/>
  <c r="L4210" i="1"/>
  <c r="L4209" i="1" s="1"/>
  <c r="L4208" i="1" s="1"/>
  <c r="L4207" i="1" s="1"/>
  <c r="L4206" i="1" s="1"/>
  <c r="L4204" i="1"/>
  <c r="L4203" i="1" s="1"/>
  <c r="L4202" i="1" s="1"/>
  <c r="L4201" i="1" s="1"/>
  <c r="L4200" i="1" s="1"/>
  <c r="L4196" i="1"/>
  <c r="L4198" i="1"/>
  <c r="L4185" i="1"/>
  <c r="L4184" i="1" s="1"/>
  <c r="L4188" i="1"/>
  <c r="L4187" i="1" s="1"/>
  <c r="L4191" i="1"/>
  <c r="L4190" i="1" s="1"/>
  <c r="L4181" i="1"/>
  <c r="L4180" i="1" s="1"/>
  <c r="L4168" i="1"/>
  <c r="L4170" i="1"/>
  <c r="L4174" i="1"/>
  <c r="L4176" i="1"/>
  <c r="L4153" i="1"/>
  <c r="L4152" i="1" s="1"/>
  <c r="L4156" i="1"/>
  <c r="L4158" i="1"/>
  <c r="L4162" i="1"/>
  <c r="L4132" i="1"/>
  <c r="L4131" i="1" s="1"/>
  <c r="L4135" i="1"/>
  <c r="L4137" i="1"/>
  <c r="L4139" i="1"/>
  <c r="L4110" i="1"/>
  <c r="L4109" i="1" s="1"/>
  <c r="L4108" i="1" s="1"/>
  <c r="L4101" i="1"/>
  <c r="L4100" i="1" s="1"/>
  <c r="L4077" i="1"/>
  <c r="L4040" i="1"/>
  <c r="L4042" i="1"/>
  <c r="L4044" i="1"/>
  <c r="L4032" i="1"/>
  <c r="L4031" i="1" s="1"/>
  <c r="L4030" i="1" s="1"/>
  <c r="L4029" i="1" s="1"/>
  <c r="L4028" i="1" s="1"/>
  <c r="L3788" i="1"/>
  <c r="L3787" i="1" s="1"/>
  <c r="L3786" i="1" s="1"/>
  <c r="L3785" i="1" s="1"/>
  <c r="L3781" i="1"/>
  <c r="L3783" i="1"/>
  <c r="L3773" i="1"/>
  <c r="L3772" i="1" s="1"/>
  <c r="L3762" i="1"/>
  <c r="L3764" i="1"/>
  <c r="L3766" i="1"/>
  <c r="L3758" i="1"/>
  <c r="L3757" i="1" s="1"/>
  <c r="L3740" i="1"/>
  <c r="L3739" i="1" s="1"/>
  <c r="L3743" i="1"/>
  <c r="L3745" i="1"/>
  <c r="L3747" i="1"/>
  <c r="L3735" i="1"/>
  <c r="L3734" i="1" s="1"/>
  <c r="L3733" i="1" s="1"/>
  <c r="L3732" i="1" s="1"/>
  <c r="L3721" i="1"/>
  <c r="L3723" i="1"/>
  <c r="L3705" i="1"/>
  <c r="L3704" i="1" s="1"/>
  <c r="L3714" i="1"/>
  <c r="L3713" i="1" s="1"/>
  <c r="L3717" i="1"/>
  <c r="L3716" i="1" s="1"/>
  <c r="L4006" i="1"/>
  <c r="L4005" i="1" s="1"/>
  <c r="L4009" i="1"/>
  <c r="L4011" i="1"/>
  <c r="L4013" i="1"/>
  <c r="L3977" i="1"/>
  <c r="L3976" i="1" s="1"/>
  <c r="L3975" i="1" s="1"/>
  <c r="L3980" i="1"/>
  <c r="L3979" i="1" s="1"/>
  <c r="L3971" i="1"/>
  <c r="L3970" i="1" s="1"/>
  <c r="L3969" i="1" s="1"/>
  <c r="L3967" i="1"/>
  <c r="L3966" i="1" s="1"/>
  <c r="L3939" i="1"/>
  <c r="L3938" i="1" s="1"/>
  <c r="L3937" i="1" s="1"/>
  <c r="L3923" i="1"/>
  <c r="L3925" i="1"/>
  <c r="L3908" i="1"/>
  <c r="L3910" i="1"/>
  <c r="L3912" i="1"/>
  <c r="L3914" i="1"/>
  <c r="L3916" i="1"/>
  <c r="L3904" i="1"/>
  <c r="L3903" i="1" s="1"/>
  <c r="L3899" i="1"/>
  <c r="L3901" i="1"/>
  <c r="L3896" i="1"/>
  <c r="L3895" i="1" s="1"/>
  <c r="L3894" i="1" s="1"/>
  <c r="L3886" i="1"/>
  <c r="L3661" i="1"/>
  <c r="L3663" i="1"/>
  <c r="L3671" i="1"/>
  <c r="L3670" i="1" s="1"/>
  <c r="L3674" i="1"/>
  <c r="L3676" i="1"/>
  <c r="L3678" i="1"/>
  <c r="L3628" i="1"/>
  <c r="L3627" i="1" s="1"/>
  <c r="L3631" i="1"/>
  <c r="L3630" i="1" s="1"/>
  <c r="L3634" i="1"/>
  <c r="L3633" i="1" s="1"/>
  <c r="L3638" i="1"/>
  <c r="L3637" i="1" s="1"/>
  <c r="L3636" i="1" s="1"/>
  <c r="L3605" i="1"/>
  <c r="L3604" i="1" s="1"/>
  <c r="L3608" i="1"/>
  <c r="L3607" i="1" s="1"/>
  <c r="L3600" i="1"/>
  <c r="L3599" i="1" s="1"/>
  <c r="L3598" i="1" s="1"/>
  <c r="L3537" i="1"/>
  <c r="L3536" i="1" s="1"/>
  <c r="L3557" i="1"/>
  <c r="L3556" i="1" s="1"/>
  <c r="L3519" i="1"/>
  <c r="L3518" i="1" s="1"/>
  <c r="L4757" i="1"/>
  <c r="L4765" i="1"/>
  <c r="L4764" i="1" s="1"/>
  <c r="L4768" i="1"/>
  <c r="L4767" i="1" s="1"/>
  <c r="L4737" i="1"/>
  <c r="L4736" i="1" s="1"/>
  <c r="L4740" i="1"/>
  <c r="L4742" i="1"/>
  <c r="L4744" i="1"/>
  <c r="L4574" i="1"/>
  <c r="L4573" i="1" s="1"/>
  <c r="L4572" i="1" s="1"/>
  <c r="L4571" i="1" s="1"/>
  <c r="L4554" i="1"/>
  <c r="L4553" i="1" s="1"/>
  <c r="L4561" i="1"/>
  <c r="L4560" i="1" s="1"/>
  <c r="L4564" i="1"/>
  <c r="L4566" i="1"/>
  <c r="L4535" i="1"/>
  <c r="L4534" i="1" s="1"/>
  <c r="L4533" i="1" s="1"/>
  <c r="L4539" i="1"/>
  <c r="L4538" i="1" s="1"/>
  <c r="L4542" i="1"/>
  <c r="L4544" i="1"/>
  <c r="L4546" i="1"/>
  <c r="L4520" i="1"/>
  <c r="L4519" i="1" s="1"/>
  <c r="L4523" i="1"/>
  <c r="L4525" i="1"/>
  <c r="L4527" i="1"/>
  <c r="L4516" i="1"/>
  <c r="L4515" i="1" s="1"/>
  <c r="L4514" i="1" s="1"/>
  <c r="L3863" i="1"/>
  <c r="L3862" i="1" s="1"/>
  <c r="L3861" i="1" s="1"/>
  <c r="L3859" i="1"/>
  <c r="L3858" i="1" s="1"/>
  <c r="L3857" i="1" s="1"/>
  <c r="L3852" i="1"/>
  <c r="L3854" i="1"/>
  <c r="L3847" i="1"/>
  <c r="L3846" i="1" s="1"/>
  <c r="L3845" i="1" s="1"/>
  <c r="L3819" i="1"/>
  <c r="L3818" i="1" s="1"/>
  <c r="L3817" i="1" s="1"/>
  <c r="L3816" i="1" s="1"/>
  <c r="L3824" i="1"/>
  <c r="L3823" i="1" s="1"/>
  <c r="L3827" i="1"/>
  <c r="L3829" i="1"/>
  <c r="L317" i="1"/>
  <c r="L316" i="1" s="1"/>
  <c r="L320" i="1"/>
  <c r="L322" i="1"/>
  <c r="L324" i="1"/>
  <c r="L291" i="1"/>
  <c r="L290" i="1" s="1"/>
  <c r="L289" i="1" s="1"/>
  <c r="L300" i="1"/>
  <c r="L299" i="1" s="1"/>
  <c r="L298" i="1" s="1"/>
  <c r="L304" i="1"/>
  <c r="L303" i="1" s="1"/>
  <c r="L302" i="1" s="1"/>
  <c r="L278" i="1"/>
  <c r="L277" i="1" s="1"/>
  <c r="L276" i="1" s="1"/>
  <c r="L266" i="1"/>
  <c r="L268" i="1"/>
  <c r="L274" i="1"/>
  <c r="L273" i="1" s="1"/>
  <c r="L262" i="1"/>
  <c r="L261" i="1" s="1"/>
  <c r="L260" i="1" s="1"/>
  <c r="L257" i="1"/>
  <c r="L256" i="1" s="1"/>
  <c r="L255" i="1" s="1"/>
  <c r="L254" i="1" s="1"/>
  <c r="L158" i="1"/>
  <c r="L157" i="1" s="1"/>
  <c r="L156" i="1" s="1"/>
  <c r="L155" i="1" s="1"/>
  <c r="L144" i="1"/>
  <c r="L143" i="1" s="1"/>
  <c r="L142" i="1" s="1"/>
  <c r="L141" i="1" s="1"/>
  <c r="L140" i="1" s="1"/>
  <c r="L131" i="1"/>
  <c r="L130" i="1" s="1"/>
  <c r="L134" i="1"/>
  <c r="L136" i="1"/>
  <c r="L138" i="1"/>
  <c r="L79" i="1"/>
  <c r="L78" i="1" s="1"/>
  <c r="L45" i="1"/>
  <c r="L44" i="1" s="1"/>
  <c r="L48" i="1"/>
  <c r="L50" i="1"/>
  <c r="L52" i="1"/>
  <c r="L29" i="1"/>
  <c r="L22" i="1"/>
  <c r="L24" i="1"/>
  <c r="L26" i="1"/>
  <c r="L14" i="1"/>
  <c r="L3467" i="1"/>
  <c r="L3466" i="1" s="1"/>
  <c r="L3465" i="1" s="1"/>
  <c r="L3464" i="1" s="1"/>
  <c r="L3463" i="1" s="1"/>
  <c r="L3427" i="1"/>
  <c r="L3426" i="1" s="1"/>
  <c r="L3430" i="1"/>
  <c r="L3429" i="1" s="1"/>
  <c r="L3342" i="1"/>
  <c r="L3341" i="1" s="1"/>
  <c r="L3347" i="1"/>
  <c r="L3354" i="1"/>
  <c r="L3356" i="1"/>
  <c r="L3306" i="1"/>
  <c r="L3305" i="1" s="1"/>
  <c r="L3309" i="1"/>
  <c r="L3311" i="1"/>
  <c r="L3313" i="1"/>
  <c r="L3296" i="1"/>
  <c r="L3298" i="1"/>
  <c r="L3216" i="1"/>
  <c r="L3215" i="1" s="1"/>
  <c r="L3219" i="1"/>
  <c r="L3218" i="1" s="1"/>
  <c r="L3235" i="1"/>
  <c r="L3212" i="1"/>
  <c r="L3211" i="1" s="1"/>
  <c r="L3210" i="1" s="1"/>
  <c r="L3190" i="1"/>
  <c r="L3189" i="1" s="1"/>
  <c r="L3193" i="1"/>
  <c r="L3192" i="1" s="1"/>
  <c r="L3196" i="1"/>
  <c r="L3195" i="1" s="1"/>
  <c r="L3202" i="1"/>
  <c r="L3201" i="1" s="1"/>
  <c r="L3205" i="1"/>
  <c r="L3204" i="1" s="1"/>
  <c r="L3159" i="1"/>
  <c r="L3158" i="1" s="1"/>
  <c r="L3157" i="1" s="1"/>
  <c r="L1006" i="1"/>
  <c r="L1005" i="1" s="1"/>
  <c r="L1004" i="1" s="1"/>
  <c r="L987" i="1"/>
  <c r="L975" i="1"/>
  <c r="L924" i="1"/>
  <c r="L923" i="1" s="1"/>
  <c r="L914" i="1"/>
  <c r="L913" i="1" s="1"/>
  <c r="L917" i="1"/>
  <c r="L916" i="1" s="1"/>
  <c r="L897" i="1"/>
  <c r="L899" i="1"/>
  <c r="L901" i="1"/>
  <c r="L904" i="1"/>
  <c r="L872" i="1"/>
  <c r="L871" i="1" s="1"/>
  <c r="L869" i="1"/>
  <c r="L868" i="1" s="1"/>
  <c r="L857" i="1"/>
  <c r="L856" i="1" s="1"/>
  <c r="L855" i="1" s="1"/>
  <c r="L854" i="1" s="1"/>
  <c r="L853" i="1" s="1"/>
  <c r="L852" i="1" s="1"/>
  <c r="L806" i="1"/>
  <c r="L810" i="1"/>
  <c r="L812" i="1"/>
  <c r="L817" i="1"/>
  <c r="L814" i="1" s="1"/>
  <c r="L800" i="1"/>
  <c r="L799" i="1" s="1"/>
  <c r="L798" i="1" s="1"/>
  <c r="L797" i="1" s="1"/>
  <c r="L796" i="1" s="1"/>
  <c r="L737" i="1"/>
  <c r="L736" i="1" s="1"/>
  <c r="L735" i="1" s="1"/>
  <c r="L734" i="1" s="1"/>
  <c r="L727" i="1"/>
  <c r="L715" i="1"/>
  <c r="L714" i="1" s="1"/>
  <c r="L705" i="1"/>
  <c r="L704" i="1" s="1"/>
  <c r="L709" i="1"/>
  <c r="L708" i="1" s="1"/>
  <c r="L712" i="1"/>
  <c r="L711" i="1" s="1"/>
  <c r="L718" i="1"/>
  <c r="L717" i="1" s="1"/>
  <c r="L681" i="1"/>
  <c r="L680" i="1" s="1"/>
  <c r="L678" i="1"/>
  <c r="L677" i="1" s="1"/>
  <c r="L671" i="1"/>
  <c r="L657" i="1"/>
  <c r="L638" i="1"/>
  <c r="L637" i="1" s="1"/>
  <c r="L642" i="1"/>
  <c r="L641" i="1" s="1"/>
  <c r="L646" i="1"/>
  <c r="L645" i="1" s="1"/>
  <c r="L3090" i="1"/>
  <c r="L3068" i="1"/>
  <c r="L3067" i="1" s="1"/>
  <c r="L3066" i="1" s="1"/>
  <c r="L3065" i="1" s="1"/>
  <c r="L3008" i="1"/>
  <c r="L2965" i="1"/>
  <c r="L3141" i="1"/>
  <c r="L3140" i="1" s="1"/>
  <c r="L3139" i="1" s="1"/>
  <c r="L3138" i="1" s="1"/>
  <c r="L3130" i="1"/>
  <c r="L3129" i="1" s="1"/>
  <c r="L3128" i="1" s="1"/>
  <c r="L3127" i="1" s="1"/>
  <c r="L3126" i="1" s="1"/>
  <c r="L3125" i="1" s="1"/>
  <c r="L3124" i="1" s="1"/>
  <c r="L3114" i="1"/>
  <c r="L3112" i="1"/>
  <c r="L3110" i="1"/>
  <c r="L3099" i="1"/>
  <c r="L3098" i="1" s="1"/>
  <c r="L3097" i="1" s="1"/>
  <c r="L3096" i="1" s="1"/>
  <c r="L3095" i="1" s="1"/>
  <c r="L3093" i="1"/>
  <c r="L3092" i="1" s="1"/>
  <c r="L3088" i="1"/>
  <c r="L3083" i="1"/>
  <c r="L3082" i="1" s="1"/>
  <c r="L3081" i="1" s="1"/>
  <c r="L3080" i="1" s="1"/>
  <c r="L3079" i="1" s="1"/>
  <c r="L3060" i="1"/>
  <c r="L3059" i="1" s="1"/>
  <c r="L3042" i="1"/>
  <c r="L3041" i="1" s="1"/>
  <c r="L3040" i="1" s="1"/>
  <c r="L3039" i="1" s="1"/>
  <c r="L3038" i="1" s="1"/>
  <c r="L3036" i="1"/>
  <c r="L3035" i="1" s="1"/>
  <c r="L3034" i="1" s="1"/>
  <c r="L3033" i="1" s="1"/>
  <c r="L3006" i="1"/>
  <c r="L2996" i="1"/>
  <c r="L2991" i="1"/>
  <c r="L2990" i="1" s="1"/>
  <c r="L2988" i="1"/>
  <c r="L2987" i="1" s="1"/>
  <c r="L2985" i="1"/>
  <c r="L2984" i="1" s="1"/>
  <c r="L2979" i="1"/>
  <c r="L2978" i="1" s="1"/>
  <c r="L2977" i="1" s="1"/>
  <c r="L2975" i="1"/>
  <c r="L2974" i="1" s="1"/>
  <c r="L2973" i="1" s="1"/>
  <c r="L2969" i="1"/>
  <c r="L2967" i="1"/>
  <c r="L2962" i="1"/>
  <c r="L2961" i="1" s="1"/>
  <c r="L2955" i="1"/>
  <c r="L2833" i="1"/>
  <c r="L2832" i="1" s="1"/>
  <c r="L2831" i="1" s="1"/>
  <c r="L2830" i="1" s="1"/>
  <c r="L2942" i="1"/>
  <c r="L2941" i="1" s="1"/>
  <c r="L2940" i="1" s="1"/>
  <c r="L2939" i="1" s="1"/>
  <c r="L2929" i="1"/>
  <c r="L2928" i="1" s="1"/>
  <c r="L2927" i="1" s="1"/>
  <c r="L2926" i="1" s="1"/>
  <c r="L2924" i="1"/>
  <c r="L2923" i="1" s="1"/>
  <c r="L2922" i="1" s="1"/>
  <c r="L2921" i="1" s="1"/>
  <c r="L2898" i="1"/>
  <c r="L2896" i="1"/>
  <c r="L2872" i="1"/>
  <c r="L2871" i="1" s="1"/>
  <c r="L2870" i="1" s="1"/>
  <c r="L2869" i="1" s="1"/>
  <c r="L2866" i="1"/>
  <c r="L2865" i="1" s="1"/>
  <c r="L2863" i="1"/>
  <c r="L2862" i="1" s="1"/>
  <c r="L2858" i="1"/>
  <c r="L2857" i="1" s="1"/>
  <c r="L2856" i="1" s="1"/>
  <c r="L2855" i="1" s="1"/>
  <c r="L2854" i="1" s="1"/>
  <c r="L2838" i="1"/>
  <c r="L2837" i="1" s="1"/>
  <c r="L2836" i="1" s="1"/>
  <c r="L2835" i="1" s="1"/>
  <c r="L2825" i="1"/>
  <c r="L2824" i="1" s="1"/>
  <c r="L2804" i="1"/>
  <c r="L2803" i="1" s="1"/>
  <c r="L2802" i="1" s="1"/>
  <c r="L2801" i="1" s="1"/>
  <c r="L2800" i="1" s="1"/>
  <c r="L2798" i="1"/>
  <c r="L2797" i="1" s="1"/>
  <c r="L2796" i="1" s="1"/>
  <c r="L2795" i="1" s="1"/>
  <c r="L2763" i="1"/>
  <c r="L2757" i="1"/>
  <c r="L2756" i="1" s="1"/>
  <c r="L2755" i="1" s="1"/>
  <c r="L2754" i="1" s="1"/>
  <c r="L2753" i="1" s="1"/>
  <c r="L2745" i="1"/>
  <c r="L2744" i="1" s="1"/>
  <c r="L2742" i="1"/>
  <c r="L2740" i="1"/>
  <c r="L2735" i="1"/>
  <c r="L2734" i="1" s="1"/>
  <c r="L2732" i="1"/>
  <c r="L2731" i="1" s="1"/>
  <c r="L2729" i="1"/>
  <c r="L2728" i="1" s="1"/>
  <c r="L2723" i="1"/>
  <c r="L2722" i="1" s="1"/>
  <c r="L2721" i="1" s="1"/>
  <c r="L2719" i="1"/>
  <c r="L2718" i="1" s="1"/>
  <c r="L2717" i="1" s="1"/>
  <c r="L2713" i="1"/>
  <c r="L2711" i="1"/>
  <c r="L2706" i="1"/>
  <c r="L2705" i="1" s="1"/>
  <c r="L2701" i="1"/>
  <c r="L2699" i="1"/>
  <c r="L2576" i="1"/>
  <c r="L2575" i="1" s="1"/>
  <c r="L2574" i="1" s="1"/>
  <c r="L2573" i="1" s="1"/>
  <c r="L2686" i="1"/>
  <c r="L2685" i="1" s="1"/>
  <c r="L2684" i="1" s="1"/>
  <c r="L2683" i="1" s="1"/>
  <c r="L2673" i="1"/>
  <c r="L2672" i="1" s="1"/>
  <c r="L2671" i="1" s="1"/>
  <c r="L2670" i="1" s="1"/>
  <c r="L2669" i="1" s="1"/>
  <c r="L2653" i="1"/>
  <c r="L2652" i="1" s="1"/>
  <c r="L2651" i="1" s="1"/>
  <c r="L2645" i="1"/>
  <c r="L2643" i="1"/>
  <c r="L2641" i="1"/>
  <c r="L2621" i="1"/>
  <c r="L2620" i="1" s="1"/>
  <c r="L2619" i="1" s="1"/>
  <c r="L2618" i="1" s="1"/>
  <c r="L2615" i="1"/>
  <c r="L2614" i="1" s="1"/>
  <c r="L2612" i="1"/>
  <c r="L2611" i="1" s="1"/>
  <c r="L2601" i="1"/>
  <c r="L2600" i="1" s="1"/>
  <c r="L2599" i="1" s="1"/>
  <c r="L2598" i="1" s="1"/>
  <c r="L2597" i="1" s="1"/>
  <c r="L2581" i="1"/>
  <c r="L2580" i="1" s="1"/>
  <c r="L2579" i="1" s="1"/>
  <c r="L2578" i="1" s="1"/>
  <c r="L2568" i="1"/>
  <c r="L2567" i="1" s="1"/>
  <c r="L2549" i="1"/>
  <c r="L2548" i="1" s="1"/>
  <c r="L2547" i="1" s="1"/>
  <c r="L2546" i="1" s="1"/>
  <c r="L2545" i="1" s="1"/>
  <c r="L2543" i="1"/>
  <c r="L2542" i="1" s="1"/>
  <c r="L2541" i="1" s="1"/>
  <c r="L2540" i="1" s="1"/>
  <c r="L2514" i="1"/>
  <c r="L2513" i="1" s="1"/>
  <c r="L2512" i="1" s="1"/>
  <c r="L2511" i="1" s="1"/>
  <c r="L2510" i="1" s="1"/>
  <c r="L2508" i="1"/>
  <c r="L2507" i="1" s="1"/>
  <c r="L2506" i="1" s="1"/>
  <c r="L2505" i="1" s="1"/>
  <c r="L2504" i="1" s="1"/>
  <c r="L2501" i="1"/>
  <c r="L2500" i="1" s="1"/>
  <c r="L2499" i="1" s="1"/>
  <c r="L2498" i="1" s="1"/>
  <c r="L2497" i="1" s="1"/>
  <c r="L2494" i="1"/>
  <c r="L2493" i="1" s="1"/>
  <c r="L2491" i="1"/>
  <c r="L2490" i="1" s="1"/>
  <c r="L2486" i="1"/>
  <c r="L2485" i="1" s="1"/>
  <c r="L2483" i="1"/>
  <c r="L2482" i="1" s="1"/>
  <c r="L2480" i="1"/>
  <c r="L2479" i="1" s="1"/>
  <c r="L2474" i="1"/>
  <c r="L2473" i="1" s="1"/>
  <c r="L2472" i="1" s="1"/>
  <c r="L2470" i="1"/>
  <c r="L2469" i="1" s="1"/>
  <c r="L2468" i="1" s="1"/>
  <c r="L2464" i="1"/>
  <c r="L2462" i="1"/>
  <c r="L2457" i="1"/>
  <c r="L2456" i="1" s="1"/>
  <c r="L2452" i="1"/>
  <c r="L2450" i="1"/>
  <c r="L2441" i="1"/>
  <c r="L2440" i="1" s="1"/>
  <c r="L2439" i="1" s="1"/>
  <c r="L2438" i="1" s="1"/>
  <c r="L2437" i="1" s="1"/>
  <c r="L2436" i="1" s="1"/>
  <c r="L2430" i="1"/>
  <c r="L2429" i="1" s="1"/>
  <c r="L2428" i="1" s="1"/>
  <c r="L2427" i="1" s="1"/>
  <c r="L2426" i="1" s="1"/>
  <c r="L2327" i="1"/>
  <c r="L2326" i="1" s="1"/>
  <c r="L2268" i="1"/>
  <c r="L2267" i="1" s="1"/>
  <c r="L2266" i="1" s="1"/>
  <c r="L2265" i="1" s="1"/>
  <c r="L2264" i="1" s="1"/>
  <c r="L2262" i="1"/>
  <c r="L2261" i="1" s="1"/>
  <c r="L2260" i="1" s="1"/>
  <c r="L2259" i="1" s="1"/>
  <c r="L2258" i="1" s="1"/>
  <c r="L2248" i="1"/>
  <c r="L2182" i="1"/>
  <c r="L2180" i="1"/>
  <c r="L2167" i="1"/>
  <c r="L2166" i="1" s="1"/>
  <c r="L2165" i="1" s="1"/>
  <c r="L2164" i="1" s="1"/>
  <c r="L2163" i="1" s="1"/>
  <c r="L2162" i="1" s="1"/>
  <c r="L2156" i="1"/>
  <c r="L2155" i="1" s="1"/>
  <c r="L2154" i="1" s="1"/>
  <c r="L2153" i="1" s="1"/>
  <c r="L2152" i="1" s="1"/>
  <c r="L2047" i="1"/>
  <c r="L2046" i="1" s="1"/>
  <c r="L1986" i="1"/>
  <c r="L1980" i="1"/>
  <c r="L1979" i="1" s="1"/>
  <c r="L1978" i="1" s="1"/>
  <c r="L1977" i="1" s="1"/>
  <c r="L1976" i="1" s="1"/>
  <c r="L1912" i="1"/>
  <c r="L1910" i="1"/>
  <c r="L1901" i="1"/>
  <c r="L1900" i="1" s="1"/>
  <c r="L1899" i="1" s="1"/>
  <c r="L1898" i="1" s="1"/>
  <c r="L1897" i="1" s="1"/>
  <c r="L1896" i="1" s="1"/>
  <c r="L1888" i="1"/>
  <c r="L1887" i="1" s="1"/>
  <c r="L1886" i="1" s="1"/>
  <c r="L1885" i="1" s="1"/>
  <c r="L1884" i="1" s="1"/>
  <c r="L1801" i="1"/>
  <c r="L1800" i="1" s="1"/>
  <c r="L1799" i="1" s="1"/>
  <c r="L1798" i="1" s="1"/>
  <c r="L1797" i="1" s="1"/>
  <c r="L1767" i="1"/>
  <c r="L1766" i="1" s="1"/>
  <c r="L1706" i="1"/>
  <c r="L1704" i="1"/>
  <c r="L1698" i="1"/>
  <c r="L1697" i="1" s="1"/>
  <c r="L1696" i="1" s="1"/>
  <c r="L1695" i="1" s="1"/>
  <c r="L1694" i="1" s="1"/>
  <c r="L1632" i="1"/>
  <c r="L1619" i="1"/>
  <c r="L1618" i="1" s="1"/>
  <c r="L1617" i="1" s="1"/>
  <c r="L1616" i="1" s="1"/>
  <c r="L1408" i="1"/>
  <c r="L1407" i="1" s="1"/>
  <c r="L1406" i="1" s="1"/>
  <c r="L1405" i="1" s="1"/>
  <c r="L1606" i="1"/>
  <c r="L1605" i="1" s="1"/>
  <c r="L1604" i="1" s="1"/>
  <c r="L1603" i="1" s="1"/>
  <c r="L1601" i="1"/>
  <c r="L1600" i="1" s="1"/>
  <c r="L1599" i="1" s="1"/>
  <c r="L1598" i="1" s="1"/>
  <c r="L1492" i="1"/>
  <c r="L1491" i="1" s="1"/>
  <c r="L1421" i="1"/>
  <c r="L1415" i="1"/>
  <c r="L1414" i="1" s="1"/>
  <c r="L1413" i="1" s="1"/>
  <c r="L1412" i="1" s="1"/>
  <c r="L1411" i="1" s="1"/>
  <c r="L1340" i="1"/>
  <c r="L1331" i="1"/>
  <c r="L1330" i="1" s="1"/>
  <c r="L1329" i="1" s="1"/>
  <c r="L1328" i="1" s="1"/>
  <c r="L1327" i="1" s="1"/>
  <c r="L1326" i="1" s="1"/>
  <c r="L1315" i="1"/>
  <c r="L1314" i="1" s="1"/>
  <c r="L1313" i="1" s="1"/>
  <c r="L1312" i="1" s="1"/>
  <c r="L1320" i="1"/>
  <c r="L1319" i="1" s="1"/>
  <c r="L1318" i="1" s="1"/>
  <c r="L1317" i="1" s="1"/>
  <c r="L1129" i="1"/>
  <c r="L1128" i="1" s="1"/>
  <c r="L1127" i="1" s="1"/>
  <c r="L1126" i="1" s="1"/>
  <c r="L1125" i="1" s="1"/>
  <c r="L1238" i="1"/>
  <c r="L1237" i="1" s="1"/>
  <c r="L1236" i="1" s="1"/>
  <c r="L1235" i="1" s="1"/>
  <c r="L1234" i="1" s="1"/>
  <c r="L1204" i="1"/>
  <c r="L1203" i="1" s="1"/>
  <c r="L1141" i="1"/>
  <c r="L1140" i="1" s="1"/>
  <c r="L1139" i="1" s="1"/>
  <c r="L1138" i="1" s="1"/>
  <c r="L1137" i="1" s="1"/>
  <c r="L1147" i="1"/>
  <c r="L1146" i="1" s="1"/>
  <c r="L1145" i="1" s="1"/>
  <c r="L1144" i="1" s="1"/>
  <c r="L1143" i="1" s="1"/>
  <c r="L1070" i="1"/>
  <c r="L365" i="1"/>
  <c r="L364" i="1" s="1"/>
  <c r="L374" i="1"/>
  <c r="L373" i="1" s="1"/>
  <c r="L377" i="1"/>
  <c r="L376" i="1" s="1"/>
  <c r="L584" i="1"/>
  <c r="L583" i="1" s="1"/>
  <c r="L587" i="1"/>
  <c r="L586" i="1" s="1"/>
  <c r="L574" i="1"/>
  <c r="L573" i="1" s="1"/>
  <c r="L558" i="1"/>
  <c r="L557" i="1" s="1"/>
  <c r="L537" i="1"/>
  <c r="L536" i="1" s="1"/>
  <c r="L541" i="1"/>
  <c r="L540" i="1" s="1"/>
  <c r="L518" i="1"/>
  <c r="L517" i="1" s="1"/>
  <c r="L501" i="1"/>
  <c r="L500" i="1" s="1"/>
  <c r="L505" i="1"/>
  <c r="L487" i="1"/>
  <c r="L486" i="1" s="1"/>
  <c r="L485" i="1" s="1"/>
  <c r="L447" i="1"/>
  <c r="L446" i="1" s="1"/>
  <c r="L452" i="1"/>
  <c r="L455" i="1"/>
  <c r="L454" i="1" s="1"/>
  <c r="L398" i="1"/>
  <c r="L397" i="1" s="1"/>
  <c r="L404" i="1"/>
  <c r="L406" i="1"/>
  <c r="L411" i="1"/>
  <c r="L410" i="1" s="1"/>
  <c r="L878" i="1"/>
  <c r="L877" i="1" s="1"/>
  <c r="L876" i="1" s="1"/>
  <c r="L875" i="1" s="1"/>
  <c r="L874" i="1" s="1"/>
  <c r="L2192" i="1"/>
  <c r="L2403" i="1"/>
  <c r="L2401" i="1"/>
  <c r="L2373" i="1"/>
  <c r="L2372" i="1" s="1"/>
  <c r="L2371" i="1" s="1"/>
  <c r="L2370" i="1" s="1"/>
  <c r="L2367" i="1"/>
  <c r="L2366" i="1" s="1"/>
  <c r="L2364" i="1"/>
  <c r="L2363" i="1" s="1"/>
  <c r="L2340" i="1"/>
  <c r="L2339" i="1" s="1"/>
  <c r="L2338" i="1" s="1"/>
  <c r="L2337" i="1" s="1"/>
  <c r="L2335" i="1"/>
  <c r="L2334" i="1" s="1"/>
  <c r="L2333" i="1" s="1"/>
  <c r="L2332" i="1" s="1"/>
  <c r="L2306" i="1"/>
  <c r="L2305" i="1" s="1"/>
  <c r="L2304" i="1" s="1"/>
  <c r="L2303" i="1" s="1"/>
  <c r="L2302" i="1" s="1"/>
  <c r="L2300" i="1"/>
  <c r="L2299" i="1" s="1"/>
  <c r="L2298" i="1" s="1"/>
  <c r="L2297" i="1" s="1"/>
  <c r="L2231" i="1"/>
  <c r="L2230" i="1" s="1"/>
  <c r="L2228" i="1"/>
  <c r="L2226" i="1"/>
  <c r="L2221" i="1"/>
  <c r="L2220" i="1" s="1"/>
  <c r="L2218" i="1"/>
  <c r="L2217" i="1" s="1"/>
  <c r="L2215" i="1"/>
  <c r="L2214" i="1" s="1"/>
  <c r="L2209" i="1"/>
  <c r="L2208" i="1" s="1"/>
  <c r="L2207" i="1" s="1"/>
  <c r="L2205" i="1"/>
  <c r="L2204" i="1" s="1"/>
  <c r="L2203" i="1" s="1"/>
  <c r="L2194" i="1"/>
  <c r="L2190" i="1"/>
  <c r="L2187" i="1"/>
  <c r="L2186" i="1" s="1"/>
  <c r="L2060" i="1"/>
  <c r="L2136" i="1"/>
  <c r="L2135" i="1" s="1"/>
  <c r="L2134" i="1" s="1"/>
  <c r="L2128" i="1"/>
  <c r="L2126" i="1"/>
  <c r="L2124" i="1"/>
  <c r="L2096" i="1"/>
  <c r="L2095" i="1" s="1"/>
  <c r="L2094" i="1" s="1"/>
  <c r="L2093" i="1" s="1"/>
  <c r="L2092" i="1" s="1"/>
  <c r="L2090" i="1"/>
  <c r="L2089" i="1" s="1"/>
  <c r="L2087" i="1"/>
  <c r="L2086" i="1" s="1"/>
  <c r="L2055" i="1"/>
  <c r="L2054" i="1" s="1"/>
  <c r="L2053" i="1" s="1"/>
  <c r="L2052" i="1" s="1"/>
  <c r="L2020" i="1"/>
  <c r="L2019" i="1" s="1"/>
  <c r="L2018" i="1" s="1"/>
  <c r="L2017" i="1" s="1"/>
  <c r="L1956" i="1"/>
  <c r="L1955" i="1" s="1"/>
  <c r="L1953" i="1"/>
  <c r="L1951" i="1"/>
  <c r="L1946" i="1"/>
  <c r="L1945" i="1" s="1"/>
  <c r="L1943" i="1"/>
  <c r="L1942" i="1" s="1"/>
  <c r="L1940" i="1"/>
  <c r="L1939" i="1" s="1"/>
  <c r="L1934" i="1"/>
  <c r="L1933" i="1" s="1"/>
  <c r="L1932" i="1" s="1"/>
  <c r="L1930" i="1"/>
  <c r="L1929" i="1" s="1"/>
  <c r="L1928" i="1" s="1"/>
  <c r="L1924" i="1"/>
  <c r="L1922" i="1"/>
  <c r="L1917" i="1"/>
  <c r="L1916" i="1" s="1"/>
  <c r="L1868" i="1"/>
  <c r="L1867" i="1" s="1"/>
  <c r="L1866" i="1" s="1"/>
  <c r="L1860" i="1"/>
  <c r="L1858" i="1"/>
  <c r="L1856" i="1"/>
  <c r="L1821" i="1"/>
  <c r="L1820" i="1" s="1"/>
  <c r="L1819" i="1" s="1"/>
  <c r="L1818" i="1" s="1"/>
  <c r="L1815" i="1"/>
  <c r="L1814" i="1" s="1"/>
  <c r="L1812" i="1"/>
  <c r="L1811" i="1" s="1"/>
  <c r="L1775" i="1"/>
  <c r="L1774" i="1" s="1"/>
  <c r="L1773" i="1" s="1"/>
  <c r="L1772" i="1" s="1"/>
  <c r="L1744" i="1"/>
  <c r="L1743" i="1" s="1"/>
  <c r="L1742" i="1" s="1"/>
  <c r="L1741" i="1" s="1"/>
  <c r="L1740" i="1" s="1"/>
  <c r="L1738" i="1"/>
  <c r="L1737" i="1" s="1"/>
  <c r="L1736" i="1" s="1"/>
  <c r="L1735" i="1" s="1"/>
  <c r="L1679" i="1"/>
  <c r="L1678" i="1" s="1"/>
  <c r="L1676" i="1"/>
  <c r="L1674" i="1"/>
  <c r="L1669" i="1"/>
  <c r="L1668" i="1" s="1"/>
  <c r="L1666" i="1"/>
  <c r="L1665" i="1" s="1"/>
  <c r="L1663" i="1"/>
  <c r="L1662" i="1" s="1"/>
  <c r="L1657" i="1"/>
  <c r="L1656" i="1" s="1"/>
  <c r="L1655" i="1" s="1"/>
  <c r="L1653" i="1"/>
  <c r="L1652" i="1" s="1"/>
  <c r="L1651" i="1" s="1"/>
  <c r="L1644" i="1"/>
  <c r="L1639" i="1"/>
  <c r="L1638" i="1" s="1"/>
  <c r="L1500" i="1"/>
  <c r="L1499" i="1" s="1"/>
  <c r="L1498" i="1" s="1"/>
  <c r="L1497" i="1" s="1"/>
  <c r="L1350" i="1"/>
  <c r="L1581" i="1"/>
  <c r="L1580" i="1" s="1"/>
  <c r="L1579" i="1" s="1"/>
  <c r="L1573" i="1"/>
  <c r="L1571" i="1"/>
  <c r="L1569" i="1"/>
  <c r="L1541" i="1"/>
  <c r="L1540" i="1" s="1"/>
  <c r="L1539" i="1" s="1"/>
  <c r="L1538" i="1" s="1"/>
  <c r="L1535" i="1"/>
  <c r="L1534" i="1" s="1"/>
  <c r="L1532" i="1"/>
  <c r="L1531" i="1" s="1"/>
  <c r="L1505" i="1"/>
  <c r="L1466" i="1"/>
  <c r="L1465" i="1" s="1"/>
  <c r="L1464" i="1" s="1"/>
  <c r="L1463" i="1" s="1"/>
  <c r="L1462" i="1" s="1"/>
  <c r="L1460" i="1"/>
  <c r="L1459" i="1" s="1"/>
  <c r="L1458" i="1" s="1"/>
  <c r="L1457" i="1" s="1"/>
  <c r="L1391" i="1"/>
  <c r="L1390" i="1" s="1"/>
  <c r="L1388" i="1"/>
  <c r="L1386" i="1"/>
  <c r="L1381" i="1"/>
  <c r="L1380" i="1" s="1"/>
  <c r="L1378" i="1"/>
  <c r="L1377" i="1" s="1"/>
  <c r="L1375" i="1"/>
  <c r="L1374" i="1" s="1"/>
  <c r="L1369" i="1"/>
  <c r="L1368" i="1" s="1"/>
  <c r="L1367" i="1" s="1"/>
  <c r="L1365" i="1"/>
  <c r="L1364" i="1" s="1"/>
  <c r="L1363" i="1" s="1"/>
  <c r="L1352" i="1"/>
  <c r="L1347" i="1"/>
  <c r="L1346" i="1" s="1"/>
  <c r="L1282" i="1"/>
  <c r="L1284" i="1"/>
  <c r="L1249" i="1"/>
  <c r="L1248" i="1" s="1"/>
  <c r="L1254" i="1"/>
  <c r="L1253" i="1" s="1"/>
  <c r="L1260" i="1"/>
  <c r="L1259" i="1" s="1"/>
  <c r="L1258" i="1" s="1"/>
  <c r="L1257" i="1" s="1"/>
  <c r="L1179" i="1"/>
  <c r="L1178" i="1" s="1"/>
  <c r="L1177" i="1" s="1"/>
  <c r="L1176" i="1" s="1"/>
  <c r="L1185" i="1"/>
  <c r="L1184" i="1" s="1"/>
  <c r="L1183" i="1" s="1"/>
  <c r="L1182" i="1" s="1"/>
  <c r="L1181" i="1" s="1"/>
  <c r="L1090" i="1"/>
  <c r="L1089" i="1" s="1"/>
  <c r="L1088" i="1" s="1"/>
  <c r="L1094" i="1"/>
  <c r="L1093" i="1" s="1"/>
  <c r="L1092" i="1" s="1"/>
  <c r="L1100" i="1"/>
  <c r="L1099" i="1" s="1"/>
  <c r="L1103" i="1"/>
  <c r="L1102" i="1" s="1"/>
  <c r="L1106" i="1"/>
  <c r="L1105" i="1" s="1"/>
  <c r="L1111" i="1"/>
  <c r="L1113" i="1"/>
  <c r="L1116" i="1"/>
  <c r="L1115" i="1" s="1"/>
  <c r="L1077" i="1"/>
  <c r="L1076" i="1" s="1"/>
  <c r="L1082" i="1"/>
  <c r="L1084" i="1"/>
  <c r="L864" i="1"/>
  <c r="L863" i="1" s="1"/>
  <c r="L862" i="1" s="1"/>
  <c r="L861" i="1" s="1"/>
  <c r="L920" i="1"/>
  <c r="L919" i="1" s="1"/>
  <c r="L946" i="1"/>
  <c r="L945" i="1" s="1"/>
  <c r="L949" i="1"/>
  <c r="L951" i="1"/>
  <c r="L953" i="1"/>
  <c r="L610" i="1"/>
  <c r="L612" i="1"/>
  <c r="L614" i="1"/>
  <c r="L607" i="1"/>
  <c r="L606" i="1" s="1"/>
  <c r="L477" i="1"/>
  <c r="L476" i="1" s="1"/>
  <c r="L475" i="1" s="1"/>
  <c r="L470" i="1"/>
  <c r="L472" i="1"/>
  <c r="L392" i="1"/>
  <c r="L391" i="1" s="1"/>
  <c r="L390" i="1" s="1"/>
  <c r="L389" i="1" s="1"/>
  <c r="L231" i="1"/>
  <c r="L230" i="1" s="1"/>
  <c r="L228" i="1"/>
  <c r="L227" i="1" s="1"/>
  <c r="L220" i="1"/>
  <c r="L219" i="1" s="1"/>
  <c r="L199" i="1"/>
  <c r="L198" i="1" s="1"/>
  <c r="L195" i="1"/>
  <c r="L194" i="1" s="1"/>
  <c r="L193" i="1" s="1"/>
  <c r="L169" i="1"/>
  <c r="L171" i="1"/>
  <c r="L173" i="1"/>
  <c r="L166" i="1"/>
  <c r="L165" i="1" s="1"/>
  <c r="L3366" i="1"/>
  <c r="J4417" i="1"/>
  <c r="K4417" i="1" s="1"/>
  <c r="H4119" i="1"/>
  <c r="H2631" i="1"/>
  <c r="H2630" i="1" s="1"/>
  <c r="H2629" i="1" s="1"/>
  <c r="H2628" i="1" s="1"/>
  <c r="L786" i="1"/>
  <c r="L785" i="1" s="1"/>
  <c r="K2109" i="1" l="1"/>
  <c r="I4124" i="1"/>
  <c r="K134" i="1"/>
  <c r="K171" i="1"/>
  <c r="K189" i="1"/>
  <c r="K202" i="1"/>
  <c r="K324" i="1"/>
  <c r="K340" i="1"/>
  <c r="K352" i="1"/>
  <c r="K505" i="1"/>
  <c r="K692" i="1"/>
  <c r="K725" i="1"/>
  <c r="K808" i="1"/>
  <c r="K897" i="1"/>
  <c r="K924" i="1"/>
  <c r="K949" i="1"/>
  <c r="K975" i="1"/>
  <c r="K992" i="1"/>
  <c r="K2126" i="1"/>
  <c r="K2180" i="1"/>
  <c r="K2192" i="1"/>
  <c r="K2228" i="1"/>
  <c r="K2248" i="1"/>
  <c r="K2401" i="1"/>
  <c r="K2452" i="1"/>
  <c r="K2677" i="1"/>
  <c r="K2816" i="1"/>
  <c r="K2898" i="1"/>
  <c r="K3183" i="1"/>
  <c r="H1553" i="1"/>
  <c r="H1552" i="1" s="1"/>
  <c r="H1551" i="1" s="1"/>
  <c r="H1550" i="1" s="1"/>
  <c r="K2405" i="1"/>
  <c r="J2882" i="1"/>
  <c r="L2311" i="1"/>
  <c r="L2310" i="1" s="1"/>
  <c r="L2309" i="1" s="1"/>
  <c r="L2308" i="1" s="1"/>
  <c r="K1082" i="1"/>
  <c r="K1113" i="1"/>
  <c r="K1267" i="1"/>
  <c r="K1352" i="1"/>
  <c r="K1388" i="1"/>
  <c r="K1474" i="1"/>
  <c r="K1571" i="1"/>
  <c r="K3888" i="1"/>
  <c r="K3914" i="1"/>
  <c r="K4009" i="1"/>
  <c r="K4061" i="1"/>
  <c r="K4070" i="1"/>
  <c r="K4135" i="1"/>
  <c r="K4168" i="1"/>
  <c r="K4196" i="1"/>
  <c r="K4232" i="1"/>
  <c r="K4546" i="1"/>
  <c r="K4564" i="1"/>
  <c r="K4599" i="1"/>
  <c r="K4665" i="1"/>
  <c r="K4757" i="1"/>
  <c r="K828" i="1"/>
  <c r="L3180" i="1"/>
  <c r="L3179" i="1" s="1"/>
  <c r="L3170" i="1" s="1"/>
  <c r="K887" i="1"/>
  <c r="K1433" i="1"/>
  <c r="K1998" i="1"/>
  <c r="K2777" i="1"/>
  <c r="K2818" i="1"/>
  <c r="K4448" i="1"/>
  <c r="K4653" i="1"/>
  <c r="K823" i="1"/>
  <c r="K1894" i="1"/>
  <c r="K3237" i="1"/>
  <c r="K1560" i="1"/>
  <c r="K1646" i="1"/>
  <c r="K1716" i="1"/>
  <c r="K2278" i="1"/>
  <c r="K3665" i="1"/>
  <c r="K3694" i="1"/>
  <c r="K4646" i="1"/>
  <c r="K507" i="1"/>
  <c r="K1562" i="1"/>
  <c r="K1612" i="1"/>
  <c r="K1750" i="1"/>
  <c r="K1758" i="1"/>
  <c r="K1826" i="1"/>
  <c r="K2312" i="1"/>
  <c r="K2320" i="1"/>
  <c r="K3546" i="1"/>
  <c r="K1273" i="1"/>
  <c r="K1546" i="1"/>
  <c r="K1554" i="1"/>
  <c r="K1834" i="1"/>
  <c r="K2107" i="1"/>
  <c r="K2388" i="1"/>
  <c r="K2634" i="1"/>
  <c r="K2885" i="1"/>
  <c r="K1920" i="1"/>
  <c r="K2115" i="1"/>
  <c r="J75" i="1"/>
  <c r="K75" i="1" s="1"/>
  <c r="K76" i="1"/>
  <c r="J569" i="1"/>
  <c r="K569" i="1" s="1"/>
  <c r="K570" i="1"/>
  <c r="J708" i="1"/>
  <c r="K708" i="1" s="1"/>
  <c r="K709" i="1"/>
  <c r="J877" i="1"/>
  <c r="K878" i="1"/>
  <c r="J1093" i="1"/>
  <c r="K1094" i="1"/>
  <c r="J1170" i="1"/>
  <c r="K1170" i="1" s="1"/>
  <c r="K1171" i="1"/>
  <c r="J1230" i="1"/>
  <c r="K1231" i="1"/>
  <c r="J1259" i="1"/>
  <c r="K1260" i="1"/>
  <c r="J1319" i="1"/>
  <c r="K1320" i="1"/>
  <c r="J1368" i="1"/>
  <c r="K1369" i="1"/>
  <c r="J1407" i="1"/>
  <c r="K1408" i="1"/>
  <c r="J1445" i="1"/>
  <c r="K1445" i="1" s="1"/>
  <c r="K1446" i="1"/>
  <c r="J1465" i="1"/>
  <c r="K1466" i="1"/>
  <c r="J1491" i="1"/>
  <c r="K1491" i="1" s="1"/>
  <c r="K1492" i="1"/>
  <c r="J1519" i="1"/>
  <c r="K1520" i="1"/>
  <c r="J1584" i="1"/>
  <c r="K1585" i="1"/>
  <c r="J1665" i="1"/>
  <c r="K1665" i="1" s="1"/>
  <c r="K1666" i="1"/>
  <c r="J1690" i="1"/>
  <c r="K1691" i="1"/>
  <c r="J1723" i="1"/>
  <c r="K1723" i="1" s="1"/>
  <c r="K1724" i="1"/>
  <c r="J1743" i="1"/>
  <c r="K1744" i="1"/>
  <c r="J1769" i="1"/>
  <c r="K1769" i="1" s="1"/>
  <c r="K1770" i="1"/>
  <c r="J1800" i="1"/>
  <c r="K1801" i="1"/>
  <c r="J1887" i="1"/>
  <c r="K1888" i="1"/>
  <c r="J1929" i="1"/>
  <c r="K1930" i="1"/>
  <c r="J1945" i="1"/>
  <c r="K1945" i="1" s="1"/>
  <c r="K1946" i="1"/>
  <c r="J1959" i="1"/>
  <c r="K1960" i="1"/>
  <c r="J2019" i="1"/>
  <c r="K2020" i="1"/>
  <c r="J2049" i="1"/>
  <c r="K2049" i="1" s="1"/>
  <c r="K2050" i="1"/>
  <c r="J2139" i="1"/>
  <c r="K2140" i="1"/>
  <c r="J2208" i="1"/>
  <c r="K2209" i="1"/>
  <c r="J2242" i="1"/>
  <c r="K2243" i="1"/>
  <c r="J2267" i="1"/>
  <c r="K2268" i="1"/>
  <c r="J2299" i="1"/>
  <c r="K2300" i="1"/>
  <c r="J2326" i="1"/>
  <c r="K2326" i="1" s="1"/>
  <c r="K2327" i="1"/>
  <c r="J2352" i="1"/>
  <c r="K2353" i="1"/>
  <c r="J2421" i="1"/>
  <c r="K2422" i="1"/>
  <c r="J2482" i="1"/>
  <c r="K2482" i="1" s="1"/>
  <c r="K2483" i="1"/>
  <c r="J2500" i="1"/>
  <c r="K2501" i="1"/>
  <c r="J2534" i="1"/>
  <c r="K2534" i="1" s="1"/>
  <c r="K2535" i="1"/>
  <c r="J2560" i="1"/>
  <c r="K2561" i="1"/>
  <c r="J2580" i="1"/>
  <c r="K2581" i="1"/>
  <c r="J2614" i="1"/>
  <c r="K2614" i="1" s="1"/>
  <c r="K2615" i="1"/>
  <c r="J2672" i="1"/>
  <c r="K2673" i="1"/>
  <c r="J2731" i="1"/>
  <c r="K2731" i="1" s="1"/>
  <c r="K2732" i="1"/>
  <c r="J2744" i="1"/>
  <c r="K2744" i="1" s="1"/>
  <c r="K2745" i="1"/>
  <c r="J2786" i="1"/>
  <c r="K2786" i="1" s="1"/>
  <c r="K2787" i="1"/>
  <c r="J2809" i="1"/>
  <c r="K2812" i="1"/>
  <c r="J2832" i="1"/>
  <c r="K2833" i="1"/>
  <c r="J2862" i="1"/>
  <c r="K2862" i="1" s="1"/>
  <c r="K2863" i="1"/>
  <c r="J2915" i="1"/>
  <c r="K2916" i="1"/>
  <c r="J2974" i="1"/>
  <c r="K2975" i="1"/>
  <c r="J2990" i="1"/>
  <c r="K2990" i="1" s="1"/>
  <c r="K2991" i="1"/>
  <c r="J3041" i="1"/>
  <c r="K3042" i="1"/>
  <c r="J3075" i="1"/>
  <c r="K3076" i="1"/>
  <c r="J3092" i="1"/>
  <c r="K3092" i="1" s="1"/>
  <c r="K3093" i="1"/>
  <c r="J3153" i="1"/>
  <c r="K3154" i="1"/>
  <c r="J3172" i="1"/>
  <c r="K3173" i="1"/>
  <c r="J3195" i="1"/>
  <c r="K3195" i="1" s="1"/>
  <c r="K3196" i="1"/>
  <c r="J3207" i="1"/>
  <c r="K3207" i="1" s="1"/>
  <c r="K3208" i="1"/>
  <c r="J3222" i="1"/>
  <c r="K3222" i="1" s="1"/>
  <c r="K3223" i="1"/>
  <c r="J3248" i="1"/>
  <c r="K3249" i="1"/>
  <c r="J3279" i="1"/>
  <c r="K3279" i="1" s="1"/>
  <c r="K3280" i="1"/>
  <c r="J3336" i="1"/>
  <c r="K3337" i="1"/>
  <c r="J3376" i="1"/>
  <c r="K3376" i="1" s="1"/>
  <c r="K3377" i="1"/>
  <c r="J3388" i="1"/>
  <c r="K3388" i="1" s="1"/>
  <c r="K3389" i="1"/>
  <c r="J3410" i="1"/>
  <c r="K3410" i="1" s="1"/>
  <c r="K3411" i="1"/>
  <c r="J3426" i="1"/>
  <c r="K3426" i="1" s="1"/>
  <c r="K3427" i="1"/>
  <c r="J3453" i="1"/>
  <c r="K3453" i="1" s="1"/>
  <c r="K3454" i="1"/>
  <c r="J3489" i="1"/>
  <c r="K3490" i="1"/>
  <c r="J3512" i="1"/>
  <c r="K3512" i="1" s="1"/>
  <c r="K3513" i="1"/>
  <c r="J3527" i="1"/>
  <c r="K3527" i="1" s="1"/>
  <c r="K3528" i="1"/>
  <c r="J3539" i="1"/>
  <c r="K3539" i="1" s="1"/>
  <c r="K3540" i="1"/>
  <c r="J3553" i="1"/>
  <c r="K3553" i="1" s="1"/>
  <c r="K3554" i="1"/>
  <c r="J3565" i="1"/>
  <c r="K3565" i="1" s="1"/>
  <c r="K3566" i="1"/>
  <c r="J3578" i="1"/>
  <c r="K3579" i="1"/>
  <c r="J3599" i="1"/>
  <c r="K3600" i="1"/>
  <c r="J3614" i="1"/>
  <c r="K3614" i="1" s="1"/>
  <c r="K3615" i="1"/>
  <c r="J3627" i="1"/>
  <c r="K3627" i="1" s="1"/>
  <c r="K3628" i="1"/>
  <c r="J3646" i="1"/>
  <c r="K3646" i="1" s="1"/>
  <c r="K3647" i="1"/>
  <c r="J3704" i="1"/>
  <c r="K3704" i="1" s="1"/>
  <c r="K3705" i="1"/>
  <c r="J3772" i="1"/>
  <c r="K3772" i="1" s="1"/>
  <c r="K3773" i="1"/>
  <c r="J3787" i="1"/>
  <c r="K3788" i="1"/>
  <c r="J3818" i="1"/>
  <c r="K3819" i="1"/>
  <c r="J3839" i="1"/>
  <c r="K3840" i="1"/>
  <c r="J3858" i="1"/>
  <c r="K3859" i="1"/>
  <c r="J3943" i="1"/>
  <c r="K3944" i="1"/>
  <c r="J3960" i="1"/>
  <c r="K3960" i="1" s="1"/>
  <c r="K3961" i="1"/>
  <c r="J3976" i="1"/>
  <c r="K3977" i="1"/>
  <c r="J4005" i="1"/>
  <c r="K4005" i="1" s="1"/>
  <c r="K4006" i="1"/>
  <c r="J4025" i="1"/>
  <c r="K4026" i="1"/>
  <c r="J4056" i="1"/>
  <c r="K4056" i="1" s="1"/>
  <c r="K4057" i="1"/>
  <c r="J4109" i="1"/>
  <c r="K4110" i="1"/>
  <c r="J4131" i="1"/>
  <c r="K4131" i="1" s="1"/>
  <c r="K4132" i="1"/>
  <c r="J4146" i="1"/>
  <c r="K4147" i="1"/>
  <c r="J4190" i="1"/>
  <c r="K4190" i="1" s="1"/>
  <c r="K4191" i="1"/>
  <c r="J4209" i="1"/>
  <c r="K4210" i="1"/>
  <c r="J4226" i="1"/>
  <c r="K4226" i="1" s="1"/>
  <c r="K4227" i="1"/>
  <c r="J4238" i="1"/>
  <c r="K4239" i="1"/>
  <c r="J4255" i="1"/>
  <c r="K4255" i="1" s="1"/>
  <c r="K4256" i="1"/>
  <c r="J4279" i="1"/>
  <c r="K4279" i="1" s="1"/>
  <c r="K4280" i="1"/>
  <c r="J4335" i="1"/>
  <c r="K4335" i="1" s="1"/>
  <c r="K4336" i="1"/>
  <c r="J4368" i="1"/>
  <c r="K4369" i="1"/>
  <c r="J4428" i="1"/>
  <c r="K4428" i="1" s="1"/>
  <c r="K4429" i="1"/>
  <c r="J4490" i="1"/>
  <c r="K4491" i="1"/>
  <c r="J4515" i="1"/>
  <c r="K4516" i="1"/>
  <c r="J4560" i="1"/>
  <c r="K4560" i="1" s="1"/>
  <c r="K4561" i="1"/>
  <c r="J4573" i="1"/>
  <c r="K4574" i="1"/>
  <c r="J4617" i="1"/>
  <c r="K4617" i="1" s="1"/>
  <c r="K4618" i="1"/>
  <c r="J4635" i="1"/>
  <c r="K4635" i="1" s="1"/>
  <c r="K4636" i="1"/>
  <c r="J4657" i="1"/>
  <c r="K4658" i="1"/>
  <c r="J4684" i="1"/>
  <c r="K4684" i="1" s="1"/>
  <c r="K4685" i="1"/>
  <c r="J4704" i="1"/>
  <c r="K4704" i="1" s="1"/>
  <c r="K4705" i="1"/>
  <c r="J235" i="1"/>
  <c r="K236" i="1"/>
  <c r="J436" i="1"/>
  <c r="K437" i="1"/>
  <c r="J599" i="1"/>
  <c r="K600" i="1"/>
  <c r="J849" i="1"/>
  <c r="K849" i="1" s="1"/>
  <c r="K850" i="1"/>
  <c r="J891" i="1"/>
  <c r="J939" i="1"/>
  <c r="K940" i="1"/>
  <c r="J1394" i="1"/>
  <c r="K1395" i="1"/>
  <c r="J1427" i="1"/>
  <c r="K1427" i="1" s="1"/>
  <c r="K1428" i="1"/>
  <c r="J1622" i="1"/>
  <c r="K1623" i="1"/>
  <c r="J1682" i="1"/>
  <c r="K1683" i="1"/>
  <c r="J1732" i="1"/>
  <c r="K1732" i="1" s="1"/>
  <c r="K1733" i="1"/>
  <c r="J1992" i="1"/>
  <c r="K1992" i="1" s="1"/>
  <c r="K1993" i="1"/>
  <c r="J2170" i="1"/>
  <c r="K2171" i="1"/>
  <c r="J2294" i="1"/>
  <c r="K2294" i="1" s="1"/>
  <c r="K2295" i="1"/>
  <c r="J3030" i="1"/>
  <c r="K3030" i="1" s="1"/>
  <c r="K3031" i="1"/>
  <c r="J3176" i="1"/>
  <c r="K3177" i="1"/>
  <c r="J4017" i="1"/>
  <c r="K4018" i="1"/>
  <c r="J755" i="1"/>
  <c r="K755" i="1" s="1"/>
  <c r="K756" i="1"/>
  <c r="J546" i="1"/>
  <c r="K546" i="1" s="1"/>
  <c r="K547" i="1"/>
  <c r="J3992" i="1"/>
  <c r="K3993" i="1"/>
  <c r="J560" i="1"/>
  <c r="K560" i="1" s="1"/>
  <c r="K561" i="1"/>
  <c r="J1806" i="1"/>
  <c r="K1807" i="1"/>
  <c r="J1511" i="1"/>
  <c r="K1512" i="1"/>
  <c r="J2198" i="1"/>
  <c r="K2199" i="1"/>
  <c r="J2357" i="1"/>
  <c r="K2358" i="1"/>
  <c r="J3441" i="1"/>
  <c r="K3441" i="1" s="1"/>
  <c r="K3442" i="1"/>
  <c r="J3876" i="1"/>
  <c r="K3877" i="1"/>
  <c r="J4103" i="1"/>
  <c r="K4103" i="1" s="1"/>
  <c r="K4104" i="1"/>
  <c r="J93" i="1"/>
  <c r="K93" i="1" s="1"/>
  <c r="K94" i="1"/>
  <c r="J2344" i="1"/>
  <c r="K2345" i="1"/>
  <c r="J2585" i="1"/>
  <c r="K2586" i="1"/>
  <c r="J2748" i="1"/>
  <c r="K2749" i="1"/>
  <c r="J2876" i="1"/>
  <c r="K2877" i="1"/>
  <c r="J3047" i="1"/>
  <c r="K3048" i="1"/>
  <c r="J4083" i="1"/>
  <c r="K4084" i="1"/>
  <c r="J4578" i="1"/>
  <c r="K4579" i="1"/>
  <c r="J4403" i="1"/>
  <c r="K4404" i="1"/>
  <c r="J4323" i="1"/>
  <c r="K4323" i="1" s="1"/>
  <c r="K4324" i="1"/>
  <c r="J791" i="1"/>
  <c r="K791" i="1" s="1"/>
  <c r="K792" i="1"/>
  <c r="K825" i="1"/>
  <c r="J1785" i="1"/>
  <c r="K1786" i="1"/>
  <c r="J4352" i="1"/>
  <c r="K4353" i="1"/>
  <c r="J198" i="1"/>
  <c r="K198" i="1" s="1"/>
  <c r="K199" i="1"/>
  <c r="J299" i="1"/>
  <c r="K300" i="1"/>
  <c r="J368" i="1"/>
  <c r="K369" i="1"/>
  <c r="J432" i="1"/>
  <c r="K433" i="1"/>
  <c r="J500" i="1"/>
  <c r="K500" i="1" s="1"/>
  <c r="K501" i="1"/>
  <c r="J543" i="1"/>
  <c r="K543" i="1" s="1"/>
  <c r="K544" i="1"/>
  <c r="J586" i="1"/>
  <c r="K586" i="1" s="1"/>
  <c r="K587" i="1"/>
  <c r="J641" i="1"/>
  <c r="K641" i="1" s="1"/>
  <c r="K642" i="1"/>
  <c r="J736" i="1"/>
  <c r="K737" i="1"/>
  <c r="J919" i="1"/>
  <c r="K919" i="1" s="1"/>
  <c r="K920" i="1"/>
  <c r="J1196" i="1"/>
  <c r="K1197" i="1"/>
  <c r="J1294" i="1"/>
  <c r="K1295" i="1"/>
  <c r="J78" i="1"/>
  <c r="K78" i="1" s="1"/>
  <c r="K79" i="1"/>
  <c r="J149" i="1"/>
  <c r="K150" i="1"/>
  <c r="J256" i="1"/>
  <c r="K257" i="1"/>
  <c r="J373" i="1"/>
  <c r="K373" i="1" s="1"/>
  <c r="K374" i="1"/>
  <c r="J443" i="1"/>
  <c r="K443" i="1" s="1"/>
  <c r="K444" i="1"/>
  <c r="J482" i="1"/>
  <c r="K483" i="1"/>
  <c r="J553" i="1"/>
  <c r="K553" i="1" s="1"/>
  <c r="K554" i="1"/>
  <c r="J621" i="1"/>
  <c r="K622" i="1"/>
  <c r="J660" i="1"/>
  <c r="K660" i="1" s="1"/>
  <c r="K661" i="1"/>
  <c r="J711" i="1"/>
  <c r="K711" i="1" s="1"/>
  <c r="K712" i="1"/>
  <c r="J745" i="1"/>
  <c r="K745" i="1" s="1"/>
  <c r="K746" i="1"/>
  <c r="J863" i="1"/>
  <c r="K864" i="1"/>
  <c r="J1005" i="1"/>
  <c r="K1006" i="1"/>
  <c r="J1298" i="1"/>
  <c r="K1299" i="1"/>
  <c r="J1414" i="1"/>
  <c r="K1415" i="1"/>
  <c r="J1697" i="1"/>
  <c r="K1698" i="1"/>
  <c r="J1916" i="1"/>
  <c r="K1916" i="1" s="1"/>
  <c r="K1917" i="1"/>
  <c r="J2031" i="1"/>
  <c r="K2032" i="1"/>
  <c r="J2147" i="1"/>
  <c r="K2148" i="1"/>
  <c r="J2214" i="1"/>
  <c r="K2214" i="1" s="1"/>
  <c r="K2215" i="1"/>
  <c r="J2507" i="1"/>
  <c r="K2508" i="1"/>
  <c r="J2620" i="1"/>
  <c r="K2621" i="1"/>
  <c r="J2734" i="1"/>
  <c r="K2734" i="1" s="1"/>
  <c r="K2735" i="1"/>
  <c r="J2837" i="1"/>
  <c r="K2838" i="1"/>
  <c r="J2961" i="1"/>
  <c r="K2961" i="1" s="1"/>
  <c r="K2962" i="1"/>
  <c r="J3024" i="1"/>
  <c r="K3024" i="1" s="1"/>
  <c r="K3025" i="1"/>
  <c r="J3121" i="1"/>
  <c r="K3122" i="1"/>
  <c r="J3198" i="1"/>
  <c r="K3198" i="1" s="1"/>
  <c r="K3199" i="1"/>
  <c r="J3253" i="1"/>
  <c r="K3254" i="1"/>
  <c r="J3429" i="1"/>
  <c r="K3429" i="1" s="1"/>
  <c r="K3430" i="1"/>
  <c r="J3530" i="1"/>
  <c r="K3530" i="1" s="1"/>
  <c r="K3531" i="1"/>
  <c r="J3568" i="1"/>
  <c r="K3568" i="1" s="1"/>
  <c r="K3569" i="1"/>
  <c r="J3707" i="1"/>
  <c r="K3707" i="1" s="1"/>
  <c r="K3708" i="1"/>
  <c r="J3776" i="1"/>
  <c r="K3777" i="1"/>
  <c r="J3823" i="1"/>
  <c r="K3823" i="1" s="1"/>
  <c r="K3824" i="1"/>
  <c r="J3862" i="1"/>
  <c r="K3863" i="1"/>
  <c r="J3903" i="1"/>
  <c r="K3903" i="1" s="1"/>
  <c r="K3904" i="1"/>
  <c r="J3931" i="1"/>
  <c r="K3931" i="1" s="1"/>
  <c r="K3932" i="1"/>
  <c r="J4152" i="1"/>
  <c r="K4152" i="1" s="1"/>
  <c r="K4153" i="1"/>
  <c r="J4180" i="1"/>
  <c r="K4180" i="1" s="1"/>
  <c r="K4181" i="1"/>
  <c r="J4215" i="1"/>
  <c r="K4216" i="1"/>
  <c r="J4258" i="1"/>
  <c r="K4258" i="1" s="1"/>
  <c r="K4259" i="1"/>
  <c r="J4382" i="1"/>
  <c r="K4383" i="1"/>
  <c r="J4586" i="1"/>
  <c r="K4587" i="1"/>
  <c r="J4638" i="1"/>
  <c r="K4638" i="1" s="1"/>
  <c r="K4639" i="1"/>
  <c r="J4687" i="1"/>
  <c r="K4687" i="1" s="1"/>
  <c r="K4688" i="1"/>
  <c r="J103" i="1"/>
  <c r="K103" i="1" s="1"/>
  <c r="K104" i="1"/>
  <c r="K310" i="1"/>
  <c r="J566" i="1"/>
  <c r="K566" i="1" s="1"/>
  <c r="K567" i="1"/>
  <c r="J929" i="1"/>
  <c r="K930" i="1"/>
  <c r="K1155" i="1"/>
  <c r="J1323" i="1"/>
  <c r="K1324" i="1"/>
  <c r="J1710" i="1"/>
  <c r="K1710" i="1" s="1"/>
  <c r="K1711" i="1"/>
  <c r="J2066" i="1"/>
  <c r="K2067" i="1"/>
  <c r="J2272" i="1"/>
  <c r="K2272" i="1" s="1"/>
  <c r="K2273" i="1"/>
  <c r="K2522" i="1"/>
  <c r="J2689" i="1"/>
  <c r="K2690" i="1"/>
  <c r="J2792" i="1"/>
  <c r="K2792" i="1" s="1"/>
  <c r="K2793" i="1"/>
  <c r="J3016" i="1"/>
  <c r="K3017" i="1"/>
  <c r="J3144" i="1"/>
  <c r="K3145" i="1"/>
  <c r="J3791" i="1"/>
  <c r="K3792" i="1"/>
  <c r="K3985" i="1"/>
  <c r="J4373" i="1"/>
  <c r="K4374" i="1"/>
  <c r="J4748" i="1"/>
  <c r="K4749" i="1"/>
  <c r="J751" i="1"/>
  <c r="K751" i="1" s="1"/>
  <c r="K752" i="1"/>
  <c r="J589" i="1"/>
  <c r="K589" i="1" s="1"/>
  <c r="K590" i="1"/>
  <c r="J648" i="1"/>
  <c r="K648" i="1" s="1"/>
  <c r="K649" i="1"/>
  <c r="J3701" i="1"/>
  <c r="K3701" i="1" s="1"/>
  <c r="K3702" i="1"/>
  <c r="J4116" i="1"/>
  <c r="K4116" i="1" s="1"/>
  <c r="K4117" i="1"/>
  <c r="J549" i="1"/>
  <c r="K549" i="1" s="1"/>
  <c r="K550" i="1"/>
  <c r="J592" i="1"/>
  <c r="K592" i="1" s="1"/>
  <c r="K593" i="1"/>
  <c r="J1526" i="1"/>
  <c r="K1527" i="1"/>
  <c r="J3444" i="1"/>
  <c r="K3444" i="1" s="1"/>
  <c r="K3445" i="1"/>
  <c r="J3450" i="1"/>
  <c r="K3450" i="1" s="1"/>
  <c r="K3451" i="1"/>
  <c r="J3643" i="1"/>
  <c r="K3643" i="1" s="1"/>
  <c r="K3644" i="1"/>
  <c r="J425" i="1"/>
  <c r="K426" i="1"/>
  <c r="J87" i="1"/>
  <c r="K87" i="1" s="1"/>
  <c r="K88" i="1"/>
  <c r="J400" i="1"/>
  <c r="K400" i="1" s="1"/>
  <c r="K401" i="1"/>
  <c r="J595" i="1"/>
  <c r="K595" i="1" s="1"/>
  <c r="K596" i="1"/>
  <c r="J4676" i="1"/>
  <c r="K4677" i="1"/>
  <c r="J957" i="1"/>
  <c r="K958" i="1"/>
  <c r="J1059" i="1"/>
  <c r="K1060" i="1"/>
  <c r="J1120" i="1"/>
  <c r="K1121" i="1"/>
  <c r="J1216" i="1"/>
  <c r="K1217" i="1"/>
  <c r="J1358" i="1"/>
  <c r="K1359" i="1"/>
  <c r="J1484" i="1"/>
  <c r="K1485" i="1"/>
  <c r="J1848" i="1"/>
  <c r="K1849" i="1"/>
  <c r="J1964" i="1"/>
  <c r="K1965" i="1"/>
  <c r="J2254" i="1"/>
  <c r="K2255" i="1"/>
  <c r="K4441" i="1"/>
  <c r="J379" i="1"/>
  <c r="K379" i="1" s="1"/>
  <c r="K380" i="1"/>
  <c r="J462" i="1"/>
  <c r="K463" i="1"/>
  <c r="J3710" i="1"/>
  <c r="K3710" i="1" s="1"/>
  <c r="K3711" i="1"/>
  <c r="J2881" i="1"/>
  <c r="J143" i="1"/>
  <c r="K144" i="1"/>
  <c r="J211" i="1"/>
  <c r="K212" i="1"/>
  <c r="J521" i="1"/>
  <c r="K521" i="1" s="1"/>
  <c r="K522" i="1"/>
  <c r="J720" i="1"/>
  <c r="K720" i="1" s="1"/>
  <c r="K721" i="1"/>
  <c r="J1045" i="1"/>
  <c r="K1045" i="1" s="1"/>
  <c r="K1046" i="1"/>
  <c r="J1140" i="1"/>
  <c r="K1141" i="1"/>
  <c r="J2166" i="1"/>
  <c r="K2167" i="1"/>
  <c r="J216" i="1"/>
  <c r="K217" i="1"/>
  <c r="J1146" i="1"/>
  <c r="K1147" i="1"/>
  <c r="J1374" i="1"/>
  <c r="K1374" i="1" s="1"/>
  <c r="K1375" i="1"/>
  <c r="J1531" i="1"/>
  <c r="K1531" i="1" s="1"/>
  <c r="K1532" i="1"/>
  <c r="J1618" i="1"/>
  <c r="K1619" i="1"/>
  <c r="J1668" i="1"/>
  <c r="K1668" i="1" s="1"/>
  <c r="K1669" i="1"/>
  <c r="J1749" i="1"/>
  <c r="K1752" i="1"/>
  <c r="J1811" i="1"/>
  <c r="K1811" i="1" s="1"/>
  <c r="K1812" i="1"/>
  <c r="J1867" i="1"/>
  <c r="K1868" i="1"/>
  <c r="J1933" i="1"/>
  <c r="K1934" i="1"/>
  <c r="J2005" i="1"/>
  <c r="K2005" i="1" s="1"/>
  <c r="K2006" i="1"/>
  <c r="J2305" i="1"/>
  <c r="K2306" i="1"/>
  <c r="J2363" i="1"/>
  <c r="K2363" i="1" s="1"/>
  <c r="K2364" i="1"/>
  <c r="J2429" i="1"/>
  <c r="K2430" i="1"/>
  <c r="J2485" i="1"/>
  <c r="K2485" i="1" s="1"/>
  <c r="K2486" i="1"/>
  <c r="J2567" i="1"/>
  <c r="K2567" i="1" s="1"/>
  <c r="K2568" i="1"/>
  <c r="J2718" i="1"/>
  <c r="K2719" i="1"/>
  <c r="J2789" i="1"/>
  <c r="K2789" i="1" s="1"/>
  <c r="K2790" i="1"/>
  <c r="J3059" i="1"/>
  <c r="K3059" i="1" s="1"/>
  <c r="K3060" i="1"/>
  <c r="J3098" i="1"/>
  <c r="K3099" i="1"/>
  <c r="J3158" i="1"/>
  <c r="K3159" i="1"/>
  <c r="J3211" i="1"/>
  <c r="K3212" i="1"/>
  <c r="J3282" i="1"/>
  <c r="K3282" i="1" s="1"/>
  <c r="K3283" i="1"/>
  <c r="J3379" i="1"/>
  <c r="K3379" i="1" s="1"/>
  <c r="K3380" i="1"/>
  <c r="J3413" i="1"/>
  <c r="K3413" i="1" s="1"/>
  <c r="K3414" i="1"/>
  <c r="J3460" i="1"/>
  <c r="K3461" i="1"/>
  <c r="J3498" i="1"/>
  <c r="K3499" i="1"/>
  <c r="J3542" i="1"/>
  <c r="K3542" i="1" s="1"/>
  <c r="K3543" i="1"/>
  <c r="J3556" i="1"/>
  <c r="K3556" i="1" s="1"/>
  <c r="K3557" i="1"/>
  <c r="J3584" i="1"/>
  <c r="K3585" i="1"/>
  <c r="J3604" i="1"/>
  <c r="K3604" i="1" s="1"/>
  <c r="K3605" i="1"/>
  <c r="J3630" i="1"/>
  <c r="K3630" i="1" s="1"/>
  <c r="K3631" i="1"/>
  <c r="J3799" i="1"/>
  <c r="K3799" i="1" s="1"/>
  <c r="K3800" i="1"/>
  <c r="J3846" i="1"/>
  <c r="K3847" i="1"/>
  <c r="J3950" i="1"/>
  <c r="K3950" i="1" s="1"/>
  <c r="K3951" i="1"/>
  <c r="J3979" i="1"/>
  <c r="K3979" i="1" s="1"/>
  <c r="K3980" i="1"/>
  <c r="J4031" i="1"/>
  <c r="K4032" i="1"/>
  <c r="J4046" i="1"/>
  <c r="K4046" i="1" s="1"/>
  <c r="K4047" i="1"/>
  <c r="J4094" i="1"/>
  <c r="K4094" i="1" s="1"/>
  <c r="K4095" i="1"/>
  <c r="J4113" i="1"/>
  <c r="K4113" i="1" s="1"/>
  <c r="K4114" i="1"/>
  <c r="J4244" i="1"/>
  <c r="K4244" i="1" s="1"/>
  <c r="K4245" i="1"/>
  <c r="J4269" i="1"/>
  <c r="K4269" i="1" s="1"/>
  <c r="K4270" i="1"/>
  <c r="J4282" i="1"/>
  <c r="K4282" i="1" s="1"/>
  <c r="K4283" i="1"/>
  <c r="J4301" i="1"/>
  <c r="K4302" i="1"/>
  <c r="J4339" i="1"/>
  <c r="K4339" i="1" s="1"/>
  <c r="K4340" i="1"/>
  <c r="J4431" i="1"/>
  <c r="K4431" i="1" s="1"/>
  <c r="K4432" i="1"/>
  <c r="J4456" i="1"/>
  <c r="K4457" i="1"/>
  <c r="J4494" i="1"/>
  <c r="K4495" i="1"/>
  <c r="J4519" i="1"/>
  <c r="K4519" i="1" s="1"/>
  <c r="K4520" i="1"/>
  <c r="J4534" i="1"/>
  <c r="K4535" i="1"/>
  <c r="J4623" i="1"/>
  <c r="K4623" i="1" s="1"/>
  <c r="K4624" i="1"/>
  <c r="J4714" i="1"/>
  <c r="K4715" i="1"/>
  <c r="J4736" i="1"/>
  <c r="K4736" i="1" s="1"/>
  <c r="K4737" i="1"/>
  <c r="J56" i="1"/>
  <c r="K57" i="1"/>
  <c r="J119" i="1"/>
  <c r="K119" i="1" s="1"/>
  <c r="K120" i="1"/>
  <c r="J157" i="1"/>
  <c r="K158" i="1"/>
  <c r="J219" i="1"/>
  <c r="K219" i="1" s="1"/>
  <c r="K220" i="1"/>
  <c r="J261" i="1"/>
  <c r="K262" i="1"/>
  <c r="J277" i="1"/>
  <c r="K278" i="1"/>
  <c r="J316" i="1"/>
  <c r="K316" i="1" s="1"/>
  <c r="K317" i="1"/>
  <c r="J342" i="1"/>
  <c r="K342" i="1" s="1"/>
  <c r="K343" i="1"/>
  <c r="J359" i="1"/>
  <c r="K360" i="1"/>
  <c r="J376" i="1"/>
  <c r="K376" i="1" s="1"/>
  <c r="K377" i="1"/>
  <c r="J414" i="1"/>
  <c r="K415" i="1"/>
  <c r="J446" i="1"/>
  <c r="K446" i="1" s="1"/>
  <c r="K447" i="1"/>
  <c r="J486" i="1"/>
  <c r="K487" i="1"/>
  <c r="J514" i="1"/>
  <c r="K514" i="1" s="1"/>
  <c r="K515" i="1"/>
  <c r="J536" i="1"/>
  <c r="K536" i="1" s="1"/>
  <c r="K537" i="1"/>
  <c r="J557" i="1"/>
  <c r="K557" i="1" s="1"/>
  <c r="K558" i="1"/>
  <c r="J578" i="1"/>
  <c r="K579" i="1"/>
  <c r="J628" i="1"/>
  <c r="K629" i="1"/>
  <c r="J665" i="1"/>
  <c r="K666" i="1"/>
  <c r="J680" i="1"/>
  <c r="K680" i="1" s="1"/>
  <c r="K681" i="1"/>
  <c r="J697" i="1"/>
  <c r="K698" i="1"/>
  <c r="J714" i="1"/>
  <c r="K714" i="1" s="1"/>
  <c r="K715" i="1"/>
  <c r="J766" i="1"/>
  <c r="K766" i="1" s="1"/>
  <c r="K767" i="1"/>
  <c r="J778" i="1"/>
  <c r="K778" i="1" s="1"/>
  <c r="K779" i="1"/>
  <c r="J834" i="1"/>
  <c r="K835" i="1"/>
  <c r="J868" i="1"/>
  <c r="K868" i="1" s="1"/>
  <c r="K869" i="1"/>
  <c r="J913" i="1"/>
  <c r="K913" i="1" s="1"/>
  <c r="K914" i="1"/>
  <c r="J1036" i="1"/>
  <c r="K1036" i="1" s="1"/>
  <c r="K1037" i="1"/>
  <c r="K1070" i="1"/>
  <c r="K1084" i="1"/>
  <c r="J1102" i="1"/>
  <c r="K1102" i="1" s="1"/>
  <c r="K1103" i="1"/>
  <c r="J1115" i="1"/>
  <c r="K1115" i="1" s="1"/>
  <c r="K1116" i="1"/>
  <c r="J1164" i="1"/>
  <c r="K1164" i="1" s="1"/>
  <c r="K1165" i="1"/>
  <c r="J1184" i="1"/>
  <c r="K1185" i="1"/>
  <c r="J1206" i="1"/>
  <c r="K1206" i="1" s="1"/>
  <c r="K1207" i="1"/>
  <c r="K1249" i="1"/>
  <c r="K1282" i="1"/>
  <c r="J1306" i="1"/>
  <c r="K1307" i="1"/>
  <c r="J1339" i="1"/>
  <c r="K1340" i="1"/>
  <c r="K1354" i="1"/>
  <c r="J1377" i="1"/>
  <c r="K1377" i="1" s="1"/>
  <c r="K1378" i="1"/>
  <c r="J1390" i="1"/>
  <c r="K1390" i="1" s="1"/>
  <c r="K1391" i="1"/>
  <c r="K1421" i="1"/>
  <c r="J1451" i="1"/>
  <c r="K1451" i="1" s="1"/>
  <c r="K1452" i="1"/>
  <c r="K1478" i="1"/>
  <c r="J1499" i="1"/>
  <c r="K1500" i="1"/>
  <c r="J1534" i="1"/>
  <c r="K1534" i="1" s="1"/>
  <c r="K1535" i="1"/>
  <c r="K1573" i="1"/>
  <c r="J1600" i="1"/>
  <c r="K1601" i="1"/>
  <c r="K1632" i="1"/>
  <c r="J1656" i="1"/>
  <c r="K1657" i="1"/>
  <c r="K1674" i="1"/>
  <c r="J1729" i="1"/>
  <c r="K1729" i="1" s="1"/>
  <c r="K1730" i="1"/>
  <c r="J1779" i="1"/>
  <c r="K1780" i="1"/>
  <c r="J1814" i="1"/>
  <c r="K1814" i="1" s="1"/>
  <c r="K1815" i="1"/>
  <c r="J1871" i="1"/>
  <c r="K1872" i="1"/>
  <c r="J1900" i="1"/>
  <c r="K1901" i="1"/>
  <c r="J1939" i="1"/>
  <c r="K1939" i="1" s="1"/>
  <c r="K1940" i="1"/>
  <c r="J1979" i="1"/>
  <c r="K1980" i="1"/>
  <c r="J2008" i="1"/>
  <c r="K2008" i="1" s="1"/>
  <c r="K2009" i="1"/>
  <c r="J2095" i="1"/>
  <c r="K2096" i="1"/>
  <c r="J2155" i="1"/>
  <c r="K2156" i="1"/>
  <c r="J2217" i="1"/>
  <c r="K2217" i="1" s="1"/>
  <c r="K2218" i="1"/>
  <c r="J2230" i="1"/>
  <c r="K2230" i="1" s="1"/>
  <c r="K2231" i="1"/>
  <c r="J2288" i="1"/>
  <c r="K2288" i="1" s="1"/>
  <c r="K2289" i="1"/>
  <c r="J2334" i="1"/>
  <c r="K2335" i="1"/>
  <c r="J2366" i="1"/>
  <c r="K2366" i="1" s="1"/>
  <c r="K2367" i="1"/>
  <c r="J2433" i="1"/>
  <c r="K2434" i="1"/>
  <c r="J2456" i="1"/>
  <c r="K2456" i="1" s="1"/>
  <c r="K2457" i="1"/>
  <c r="J2473" i="1"/>
  <c r="K2474" i="1"/>
  <c r="J2490" i="1"/>
  <c r="K2490" i="1" s="1"/>
  <c r="K2491" i="1"/>
  <c r="J2513" i="1"/>
  <c r="K2514" i="1"/>
  <c r="J2548" i="1"/>
  <c r="K2549" i="1"/>
  <c r="J2570" i="1"/>
  <c r="K2570" i="1" s="1"/>
  <c r="K2571" i="1"/>
  <c r="J2600" i="1"/>
  <c r="K2601" i="1"/>
  <c r="J2656" i="1"/>
  <c r="K2657" i="1"/>
  <c r="J2685" i="1"/>
  <c r="K2686" i="1"/>
  <c r="J2722" i="1"/>
  <c r="K2723" i="1"/>
  <c r="J2797" i="1"/>
  <c r="K2798" i="1"/>
  <c r="J2824" i="1"/>
  <c r="K2824" i="1" s="1"/>
  <c r="K2825" i="1"/>
  <c r="J2871" i="1"/>
  <c r="K2872" i="1"/>
  <c r="J2928" i="1"/>
  <c r="K2929" i="1"/>
  <c r="J2984" i="1"/>
  <c r="K2984" i="1" s="1"/>
  <c r="K2985" i="1"/>
  <c r="K2998" i="1"/>
  <c r="J3027" i="1"/>
  <c r="K3027" i="1" s="1"/>
  <c r="K3028" i="1"/>
  <c r="J3062" i="1"/>
  <c r="K3062" i="1" s="1"/>
  <c r="K3063" i="1"/>
  <c r="K3088" i="1"/>
  <c r="K3110" i="1"/>
  <c r="J3129" i="1"/>
  <c r="K3130" i="1"/>
  <c r="J3162" i="1"/>
  <c r="K3162" i="1" s="1"/>
  <c r="K3163" i="1"/>
  <c r="J3189" i="1"/>
  <c r="K3189" i="1" s="1"/>
  <c r="K3190" i="1"/>
  <c r="J3201" i="1"/>
  <c r="K3201" i="1" s="1"/>
  <c r="K3202" i="1"/>
  <c r="J3215" i="1"/>
  <c r="K3215" i="1" s="1"/>
  <c r="K3216" i="1"/>
  <c r="J3229" i="1"/>
  <c r="K3230" i="1"/>
  <c r="J3259" i="1"/>
  <c r="K3260" i="1"/>
  <c r="K3287" i="1"/>
  <c r="K3298" i="1"/>
  <c r="K3313" i="1"/>
  <c r="K3345" i="1"/>
  <c r="K3356" i="1"/>
  <c r="J3382" i="1"/>
  <c r="K3382" i="1" s="1"/>
  <c r="K3383" i="1"/>
  <c r="J3394" i="1"/>
  <c r="K3394" i="1" s="1"/>
  <c r="K3395" i="1"/>
  <c r="J3416" i="1"/>
  <c r="K3416" i="1" s="1"/>
  <c r="K3417" i="1"/>
  <c r="J3432" i="1"/>
  <c r="K3432" i="1" s="1"/>
  <c r="K3433" i="1"/>
  <c r="J3466" i="1"/>
  <c r="K3467" i="1"/>
  <c r="J3506" i="1"/>
  <c r="K3506" i="1" s="1"/>
  <c r="K3507" i="1"/>
  <c r="J3518" i="1"/>
  <c r="K3518" i="1" s="1"/>
  <c r="K3519" i="1"/>
  <c r="J3533" i="1"/>
  <c r="K3533" i="1" s="1"/>
  <c r="K3534" i="1"/>
  <c r="K3548" i="1"/>
  <c r="J3559" i="1"/>
  <c r="K3559" i="1" s="1"/>
  <c r="K3560" i="1"/>
  <c r="J3571" i="1"/>
  <c r="K3571" i="1" s="1"/>
  <c r="K3572" i="1"/>
  <c r="J3592" i="1"/>
  <c r="K3592" i="1" s="1"/>
  <c r="K3593" i="1"/>
  <c r="J3607" i="1"/>
  <c r="K3607" i="1" s="1"/>
  <c r="K3608" i="1"/>
  <c r="J3620" i="1"/>
  <c r="K3620" i="1" s="1"/>
  <c r="K3621" i="1"/>
  <c r="J3633" i="1"/>
  <c r="K3633" i="1" s="1"/>
  <c r="K3634" i="1"/>
  <c r="K3663" i="1"/>
  <c r="K3678" i="1"/>
  <c r="J3713" i="1"/>
  <c r="K3713" i="1" s="1"/>
  <c r="K3714" i="1"/>
  <c r="J3734" i="1"/>
  <c r="K3735" i="1"/>
  <c r="K3747" i="1"/>
  <c r="K3766" i="1"/>
  <c r="K3781" i="1"/>
  <c r="J3802" i="1"/>
  <c r="K3802" i="1" s="1"/>
  <c r="K3803" i="1"/>
  <c r="K3827" i="1"/>
  <c r="K3852" i="1"/>
  <c r="J3868" i="1"/>
  <c r="K3869" i="1"/>
  <c r="J3895" i="1"/>
  <c r="K3896" i="1"/>
  <c r="K3908" i="1"/>
  <c r="K3916" i="1"/>
  <c r="J3934" i="1"/>
  <c r="K3934" i="1" s="1"/>
  <c r="K3935" i="1"/>
  <c r="J3953" i="1"/>
  <c r="K3953" i="1" s="1"/>
  <c r="K3954" i="1"/>
  <c r="J3966" i="1"/>
  <c r="K3966" i="1" s="1"/>
  <c r="K3967" i="1"/>
  <c r="J3997" i="1"/>
  <c r="K3997" i="1" s="1"/>
  <c r="K3998" i="1"/>
  <c r="K4011" i="1"/>
  <c r="K4040" i="1"/>
  <c r="J4050" i="1"/>
  <c r="K4050" i="1" s="1"/>
  <c r="K4051" i="1"/>
  <c r="K4063" i="1"/>
  <c r="K4075" i="1"/>
  <c r="J4097" i="1"/>
  <c r="K4097" i="1" s="1"/>
  <c r="K4098" i="1"/>
  <c r="J4119" i="1"/>
  <c r="K4122" i="1"/>
  <c r="K4137" i="1"/>
  <c r="K4156" i="1"/>
  <c r="K4170" i="1"/>
  <c r="J4184" i="1"/>
  <c r="K4184" i="1" s="1"/>
  <c r="K4185" i="1"/>
  <c r="K4198" i="1"/>
  <c r="J4219" i="1"/>
  <c r="K4220" i="1"/>
  <c r="K4234" i="1"/>
  <c r="J4248" i="1"/>
  <c r="K4249" i="1"/>
  <c r="J4261" i="1"/>
  <c r="K4261" i="1" s="1"/>
  <c r="K4262" i="1"/>
  <c r="J4272" i="1"/>
  <c r="K4272" i="1" s="1"/>
  <c r="K4273" i="1"/>
  <c r="J4289" i="1"/>
  <c r="K4289" i="1" s="1"/>
  <c r="K4290" i="1"/>
  <c r="J4308" i="1"/>
  <c r="K4309" i="1"/>
  <c r="J4342" i="1"/>
  <c r="K4342" i="1" s="1"/>
  <c r="K4343" i="1"/>
  <c r="J4389" i="1"/>
  <c r="K4390" i="1"/>
  <c r="J4414" i="1"/>
  <c r="K4414" i="1" s="1"/>
  <c r="K4415" i="1"/>
  <c r="K4475" i="1"/>
  <c r="K4506" i="1"/>
  <c r="K4523" i="1"/>
  <c r="J4538" i="1"/>
  <c r="K4538" i="1" s="1"/>
  <c r="K4539" i="1"/>
  <c r="J4553" i="1"/>
  <c r="K4553" i="1" s="1"/>
  <c r="K4554" i="1"/>
  <c r="K4566" i="1"/>
  <c r="J4591" i="1"/>
  <c r="K4591" i="1" s="1"/>
  <c r="K4592" i="1"/>
  <c r="J4611" i="1"/>
  <c r="K4611" i="1" s="1"/>
  <c r="K4612" i="1"/>
  <c r="K4630" i="1"/>
  <c r="K4644" i="1"/>
  <c r="K4667" i="1"/>
  <c r="J4690" i="1"/>
  <c r="K4690" i="1" s="1"/>
  <c r="K4691" i="1"/>
  <c r="J4721" i="1"/>
  <c r="K4722" i="1"/>
  <c r="K4740" i="1"/>
  <c r="J4764" i="1"/>
  <c r="K4764" i="1" s="1"/>
  <c r="K4765" i="1"/>
  <c r="J532" i="1"/>
  <c r="K532" i="1" s="1"/>
  <c r="K533" i="1"/>
  <c r="K885" i="1"/>
  <c r="J1133" i="1"/>
  <c r="K1134" i="1"/>
  <c r="J1173" i="1"/>
  <c r="K1173" i="1" s="1"/>
  <c r="K1174" i="1"/>
  <c r="J1437" i="1"/>
  <c r="K1438" i="1"/>
  <c r="K1431" i="1"/>
  <c r="K1507" i="1"/>
  <c r="K1642" i="1"/>
  <c r="K1996" i="1"/>
  <c r="K2040" i="1"/>
  <c r="K2460" i="1"/>
  <c r="J2537" i="1"/>
  <c r="K2537" i="1" s="1"/>
  <c r="K2538" i="1"/>
  <c r="K2779" i="1"/>
  <c r="J2773" i="1"/>
  <c r="K2773" i="1" s="1"/>
  <c r="K2774" i="1"/>
  <c r="J2945" i="1"/>
  <c r="K2946" i="1"/>
  <c r="J3133" i="1"/>
  <c r="K3134" i="1"/>
  <c r="K3320" i="1"/>
  <c r="J3751" i="1"/>
  <c r="K3752" i="1"/>
  <c r="J4346" i="1"/>
  <c r="K4346" i="1" s="1"/>
  <c r="K4347" i="1"/>
  <c r="J4603" i="1"/>
  <c r="K4604" i="1"/>
  <c r="J4707" i="1"/>
  <c r="K4707" i="1" s="1"/>
  <c r="K4708" i="1"/>
  <c r="K1676" i="1"/>
  <c r="J81" i="1"/>
  <c r="K81" i="1" s="1"/>
  <c r="K82" i="1"/>
  <c r="J84" i="1"/>
  <c r="K84" i="1" s="1"/>
  <c r="K85" i="1"/>
  <c r="J525" i="1"/>
  <c r="K525" i="1" s="1"/>
  <c r="K526" i="1"/>
  <c r="J2081" i="1"/>
  <c r="K2082" i="1"/>
  <c r="J3438" i="1"/>
  <c r="K3438" i="1" s="1"/>
  <c r="K3439" i="1"/>
  <c r="J3649" i="1"/>
  <c r="K3649" i="1" s="1"/>
  <c r="K3650" i="1"/>
  <c r="J294" i="1"/>
  <c r="K295" i="1"/>
  <c r="J385" i="1"/>
  <c r="K385" i="1" s="1"/>
  <c r="K386" i="1"/>
  <c r="K1026" i="1"/>
  <c r="J96" i="1"/>
  <c r="K96" i="1" s="1"/>
  <c r="K97" i="1"/>
  <c r="J1825" i="1"/>
  <c r="K1828" i="1"/>
  <c r="J4469" i="1"/>
  <c r="K4469" i="1" s="1"/>
  <c r="K4470" i="1"/>
  <c r="J4681" i="1"/>
  <c r="K4681" i="1" s="1"/>
  <c r="K4682" i="1"/>
  <c r="J4696" i="1"/>
  <c r="K4696" i="1" s="1"/>
  <c r="K4697" i="1"/>
  <c r="K1013" i="1"/>
  <c r="J3435" i="1"/>
  <c r="K3435" i="1" s="1"/>
  <c r="K3436" i="1"/>
  <c r="J3729" i="1"/>
  <c r="K3730" i="1"/>
  <c r="J1545" i="1"/>
  <c r="K1548" i="1"/>
  <c r="J741" i="1"/>
  <c r="K741" i="1" s="1"/>
  <c r="K742" i="1"/>
  <c r="J2025" i="1"/>
  <c r="K2026" i="1"/>
  <c r="K4479" i="1"/>
  <c r="H148" i="1"/>
  <c r="H147" i="1" s="1"/>
  <c r="H146" i="1" s="1"/>
  <c r="J111" i="1"/>
  <c r="K112" i="1"/>
  <c r="J282" i="1"/>
  <c r="K283" i="1"/>
  <c r="K338" i="1"/>
  <c r="J787" i="1"/>
  <c r="K787" i="1" s="1"/>
  <c r="K788" i="1"/>
  <c r="I822" i="1"/>
  <c r="J1223" i="1"/>
  <c r="K1224" i="1"/>
  <c r="J2842" i="1"/>
  <c r="K2843" i="1"/>
  <c r="K3300" i="1"/>
  <c r="K4420" i="1"/>
  <c r="K4477" i="1"/>
  <c r="J4500" i="1"/>
  <c r="K4500" i="1" s="1"/>
  <c r="K4501" i="1"/>
  <c r="J44" i="1"/>
  <c r="K44" i="1" s="1"/>
  <c r="K45" i="1"/>
  <c r="J130" i="1"/>
  <c r="K130" i="1" s="1"/>
  <c r="K131" i="1"/>
  <c r="J227" i="1"/>
  <c r="K227" i="1" s="1"/>
  <c r="K228" i="1"/>
  <c r="J391" i="1"/>
  <c r="K392" i="1"/>
  <c r="J476" i="1"/>
  <c r="K477" i="1"/>
  <c r="J772" i="1"/>
  <c r="K772" i="1" s="1"/>
  <c r="K773" i="1"/>
  <c r="J856" i="1"/>
  <c r="K857" i="1"/>
  <c r="J945" i="1"/>
  <c r="K945" i="1" s="1"/>
  <c r="K946" i="1"/>
  <c r="J2086" i="1"/>
  <c r="K2086" i="1" s="1"/>
  <c r="K2087" i="1"/>
  <c r="J230" i="1"/>
  <c r="K230" i="1" s="1"/>
  <c r="K231" i="1"/>
  <c r="J273" i="1"/>
  <c r="K273" i="1" s="1"/>
  <c r="K274" i="1"/>
  <c r="J303" i="1"/>
  <c r="K304" i="1"/>
  <c r="J397" i="1"/>
  <c r="K397" i="1" s="1"/>
  <c r="K398" i="1"/>
  <c r="J410" i="1"/>
  <c r="K410" i="1" s="1"/>
  <c r="K411" i="1"/>
  <c r="J454" i="1"/>
  <c r="K454" i="1" s="1"/>
  <c r="K455" i="1"/>
  <c r="J529" i="1"/>
  <c r="K529" i="1" s="1"/>
  <c r="K530" i="1"/>
  <c r="J573" i="1"/>
  <c r="K573" i="1" s="1"/>
  <c r="K574" i="1"/>
  <c r="J606" i="1"/>
  <c r="K606" i="1" s="1"/>
  <c r="K607" i="1"/>
  <c r="J645" i="1"/>
  <c r="K645" i="1" s="1"/>
  <c r="K646" i="1"/>
  <c r="J677" i="1"/>
  <c r="K677" i="1" s="1"/>
  <c r="K678" i="1"/>
  <c r="J775" i="1"/>
  <c r="K775" i="1" s="1"/>
  <c r="K776" i="1"/>
  <c r="J819" i="1"/>
  <c r="K819" i="1" s="1"/>
  <c r="K820" i="1"/>
  <c r="J906" i="1"/>
  <c r="K906" i="1" s="1"/>
  <c r="K907" i="1"/>
  <c r="J1032" i="1"/>
  <c r="K1032" i="1" s="1"/>
  <c r="K1033" i="1"/>
  <c r="J1053" i="1"/>
  <c r="K1054" i="1"/>
  <c r="J1099" i="1"/>
  <c r="K1099" i="1" s="1"/>
  <c r="K1100" i="1"/>
  <c r="J1178" i="1"/>
  <c r="K1179" i="1"/>
  <c r="J1203" i="1"/>
  <c r="K1203" i="1" s="1"/>
  <c r="K1204" i="1"/>
  <c r="J1237" i="1"/>
  <c r="K1238" i="1"/>
  <c r="J1330" i="1"/>
  <c r="K1331" i="1"/>
  <c r="J1448" i="1"/>
  <c r="K1448" i="1" s="1"/>
  <c r="K1449" i="1"/>
  <c r="J1494" i="1"/>
  <c r="K1494" i="1" s="1"/>
  <c r="K1495" i="1"/>
  <c r="J1592" i="1"/>
  <c r="K1593" i="1"/>
  <c r="J1652" i="1"/>
  <c r="K1653" i="1"/>
  <c r="J1726" i="1"/>
  <c r="K1726" i="1" s="1"/>
  <c r="K1727" i="1"/>
  <c r="J1774" i="1"/>
  <c r="K1775" i="1"/>
  <c r="J1972" i="1"/>
  <c r="K1973" i="1"/>
  <c r="J2054" i="1"/>
  <c r="K2055" i="1"/>
  <c r="J2089" i="1"/>
  <c r="K2089" i="1" s="1"/>
  <c r="K2090" i="1"/>
  <c r="J2285" i="1"/>
  <c r="K2285" i="1" s="1"/>
  <c r="K2286" i="1"/>
  <c r="J2329" i="1"/>
  <c r="K2329" i="1" s="1"/>
  <c r="K2330" i="1"/>
  <c r="J2469" i="1"/>
  <c r="K2470" i="1"/>
  <c r="J2542" i="1"/>
  <c r="K2543" i="1"/>
  <c r="J2593" i="1"/>
  <c r="K2594" i="1"/>
  <c r="J2652" i="1"/>
  <c r="K2653" i="1"/>
  <c r="J2705" i="1"/>
  <c r="K2705" i="1" s="1"/>
  <c r="K2706" i="1"/>
  <c r="J2756" i="1"/>
  <c r="K2757" i="1"/>
  <c r="J2865" i="1"/>
  <c r="K2865" i="1" s="1"/>
  <c r="K2866" i="1"/>
  <c r="J2923" i="1"/>
  <c r="K2924" i="1"/>
  <c r="J2978" i="1"/>
  <c r="K2979" i="1"/>
  <c r="J3082" i="1"/>
  <c r="K3083" i="1"/>
  <c r="J3225" i="1"/>
  <c r="K3225" i="1" s="1"/>
  <c r="K3226" i="1"/>
  <c r="J3341" i="1"/>
  <c r="K3341" i="1" s="1"/>
  <c r="K3342" i="1"/>
  <c r="J3391" i="1"/>
  <c r="K3391" i="1" s="1"/>
  <c r="K3392" i="1"/>
  <c r="J3515" i="1"/>
  <c r="K3515" i="1" s="1"/>
  <c r="K3516" i="1"/>
  <c r="J3617" i="1"/>
  <c r="K3617" i="1" s="1"/>
  <c r="K3618" i="1"/>
  <c r="J3963" i="1"/>
  <c r="K3963" i="1" s="1"/>
  <c r="K3964" i="1"/>
  <c r="J36" i="1"/>
  <c r="K36" i="1" s="1"/>
  <c r="K37" i="1"/>
  <c r="J122" i="1"/>
  <c r="K122" i="1" s="1"/>
  <c r="K123" i="1"/>
  <c r="K138" i="1"/>
  <c r="J165" i="1"/>
  <c r="K165" i="1" s="1"/>
  <c r="K166" i="1"/>
  <c r="J180" i="1"/>
  <c r="K181" i="1"/>
  <c r="J194" i="1"/>
  <c r="K195" i="1"/>
  <c r="J207" i="1"/>
  <c r="K207" i="1" s="1"/>
  <c r="K208" i="1"/>
  <c r="J222" i="1"/>
  <c r="K222" i="1" s="1"/>
  <c r="K223" i="1"/>
  <c r="K246" i="1"/>
  <c r="K266" i="1"/>
  <c r="J290" i="1"/>
  <c r="K291" i="1"/>
  <c r="K320" i="1"/>
  <c r="K333" i="1"/>
  <c r="J345" i="1"/>
  <c r="K345" i="1" s="1"/>
  <c r="K346" i="1"/>
  <c r="J364" i="1"/>
  <c r="K364" i="1" s="1"/>
  <c r="K365" i="1"/>
  <c r="J382" i="1"/>
  <c r="K382" i="1" s="1"/>
  <c r="K383" i="1"/>
  <c r="K406" i="1"/>
  <c r="J419" i="1"/>
  <c r="K420" i="1"/>
  <c r="K450" i="1"/>
  <c r="K472" i="1"/>
  <c r="J493" i="1"/>
  <c r="K493" i="1" s="1"/>
  <c r="K494" i="1"/>
  <c r="J517" i="1"/>
  <c r="K517" i="1" s="1"/>
  <c r="K518" i="1"/>
  <c r="J540" i="1"/>
  <c r="K540" i="1" s="1"/>
  <c r="K541" i="1"/>
  <c r="J563" i="1"/>
  <c r="K563" i="1" s="1"/>
  <c r="K564" i="1"/>
  <c r="J583" i="1"/>
  <c r="K583" i="1" s="1"/>
  <c r="K584" i="1"/>
  <c r="K612" i="1"/>
  <c r="J637" i="1"/>
  <c r="K637" i="1" s="1"/>
  <c r="K638" i="1"/>
  <c r="K655" i="1"/>
  <c r="K671" i="1"/>
  <c r="J684" i="1"/>
  <c r="K684" i="1" s="1"/>
  <c r="K685" i="1"/>
  <c r="J704" i="1"/>
  <c r="K704" i="1" s="1"/>
  <c r="K705" i="1"/>
  <c r="J717" i="1"/>
  <c r="K717" i="1" s="1"/>
  <c r="K718" i="1"/>
  <c r="J730" i="1"/>
  <c r="K730" i="1" s="1"/>
  <c r="K731" i="1"/>
  <c r="J769" i="1"/>
  <c r="K769" i="1" s="1"/>
  <c r="K770" i="1"/>
  <c r="J799" i="1"/>
  <c r="K800" i="1"/>
  <c r="K812" i="1"/>
  <c r="J846" i="1"/>
  <c r="K846" i="1" s="1"/>
  <c r="K847" i="1"/>
  <c r="J871" i="1"/>
  <c r="K871" i="1" s="1"/>
  <c r="K872" i="1"/>
  <c r="K901" i="1"/>
  <c r="J916" i="1"/>
  <c r="K916" i="1" s="1"/>
  <c r="K917" i="1"/>
  <c r="K936" i="1"/>
  <c r="K953" i="1"/>
  <c r="K985" i="1"/>
  <c r="K999" i="1"/>
  <c r="K1022" i="1"/>
  <c r="J1042" i="1"/>
  <c r="K1042" i="1" s="1"/>
  <c r="K1043" i="1"/>
  <c r="J1076" i="1"/>
  <c r="K1076" i="1" s="1"/>
  <c r="K1077" i="1"/>
  <c r="J1089" i="1"/>
  <c r="K1090" i="1"/>
  <c r="J1105" i="1"/>
  <c r="K1105" i="1" s="1"/>
  <c r="K1106" i="1"/>
  <c r="J1128" i="1"/>
  <c r="K1129" i="1"/>
  <c r="J1167" i="1"/>
  <c r="K1167" i="1" s="1"/>
  <c r="K1168" i="1"/>
  <c r="J1190" i="1"/>
  <c r="K1193" i="1"/>
  <c r="J1211" i="1"/>
  <c r="K1212" i="1"/>
  <c r="J1253" i="1"/>
  <c r="K1253" i="1" s="1"/>
  <c r="K1254" i="1"/>
  <c r="J1314" i="1"/>
  <c r="K1315" i="1"/>
  <c r="J1346" i="1"/>
  <c r="K1346" i="1" s="1"/>
  <c r="K1347" i="1"/>
  <c r="J1364" i="1"/>
  <c r="K1365" i="1"/>
  <c r="J1380" i="1"/>
  <c r="K1380" i="1" s="1"/>
  <c r="K1381" i="1"/>
  <c r="J1402" i="1"/>
  <c r="K1403" i="1"/>
  <c r="J1459" i="1"/>
  <c r="K1460" i="1"/>
  <c r="J1540" i="1"/>
  <c r="K1541" i="1"/>
  <c r="J1580" i="1"/>
  <c r="K1581" i="1"/>
  <c r="J1605" i="1"/>
  <c r="K1606" i="1"/>
  <c r="J1638" i="1"/>
  <c r="K1638" i="1" s="1"/>
  <c r="K1639" i="1"/>
  <c r="J1662" i="1"/>
  <c r="K1662" i="1" s="1"/>
  <c r="K1663" i="1"/>
  <c r="J1678" i="1"/>
  <c r="K1678" i="1" s="1"/>
  <c r="K1679" i="1"/>
  <c r="J1737" i="1"/>
  <c r="K1738" i="1"/>
  <c r="J1766" i="1"/>
  <c r="K1766" i="1" s="1"/>
  <c r="K1767" i="1"/>
  <c r="J1793" i="1"/>
  <c r="K1794" i="1"/>
  <c r="J1820" i="1"/>
  <c r="K1821" i="1"/>
  <c r="J1879" i="1"/>
  <c r="K1880" i="1"/>
  <c r="J1942" i="1"/>
  <c r="K1942" i="1" s="1"/>
  <c r="K1943" i="1"/>
  <c r="J1955" i="1"/>
  <c r="K1955" i="1" s="1"/>
  <c r="K1956" i="1"/>
  <c r="J2011" i="1"/>
  <c r="K2011" i="1" s="1"/>
  <c r="K2012" i="1"/>
  <c r="J2046" i="1"/>
  <c r="K2046" i="1" s="1"/>
  <c r="K2047" i="1"/>
  <c r="J2074" i="1"/>
  <c r="K2075" i="1"/>
  <c r="K2113" i="1"/>
  <c r="J2135" i="1"/>
  <c r="K2136" i="1"/>
  <c r="J2159" i="1"/>
  <c r="K2160" i="1"/>
  <c r="J2186" i="1"/>
  <c r="K2186" i="1" s="1"/>
  <c r="K2187" i="1"/>
  <c r="J2204" i="1"/>
  <c r="K2205" i="1"/>
  <c r="J2220" i="1"/>
  <c r="K2220" i="1" s="1"/>
  <c r="K2221" i="1"/>
  <c r="J2234" i="1"/>
  <c r="K2235" i="1"/>
  <c r="J2261" i="1"/>
  <c r="K2262" i="1"/>
  <c r="J2291" i="1"/>
  <c r="K2291" i="1" s="1"/>
  <c r="K2292" i="1"/>
  <c r="K2318" i="1"/>
  <c r="J2339" i="1"/>
  <c r="K2340" i="1"/>
  <c r="J2372" i="1"/>
  <c r="K2373" i="1"/>
  <c r="J2413" i="1"/>
  <c r="K2414" i="1"/>
  <c r="J2440" i="1"/>
  <c r="K2441" i="1"/>
  <c r="K2462" i="1"/>
  <c r="J2479" i="1"/>
  <c r="K2479" i="1" s="1"/>
  <c r="K2480" i="1"/>
  <c r="J2493" i="1"/>
  <c r="K2493" i="1" s="1"/>
  <c r="K2494" i="1"/>
  <c r="J2531" i="1"/>
  <c r="K2531" i="1" s="1"/>
  <c r="K2532" i="1"/>
  <c r="K2557" i="1"/>
  <c r="J2575" i="1"/>
  <c r="K2576" i="1"/>
  <c r="J2611" i="1"/>
  <c r="K2611" i="1" s="1"/>
  <c r="K2612" i="1"/>
  <c r="K2643" i="1"/>
  <c r="J2664" i="1"/>
  <c r="K2665" i="1"/>
  <c r="K2699" i="1"/>
  <c r="K2711" i="1"/>
  <c r="J2728" i="1"/>
  <c r="K2728" i="1" s="1"/>
  <c r="K2729" i="1"/>
  <c r="K2742" i="1"/>
  <c r="K2765" i="1"/>
  <c r="J2803" i="1"/>
  <c r="K2804" i="1"/>
  <c r="J2827" i="1"/>
  <c r="K2827" i="1" s="1"/>
  <c r="K2828" i="1"/>
  <c r="J2857" i="1"/>
  <c r="K2858" i="1"/>
  <c r="J2888" i="1"/>
  <c r="K2889" i="1"/>
  <c r="J2907" i="1"/>
  <c r="K2908" i="1"/>
  <c r="J2941" i="1"/>
  <c r="K2942" i="1"/>
  <c r="K2969" i="1"/>
  <c r="J2987" i="1"/>
  <c r="K2987" i="1" s="1"/>
  <c r="K2988" i="1"/>
  <c r="K3006" i="1"/>
  <c r="J3035" i="1"/>
  <c r="K3036" i="1"/>
  <c r="J3067" i="1"/>
  <c r="K3068" i="1"/>
  <c r="K3090" i="1"/>
  <c r="K3112" i="1"/>
  <c r="J3140" i="1"/>
  <c r="K3141" i="1"/>
  <c r="J3165" i="1"/>
  <c r="K3165" i="1" s="1"/>
  <c r="K3168" i="1"/>
  <c r="J3192" i="1"/>
  <c r="K3192" i="1" s="1"/>
  <c r="K3193" i="1"/>
  <c r="J3204" i="1"/>
  <c r="K3204" i="1" s="1"/>
  <c r="K3205" i="1"/>
  <c r="J3218" i="1"/>
  <c r="K3218" i="1" s="1"/>
  <c r="K3219" i="1"/>
  <c r="J3234" i="1"/>
  <c r="K3235" i="1"/>
  <c r="K3266" i="1"/>
  <c r="K3289" i="1"/>
  <c r="J3305" i="1"/>
  <c r="K3305" i="1" s="1"/>
  <c r="K3306" i="1"/>
  <c r="J3328" i="1"/>
  <c r="K3329" i="1"/>
  <c r="K3347" i="1"/>
  <c r="K3374" i="1"/>
  <c r="J3385" i="1"/>
  <c r="K3385" i="1" s="1"/>
  <c r="K3386" i="1"/>
  <c r="J3402" i="1"/>
  <c r="K3403" i="1"/>
  <c r="J3419" i="1"/>
  <c r="K3419" i="1" s="1"/>
  <c r="K3420" i="1"/>
  <c r="J3447" i="1"/>
  <c r="K3447" i="1" s="1"/>
  <c r="K3448" i="1"/>
  <c r="J3481" i="1"/>
  <c r="K3482" i="1"/>
  <c r="J3509" i="1"/>
  <c r="K3509" i="1" s="1"/>
  <c r="K3510" i="1"/>
  <c r="J3522" i="1"/>
  <c r="K3523" i="1"/>
  <c r="J3536" i="1"/>
  <c r="K3536" i="1" s="1"/>
  <c r="K3537" i="1"/>
  <c r="J3550" i="1"/>
  <c r="K3550" i="1" s="1"/>
  <c r="K3551" i="1"/>
  <c r="J3562" i="1"/>
  <c r="K3562" i="1" s="1"/>
  <c r="K3563" i="1"/>
  <c r="J3574" i="1"/>
  <c r="K3574" i="1" s="1"/>
  <c r="K3575" i="1"/>
  <c r="J3595" i="1"/>
  <c r="K3595" i="1" s="1"/>
  <c r="K3596" i="1"/>
  <c r="J3611" i="1"/>
  <c r="K3611" i="1" s="1"/>
  <c r="K3612" i="1"/>
  <c r="J3623" i="1"/>
  <c r="K3623" i="1" s="1"/>
  <c r="K3624" i="1"/>
  <c r="J3637" i="1"/>
  <c r="K3638" i="1"/>
  <c r="J3670" i="1"/>
  <c r="K3670" i="1" s="1"/>
  <c r="K3671" i="1"/>
  <c r="J3686" i="1"/>
  <c r="K3687" i="1"/>
  <c r="J3716" i="1"/>
  <c r="K3716" i="1" s="1"/>
  <c r="K3717" i="1"/>
  <c r="J3739" i="1"/>
  <c r="K3739" i="1" s="1"/>
  <c r="K3740" i="1"/>
  <c r="J3757" i="1"/>
  <c r="K3757" i="1" s="1"/>
  <c r="K3758" i="1"/>
  <c r="J3769" i="1"/>
  <c r="K3769" i="1" s="1"/>
  <c r="K3770" i="1"/>
  <c r="K3783" i="1"/>
  <c r="J3805" i="1"/>
  <c r="K3805" i="1" s="1"/>
  <c r="K3806" i="1"/>
  <c r="J3871" i="1"/>
  <c r="K3871" i="1" s="1"/>
  <c r="K3872" i="1"/>
  <c r="J3938" i="1"/>
  <c r="K3939" i="1"/>
  <c r="J3956" i="1"/>
  <c r="K3956" i="1" s="1"/>
  <c r="K3957" i="1"/>
  <c r="J3970" i="1"/>
  <c r="K3971" i="1"/>
  <c r="J4000" i="1"/>
  <c r="K4000" i="1" s="1"/>
  <c r="K4001" i="1"/>
  <c r="J4053" i="1"/>
  <c r="K4053" i="1" s="1"/>
  <c r="K4054" i="1"/>
  <c r="J4100" i="1"/>
  <c r="K4100" i="1" s="1"/>
  <c r="K4101" i="1"/>
  <c r="J4187" i="1"/>
  <c r="K4187" i="1" s="1"/>
  <c r="K4188" i="1"/>
  <c r="J4203" i="1"/>
  <c r="K4204" i="1"/>
  <c r="J4223" i="1"/>
  <c r="K4223" i="1" s="1"/>
  <c r="K4224" i="1"/>
  <c r="J4251" i="1"/>
  <c r="K4251" i="1" s="1"/>
  <c r="K4252" i="1"/>
  <c r="J4275" i="1"/>
  <c r="K4275" i="1" s="1"/>
  <c r="K4276" i="1"/>
  <c r="J4331" i="1"/>
  <c r="K4331" i="1" s="1"/>
  <c r="K4332" i="1"/>
  <c r="J4360" i="1"/>
  <c r="K4361" i="1"/>
  <c r="J4397" i="1"/>
  <c r="K4398" i="1"/>
  <c r="J4423" i="1"/>
  <c r="K4424" i="1"/>
  <c r="K4439" i="1"/>
  <c r="J4483" i="1"/>
  <c r="K4483" i="1" s="1"/>
  <c r="K4484" i="1"/>
  <c r="J4556" i="1"/>
  <c r="K4556" i="1" s="1"/>
  <c r="K4557" i="1"/>
  <c r="J4614" i="1"/>
  <c r="K4614" i="1" s="1"/>
  <c r="K4615" i="1"/>
  <c r="J4699" i="1"/>
  <c r="K4699" i="1" s="1"/>
  <c r="K4700" i="1"/>
  <c r="J4767" i="1"/>
  <c r="K4767" i="1" s="1"/>
  <c r="K4768" i="1"/>
  <c r="H2809" i="1"/>
  <c r="H2808" i="1" s="1"/>
  <c r="H2807" i="1" s="1"/>
  <c r="H2806" i="1" s="1"/>
  <c r="I4322" i="1"/>
  <c r="K270" i="1"/>
  <c r="K312" i="1"/>
  <c r="J458" i="1"/>
  <c r="K458" i="1" s="1"/>
  <c r="K459" i="1"/>
  <c r="K830" i="1"/>
  <c r="J909" i="1"/>
  <c r="K909" i="1" s="1"/>
  <c r="K910" i="1"/>
  <c r="K977" i="1"/>
  <c r="K1157" i="1"/>
  <c r="J1151" i="1"/>
  <c r="K1151" i="1" s="1"/>
  <c r="K1152" i="1"/>
  <c r="J1454" i="1"/>
  <c r="K1454" i="1" s="1"/>
  <c r="K1455" i="1"/>
  <c r="K1634" i="1"/>
  <c r="K1714" i="1"/>
  <c r="K1844" i="1"/>
  <c r="J2014" i="1"/>
  <c r="K2014" i="1" s="1"/>
  <c r="K2015" i="1"/>
  <c r="K2276" i="1"/>
  <c r="K2394" i="1"/>
  <c r="K2524" i="1"/>
  <c r="J2518" i="1"/>
  <c r="K2518" i="1" s="1"/>
  <c r="K2519" i="1"/>
  <c r="K2933" i="1"/>
  <c r="J3102" i="1"/>
  <c r="K3103" i="1"/>
  <c r="K3264" i="1"/>
  <c r="K3692" i="1"/>
  <c r="J3810" i="1"/>
  <c r="K3811" i="1"/>
  <c r="K3987" i="1"/>
  <c r="K4160" i="1"/>
  <c r="K4504" i="1"/>
  <c r="J4693" i="1"/>
  <c r="K4693" i="1" s="1"/>
  <c r="K4694" i="1"/>
  <c r="J3473" i="1"/>
  <c r="K3474" i="1"/>
  <c r="J496" i="1"/>
  <c r="K496" i="1" s="1"/>
  <c r="K497" i="1"/>
  <c r="J2768" i="1"/>
  <c r="K2769" i="1"/>
  <c r="J3011" i="1"/>
  <c r="K3012" i="1"/>
  <c r="J4620" i="1"/>
  <c r="K4620" i="1" s="1"/>
  <c r="K4621" i="1"/>
  <c r="J4626" i="1"/>
  <c r="K4626" i="1" s="1"/>
  <c r="K4627" i="1"/>
  <c r="J759" i="1"/>
  <c r="K759" i="1" s="1"/>
  <c r="K760" i="1"/>
  <c r="J1243" i="1"/>
  <c r="K1244" i="1"/>
  <c r="J2606" i="1"/>
  <c r="K2607" i="1"/>
  <c r="J3653" i="1"/>
  <c r="K3654" i="1"/>
  <c r="J4459" i="1"/>
  <c r="K4459" i="1" s="1"/>
  <c r="K4460" i="1"/>
  <c r="K16" i="1"/>
  <c r="K2378" i="1"/>
  <c r="K2555" i="1"/>
  <c r="J2625" i="1"/>
  <c r="K2626" i="1"/>
  <c r="K2810" i="1"/>
  <c r="K2957" i="1"/>
  <c r="J3052" i="1"/>
  <c r="K3053" i="1"/>
  <c r="K3318" i="1"/>
  <c r="J4087" i="1"/>
  <c r="K4088" i="1"/>
  <c r="K4120" i="1"/>
  <c r="K4125" i="1"/>
  <c r="J39" i="1"/>
  <c r="K39" i="1" s="1"/>
  <c r="K40" i="1"/>
  <c r="J67" i="1"/>
  <c r="K68" i="1"/>
  <c r="J90" i="1"/>
  <c r="K90" i="1" s="1"/>
  <c r="K91" i="1"/>
  <c r="J4327" i="1"/>
  <c r="K4327" i="1" s="1"/>
  <c r="K4328" i="1"/>
  <c r="J4466" i="1"/>
  <c r="K4466" i="1" s="1"/>
  <c r="K4467" i="1"/>
  <c r="K2038" i="1"/>
  <c r="J64" i="1"/>
  <c r="K64" i="1" s="1"/>
  <c r="K65" i="1"/>
  <c r="J152" i="1"/>
  <c r="K152" i="1" s="1"/>
  <c r="K153" i="1"/>
  <c r="K4450" i="1"/>
  <c r="K3372" i="1"/>
  <c r="J4316" i="1"/>
  <c r="K4317" i="1"/>
  <c r="K31" i="1"/>
  <c r="J106" i="1"/>
  <c r="K106" i="1" s="1"/>
  <c r="K107" i="1"/>
  <c r="J781" i="1"/>
  <c r="K781" i="1" s="1"/>
  <c r="K782" i="1"/>
  <c r="J839" i="1"/>
  <c r="K840" i="1"/>
  <c r="J2100" i="1"/>
  <c r="K2101" i="1"/>
  <c r="K2117" i="1"/>
  <c r="K2679" i="1"/>
  <c r="J3241" i="1"/>
  <c r="K3242" i="1"/>
  <c r="J3271" i="1"/>
  <c r="K3272" i="1"/>
  <c r="L3263" i="1"/>
  <c r="L3262" i="1" s="1"/>
  <c r="L2554" i="1"/>
  <c r="L2553" i="1" s="1"/>
  <c r="L2552" i="1" s="1"/>
  <c r="L2551" i="1" s="1"/>
  <c r="H4390" i="1"/>
  <c r="H4389" i="1" s="1"/>
  <c r="H4388" i="1" s="1"/>
  <c r="H4387" i="1" s="1"/>
  <c r="H4386" i="1" s="1"/>
  <c r="I1124" i="1"/>
  <c r="J762" i="1"/>
  <c r="K762" i="1" s="1"/>
  <c r="L3885" i="1"/>
  <c r="L3884" i="1" s="1"/>
  <c r="L3883" i="1" s="1"/>
  <c r="L3882" i="1" s="1"/>
  <c r="L3881" i="1" s="1"/>
  <c r="L3880" i="1" s="1"/>
  <c r="I1749" i="1"/>
  <c r="I1748" i="1" s="1"/>
  <c r="I1747" i="1" s="1"/>
  <c r="I1746" i="1" s="1"/>
  <c r="I3234" i="1"/>
  <c r="I3233" i="1" s="1"/>
  <c r="I3232" i="1" s="1"/>
  <c r="L2954" i="1"/>
  <c r="L2953" i="1" s="1"/>
  <c r="L2952" i="1" s="1"/>
  <c r="L2951" i="1" s="1"/>
  <c r="H4427" i="1"/>
  <c r="H3866" i="1"/>
  <c r="H3865" i="1" s="1"/>
  <c r="H4317" i="1"/>
  <c r="H4316" i="1" s="1"/>
  <c r="H4315" i="1" s="1"/>
  <c r="H4314" i="1" s="1"/>
  <c r="H4383" i="1"/>
  <c r="H4382" i="1" s="1"/>
  <c r="H4381" i="1" s="1"/>
  <c r="H4380" i="1" s="1"/>
  <c r="H4379" i="1" s="1"/>
  <c r="L35" i="1"/>
  <c r="L34" i="1" s="1"/>
  <c r="I2311" i="1"/>
  <c r="I2310" i="1" s="1"/>
  <c r="I2309" i="1" s="1"/>
  <c r="I2308" i="1" s="1"/>
  <c r="I4703" i="1"/>
  <c r="I4702" i="1" s="1"/>
  <c r="L4124" i="1"/>
  <c r="J3885" i="1"/>
  <c r="H1190" i="1"/>
  <c r="H1189" i="1" s="1"/>
  <c r="H1188" i="1" s="1"/>
  <c r="H1187" i="1" s="1"/>
  <c r="H4570" i="1"/>
  <c r="H574" i="1"/>
  <c r="H573" i="1" s="1"/>
  <c r="I1339" i="1"/>
  <c r="I1338" i="1" s="1"/>
  <c r="I1337" i="1" s="1"/>
  <c r="I1336" i="1" s="1"/>
  <c r="L1631" i="1"/>
  <c r="L1630" i="1" s="1"/>
  <c r="L1629" i="1" s="1"/>
  <c r="L1628" i="1" s="1"/>
  <c r="L337" i="1"/>
  <c r="L3371" i="1"/>
  <c r="L1264" i="1"/>
  <c r="L1263" i="1" s="1"/>
  <c r="L1262" i="1" s="1"/>
  <c r="L1256" i="1" s="1"/>
  <c r="H1597" i="1"/>
  <c r="H2035" i="1"/>
  <c r="H2034" i="1" s="1"/>
  <c r="H3780" i="1"/>
  <c r="H3779" i="1" s="1"/>
  <c r="H4503" i="1"/>
  <c r="H4499" i="1" s="1"/>
  <c r="H4498" i="1" s="1"/>
  <c r="H4497" i="1" s="1"/>
  <c r="L504" i="1"/>
  <c r="L492" i="1" s="1"/>
  <c r="L491" i="1" s="1"/>
  <c r="L3545" i="1"/>
  <c r="L3526" i="1" s="1"/>
  <c r="L3525" i="1" s="1"/>
  <c r="J2698" i="1"/>
  <c r="J4173" i="1"/>
  <c r="I1703" i="1"/>
  <c r="I1702" i="1" s="1"/>
  <c r="I1701" i="1" s="1"/>
  <c r="I1700" i="1" s="1"/>
  <c r="I1919" i="1"/>
  <c r="I1915" i="1" s="1"/>
  <c r="I1914" i="1" s="1"/>
  <c r="I2247" i="1"/>
  <c r="I2246" i="1" s="1"/>
  <c r="I2245" i="1" s="1"/>
  <c r="I2238" i="1" s="1"/>
  <c r="I2400" i="1"/>
  <c r="I2399" i="1" s="1"/>
  <c r="I2398" i="1" s="1"/>
  <c r="I2397" i="1" s="1"/>
  <c r="I2396" i="1" s="1"/>
  <c r="I2467" i="1"/>
  <c r="I2650" i="1"/>
  <c r="I2649" i="1" s="1"/>
  <c r="I2648" i="1" s="1"/>
  <c r="I2647" i="1" s="1"/>
  <c r="I2716" i="1"/>
  <c r="I2920" i="1"/>
  <c r="I2972" i="1"/>
  <c r="I3221" i="1"/>
  <c r="I3922" i="1"/>
  <c r="I3921" i="1" s="1"/>
  <c r="I3920" i="1" s="1"/>
  <c r="I3919" i="1" s="1"/>
  <c r="I4173" i="1"/>
  <c r="I4172" i="1" s="1"/>
  <c r="I4222" i="1"/>
  <c r="I4213" i="1" s="1"/>
  <c r="I4212" i="1" s="1"/>
  <c r="I4264" i="1"/>
  <c r="I4292" i="1"/>
  <c r="I4288" i="1" s="1"/>
  <c r="I4287" i="1" s="1"/>
  <c r="I4286" i="1" s="1"/>
  <c r="I4285" i="1" s="1"/>
  <c r="I4487" i="1"/>
  <c r="I4486" i="1" s="1"/>
  <c r="I102" i="1"/>
  <c r="I101" i="1" s="1"/>
  <c r="I100" i="1" s="1"/>
  <c r="I99" i="1" s="1"/>
  <c r="J3180" i="1"/>
  <c r="H2425" i="1"/>
  <c r="H2424" i="1" s="1"/>
  <c r="I1264" i="1"/>
  <c r="I1263" i="1" s="1"/>
  <c r="I1262" i="1" s="1"/>
  <c r="I1256" i="1" s="1"/>
  <c r="I3545" i="1"/>
  <c r="I3526" i="1" s="1"/>
  <c r="I3525" i="1" s="1"/>
  <c r="H550" i="1"/>
  <c r="H549" i="1" s="1"/>
  <c r="I2554" i="1"/>
  <c r="I2553" i="1" s="1"/>
  <c r="I2552" i="1" s="1"/>
  <c r="I2551" i="1" s="1"/>
  <c r="I13" i="1"/>
  <c r="I12" i="1" s="1"/>
  <c r="I11" i="1" s="1"/>
  <c r="H3545" i="1"/>
  <c r="H3526" i="1" s="1"/>
  <c r="H3525" i="1" s="1"/>
  <c r="J3545" i="1"/>
  <c r="H526" i="1"/>
  <c r="H525" i="1" s="1"/>
  <c r="H513" i="1" s="1"/>
  <c r="H705" i="1"/>
  <c r="H704" i="1" s="1"/>
  <c r="H703" i="1" s="1"/>
  <c r="H469" i="1"/>
  <c r="H468" i="1" s="1"/>
  <c r="H467" i="1" s="1"/>
  <c r="H2348" i="1"/>
  <c r="H1420" i="1"/>
  <c r="H1419" i="1" s="1"/>
  <c r="H1418" i="1" s="1"/>
  <c r="H1417" i="1" s="1"/>
  <c r="H1410" i="1" s="1"/>
  <c r="H2467" i="1"/>
  <c r="H3826" i="1"/>
  <c r="H3822" i="1" s="1"/>
  <c r="H3821" i="1" s="1"/>
  <c r="H3815" i="1" s="1"/>
  <c r="H3814" i="1" s="1"/>
  <c r="H4408" i="1"/>
  <c r="H4407" i="1" s="1"/>
  <c r="H4643" i="1"/>
  <c r="H4642" i="1" s="1"/>
  <c r="H4641" i="1" s="1"/>
  <c r="I148" i="1"/>
  <c r="I147" i="1" s="1"/>
  <c r="I146" i="1" s="1"/>
  <c r="I892" i="1"/>
  <c r="I891" i="1" s="1"/>
  <c r="I890" i="1" s="1"/>
  <c r="I889" i="1" s="1"/>
  <c r="I2275" i="1"/>
  <c r="I2271" i="1" s="1"/>
  <c r="I2270" i="1" s="1"/>
  <c r="I2257" i="1" s="1"/>
  <c r="I3317" i="1"/>
  <c r="I3316" i="1" s="1"/>
  <c r="I3315" i="1" s="1"/>
  <c r="H63" i="1"/>
  <c r="H62" i="1" s="1"/>
  <c r="H61" i="1" s="1"/>
  <c r="H60" i="1" s="1"/>
  <c r="H59" i="1" s="1"/>
  <c r="L13" i="1"/>
  <c r="L12" i="1" s="1"/>
  <c r="L11" i="1" s="1"/>
  <c r="I1631" i="1"/>
  <c r="I1630" i="1" s="1"/>
  <c r="I1629" i="1" s="1"/>
  <c r="I1628" i="1" s="1"/>
  <c r="I2391" i="1"/>
  <c r="I2390" i="1" s="1"/>
  <c r="I3263" i="1"/>
  <c r="I3262" i="1" s="1"/>
  <c r="H2650" i="1"/>
  <c r="H2649" i="1" s="1"/>
  <c r="H2648" i="1" s="1"/>
  <c r="H2647" i="1" s="1"/>
  <c r="H3278" i="1"/>
  <c r="I2059" i="1"/>
  <c r="I2058" i="1" s="1"/>
  <c r="I2057" i="1" s="1"/>
  <c r="I2092" i="1"/>
  <c r="I3180" i="1"/>
  <c r="I3179" i="1" s="1"/>
  <c r="I3170" i="1" s="1"/>
  <c r="L2932" i="1"/>
  <c r="L2931" i="1" s="1"/>
  <c r="H4650" i="1"/>
  <c r="H4649" i="1" s="1"/>
  <c r="L1069" i="1"/>
  <c r="L1068" i="1" s="1"/>
  <c r="L1067" i="1" s="1"/>
  <c r="L1066" i="1" s="1"/>
  <c r="L2682" i="1"/>
  <c r="L2681" i="1" s="1"/>
  <c r="L1755" i="1"/>
  <c r="L1754" i="1" s="1"/>
  <c r="J814" i="1"/>
  <c r="J1673" i="1"/>
  <c r="J2815" i="1"/>
  <c r="H3371" i="1"/>
  <c r="H3365" i="1" s="1"/>
  <c r="H3364" i="1" s="1"/>
  <c r="H3363" i="1" s="1"/>
  <c r="H3362" i="1" s="1"/>
  <c r="H3361" i="1" s="1"/>
  <c r="I28" i="1"/>
  <c r="I923" i="1"/>
  <c r="I912" i="1" s="1"/>
  <c r="H1264" i="1"/>
  <c r="H1263" i="1" s="1"/>
  <c r="H1262" i="1" s="1"/>
  <c r="H1256" i="1" s="1"/>
  <c r="H2311" i="1"/>
  <c r="H2310" i="1" s="1"/>
  <c r="H2309" i="1" s="1"/>
  <c r="H2308" i="1" s="1"/>
  <c r="H4474" i="1"/>
  <c r="H4473" i="1" s="1"/>
  <c r="H4472" i="1" s="1"/>
  <c r="L4756" i="1"/>
  <c r="L4755" i="1" s="1"/>
  <c r="L4754" i="1" s="1"/>
  <c r="L2317" i="1"/>
  <c r="L2316" i="1" s="1"/>
  <c r="J2554" i="1"/>
  <c r="J3371" i="1"/>
  <c r="I2932" i="1"/>
  <c r="I2931" i="1" s="1"/>
  <c r="I479" i="1"/>
  <c r="I572" i="1"/>
  <c r="I617" i="1"/>
  <c r="I616" i="1" s="1"/>
  <c r="I724" i="1"/>
  <c r="I723" i="1" s="1"/>
  <c r="L4703" i="1"/>
  <c r="L4702" i="1" s="1"/>
  <c r="L740" i="1"/>
  <c r="L739" i="1" s="1"/>
  <c r="L4119" i="1"/>
  <c r="J1891" i="1"/>
  <c r="H4413" i="1"/>
  <c r="I2425" i="1"/>
  <c r="I2424" i="1" s="1"/>
  <c r="H2849" i="1"/>
  <c r="H2848" i="1" s="1"/>
  <c r="H2847" i="1" s="1"/>
  <c r="H2846" i="1" s="1"/>
  <c r="I2849" i="1"/>
  <c r="I2848" i="1" s="1"/>
  <c r="I2847" i="1" s="1"/>
  <c r="I2846" i="1" s="1"/>
  <c r="L1124" i="1"/>
  <c r="L3137" i="1"/>
  <c r="L3136" i="1" s="1"/>
  <c r="H28" i="1"/>
  <c r="H504" i="1"/>
  <c r="H1609" i="1"/>
  <c r="H1608" i="1" s="1"/>
  <c r="I2112" i="1"/>
  <c r="I2111" i="1" s="1"/>
  <c r="I2809" i="1"/>
  <c r="I2808" i="1" s="1"/>
  <c r="I2807" i="1" s="1"/>
  <c r="I2806" i="1" s="1"/>
  <c r="I2954" i="1"/>
  <c r="I2953" i="1" s="1"/>
  <c r="I2952" i="1" s="1"/>
  <c r="I2951" i="1" s="1"/>
  <c r="L4447" i="1"/>
  <c r="L4446" i="1" s="1"/>
  <c r="H3642" i="1"/>
  <c r="H3641" i="1" s="1"/>
  <c r="H3640" i="1" s="1"/>
  <c r="L102" i="1"/>
  <c r="L101" i="1" s="1"/>
  <c r="L100" i="1" s="1"/>
  <c r="L99" i="1" s="1"/>
  <c r="J4447" i="1"/>
  <c r="J1559" i="1"/>
  <c r="H3851" i="1"/>
  <c r="H3850" i="1" s="1"/>
  <c r="H3849" i="1" s="1"/>
  <c r="H2716" i="1"/>
  <c r="H2972" i="1"/>
  <c r="H3170" i="1"/>
  <c r="H3996" i="1"/>
  <c r="H3995" i="1" s="1"/>
  <c r="H3989" i="1" s="1"/>
  <c r="H1281" i="1"/>
  <c r="H1280" i="1" s="1"/>
  <c r="H1279" i="1" s="1"/>
  <c r="H1278" i="1" s="1"/>
  <c r="H1277" i="1" s="1"/>
  <c r="I201" i="1"/>
  <c r="I197" i="1" s="1"/>
  <c r="I991" i="1"/>
  <c r="I1311" i="1"/>
  <c r="I1310" i="1" s="1"/>
  <c r="I1309" i="1" s="1"/>
  <c r="I1398" i="1"/>
  <c r="I1833" i="1"/>
  <c r="I1832" i="1" s="1"/>
  <c r="I1831" i="1" s="1"/>
  <c r="I1830" i="1" s="1"/>
  <c r="L2385" i="1"/>
  <c r="L2384" i="1" s="1"/>
  <c r="L2383" i="1" s="1"/>
  <c r="L2382" i="1" s="1"/>
  <c r="I2631" i="1"/>
  <c r="I2630" i="1" s="1"/>
  <c r="I2629" i="1" s="1"/>
  <c r="I2628" i="1" s="1"/>
  <c r="L4264" i="1"/>
  <c r="L4254" i="1" s="1"/>
  <c r="J3317" i="1"/>
  <c r="J2179" i="1"/>
  <c r="L4049" i="1"/>
  <c r="J991" i="1"/>
  <c r="I1559" i="1"/>
  <c r="I1558" i="1" s="1"/>
  <c r="H814" i="1"/>
  <c r="I2163" i="1"/>
  <c r="I2162" i="1" s="1"/>
  <c r="J3087" i="1"/>
  <c r="J243" i="1"/>
  <c r="I4364" i="1"/>
  <c r="L63" i="1"/>
  <c r="L62" i="1" s="1"/>
  <c r="L61" i="1" s="1"/>
  <c r="L60" i="1" s="1"/>
  <c r="L59" i="1" s="1"/>
  <c r="I845" i="1"/>
  <c r="I844" i="1" s="1"/>
  <c r="I843" i="1" s="1"/>
  <c r="I842" i="1" s="1"/>
  <c r="I2938" i="1"/>
  <c r="I2937" i="1" s="1"/>
  <c r="L1985" i="1"/>
  <c r="L1984" i="1" s="1"/>
  <c r="L1983" i="1" s="1"/>
  <c r="L1982" i="1" s="1"/>
  <c r="I965" i="1"/>
  <c r="I964" i="1" s="1"/>
  <c r="I963" i="1" s="1"/>
  <c r="I962" i="1" s="1"/>
  <c r="I1248" i="1"/>
  <c r="I1247" i="1" s="1"/>
  <c r="I1246" i="1" s="1"/>
  <c r="I3371" i="1"/>
  <c r="J2521" i="1"/>
  <c r="L2377" i="1"/>
  <c r="L2376" i="1" s="1"/>
  <c r="L2375" i="1" s="1"/>
  <c r="L2369" i="1" s="1"/>
  <c r="I63" i="1"/>
  <c r="I62" i="1" s="1"/>
  <c r="I61" i="1" s="1"/>
  <c r="I60" i="1" s="1"/>
  <c r="I59" i="1" s="1"/>
  <c r="H4462" i="1"/>
  <c r="H4454" i="1" s="1"/>
  <c r="L1272" i="1"/>
  <c r="L1271" i="1" s="1"/>
  <c r="L1270" i="1" s="1"/>
  <c r="L1269" i="1" s="1"/>
  <c r="I1553" i="1"/>
  <c r="I1552" i="1" s="1"/>
  <c r="I1551" i="1" s="1"/>
  <c r="I1550" i="1" s="1"/>
  <c r="J1553" i="1"/>
  <c r="J1833" i="1"/>
  <c r="J2106" i="1"/>
  <c r="I2106" i="1"/>
  <c r="I2105" i="1" s="1"/>
  <c r="I2104" i="1" s="1"/>
  <c r="I2103" i="1" s="1"/>
  <c r="H2385" i="1"/>
  <c r="H2384" i="1" s="1"/>
  <c r="H2383" i="1" s="1"/>
  <c r="H2382" i="1" s="1"/>
  <c r="J2631" i="1"/>
  <c r="H2882" i="1"/>
  <c r="H2881" i="1" s="1"/>
  <c r="H2880" i="1" s="1"/>
  <c r="H2879" i="1" s="1"/>
  <c r="I2882" i="1"/>
  <c r="I2881" i="1" s="1"/>
  <c r="I2880" i="1" s="1"/>
  <c r="I2879" i="1" s="1"/>
  <c r="H2668" i="1"/>
  <c r="H2667" i="1" s="1"/>
  <c r="H3005" i="1"/>
  <c r="H3004" i="1" s="1"/>
  <c r="H3003" i="1" s="1"/>
  <c r="H3002" i="1" s="1"/>
  <c r="H3001" i="1" s="1"/>
  <c r="H3000" i="1" s="1"/>
  <c r="H4060" i="1"/>
  <c r="H4195" i="1"/>
  <c r="H4194" i="1" s="1"/>
  <c r="H4193" i="1" s="1"/>
  <c r="I1810" i="1"/>
  <c r="I1809" i="1" s="1"/>
  <c r="I3691" i="1"/>
  <c r="I3690" i="1" s="1"/>
  <c r="I3689" i="1" s="1"/>
  <c r="I3682" i="1" s="1"/>
  <c r="I3681" i="1" s="1"/>
  <c r="J4074" i="1"/>
  <c r="H1202" i="1"/>
  <c r="H1201" i="1" s="1"/>
  <c r="H1200" i="1" s="1"/>
  <c r="H1199" i="1" s="1"/>
  <c r="I168" i="1"/>
  <c r="I164" i="1" s="1"/>
  <c r="I163" i="1" s="1"/>
  <c r="I162" i="1" s="1"/>
  <c r="I161" i="1" s="1"/>
  <c r="I226" i="1"/>
  <c r="I225" i="1" s="1"/>
  <c r="I1865" i="1"/>
  <c r="I1864" i="1" s="1"/>
  <c r="I1863" i="1" s="1"/>
  <c r="I1862" i="1" s="1"/>
  <c r="H1825" i="1"/>
  <c r="H1824" i="1" s="1"/>
  <c r="H1823" i="1" s="1"/>
  <c r="H1817" i="1" s="1"/>
  <c r="H1272" i="1"/>
  <c r="H1271" i="1" s="1"/>
  <c r="H1270" i="1" s="1"/>
  <c r="H1269" i="1" s="1"/>
  <c r="H1545" i="1"/>
  <c r="H1544" i="1" s="1"/>
  <c r="H1543" i="1" s="1"/>
  <c r="H1537" i="1" s="1"/>
  <c r="I3366" i="1"/>
  <c r="I3866" i="1"/>
  <c r="I3865" i="1" s="1"/>
  <c r="I4629" i="1"/>
  <c r="I3642" i="1"/>
  <c r="I3641" i="1" s="1"/>
  <c r="I3640" i="1" s="1"/>
  <c r="H1069" i="1"/>
  <c r="H1068" i="1" s="1"/>
  <c r="H1067" i="1" s="1"/>
  <c r="H1066" i="1" s="1"/>
  <c r="J1755" i="1"/>
  <c r="H4124" i="1"/>
  <c r="H4112" i="1" s="1"/>
  <c r="H4107" i="1" s="1"/>
  <c r="H4106" i="1" s="1"/>
  <c r="H923" i="1"/>
  <c r="H912" i="1" s="1"/>
  <c r="J2932" i="1"/>
  <c r="I337" i="1"/>
  <c r="I4413" i="1"/>
  <c r="L2059" i="1"/>
  <c r="L2058" i="1" s="1"/>
  <c r="L2057" i="1" s="1"/>
  <c r="L1471" i="1"/>
  <c r="L1470" i="1" s="1"/>
  <c r="L1469" i="1" s="1"/>
  <c r="L1468" i="1" s="1"/>
  <c r="L28" i="1"/>
  <c r="J4726" i="1"/>
  <c r="L1504" i="1"/>
  <c r="L1503" i="1" s="1"/>
  <c r="L1502" i="1" s="1"/>
  <c r="L2112" i="1"/>
  <c r="L2111" i="1" s="1"/>
  <c r="L1609" i="1"/>
  <c r="L1608" i="1" s="1"/>
  <c r="L2676" i="1"/>
  <c r="L2675" i="1" s="1"/>
  <c r="L2668" i="1" s="1"/>
  <c r="L2667" i="1" s="1"/>
  <c r="I4634" i="1"/>
  <c r="I827" i="1"/>
  <c r="I1713" i="1"/>
  <c r="I1709" i="1" s="1"/>
  <c r="I1708" i="1" s="1"/>
  <c r="L3691" i="1"/>
  <c r="L3690" i="1" s="1"/>
  <c r="L3689" i="1" s="1"/>
  <c r="L3682" i="1" s="1"/>
  <c r="L3681" i="1" s="1"/>
  <c r="J337" i="1"/>
  <c r="L3866" i="1"/>
  <c r="L3865" i="1" s="1"/>
  <c r="H3768" i="1"/>
  <c r="H3922" i="1"/>
  <c r="H3921" i="1" s="1"/>
  <c r="H3920" i="1" s="1"/>
  <c r="H3919" i="1" s="1"/>
  <c r="H4173" i="1"/>
  <c r="H4172" i="1" s="1"/>
  <c r="H4264" i="1"/>
  <c r="H4254" i="1" s="1"/>
  <c r="H4487" i="1"/>
  <c r="H4486" i="1" s="1"/>
  <c r="H4763" i="1"/>
  <c r="H4762" i="1" s="1"/>
  <c r="I118" i="1"/>
  <c r="I117" i="1" s="1"/>
  <c r="I116" i="1" s="1"/>
  <c r="I115" i="1" s="1"/>
  <c r="I114" i="1" s="1"/>
  <c r="I469" i="1"/>
  <c r="I468" i="1" s="1"/>
  <c r="I467" i="1" s="1"/>
  <c r="I867" i="1"/>
  <c r="I866" i="1" s="1"/>
  <c r="I933" i="1"/>
  <c r="I932" i="1" s="1"/>
  <c r="I1110" i="1"/>
  <c r="I1109" i="1" s="1"/>
  <c r="I1108" i="1" s="1"/>
  <c r="I1292" i="1"/>
  <c r="I1291" i="1" s="1"/>
  <c r="I1290" i="1" s="1"/>
  <c r="I1289" i="1" s="1"/>
  <c r="I1385" i="1"/>
  <c r="I1384" i="1" s="1"/>
  <c r="I1383" i="1" s="1"/>
  <c r="I1909" i="1"/>
  <c r="I1908" i="1" s="1"/>
  <c r="I1907" i="1" s="1"/>
  <c r="I1906" i="1" s="1"/>
  <c r="I1985" i="1"/>
  <c r="I1984" i="1" s="1"/>
  <c r="I1983" i="1" s="1"/>
  <c r="I1982" i="1" s="1"/>
  <c r="I2489" i="1"/>
  <c r="I2488" i="1" s="1"/>
  <c r="I2739" i="1"/>
  <c r="I2738" i="1" s="1"/>
  <c r="I2737" i="1" s="1"/>
  <c r="I2762" i="1"/>
  <c r="I2761" i="1" s="1"/>
  <c r="I2760" i="1" s="1"/>
  <c r="I2759" i="1" s="1"/>
  <c r="I2823" i="1"/>
  <c r="I2822" i="1" s="1"/>
  <c r="I2821" i="1" s="1"/>
  <c r="I2820" i="1" s="1"/>
  <c r="I2995" i="1"/>
  <c r="I2994" i="1" s="1"/>
  <c r="I2993" i="1" s="1"/>
  <c r="I3023" i="1"/>
  <c r="I3022" i="1" s="1"/>
  <c r="I3021" i="1" s="1"/>
  <c r="I3020" i="1" s="1"/>
  <c r="I3058" i="1"/>
  <c r="I3057" i="1" s="1"/>
  <c r="I3056" i="1" s="1"/>
  <c r="I3055" i="1" s="1"/>
  <c r="I3456" i="1"/>
  <c r="I3856" i="1"/>
  <c r="I3885" i="1"/>
  <c r="I3884" i="1" s="1"/>
  <c r="I3883" i="1" s="1"/>
  <c r="I3882" i="1" s="1"/>
  <c r="I3881" i="1" s="1"/>
  <c r="I3880" i="1" s="1"/>
  <c r="I3959" i="1"/>
  <c r="L1154" i="1"/>
  <c r="L1150" i="1" s="1"/>
  <c r="L1149" i="1" s="1"/>
  <c r="L1136" i="1" s="1"/>
  <c r="J1430" i="1"/>
  <c r="L2521" i="1"/>
  <c r="L2517" i="1" s="1"/>
  <c r="L2516" i="1" s="1"/>
  <c r="L2503" i="1" s="1"/>
  <c r="L2496" i="1" s="1"/>
  <c r="H226" i="1"/>
  <c r="H225" i="1" s="1"/>
  <c r="H363" i="1"/>
  <c r="H689" i="1"/>
  <c r="H688" i="1" s="1"/>
  <c r="H687" i="1" s="1"/>
  <c r="H1041" i="1"/>
  <c r="H1040" i="1" s="1"/>
  <c r="H1398" i="1"/>
  <c r="H1578" i="1"/>
  <c r="H1577" i="1" s="1"/>
  <c r="H1576" i="1" s="1"/>
  <c r="H1575" i="1" s="1"/>
  <c r="H1673" i="1"/>
  <c r="H1672" i="1" s="1"/>
  <c r="H1671" i="1" s="1"/>
  <c r="H1810" i="1"/>
  <c r="H1809" i="1" s="1"/>
  <c r="H1865" i="1"/>
  <c r="H1864" i="1" s="1"/>
  <c r="H1863" i="1" s="1"/>
  <c r="H1862" i="1" s="1"/>
  <c r="H2225" i="1"/>
  <c r="H2224" i="1" s="1"/>
  <c r="H2223" i="1" s="1"/>
  <c r="H2325" i="1"/>
  <c r="H2324" i="1" s="1"/>
  <c r="H2323" i="1" s="1"/>
  <c r="H2322" i="1" s="1"/>
  <c r="H2739" i="1"/>
  <c r="H2738" i="1" s="1"/>
  <c r="H2737" i="1" s="1"/>
  <c r="H2995" i="1"/>
  <c r="H2994" i="1" s="1"/>
  <c r="H2993" i="1" s="1"/>
  <c r="H3023" i="1"/>
  <c r="H3022" i="1" s="1"/>
  <c r="H3021" i="1" s="1"/>
  <c r="H3020" i="1" s="1"/>
  <c r="H3058" i="1"/>
  <c r="H3057" i="1" s="1"/>
  <c r="H3056" i="1" s="1"/>
  <c r="H3055" i="1" s="1"/>
  <c r="L2776" i="1"/>
  <c r="L2772" i="1" s="1"/>
  <c r="L2771" i="1" s="1"/>
  <c r="J4629" i="1"/>
  <c r="H21" i="1"/>
  <c r="H479" i="1"/>
  <c r="H1909" i="1"/>
  <c r="H1908" i="1" s="1"/>
  <c r="H1907" i="1" s="1"/>
  <c r="H1906" i="1" s="1"/>
  <c r="H1985" i="1"/>
  <c r="H1984" i="1" s="1"/>
  <c r="H1983" i="1" s="1"/>
  <c r="H1982" i="1" s="1"/>
  <c r="H1975" i="1" s="1"/>
  <c r="H1967" i="1" s="1"/>
  <c r="H2449" i="1"/>
  <c r="H2448" i="1" s="1"/>
  <c r="H2447" i="1" s="1"/>
  <c r="H2446" i="1" s="1"/>
  <c r="H2861" i="1"/>
  <c r="H2860" i="1" s="1"/>
  <c r="H4167" i="1"/>
  <c r="H4166" i="1" s="1"/>
  <c r="H4231" i="1"/>
  <c r="I349" i="1"/>
  <c r="I348" i="1" s="1"/>
  <c r="I1597" i="1"/>
  <c r="I1673" i="1"/>
  <c r="I1672" i="1" s="1"/>
  <c r="I1671" i="1" s="1"/>
  <c r="I1950" i="1"/>
  <c r="I1949" i="1" s="1"/>
  <c r="I1948" i="1" s="1"/>
  <c r="I2004" i="1"/>
  <c r="I2003" i="1" s="1"/>
  <c r="I2002" i="1" s="1"/>
  <c r="I2085" i="1"/>
  <c r="I2084" i="1" s="1"/>
  <c r="I3851" i="1"/>
  <c r="I3850" i="1" s="1"/>
  <c r="I3849" i="1" s="1"/>
  <c r="I4039" i="1"/>
  <c r="I4038" i="1" s="1"/>
  <c r="I4183" i="1"/>
  <c r="I4179" i="1" s="1"/>
  <c r="I4408" i="1"/>
  <c r="I4407" i="1" s="1"/>
  <c r="I4427" i="1"/>
  <c r="I4462" i="1"/>
  <c r="I1272" i="1"/>
  <c r="I1271" i="1" s="1"/>
  <c r="I1270" i="1" s="1"/>
  <c r="I1269" i="1" s="1"/>
  <c r="I4503" i="1"/>
  <c r="I4499" i="1" s="1"/>
  <c r="I4498" i="1" s="1"/>
  <c r="I4497" i="1" s="1"/>
  <c r="I4552" i="1"/>
  <c r="I884" i="1"/>
  <c r="I883" i="1" s="1"/>
  <c r="I882" i="1" s="1"/>
  <c r="I1154" i="1"/>
  <c r="I1150" i="1" s="1"/>
  <c r="I1149" i="1" s="1"/>
  <c r="I1136" i="1" s="1"/>
  <c r="I2521" i="1"/>
  <c r="I2517" i="1" s="1"/>
  <c r="I2516" i="1" s="1"/>
  <c r="I2503" i="1" s="1"/>
  <c r="I2496" i="1" s="1"/>
  <c r="J1703" i="1"/>
  <c r="I504" i="1"/>
  <c r="I492" i="1" s="1"/>
  <c r="I491" i="1" s="1"/>
  <c r="I1609" i="1"/>
  <c r="I1608" i="1" s="1"/>
  <c r="L2617" i="1"/>
  <c r="L1339" i="1"/>
  <c r="L1338" i="1" s="1"/>
  <c r="L1337" i="1" s="1"/>
  <c r="L1336" i="1" s="1"/>
  <c r="L965" i="1"/>
  <c r="L964" i="1" s="1"/>
  <c r="L963" i="1" s="1"/>
  <c r="L962" i="1" s="1"/>
  <c r="J884" i="1"/>
  <c r="L884" i="1"/>
  <c r="L883" i="1" s="1"/>
  <c r="L882" i="1" s="1"/>
  <c r="J1154" i="1"/>
  <c r="L1430" i="1"/>
  <c r="L1426" i="1" s="1"/>
  <c r="L1425" i="1" s="1"/>
  <c r="L1713" i="1"/>
  <c r="L1709" i="1" s="1"/>
  <c r="L1708" i="1" s="1"/>
  <c r="J1713" i="1"/>
  <c r="I1641" i="1"/>
  <c r="I1637" i="1" s="1"/>
  <c r="I1636" i="1" s="1"/>
  <c r="I1627" i="1" s="1"/>
  <c r="L1825" i="1"/>
  <c r="L1824" i="1" s="1"/>
  <c r="L1823" i="1" s="1"/>
  <c r="L1817" i="1" s="1"/>
  <c r="I1825" i="1"/>
  <c r="I1824" i="1" s="1"/>
  <c r="I1823" i="1" s="1"/>
  <c r="I1817" i="1" s="1"/>
  <c r="L1545" i="1"/>
  <c r="L1544" i="1" s="1"/>
  <c r="L1543" i="1" s="1"/>
  <c r="L1537" i="1" s="1"/>
  <c r="L2882" i="1"/>
  <c r="L2881" i="1" s="1"/>
  <c r="L2880" i="1" s="1"/>
  <c r="L2879" i="1" s="1"/>
  <c r="H4447" i="1"/>
  <c r="H4446" i="1" s="1"/>
  <c r="I786" i="1"/>
  <c r="I785" i="1" s="1"/>
  <c r="J822" i="1"/>
  <c r="K822" i="1" s="1"/>
  <c r="I4680" i="1"/>
  <c r="I4679" i="1" s="1"/>
  <c r="I4673" i="1" s="1"/>
  <c r="I309" i="1"/>
  <c r="I308" i="1" s="1"/>
  <c r="I307" i="1" s="1"/>
  <c r="J1909" i="1"/>
  <c r="J118" i="1"/>
  <c r="J2449" i="1"/>
  <c r="J1385" i="1"/>
  <c r="J2727" i="1"/>
  <c r="J2964" i="1"/>
  <c r="J3005" i="1"/>
  <c r="I4643" i="1"/>
  <c r="I4642" i="1" s="1"/>
  <c r="I4641" i="1" s="1"/>
  <c r="J4756" i="1"/>
  <c r="H4081" i="1"/>
  <c r="L1950" i="1"/>
  <c r="L1949" i="1" s="1"/>
  <c r="L1948" i="1" s="1"/>
  <c r="I1079" i="1"/>
  <c r="I1075" i="1" s="1"/>
  <c r="I1074" i="1" s="1"/>
  <c r="I1065" i="1" s="1"/>
  <c r="J3720" i="1"/>
  <c r="J3780" i="1"/>
  <c r="J3826" i="1"/>
  <c r="J3851" i="1"/>
  <c r="J4763" i="1"/>
  <c r="H118" i="1"/>
  <c r="H117" i="1" s="1"/>
  <c r="H116" i="1" s="1"/>
  <c r="H115" i="1" s="1"/>
  <c r="H114" i="1" s="1"/>
  <c r="H609" i="1"/>
  <c r="H605" i="1" s="1"/>
  <c r="H604" i="1" s="1"/>
  <c r="H603" i="1" s="1"/>
  <c r="H652" i="1"/>
  <c r="H651" i="1" s="1"/>
  <c r="H1031" i="1"/>
  <c r="H1030" i="1" s="1"/>
  <c r="H1098" i="1"/>
  <c r="H1097" i="1" s="1"/>
  <c r="H1373" i="1"/>
  <c r="H1372" i="1" s="1"/>
  <c r="H1530" i="1"/>
  <c r="H1529" i="1" s="1"/>
  <c r="H1765" i="1"/>
  <c r="H1764" i="1" s="1"/>
  <c r="H1763" i="1" s="1"/>
  <c r="H1762" i="1" s="1"/>
  <c r="H2151" i="1"/>
  <c r="H2150" i="1" s="1"/>
  <c r="H2785" i="1"/>
  <c r="H2784" i="1" s="1"/>
  <c r="H2783" i="1" s="1"/>
  <c r="H3344" i="1"/>
  <c r="H3340" i="1" s="1"/>
  <c r="H3339" i="1" s="1"/>
  <c r="H3930" i="1"/>
  <c r="H3929" i="1" s="1"/>
  <c r="H3928" i="1" s="1"/>
  <c r="H3927" i="1" s="1"/>
  <c r="H3949" i="1"/>
  <c r="H4563" i="1"/>
  <c r="H4559" i="1" s="1"/>
  <c r="I47" i="1"/>
  <c r="I43" i="1" s="1"/>
  <c r="I42" i="1" s="1"/>
  <c r="I74" i="1"/>
  <c r="I73" i="1" s="1"/>
  <c r="I72" i="1" s="1"/>
  <c r="I71" i="1" s="1"/>
  <c r="I186" i="1"/>
  <c r="I185" i="1" s="1"/>
  <c r="I689" i="1"/>
  <c r="I688" i="1" s="1"/>
  <c r="I687" i="1" s="1"/>
  <c r="I2225" i="1"/>
  <c r="I2224" i="1" s="1"/>
  <c r="I2223" i="1" s="1"/>
  <c r="I2449" i="1"/>
  <c r="I2448" i="1" s="1"/>
  <c r="I2447" i="1" s="1"/>
  <c r="I2446" i="1" s="1"/>
  <c r="I2861" i="1"/>
  <c r="I2860" i="1" s="1"/>
  <c r="I2895" i="1"/>
  <c r="I2894" i="1" s="1"/>
  <c r="I2893" i="1" s="1"/>
  <c r="I2892" i="1" s="1"/>
  <c r="I2891" i="1" s="1"/>
  <c r="I3005" i="1"/>
  <c r="I3004" i="1" s="1"/>
  <c r="I3003" i="1" s="1"/>
  <c r="I3002" i="1" s="1"/>
  <c r="I3001" i="1" s="1"/>
  <c r="I3000" i="1" s="1"/>
  <c r="I4522" i="1"/>
  <c r="I4518" i="1" s="1"/>
  <c r="I4513" i="1" s="1"/>
  <c r="I4512" i="1" s="1"/>
  <c r="I4511" i="1" s="1"/>
  <c r="I4510" i="1" s="1"/>
  <c r="L827" i="1"/>
  <c r="J2391" i="1"/>
  <c r="J3691" i="1"/>
  <c r="I4650" i="1"/>
  <c r="I4649" i="1" s="1"/>
  <c r="J4124" i="1"/>
  <c r="H13" i="1"/>
  <c r="H12" i="1" s="1"/>
  <c r="H11" i="1" s="1"/>
  <c r="H168" i="1"/>
  <c r="H164" i="1" s="1"/>
  <c r="H163" i="1" s="1"/>
  <c r="H162" i="1" s="1"/>
  <c r="H161" i="1" s="1"/>
  <c r="H186" i="1"/>
  <c r="H185" i="1" s="1"/>
  <c r="H201" i="1"/>
  <c r="H197" i="1" s="1"/>
  <c r="H319" i="1"/>
  <c r="H315" i="1" s="1"/>
  <c r="H314" i="1" s="1"/>
  <c r="H306" i="1" s="1"/>
  <c r="H349" i="1"/>
  <c r="H348" i="1" s="1"/>
  <c r="H492" i="1"/>
  <c r="H491" i="1" s="1"/>
  <c r="H617" i="1"/>
  <c r="H616" i="1" s="1"/>
  <c r="H724" i="1"/>
  <c r="H723" i="1" s="1"/>
  <c r="H740" i="1"/>
  <c r="H739" i="1" s="1"/>
  <c r="H1010" i="1"/>
  <c r="H1009" i="1" s="1"/>
  <c r="H1003" i="1" s="1"/>
  <c r="H1110" i="1"/>
  <c r="H1109" i="1" s="1"/>
  <c r="H1108" i="1" s="1"/>
  <c r="H1136" i="1"/>
  <c r="H1123" i="1" s="1"/>
  <c r="H1292" i="1"/>
  <c r="H1291" i="1" s="1"/>
  <c r="H1290" i="1" s="1"/>
  <c r="H1289" i="1" s="1"/>
  <c r="H1385" i="1"/>
  <c r="H1384" i="1" s="1"/>
  <c r="H1383" i="1" s="1"/>
  <c r="H1490" i="1"/>
  <c r="H1489" i="1" s="1"/>
  <c r="H1488" i="1" s="1"/>
  <c r="H1487" i="1" s="1"/>
  <c r="H1641" i="1"/>
  <c r="H1637" i="1" s="1"/>
  <c r="H1636" i="1" s="1"/>
  <c r="H1627" i="1" s="1"/>
  <c r="H1703" i="1"/>
  <c r="H1702" i="1" s="1"/>
  <c r="H1701" i="1" s="1"/>
  <c r="H1700" i="1" s="1"/>
  <c r="H1693" i="1" s="1"/>
  <c r="H1685" i="1" s="1"/>
  <c r="H1755" i="1"/>
  <c r="H1754" i="1" s="1"/>
  <c r="H1919" i="1"/>
  <c r="H1915" i="1" s="1"/>
  <c r="H1914" i="1" s="1"/>
  <c r="H2004" i="1"/>
  <c r="H2003" i="1" s="1"/>
  <c r="H2002" i="1" s="1"/>
  <c r="H2001" i="1" s="1"/>
  <c r="H2123" i="1"/>
  <c r="H2122" i="1" s="1"/>
  <c r="H2121" i="1" s="1"/>
  <c r="H2120" i="1" s="1"/>
  <c r="H2119" i="1" s="1"/>
  <c r="H2179" i="1"/>
  <c r="H2178" i="1" s="1"/>
  <c r="H2177" i="1" s="1"/>
  <c r="H2176" i="1" s="1"/>
  <c r="H2189" i="1"/>
  <c r="H2185" i="1" s="1"/>
  <c r="H2184" i="1" s="1"/>
  <c r="H2247" i="1"/>
  <c r="H2246" i="1" s="1"/>
  <c r="H2245" i="1" s="1"/>
  <c r="H2238" i="1" s="1"/>
  <c r="H2362" i="1"/>
  <c r="H2361" i="1" s="1"/>
  <c r="H2530" i="1"/>
  <c r="H2529" i="1" s="1"/>
  <c r="H2528" i="1" s="1"/>
  <c r="H2554" i="1"/>
  <c r="H2553" i="1" s="1"/>
  <c r="H2552" i="1" s="1"/>
  <c r="H2551" i="1" s="1"/>
  <c r="H2640" i="1"/>
  <c r="H2639" i="1" s="1"/>
  <c r="H2638" i="1" s="1"/>
  <c r="H2637" i="1" s="1"/>
  <c r="H2636" i="1" s="1"/>
  <c r="H2698" i="1"/>
  <c r="H2697" i="1" s="1"/>
  <c r="H2696" i="1" s="1"/>
  <c r="H2695" i="1" s="1"/>
  <c r="H2708" i="1"/>
  <c r="H2704" i="1" s="1"/>
  <c r="H2703" i="1" s="1"/>
  <c r="H3161" i="1"/>
  <c r="H3156" i="1" s="1"/>
  <c r="H3150" i="1" s="1"/>
  <c r="H3214" i="1"/>
  <c r="H3295" i="1"/>
  <c r="H3294" i="1" s="1"/>
  <c r="H3293" i="1" s="1"/>
  <c r="H3308" i="1"/>
  <c r="H3304" i="1" s="1"/>
  <c r="H3303" i="1" s="1"/>
  <c r="H3353" i="1"/>
  <c r="H3352" i="1" s="1"/>
  <c r="H3351" i="1" s="1"/>
  <c r="H3456" i="1"/>
  <c r="H3856" i="1"/>
  <c r="H3885" i="1"/>
  <c r="H3884" i="1" s="1"/>
  <c r="H3883" i="1" s="1"/>
  <c r="H3882" i="1" s="1"/>
  <c r="H3881" i="1" s="1"/>
  <c r="H3880" i="1" s="1"/>
  <c r="H3959" i="1"/>
  <c r="H4067" i="1"/>
  <c r="H4322" i="1"/>
  <c r="H4541" i="1"/>
  <c r="H4537" i="1" s="1"/>
  <c r="H4532" i="1" s="1"/>
  <c r="H4531" i="1" s="1"/>
  <c r="H4530" i="1" s="1"/>
  <c r="H4529" i="1" s="1"/>
  <c r="H4594" i="1"/>
  <c r="H4590" i="1" s="1"/>
  <c r="H4589" i="1" s="1"/>
  <c r="H4583" i="1" s="1"/>
  <c r="H4582" i="1" s="1"/>
  <c r="H4634" i="1"/>
  <c r="H4726" i="1"/>
  <c r="H4725" i="1" s="1"/>
  <c r="H4724" i="1" s="1"/>
  <c r="H4717" i="1" s="1"/>
  <c r="H4739" i="1"/>
  <c r="H4735" i="1" s="1"/>
  <c r="H4734" i="1" s="1"/>
  <c r="H4733" i="1" s="1"/>
  <c r="H4732" i="1" s="1"/>
  <c r="I21" i="1"/>
  <c r="I243" i="1"/>
  <c r="I242" i="1" s="1"/>
  <c r="I241" i="1" s="1"/>
  <c r="I240" i="1" s="1"/>
  <c r="I239" i="1" s="1"/>
  <c r="I238" i="1" s="1"/>
  <c r="I330" i="1"/>
  <c r="I363" i="1"/>
  <c r="I403" i="1"/>
  <c r="I396" i="1" s="1"/>
  <c r="I395" i="1" s="1"/>
  <c r="I394" i="1" s="1"/>
  <c r="I388" i="1" s="1"/>
  <c r="I449" i="1"/>
  <c r="I442" i="1" s="1"/>
  <c r="I441" i="1" s="1"/>
  <c r="I440" i="1" s="1"/>
  <c r="I439" i="1" s="1"/>
  <c r="I556" i="1"/>
  <c r="I582" i="1"/>
  <c r="I581" i="1" s="1"/>
  <c r="I609" i="1"/>
  <c r="I605" i="1" s="1"/>
  <c r="I604" i="1" s="1"/>
  <c r="I603" i="1" s="1"/>
  <c r="I652" i="1"/>
  <c r="I651" i="1" s="1"/>
  <c r="I670" i="1"/>
  <c r="I669" i="1" s="1"/>
  <c r="I668" i="1" s="1"/>
  <c r="I984" i="1"/>
  <c r="I998" i="1"/>
  <c r="I997" i="1" s="1"/>
  <c r="I996" i="1" s="1"/>
  <c r="I1031" i="1"/>
  <c r="I1030" i="1" s="1"/>
  <c r="I1202" i="1"/>
  <c r="I1201" i="1" s="1"/>
  <c r="I1200" i="1" s="1"/>
  <c r="I1199" i="1" s="1"/>
  <c r="I1349" i="1"/>
  <c r="I1345" i="1" s="1"/>
  <c r="I1344" i="1" s="1"/>
  <c r="I1335" i="1" s="1"/>
  <c r="I1444" i="1"/>
  <c r="I1443" i="1" s="1"/>
  <c r="I1442" i="1" s="1"/>
  <c r="I1471" i="1"/>
  <c r="I1470" i="1" s="1"/>
  <c r="I1469" i="1" s="1"/>
  <c r="I1468" i="1" s="1"/>
  <c r="I1530" i="1"/>
  <c r="I1529" i="1" s="1"/>
  <c r="I1568" i="1"/>
  <c r="I1567" i="1" s="1"/>
  <c r="I1566" i="1" s="1"/>
  <c r="I1565" i="1" s="1"/>
  <c r="I1564" i="1" s="1"/>
  <c r="I1650" i="1"/>
  <c r="I2045" i="1"/>
  <c r="I2044" i="1" s="1"/>
  <c r="I2043" i="1" s="1"/>
  <c r="I2133" i="1"/>
  <c r="I2132" i="1" s="1"/>
  <c r="I2131" i="1" s="1"/>
  <c r="I2130" i="1" s="1"/>
  <c r="I2202" i="1"/>
  <c r="I2459" i="1"/>
  <c r="I2455" i="1" s="1"/>
  <c r="I2454" i="1" s="1"/>
  <c r="I2530" i="1"/>
  <c r="I2529" i="1" s="1"/>
  <c r="I2528" i="1" s="1"/>
  <c r="I2610" i="1"/>
  <c r="I2609" i="1" s="1"/>
  <c r="I2640" i="1"/>
  <c r="I2639" i="1" s="1"/>
  <c r="I2638" i="1" s="1"/>
  <c r="I2637" i="1" s="1"/>
  <c r="I2636" i="1" s="1"/>
  <c r="I2698" i="1"/>
  <c r="I2697" i="1" s="1"/>
  <c r="I2696" i="1" s="1"/>
  <c r="I2695" i="1" s="1"/>
  <c r="L1641" i="1"/>
  <c r="L1637" i="1" s="1"/>
  <c r="L1636" i="1" s="1"/>
  <c r="L2035" i="1"/>
  <c r="L2034" i="1" s="1"/>
  <c r="J3263" i="1"/>
  <c r="J4650" i="1"/>
  <c r="I2708" i="1"/>
  <c r="I2704" i="1" s="1"/>
  <c r="I2703" i="1" s="1"/>
  <c r="I2964" i="1"/>
  <c r="I2960" i="1" s="1"/>
  <c r="I2959" i="1" s="1"/>
  <c r="I3087" i="1"/>
  <c r="I3086" i="1" s="1"/>
  <c r="I3085" i="1" s="1"/>
  <c r="I3078" i="1" s="1"/>
  <c r="I3125" i="1"/>
  <c r="I3124" i="1" s="1"/>
  <c r="I3161" i="1"/>
  <c r="I3156" i="1" s="1"/>
  <c r="I3150" i="1" s="1"/>
  <c r="I3214" i="1"/>
  <c r="I3295" i="1"/>
  <c r="I3294" i="1" s="1"/>
  <c r="I3293" i="1" s="1"/>
  <c r="I3353" i="1"/>
  <c r="I3352" i="1" s="1"/>
  <c r="I3351" i="1" s="1"/>
  <c r="I3780" i="1"/>
  <c r="I3779" i="1" s="1"/>
  <c r="I3930" i="1"/>
  <c r="I3929" i="1" s="1"/>
  <c r="I3928" i="1" s="1"/>
  <c r="I3927" i="1" s="1"/>
  <c r="I4167" i="1"/>
  <c r="I4166" i="1" s="1"/>
  <c r="I4195" i="1"/>
  <c r="I4194" i="1" s="1"/>
  <c r="I4193" i="1" s="1"/>
  <c r="I4756" i="1"/>
  <c r="I4755" i="1" s="1"/>
  <c r="I4754" i="1" s="1"/>
  <c r="J827" i="1"/>
  <c r="I1430" i="1"/>
  <c r="I1426" i="1" s="1"/>
  <c r="I1425" i="1" s="1"/>
  <c r="I1995" i="1"/>
  <c r="I1991" i="1" s="1"/>
  <c r="I1990" i="1" s="1"/>
  <c r="I4447" i="1"/>
  <c r="I4446" i="1" s="1"/>
  <c r="I4455" i="1"/>
  <c r="H1559" i="1"/>
  <c r="H1558" i="1" s="1"/>
  <c r="H2400" i="1"/>
  <c r="H2399" i="1" s="1"/>
  <c r="H2398" i="1" s="1"/>
  <c r="H2397" i="1" s="1"/>
  <c r="H2396" i="1" s="1"/>
  <c r="H1833" i="1"/>
  <c r="H1832" i="1" s="1"/>
  <c r="H1831" i="1" s="1"/>
  <c r="H1830" i="1" s="1"/>
  <c r="H2106" i="1"/>
  <c r="H2105" i="1" s="1"/>
  <c r="H2104" i="1" s="1"/>
  <c r="H2103" i="1" s="1"/>
  <c r="H2932" i="1"/>
  <c r="H2931" i="1" s="1"/>
  <c r="L822" i="1"/>
  <c r="I740" i="1"/>
  <c r="I739" i="1" s="1"/>
  <c r="J3907" i="1"/>
  <c r="J4503" i="1"/>
  <c r="J4541" i="1"/>
  <c r="J4664" i="1"/>
  <c r="J4739" i="1"/>
  <c r="H133" i="1"/>
  <c r="H129" i="1" s="1"/>
  <c r="H128" i="1" s="1"/>
  <c r="H127" i="1" s="1"/>
  <c r="H265" i="1"/>
  <c r="H264" i="1" s="1"/>
  <c r="H259" i="1" s="1"/>
  <c r="H253" i="1" s="1"/>
  <c r="H252" i="1" s="1"/>
  <c r="H251" i="1" s="1"/>
  <c r="H330" i="1"/>
  <c r="H329" i="1" s="1"/>
  <c r="H403" i="1"/>
  <c r="H396" i="1" s="1"/>
  <c r="H395" i="1" s="1"/>
  <c r="H394" i="1" s="1"/>
  <c r="H388" i="1" s="1"/>
  <c r="H535" i="1"/>
  <c r="H636" i="1"/>
  <c r="H676" i="1"/>
  <c r="H675" i="1" s="1"/>
  <c r="H896" i="1"/>
  <c r="H895" i="1" s="1"/>
  <c r="H1021" i="1"/>
  <c r="H1020" i="1" s="1"/>
  <c r="H1019" i="1" s="1"/>
  <c r="H1018" i="1" s="1"/>
  <c r="H1017" i="1" s="1"/>
  <c r="H1079" i="1"/>
  <c r="H1075" i="1" s="1"/>
  <c r="H1074" i="1" s="1"/>
  <c r="H1349" i="1"/>
  <c r="H1345" i="1" s="1"/>
  <c r="H1344" i="1" s="1"/>
  <c r="H1568" i="1"/>
  <c r="H1567" i="1" s="1"/>
  <c r="H1566" i="1" s="1"/>
  <c r="H1565" i="1" s="1"/>
  <c r="H1564" i="1" s="1"/>
  <c r="H1855" i="1"/>
  <c r="H1854" i="1" s="1"/>
  <c r="H1853" i="1" s="1"/>
  <c r="H1852" i="1" s="1"/>
  <c r="H1851" i="1" s="1"/>
  <c r="H1938" i="1"/>
  <c r="H1937" i="1" s="1"/>
  <c r="H2284" i="1"/>
  <c r="H2283" i="1" s="1"/>
  <c r="H2282" i="1" s="1"/>
  <c r="H2727" i="1"/>
  <c r="H2726" i="1" s="1"/>
  <c r="H2983" i="1"/>
  <c r="H2982" i="1" s="1"/>
  <c r="H3109" i="1"/>
  <c r="H3108" i="1" s="1"/>
  <c r="H3107" i="1" s="1"/>
  <c r="H3106" i="1" s="1"/>
  <c r="H3105" i="1" s="1"/>
  <c r="H3188" i="1"/>
  <c r="H3286" i="1"/>
  <c r="H3285" i="1" s="1"/>
  <c r="H3505" i="1"/>
  <c r="H3504" i="1" s="1"/>
  <c r="H3673" i="1"/>
  <c r="H3669" i="1" s="1"/>
  <c r="H3668" i="1" s="1"/>
  <c r="H3700" i="1"/>
  <c r="H3742" i="1"/>
  <c r="H3738" i="1" s="1"/>
  <c r="H3737" i="1" s="1"/>
  <c r="H3761" i="1"/>
  <c r="H3760" i="1" s="1"/>
  <c r="H3907" i="1"/>
  <c r="H3906" i="1" s="1"/>
  <c r="H4039" i="1"/>
  <c r="H4038" i="1" s="1"/>
  <c r="H4155" i="1"/>
  <c r="H4151" i="1" s="1"/>
  <c r="H4150" i="1" s="1"/>
  <c r="H4149" i="1" s="1"/>
  <c r="H4238" i="1"/>
  <c r="H4330" i="1"/>
  <c r="H4436" i="1"/>
  <c r="H4435" i="1" s="1"/>
  <c r="H4434" i="1" s="1"/>
  <c r="H4522" i="1"/>
  <c r="H4518" i="1" s="1"/>
  <c r="H4513" i="1" s="1"/>
  <c r="H4512" i="1" s="1"/>
  <c r="H4511" i="1" s="1"/>
  <c r="H4510" i="1" s="1"/>
  <c r="H4664" i="1"/>
  <c r="H4663" i="1" s="1"/>
  <c r="H4662" i="1" s="1"/>
  <c r="H4661" i="1" s="1"/>
  <c r="H4660" i="1" s="1"/>
  <c r="H4680" i="1"/>
  <c r="H4679" i="1" s="1"/>
  <c r="H4673" i="1" s="1"/>
  <c r="H4672" i="1" s="1"/>
  <c r="I133" i="1"/>
  <c r="I129" i="1" s="1"/>
  <c r="I128" i="1" s="1"/>
  <c r="I127" i="1" s="1"/>
  <c r="I214" i="1"/>
  <c r="I265" i="1"/>
  <c r="I264" i="1" s="1"/>
  <c r="I259" i="1" s="1"/>
  <c r="I253" i="1" s="1"/>
  <c r="I252" i="1" s="1"/>
  <c r="I251" i="1" s="1"/>
  <c r="I288" i="1"/>
  <c r="I287" i="1" s="1"/>
  <c r="I286" i="1" s="1"/>
  <c r="I319" i="1"/>
  <c r="I315" i="1" s="1"/>
  <c r="I314" i="1" s="1"/>
  <c r="I513" i="1"/>
  <c r="I535" i="1"/>
  <c r="I636" i="1"/>
  <c r="I703" i="1"/>
  <c r="I765" i="1"/>
  <c r="I805" i="1"/>
  <c r="I896" i="1"/>
  <c r="I895" i="1" s="1"/>
  <c r="I948" i="1"/>
  <c r="I944" i="1" s="1"/>
  <c r="I943" i="1" s="1"/>
  <c r="I1098" i="1"/>
  <c r="I1097" i="1" s="1"/>
  <c r="I1661" i="1"/>
  <c r="I1660" i="1" s="1"/>
  <c r="I1722" i="1"/>
  <c r="I1721" i="1" s="1"/>
  <c r="I1720" i="1" s="1"/>
  <c r="I1839" i="1"/>
  <c r="I1838" i="1" s="1"/>
  <c r="I2213" i="1"/>
  <c r="I2212" i="1" s="1"/>
  <c r="I2284" i="1"/>
  <c r="I2283" i="1" s="1"/>
  <c r="I2282" i="1" s="1"/>
  <c r="I2317" i="1"/>
  <c r="I2316" i="1" s="1"/>
  <c r="I2727" i="1"/>
  <c r="I2726" i="1" s="1"/>
  <c r="I2983" i="1"/>
  <c r="I2982" i="1" s="1"/>
  <c r="I3109" i="1"/>
  <c r="I3108" i="1" s="1"/>
  <c r="I3107" i="1" s="1"/>
  <c r="I3106" i="1" s="1"/>
  <c r="I3105" i="1" s="1"/>
  <c r="I3188" i="1"/>
  <c r="I3286" i="1"/>
  <c r="I3285" i="1" s="1"/>
  <c r="I3308" i="1"/>
  <c r="I3304" i="1" s="1"/>
  <c r="I3303" i="1" s="1"/>
  <c r="I3344" i="1"/>
  <c r="I3340" i="1" s="1"/>
  <c r="I3339" i="1" s="1"/>
  <c r="I3409" i="1"/>
  <c r="I3408" i="1" s="1"/>
  <c r="I3407" i="1" s="1"/>
  <c r="I3406" i="1" s="1"/>
  <c r="I3425" i="1"/>
  <c r="I3424" i="1" s="1"/>
  <c r="I3423" i="1" s="1"/>
  <c r="I3422" i="1" s="1"/>
  <c r="I3742" i="1"/>
  <c r="I3738" i="1" s="1"/>
  <c r="I3737" i="1" s="1"/>
  <c r="I3761" i="1"/>
  <c r="I3760" i="1" s="1"/>
  <c r="I3949" i="1"/>
  <c r="I4060" i="1"/>
  <c r="I4093" i="1"/>
  <c r="I4092" i="1" s="1"/>
  <c r="I4091" i="1" s="1"/>
  <c r="I4231" i="1"/>
  <c r="I4436" i="1"/>
  <c r="I4435" i="1" s="1"/>
  <c r="I4434" i="1" s="1"/>
  <c r="I4474" i="1"/>
  <c r="I4473" i="1" s="1"/>
  <c r="I4472" i="1" s="1"/>
  <c r="I4541" i="1"/>
  <c r="I4537" i="1" s="1"/>
  <c r="I4532" i="1" s="1"/>
  <c r="I4531" i="1" s="1"/>
  <c r="I4530" i="1" s="1"/>
  <c r="I4529" i="1" s="1"/>
  <c r="I4563" i="1"/>
  <c r="I4559" i="1" s="1"/>
  <c r="I4594" i="1"/>
  <c r="I4590" i="1" s="1"/>
  <c r="I4589" i="1" s="1"/>
  <c r="I4583" i="1" s="1"/>
  <c r="I4582" i="1" s="1"/>
  <c r="I4610" i="1"/>
  <c r="I4664" i="1"/>
  <c r="I4663" i="1" s="1"/>
  <c r="I4662" i="1" s="1"/>
  <c r="I4661" i="1" s="1"/>
  <c r="I4660" i="1" s="1"/>
  <c r="J309" i="1"/>
  <c r="L309" i="1"/>
  <c r="L308" i="1" s="1"/>
  <c r="L307" i="1" s="1"/>
  <c r="I1504" i="1"/>
  <c r="I1503" i="1" s="1"/>
  <c r="I1502" i="1" s="1"/>
  <c r="J1631" i="1"/>
  <c r="J1641" i="1"/>
  <c r="J1995" i="1"/>
  <c r="L1995" i="1"/>
  <c r="L1991" i="1" s="1"/>
  <c r="L1990" i="1" s="1"/>
  <c r="I2035" i="1"/>
  <c r="I2034" i="1" s="1"/>
  <c r="J2035" i="1"/>
  <c r="L2275" i="1"/>
  <c r="L2271" i="1" s="1"/>
  <c r="L2270" i="1" s="1"/>
  <c r="L2257" i="1" s="1"/>
  <c r="J2275" i="1"/>
  <c r="J2776" i="1"/>
  <c r="L3317" i="1"/>
  <c r="L3316" i="1" s="1"/>
  <c r="L3315" i="1" s="1"/>
  <c r="I3700" i="1"/>
  <c r="I4155" i="1"/>
  <c r="I4151" i="1" s="1"/>
  <c r="I4150" i="1" s="1"/>
  <c r="I4149" i="1" s="1"/>
  <c r="J3353" i="1"/>
  <c r="H582" i="1"/>
  <c r="H581" i="1" s="1"/>
  <c r="I750" i="1"/>
  <c r="H1248" i="1"/>
  <c r="H1247" i="1" s="1"/>
  <c r="H1246" i="1" s="1"/>
  <c r="J1248" i="1"/>
  <c r="H965" i="1"/>
  <c r="H964" i="1" s="1"/>
  <c r="H963" i="1" s="1"/>
  <c r="H962" i="1" s="1"/>
  <c r="H4093" i="1"/>
  <c r="H4092" i="1" s="1"/>
  <c r="H4091" i="1" s="1"/>
  <c r="I4238" i="1"/>
  <c r="I814" i="1"/>
  <c r="J1609" i="1"/>
  <c r="I1755" i="1"/>
  <c r="I1754" i="1" s="1"/>
  <c r="H2317" i="1"/>
  <c r="H2316" i="1" s="1"/>
  <c r="H2617" i="1"/>
  <c r="I4081" i="1"/>
  <c r="L4462" i="1"/>
  <c r="J1272" i="1"/>
  <c r="L1553" i="1"/>
  <c r="L1552" i="1" s="1"/>
  <c r="L1551" i="1" s="1"/>
  <c r="L1550" i="1" s="1"/>
  <c r="L1833" i="1"/>
  <c r="L1832" i="1" s="1"/>
  <c r="L1831" i="1" s="1"/>
  <c r="L1830" i="1" s="1"/>
  <c r="L2106" i="1"/>
  <c r="L2105" i="1" s="1"/>
  <c r="L2104" i="1" s="1"/>
  <c r="L2103" i="1" s="1"/>
  <c r="J4474" i="1"/>
  <c r="H1749" i="1"/>
  <c r="H1748" i="1" s="1"/>
  <c r="H1747" i="1" s="1"/>
  <c r="H1746" i="1" s="1"/>
  <c r="I35" i="1"/>
  <c r="I34" i="1" s="1"/>
  <c r="I2385" i="1"/>
  <c r="I2384" i="1" s="1"/>
  <c r="I2383" i="1" s="1"/>
  <c r="I2382" i="1" s="1"/>
  <c r="J2385" i="1"/>
  <c r="L2631" i="1"/>
  <c r="L2630" i="1" s="1"/>
  <c r="L2629" i="1" s="1"/>
  <c r="L2628" i="1" s="1"/>
  <c r="I2868" i="1"/>
  <c r="I1190" i="1"/>
  <c r="I1189" i="1" s="1"/>
  <c r="I1188" i="1" s="1"/>
  <c r="I1187" i="1" s="1"/>
  <c r="H2059" i="1"/>
  <c r="H2058" i="1" s="1"/>
  <c r="H2057" i="1" s="1"/>
  <c r="J2059" i="1"/>
  <c r="I1891" i="1"/>
  <c r="I1890" i="1" s="1"/>
  <c r="I1883" i="1" s="1"/>
  <c r="I1882" i="1" s="1"/>
  <c r="L4417" i="1"/>
  <c r="L4413" i="1" s="1"/>
  <c r="J3366" i="1"/>
  <c r="J2954" i="1"/>
  <c r="L2868" i="1"/>
  <c r="L2995" i="1"/>
  <c r="L2994" i="1" s="1"/>
  <c r="L2993" i="1" s="1"/>
  <c r="L4364" i="1"/>
  <c r="L1190" i="1"/>
  <c r="L1189" i="1" s="1"/>
  <c r="L1188" i="1" s="1"/>
  <c r="L1187" i="1" s="1"/>
  <c r="L2809" i="1"/>
  <c r="L2808" i="1" s="1"/>
  <c r="L2807" i="1" s="1"/>
  <c r="L2806" i="1" s="1"/>
  <c r="L1048" i="1"/>
  <c r="L4455" i="1"/>
  <c r="J28" i="1"/>
  <c r="K28" i="1" s="1"/>
  <c r="I2815" i="1"/>
  <c r="I2814" i="1" s="1"/>
  <c r="J4643" i="1"/>
  <c r="I1281" i="1"/>
  <c r="I1280" i="1" s="1"/>
  <c r="I1279" i="1" s="1"/>
  <c r="I1278" i="1" s="1"/>
  <c r="I1277" i="1" s="1"/>
  <c r="H1339" i="1"/>
  <c r="H1338" i="1" s="1"/>
  <c r="H1337" i="1" s="1"/>
  <c r="H1336" i="1" s="1"/>
  <c r="H1471" i="1"/>
  <c r="H1470" i="1" s="1"/>
  <c r="H1469" i="1" s="1"/>
  <c r="H1468" i="1" s="1"/>
  <c r="I3720" i="1"/>
  <c r="I3719" i="1" s="1"/>
  <c r="L457" i="1"/>
  <c r="L1909" i="1"/>
  <c r="L1908" i="1" s="1"/>
  <c r="L1907" i="1" s="1"/>
  <c r="L1906" i="1" s="1"/>
  <c r="I4254" i="1"/>
  <c r="L1673" i="1"/>
  <c r="L1672" i="1" s="1"/>
  <c r="L1671" i="1" s="1"/>
  <c r="L1615" i="1"/>
  <c r="L1614" i="1" s="1"/>
  <c r="L2449" i="1"/>
  <c r="L2448" i="1" s="1"/>
  <c r="L2447" i="1" s="1"/>
  <c r="L2446" i="1" s="1"/>
  <c r="L3974" i="1"/>
  <c r="L4231" i="1"/>
  <c r="L4230" i="1" s="1"/>
  <c r="L4330" i="1"/>
  <c r="L4321" i="1" s="1"/>
  <c r="L4320" i="1" s="1"/>
  <c r="L4313" i="1" s="1"/>
  <c r="L3161" i="1"/>
  <c r="L3156" i="1" s="1"/>
  <c r="L3150" i="1" s="1"/>
  <c r="L118" i="1"/>
  <c r="L117" i="1" s="1"/>
  <c r="L116" i="1" s="1"/>
  <c r="L115" i="1" s="1"/>
  <c r="L114" i="1" s="1"/>
  <c r="L1010" i="1"/>
  <c r="L1009" i="1" s="1"/>
  <c r="L1003" i="1" s="1"/>
  <c r="L1839" i="1"/>
  <c r="L1838" i="1" s="1"/>
  <c r="J469" i="1"/>
  <c r="J670" i="1"/>
  <c r="J1471" i="1"/>
  <c r="J1855" i="1"/>
  <c r="J1950" i="1"/>
  <c r="J2225" i="1"/>
  <c r="L1281" i="1"/>
  <c r="L1280" i="1" s="1"/>
  <c r="L1279" i="1" s="1"/>
  <c r="L1278" i="1" s="1"/>
  <c r="L1277" i="1" s="1"/>
  <c r="L3234" i="1"/>
  <c r="L3233" i="1" s="1"/>
  <c r="L3232" i="1" s="1"/>
  <c r="L4570" i="1"/>
  <c r="L148" i="1"/>
  <c r="L147" i="1" s="1"/>
  <c r="L146" i="1" s="1"/>
  <c r="L2348" i="1"/>
  <c r="L3642" i="1"/>
  <c r="L3641" i="1" s="1"/>
  <c r="L3640" i="1" s="1"/>
  <c r="L2938" i="1"/>
  <c r="L2937" i="1" s="1"/>
  <c r="J1010" i="1"/>
  <c r="L845" i="1"/>
  <c r="L844" i="1" s="1"/>
  <c r="L843" i="1" s="1"/>
  <c r="L842" i="1" s="1"/>
  <c r="J1504" i="1"/>
  <c r="I2325" i="1"/>
  <c r="I2324" i="1" s="1"/>
  <c r="I2323" i="1" s="1"/>
  <c r="I2322" i="1" s="1"/>
  <c r="I3768" i="1"/>
  <c r="I4763" i="1"/>
  <c r="I4762" i="1" s="1"/>
  <c r="L948" i="1"/>
  <c r="L944" i="1" s="1"/>
  <c r="L943" i="1" s="1"/>
  <c r="L1247" i="1"/>
  <c r="L1246" i="1" s="1"/>
  <c r="L1568" i="1"/>
  <c r="L1567" i="1" s="1"/>
  <c r="L1566" i="1" s="1"/>
  <c r="L1565" i="1" s="1"/>
  <c r="L1564" i="1" s="1"/>
  <c r="L1919" i="1"/>
  <c r="L1915" i="1" s="1"/>
  <c r="L1914" i="1" s="1"/>
  <c r="L2123" i="1"/>
  <c r="L2122" i="1" s="1"/>
  <c r="L2121" i="1" s="1"/>
  <c r="L2120" i="1" s="1"/>
  <c r="L2119" i="1" s="1"/>
  <c r="L2189" i="1"/>
  <c r="L2185" i="1" s="1"/>
  <c r="L2184" i="1" s="1"/>
  <c r="L2225" i="1"/>
  <c r="L2224" i="1" s="1"/>
  <c r="L2223" i="1" s="1"/>
  <c r="L1420" i="1"/>
  <c r="L1419" i="1" s="1"/>
  <c r="L1418" i="1" s="1"/>
  <c r="L1417" i="1" s="1"/>
  <c r="L1703" i="1"/>
  <c r="L1702" i="1" s="1"/>
  <c r="L1701" i="1" s="1"/>
  <c r="L1700" i="1" s="1"/>
  <c r="L2459" i="1"/>
  <c r="L2455" i="1" s="1"/>
  <c r="L2454" i="1" s="1"/>
  <c r="L2640" i="1"/>
  <c r="L2639" i="1" s="1"/>
  <c r="L2638" i="1" s="1"/>
  <c r="L2637" i="1" s="1"/>
  <c r="L2636" i="1" s="1"/>
  <c r="L2698" i="1"/>
  <c r="L2697" i="1" s="1"/>
  <c r="L2696" i="1" s="1"/>
  <c r="L2695" i="1" s="1"/>
  <c r="L3425" i="1"/>
  <c r="L3424" i="1" s="1"/>
  <c r="L3423" i="1" s="1"/>
  <c r="L3422" i="1" s="1"/>
  <c r="L21" i="1"/>
  <c r="L3826" i="1"/>
  <c r="L3822" i="1" s="1"/>
  <c r="L3821" i="1" s="1"/>
  <c r="L3815" i="1" s="1"/>
  <c r="L3814" i="1" s="1"/>
  <c r="L4763" i="1"/>
  <c r="L4762" i="1" s="1"/>
  <c r="L4503" i="1"/>
  <c r="L4499" i="1" s="1"/>
  <c r="L4498" i="1" s="1"/>
  <c r="L4497" i="1" s="1"/>
  <c r="L449" i="1"/>
  <c r="L442" i="1" s="1"/>
  <c r="L441" i="1" s="1"/>
  <c r="L440" i="1" s="1"/>
  <c r="L3959" i="1"/>
  <c r="L4093" i="1"/>
  <c r="L4092" i="1" s="1"/>
  <c r="L4091" i="1" s="1"/>
  <c r="L201" i="1"/>
  <c r="L197" i="1" s="1"/>
  <c r="L724" i="1"/>
  <c r="L723" i="1" s="1"/>
  <c r="L2247" i="1"/>
  <c r="L2246" i="1" s="1"/>
  <c r="L2245" i="1" s="1"/>
  <c r="L2238" i="1" s="1"/>
  <c r="L2708" i="1"/>
  <c r="L2704" i="1" s="1"/>
  <c r="L2703" i="1" s="1"/>
  <c r="L2694" i="1" s="1"/>
  <c r="L991" i="1"/>
  <c r="J1349" i="1"/>
  <c r="J1839" i="1"/>
  <c r="J2189" i="1"/>
  <c r="J2247" i="1"/>
  <c r="J2459" i="1"/>
  <c r="H4756" i="1"/>
  <c r="H4755" i="1" s="1"/>
  <c r="H4754" i="1" s="1"/>
  <c r="I1373" i="1"/>
  <c r="I1372" i="1" s="1"/>
  <c r="I1420" i="1"/>
  <c r="I1419" i="1" s="1"/>
  <c r="I1418" i="1" s="1"/>
  <c r="I1417" i="1" s="1"/>
  <c r="I2478" i="1"/>
  <c r="I2477" i="1" s="1"/>
  <c r="I2676" i="1"/>
  <c r="I2675" i="1" s="1"/>
  <c r="I2668" i="1" s="1"/>
  <c r="I2667" i="1" s="1"/>
  <c r="I3826" i="1"/>
  <c r="I3822" i="1" s="1"/>
  <c r="I3821" i="1" s="1"/>
  <c r="I3815" i="1" s="1"/>
  <c r="I3814" i="1" s="1"/>
  <c r="J3898" i="1"/>
  <c r="J3922" i="1"/>
  <c r="J4292" i="1"/>
  <c r="J4408" i="1"/>
  <c r="H1839" i="1"/>
  <c r="H1838" i="1" s="1"/>
  <c r="H2133" i="1"/>
  <c r="H2132" i="1" s="1"/>
  <c r="H2131" i="1" s="1"/>
  <c r="H2130" i="1" s="1"/>
  <c r="H2566" i="1"/>
  <c r="H2565" i="1" s="1"/>
  <c r="H2564" i="1" s="1"/>
  <c r="H2563" i="1" s="1"/>
  <c r="H2895" i="1"/>
  <c r="H2894" i="1" s="1"/>
  <c r="H2893" i="1" s="1"/>
  <c r="H2892" i="1" s="1"/>
  <c r="H2891" i="1" s="1"/>
  <c r="H2920" i="1"/>
  <c r="H2919" i="1" s="1"/>
  <c r="H2918" i="1" s="1"/>
  <c r="H3798" i="1"/>
  <c r="H3797" i="1" s="1"/>
  <c r="H3796" i="1" s="1"/>
  <c r="H3795" i="1" s="1"/>
  <c r="H3794" i="1" s="1"/>
  <c r="H4008" i="1"/>
  <c r="H4004" i="1" s="1"/>
  <c r="H4003" i="1" s="1"/>
  <c r="H4552" i="1"/>
  <c r="H4629" i="1"/>
  <c r="J3308" i="1"/>
  <c r="J3344" i="1"/>
  <c r="J3660" i="1"/>
  <c r="J4231" i="1"/>
  <c r="J4522" i="1"/>
  <c r="J4594" i="1"/>
  <c r="H47" i="1"/>
  <c r="H43" i="1" s="1"/>
  <c r="H42" i="1" s="1"/>
  <c r="H933" i="1"/>
  <c r="H932" i="1" s="1"/>
  <c r="H1950" i="1"/>
  <c r="H1949" i="1" s="1"/>
  <c r="H1948" i="1" s="1"/>
  <c r="H2762" i="1"/>
  <c r="H2761" i="1" s="1"/>
  <c r="H2760" i="1" s="1"/>
  <c r="H2759" i="1" s="1"/>
  <c r="H2752" i="1" s="1"/>
  <c r="H2751" i="1" s="1"/>
  <c r="H3898" i="1"/>
  <c r="H4074" i="1"/>
  <c r="H4073" i="1" s="1"/>
  <c r="H4072" i="1" s="1"/>
  <c r="H4222" i="1"/>
  <c r="H4213" i="1" s="1"/>
  <c r="H4212" i="1" s="1"/>
  <c r="I676" i="1"/>
  <c r="I675" i="1" s="1"/>
  <c r="I974" i="1"/>
  <c r="I973" i="1" s="1"/>
  <c r="I972" i="1" s="1"/>
  <c r="I1021" i="1"/>
  <c r="I1020" i="1" s="1"/>
  <c r="I1019" i="1" s="1"/>
  <c r="I1018" i="1" s="1"/>
  <c r="I1017" i="1" s="1"/>
  <c r="I1362" i="1"/>
  <c r="I1855" i="1"/>
  <c r="I1854" i="1" s="1"/>
  <c r="I1853" i="1" s="1"/>
  <c r="I1852" i="1" s="1"/>
  <c r="I1851" i="1" s="1"/>
  <c r="I2123" i="1"/>
  <c r="I2122" i="1" s="1"/>
  <c r="I2121" i="1" s="1"/>
  <c r="I2120" i="1" s="1"/>
  <c r="I2119" i="1" s="1"/>
  <c r="I2566" i="1"/>
  <c r="I2565" i="1" s="1"/>
  <c r="I2564" i="1" s="1"/>
  <c r="I2563" i="1" s="1"/>
  <c r="I3278" i="1"/>
  <c r="I3898" i="1"/>
  <c r="I3907" i="1"/>
  <c r="I3906" i="1" s="1"/>
  <c r="J4067" i="1"/>
  <c r="J4563" i="1"/>
  <c r="H3974" i="1"/>
  <c r="H3973" i="1" s="1"/>
  <c r="J965" i="1"/>
  <c r="L4643" i="1"/>
  <c r="L4642" i="1" s="1"/>
  <c r="L4641" i="1" s="1"/>
  <c r="J504" i="1"/>
  <c r="J1069" i="1"/>
  <c r="J2317" i="1"/>
  <c r="J2676" i="1"/>
  <c r="J2850" i="1"/>
  <c r="K2850" i="1" s="1"/>
  <c r="J2849" i="1"/>
  <c r="L1349" i="1"/>
  <c r="L1345" i="1" s="1"/>
  <c r="L1344" i="1" s="1"/>
  <c r="L984" i="1"/>
  <c r="L4195" i="1"/>
  <c r="L4194" i="1" s="1"/>
  <c r="L4193" i="1" s="1"/>
  <c r="J2895" i="1"/>
  <c r="J4008" i="1"/>
  <c r="J4155" i="1"/>
  <c r="H867" i="1"/>
  <c r="H866" i="1" s="1"/>
  <c r="H4183" i="1"/>
  <c r="H4179" i="1" s="1"/>
  <c r="H35" i="1"/>
  <c r="H34" i="1" s="1"/>
  <c r="L4739" i="1"/>
  <c r="L4735" i="1" s="1"/>
  <c r="L4734" i="1" s="1"/>
  <c r="L4733" i="1" s="1"/>
  <c r="L4732" i="1" s="1"/>
  <c r="L3660" i="1"/>
  <c r="L3659" i="1" s="1"/>
  <c r="L3658" i="1" s="1"/>
  <c r="L3657" i="1" s="1"/>
  <c r="L3907" i="1"/>
  <c r="L3906" i="1" s="1"/>
  <c r="L3922" i="1"/>
  <c r="L3921" i="1" s="1"/>
  <c r="L3920" i="1" s="1"/>
  <c r="L3919" i="1" s="1"/>
  <c r="L3505" i="1"/>
  <c r="L3504" i="1" s="1"/>
  <c r="L4060" i="1"/>
  <c r="L4292" i="1"/>
  <c r="L4288" i="1" s="1"/>
  <c r="L4287" i="1" s="1"/>
  <c r="L4286" i="1" s="1"/>
  <c r="L4285" i="1" s="1"/>
  <c r="L4436" i="1"/>
  <c r="L4435" i="1" s="1"/>
  <c r="L4434" i="1" s="1"/>
  <c r="L3610" i="1"/>
  <c r="L3603" i="1" s="1"/>
  <c r="L4074" i="1"/>
  <c r="L4073" i="1" s="1"/>
  <c r="L4072" i="1" s="1"/>
  <c r="J133" i="1"/>
  <c r="J449" i="1"/>
  <c r="J1281" i="1"/>
  <c r="I1615" i="1"/>
  <c r="I1614" i="1" s="1"/>
  <c r="J923" i="1"/>
  <c r="J998" i="1"/>
  <c r="J1021" i="1"/>
  <c r="J1264" i="1"/>
  <c r="J2123" i="1"/>
  <c r="J2311" i="1"/>
  <c r="J2112" i="1"/>
  <c r="H1087" i="1"/>
  <c r="L3851" i="1"/>
  <c r="L3850" i="1" s="1"/>
  <c r="L3849" i="1" s="1"/>
  <c r="L4173" i="1"/>
  <c r="L4172" i="1" s="1"/>
  <c r="J13" i="1"/>
  <c r="L3856" i="1"/>
  <c r="L4563" i="1"/>
  <c r="L4559" i="1" s="1"/>
  <c r="L3930" i="1"/>
  <c r="L3929" i="1" s="1"/>
  <c r="L3928" i="1" s="1"/>
  <c r="L3927" i="1" s="1"/>
  <c r="J1477" i="1"/>
  <c r="J3673" i="1"/>
  <c r="H4292" i="1"/>
  <c r="H4288" i="1" s="1"/>
  <c r="H4287" i="1" s="1"/>
  <c r="H4286" i="1" s="1"/>
  <c r="H4285" i="1" s="1"/>
  <c r="L3365" i="1"/>
  <c r="L3364" i="1" s="1"/>
  <c r="L3363" i="1" s="1"/>
  <c r="L3362" i="1" s="1"/>
  <c r="L3361" i="1" s="1"/>
  <c r="L805" i="1"/>
  <c r="L3308" i="1"/>
  <c r="L3304" i="1" s="1"/>
  <c r="L3303" i="1" s="1"/>
  <c r="L319" i="1"/>
  <c r="L315" i="1" s="1"/>
  <c r="L314" i="1" s="1"/>
  <c r="L3673" i="1"/>
  <c r="L3669" i="1" s="1"/>
  <c r="L3668" i="1" s="1"/>
  <c r="L4594" i="1"/>
  <c r="L4590" i="1" s="1"/>
  <c r="L4589" i="1" s="1"/>
  <c r="L4583" i="1" s="1"/>
  <c r="L4582" i="1" s="1"/>
  <c r="L3286" i="1"/>
  <c r="L3285" i="1" s="1"/>
  <c r="L4680" i="1"/>
  <c r="L4679" i="1" s="1"/>
  <c r="L4673" i="1" s="1"/>
  <c r="L243" i="1"/>
  <c r="L242" i="1" s="1"/>
  <c r="L241" i="1" s="1"/>
  <c r="L240" i="1" s="1"/>
  <c r="L239" i="1" s="1"/>
  <c r="L238" i="1" s="1"/>
  <c r="L1021" i="1"/>
  <c r="L1020" i="1" s="1"/>
  <c r="L1019" i="1" s="1"/>
  <c r="L1018" i="1" s="1"/>
  <c r="L1017" i="1" s="1"/>
  <c r="L3344" i="1"/>
  <c r="L3340" i="1" s="1"/>
  <c r="L3339" i="1" s="1"/>
  <c r="L4726" i="1"/>
  <c r="L4725" i="1" s="1"/>
  <c r="L4724" i="1" s="1"/>
  <c r="L4717" i="1" s="1"/>
  <c r="L349" i="1"/>
  <c r="L348" i="1" s="1"/>
  <c r="J689" i="1"/>
  <c r="J724" i="1"/>
  <c r="J948" i="1"/>
  <c r="L1477" i="1"/>
  <c r="L1476" i="1" s="1"/>
  <c r="J186" i="1"/>
  <c r="J805" i="1"/>
  <c r="J984" i="1"/>
  <c r="J1079" i="1"/>
  <c r="L556" i="1"/>
  <c r="L3295" i="1"/>
  <c r="L3294" i="1" s="1"/>
  <c r="L3293" i="1" s="1"/>
  <c r="L265" i="1"/>
  <c r="L264" i="1" s="1"/>
  <c r="L259" i="1" s="1"/>
  <c r="L253" i="1" s="1"/>
  <c r="L252" i="1" s="1"/>
  <c r="L251" i="1" s="1"/>
  <c r="L4522" i="1"/>
  <c r="L4518" i="1" s="1"/>
  <c r="L4513" i="1" s="1"/>
  <c r="L4512" i="1" s="1"/>
  <c r="L4511" i="1" s="1"/>
  <c r="L4510" i="1" s="1"/>
  <c r="L4541" i="1"/>
  <c r="L4537" i="1" s="1"/>
  <c r="L4532" i="1" s="1"/>
  <c r="L4531" i="1" s="1"/>
  <c r="L4530" i="1" s="1"/>
  <c r="L4529" i="1" s="1"/>
  <c r="L3626" i="1"/>
  <c r="L3761" i="1"/>
  <c r="L3760" i="1" s="1"/>
  <c r="L4039" i="1"/>
  <c r="L4038" i="1" s="1"/>
  <c r="L4134" i="1"/>
  <c r="L4130" i="1" s="1"/>
  <c r="L4129" i="1" s="1"/>
  <c r="L4629" i="1"/>
  <c r="L4664" i="1"/>
  <c r="L4663" i="1" s="1"/>
  <c r="L4662" i="1" s="1"/>
  <c r="L4661" i="1" s="1"/>
  <c r="L4660" i="1" s="1"/>
  <c r="L3278" i="1"/>
  <c r="L4222" i="1"/>
  <c r="L4213" i="1" s="1"/>
  <c r="L4212" i="1" s="1"/>
  <c r="L330" i="1"/>
  <c r="L329" i="1" s="1"/>
  <c r="L4112" i="1"/>
  <c r="L4107" i="1" s="1"/>
  <c r="L4106" i="1" s="1"/>
  <c r="J1985" i="1"/>
  <c r="J4703" i="1"/>
  <c r="L609" i="1"/>
  <c r="L605" i="1" s="1"/>
  <c r="L604" i="1" s="1"/>
  <c r="L603" i="1" s="1"/>
  <c r="L2895" i="1"/>
  <c r="L2894" i="1" s="1"/>
  <c r="L2893" i="1" s="1"/>
  <c r="L2892" i="1" s="1"/>
  <c r="L2891" i="1" s="1"/>
  <c r="L3780" i="1"/>
  <c r="L3779" i="1" s="1"/>
  <c r="L2391" i="1"/>
  <c r="L2390" i="1" s="1"/>
  <c r="J21" i="1"/>
  <c r="J265" i="1"/>
  <c r="I3137" i="1"/>
  <c r="I3136" i="1" s="1"/>
  <c r="L1079" i="1"/>
  <c r="L1075" i="1" s="1"/>
  <c r="L1074" i="1" s="1"/>
  <c r="L572" i="1"/>
  <c r="L2425" i="1"/>
  <c r="L2424" i="1" s="1"/>
  <c r="L3109" i="1"/>
  <c r="L3108" i="1" s="1"/>
  <c r="L3107" i="1" s="1"/>
  <c r="L3106" i="1" s="1"/>
  <c r="L3105" i="1" s="1"/>
  <c r="L4067" i="1"/>
  <c r="L1362" i="1"/>
  <c r="L3005" i="1"/>
  <c r="L3004" i="1" s="1"/>
  <c r="L3003" i="1" s="1"/>
  <c r="L3002" i="1" s="1"/>
  <c r="L3001" i="1" s="1"/>
  <c r="L3000" i="1" s="1"/>
  <c r="L4552" i="1"/>
  <c r="L3949" i="1"/>
  <c r="J3591" i="1"/>
  <c r="I2682" i="1"/>
  <c r="I2681" i="1" s="1"/>
  <c r="I4570" i="1"/>
  <c r="L3409" i="1"/>
  <c r="L3408" i="1" s="1"/>
  <c r="L3407" i="1" s="1"/>
  <c r="L3406" i="1" s="1"/>
  <c r="I4119" i="1"/>
  <c r="I4112" i="1" s="1"/>
  <c r="I4107" i="1" s="1"/>
  <c r="I4106" i="1" s="1"/>
  <c r="L1650" i="1"/>
  <c r="L1865" i="1"/>
  <c r="L1864" i="1" s="1"/>
  <c r="L1863" i="1" s="1"/>
  <c r="L1862" i="1" s="1"/>
  <c r="L2762" i="1"/>
  <c r="L2761" i="1" s="1"/>
  <c r="L2760" i="1" s="1"/>
  <c r="L2759" i="1" s="1"/>
  <c r="L2752" i="1" s="1"/>
  <c r="L2751" i="1" s="1"/>
  <c r="L2972" i="1"/>
  <c r="L867" i="1"/>
  <c r="L866" i="1" s="1"/>
  <c r="L3700" i="1"/>
  <c r="L3023" i="1"/>
  <c r="L3022" i="1" s="1"/>
  <c r="L3021" i="1" s="1"/>
  <c r="L3020" i="1" s="1"/>
  <c r="L535" i="1"/>
  <c r="L363" i="1"/>
  <c r="L676" i="1"/>
  <c r="L675" i="1" s="1"/>
  <c r="L2566" i="1"/>
  <c r="L2565" i="1" s="1"/>
  <c r="L2564" i="1" s="1"/>
  <c r="L2563" i="1" s="1"/>
  <c r="L2610" i="1"/>
  <c r="L2609" i="1" s="1"/>
  <c r="L2151" i="1"/>
  <c r="L2150" i="1" s="1"/>
  <c r="H1927" i="1"/>
  <c r="L1883" i="1"/>
  <c r="L1882" i="1" s="1"/>
  <c r="L2823" i="1"/>
  <c r="L2822" i="1" s="1"/>
  <c r="L2821" i="1" s="1"/>
  <c r="L2820" i="1" s="1"/>
  <c r="L513" i="1"/>
  <c r="L1292" i="1"/>
  <c r="L1291" i="1" s="1"/>
  <c r="L1290" i="1" s="1"/>
  <c r="L1289" i="1" s="1"/>
  <c r="L765" i="1"/>
  <c r="H1883" i="1"/>
  <c r="H1882" i="1" s="1"/>
  <c r="L2004" i="1"/>
  <c r="L2003" i="1" s="1"/>
  <c r="L2002" i="1" s="1"/>
  <c r="I2348" i="1"/>
  <c r="L750" i="1"/>
  <c r="L1098" i="1"/>
  <c r="L1097" i="1" s="1"/>
  <c r="L1765" i="1"/>
  <c r="L1764" i="1" s="1"/>
  <c r="L1763" i="1" s="1"/>
  <c r="L1762" i="1" s="1"/>
  <c r="L2045" i="1"/>
  <c r="L2044" i="1" s="1"/>
  <c r="L2043" i="1" s="1"/>
  <c r="L2325" i="1"/>
  <c r="L2324" i="1" s="1"/>
  <c r="L2323" i="1" s="1"/>
  <c r="L2322" i="1" s="1"/>
  <c r="L2478" i="1"/>
  <c r="L2477" i="1" s="1"/>
  <c r="L2983" i="1"/>
  <c r="L2982" i="1" s="1"/>
  <c r="L3188" i="1"/>
  <c r="L1444" i="1"/>
  <c r="L1443" i="1" s="1"/>
  <c r="L1442" i="1" s="1"/>
  <c r="I1048" i="1"/>
  <c r="L2850" i="1"/>
  <c r="L1087" i="1"/>
  <c r="L1398" i="1"/>
  <c r="L636" i="1"/>
  <c r="L912" i="1"/>
  <c r="L2133" i="1"/>
  <c r="L2132" i="1" s="1"/>
  <c r="L2131" i="1" s="1"/>
  <c r="L2130" i="1" s="1"/>
  <c r="L186" i="1"/>
  <c r="L185" i="1" s="1"/>
  <c r="L689" i="1"/>
  <c r="L688" i="1" s="1"/>
  <c r="L687" i="1" s="1"/>
  <c r="L3087" i="1"/>
  <c r="L3086" i="1" s="1"/>
  <c r="L3085" i="1" s="1"/>
  <c r="L3078" i="1" s="1"/>
  <c r="I4067" i="1"/>
  <c r="H4049" i="1"/>
  <c r="L4021" i="1"/>
  <c r="L3214" i="1"/>
  <c r="L3353" i="1"/>
  <c r="L3352" i="1" s="1"/>
  <c r="L3351" i="1" s="1"/>
  <c r="L4473" i="1"/>
  <c r="L4472" i="1" s="1"/>
  <c r="J349" i="1"/>
  <c r="J4060" i="1"/>
  <c r="H2489" i="1"/>
  <c r="H2488" i="1" s="1"/>
  <c r="I2617" i="1"/>
  <c r="H2459" i="1"/>
  <c r="H2455" i="1" s="1"/>
  <c r="H2454" i="1" s="1"/>
  <c r="J4167" i="1"/>
  <c r="H572" i="1"/>
  <c r="H670" i="1"/>
  <c r="H669" i="1" s="1"/>
  <c r="H668" i="1" s="1"/>
  <c r="H805" i="1"/>
  <c r="L1578" i="1"/>
  <c r="L1577" i="1" s="1"/>
  <c r="L1576" i="1" s="1"/>
  <c r="L1575" i="1" s="1"/>
  <c r="L670" i="1"/>
  <c r="L669" i="1" s="1"/>
  <c r="L668" i="1" s="1"/>
  <c r="L3898" i="1"/>
  <c r="J896" i="1"/>
  <c r="J2762" i="1"/>
  <c r="L1810" i="1"/>
  <c r="L1809" i="1" s="1"/>
  <c r="L2920" i="1"/>
  <c r="L3768" i="1"/>
  <c r="J319" i="1"/>
  <c r="J974" i="1"/>
  <c r="J2640" i="1"/>
  <c r="J3161" i="1"/>
  <c r="L974" i="1"/>
  <c r="L973" i="1" s="1"/>
  <c r="L972" i="1" s="1"/>
  <c r="L4408" i="1"/>
  <c r="L4407" i="1" s="1"/>
  <c r="J4436" i="1"/>
  <c r="H74" i="1"/>
  <c r="H73" i="1" s="1"/>
  <c r="H72" i="1" s="1"/>
  <c r="H71" i="1" s="1"/>
  <c r="H70" i="1" s="1"/>
  <c r="I2179" i="1"/>
  <c r="I2178" i="1" s="1"/>
  <c r="I2177" i="1" s="1"/>
  <c r="I2176" i="1" s="1"/>
  <c r="I4074" i="1"/>
  <c r="I4073" i="1" s="1"/>
  <c r="I4072" i="1" s="1"/>
  <c r="H3087" i="1"/>
  <c r="H3086" i="1" s="1"/>
  <c r="H3085" i="1" s="1"/>
  <c r="H3078" i="1" s="1"/>
  <c r="I4378" i="1"/>
  <c r="I4377" i="1" s="1"/>
  <c r="H2377" i="1"/>
  <c r="H2376" i="1" s="1"/>
  <c r="H2375" i="1" s="1"/>
  <c r="H2369" i="1" s="1"/>
  <c r="L133" i="1"/>
  <c r="L129" i="1" s="1"/>
  <c r="L128" i="1" s="1"/>
  <c r="L127" i="1" s="1"/>
  <c r="J47" i="1"/>
  <c r="L4634" i="1"/>
  <c r="L2179" i="1"/>
  <c r="L2178" i="1" s="1"/>
  <c r="L2177" i="1" s="1"/>
  <c r="L2176" i="1" s="1"/>
  <c r="L896" i="1"/>
  <c r="L895" i="1" s="1"/>
  <c r="J652" i="1"/>
  <c r="L469" i="1"/>
  <c r="L468" i="1" s="1"/>
  <c r="L467" i="1" s="1"/>
  <c r="L1927" i="1"/>
  <c r="L2085" i="1"/>
  <c r="L2084" i="1" s="1"/>
  <c r="L1202" i="1"/>
  <c r="L1201" i="1" s="1"/>
  <c r="L1200" i="1" s="1"/>
  <c r="L1199" i="1" s="1"/>
  <c r="L2467" i="1"/>
  <c r="L288" i="1"/>
  <c r="L287" i="1" s="1"/>
  <c r="L286" i="1" s="1"/>
  <c r="L4008" i="1"/>
  <c r="L4004" i="1" s="1"/>
  <c r="L4003" i="1" s="1"/>
  <c r="L998" i="1"/>
  <c r="L997" i="1" s="1"/>
  <c r="L996" i="1" s="1"/>
  <c r="L2785" i="1"/>
  <c r="L2784" i="1" s="1"/>
  <c r="L2783" i="1" s="1"/>
  <c r="L4427" i="1"/>
  <c r="J2400" i="1"/>
  <c r="J2739" i="1"/>
  <c r="J3109" i="1"/>
  <c r="J4134" i="1"/>
  <c r="J1919" i="1"/>
  <c r="H2045" i="1"/>
  <c r="H2044" i="1" s="1"/>
  <c r="H2043" i="1" s="1"/>
  <c r="J4039" i="1"/>
  <c r="J4195" i="1"/>
  <c r="H984" i="1"/>
  <c r="H998" i="1"/>
  <c r="H997" i="1" s="1"/>
  <c r="H996" i="1" s="1"/>
  <c r="H3720" i="1"/>
  <c r="H3719" i="1" s="1"/>
  <c r="H3245" i="1"/>
  <c r="H3244" i="1" s="1"/>
  <c r="H3591" i="1"/>
  <c r="H3590" i="1" s="1"/>
  <c r="H3589" i="1" s="1"/>
  <c r="I4008" i="1"/>
  <c r="I4004" i="1" s="1"/>
  <c r="I4003" i="1" s="1"/>
  <c r="I2776" i="1"/>
  <c r="I2772" i="1" s="1"/>
  <c r="I2771" i="1" s="1"/>
  <c r="I4049" i="1"/>
  <c r="I4726" i="1"/>
  <c r="I4725" i="1" s="1"/>
  <c r="I4724" i="1" s="1"/>
  <c r="I4717" i="1" s="1"/>
  <c r="L2284" i="1"/>
  <c r="L2283" i="1" s="1"/>
  <c r="L2282" i="1" s="1"/>
  <c r="L3058" i="1"/>
  <c r="L3057" i="1" s="1"/>
  <c r="L3056" i="1" s="1"/>
  <c r="L3055" i="1" s="1"/>
  <c r="L2530" i="1"/>
  <c r="L2529" i="1" s="1"/>
  <c r="L2528" i="1" s="1"/>
  <c r="L1490" i="1"/>
  <c r="L1489" i="1" s="1"/>
  <c r="L1488" i="1" s="1"/>
  <c r="L2716" i="1"/>
  <c r="L1938" i="1"/>
  <c r="L1937" i="1" s="1"/>
  <c r="L2362" i="1"/>
  <c r="L2361" i="1" s="1"/>
  <c r="L74" i="1"/>
  <c r="L73" i="1" s="1"/>
  <c r="L72" i="1" s="1"/>
  <c r="L71" i="1" s="1"/>
  <c r="L1163" i="1"/>
  <c r="L1162" i="1" s="1"/>
  <c r="L1161" i="1" s="1"/>
  <c r="H2085" i="1"/>
  <c r="H2084" i="1" s="1"/>
  <c r="H2257" i="1"/>
  <c r="I1578" i="1"/>
  <c r="I1577" i="1" s="1"/>
  <c r="I1576" i="1" s="1"/>
  <c r="I1575" i="1" s="1"/>
  <c r="H2213" i="1"/>
  <c r="H2212" i="1" s="1"/>
  <c r="H1311" i="1"/>
  <c r="H1310" i="1" s="1"/>
  <c r="H1309" i="1" s="1"/>
  <c r="H1444" i="1"/>
  <c r="H1443" i="1" s="1"/>
  <c r="H1442" i="1" s="1"/>
  <c r="I1041" i="1"/>
  <c r="I1040" i="1" s="1"/>
  <c r="L3456" i="1"/>
  <c r="L1373" i="1"/>
  <c r="L1372" i="1" s="1"/>
  <c r="L1855" i="1"/>
  <c r="L1854" i="1" s="1"/>
  <c r="L1853" i="1" s="1"/>
  <c r="L1852" i="1" s="1"/>
  <c r="L1851" i="1" s="1"/>
  <c r="L2400" i="1"/>
  <c r="L2399" i="1" s="1"/>
  <c r="L2398" i="1" s="1"/>
  <c r="L2397" i="1" s="1"/>
  <c r="L2396" i="1" s="1"/>
  <c r="L2650" i="1"/>
  <c r="L2649" i="1" s="1"/>
  <c r="L2648" i="1" s="1"/>
  <c r="L2647" i="1" s="1"/>
  <c r="L652" i="1"/>
  <c r="L651" i="1" s="1"/>
  <c r="L168" i="1"/>
  <c r="L164" i="1" s="1"/>
  <c r="L163" i="1" s="1"/>
  <c r="L162" i="1" s="1"/>
  <c r="L161" i="1" s="1"/>
  <c r="L226" i="1"/>
  <c r="L225" i="1" s="1"/>
  <c r="L1110" i="1"/>
  <c r="L1109" i="1" s="1"/>
  <c r="L1108" i="1" s="1"/>
  <c r="L1385" i="1"/>
  <c r="L1384" i="1" s="1"/>
  <c r="L1383" i="1" s="1"/>
  <c r="L1661" i="1"/>
  <c r="L1660" i="1" s="1"/>
  <c r="L2489" i="1"/>
  <c r="L2488" i="1" s="1"/>
  <c r="L2727" i="1"/>
  <c r="L2726" i="1" s="1"/>
  <c r="L479" i="1"/>
  <c r="L2202" i="1"/>
  <c r="L4183" i="1"/>
  <c r="L4179" i="1" s="1"/>
  <c r="L3996" i="1"/>
  <c r="L3995" i="1" s="1"/>
  <c r="L3989" i="1" s="1"/>
  <c r="L3221" i="1"/>
  <c r="L4378" i="1"/>
  <c r="L4377" i="1" s="1"/>
  <c r="L3245" i="1"/>
  <c r="J1110" i="1"/>
  <c r="L403" i="1"/>
  <c r="L396" i="1" s="1"/>
  <c r="L395" i="1" s="1"/>
  <c r="L394" i="1" s="1"/>
  <c r="L388" i="1" s="1"/>
  <c r="L582" i="1"/>
  <c r="L581" i="1" s="1"/>
  <c r="L2739" i="1"/>
  <c r="L2738" i="1" s="1"/>
  <c r="L2737" i="1" s="1"/>
  <c r="L4155" i="1"/>
  <c r="L4151" i="1" s="1"/>
  <c r="L4150" i="1" s="1"/>
  <c r="L4149" i="1" s="1"/>
  <c r="L1722" i="1"/>
  <c r="L1721" i="1" s="1"/>
  <c r="L1720" i="1" s="1"/>
  <c r="L1719" i="1" s="1"/>
  <c r="L3591" i="1"/>
  <c r="L3590" i="1" s="1"/>
  <c r="L3589" i="1" s="1"/>
  <c r="J201" i="1"/>
  <c r="L4487" i="1"/>
  <c r="L4486" i="1" s="1"/>
  <c r="J168" i="1"/>
  <c r="J330" i="1"/>
  <c r="J403" i="1"/>
  <c r="J609" i="1"/>
  <c r="J933" i="1"/>
  <c r="J1420" i="1"/>
  <c r="J2995" i="1"/>
  <c r="J2708" i="1"/>
  <c r="J1568" i="1"/>
  <c r="H974" i="1"/>
  <c r="H973" i="1" s="1"/>
  <c r="H972" i="1" s="1"/>
  <c r="H991" i="1"/>
  <c r="H288" i="1"/>
  <c r="H287" i="1" s="1"/>
  <c r="H286" i="1" s="1"/>
  <c r="J3742" i="1"/>
  <c r="J3761" i="1"/>
  <c r="H214" i="1"/>
  <c r="J3286" i="1"/>
  <c r="J3295" i="1"/>
  <c r="J4264" i="1"/>
  <c r="J4427" i="1"/>
  <c r="K4427" i="1" s="1"/>
  <c r="H243" i="1"/>
  <c r="H242" i="1" s="1"/>
  <c r="H241" i="1" s="1"/>
  <c r="H240" i="1" s="1"/>
  <c r="H239" i="1" s="1"/>
  <c r="H238" i="1" s="1"/>
  <c r="H372" i="1"/>
  <c r="H371" i="1" s="1"/>
  <c r="H948" i="1"/>
  <c r="H944" i="1" s="1"/>
  <c r="H943" i="1" s="1"/>
  <c r="H1477" i="1"/>
  <c r="H1476" i="1" s="1"/>
  <c r="H1722" i="1"/>
  <c r="H1721" i="1" s="1"/>
  <c r="H1720" i="1" s="1"/>
  <c r="H2478" i="1"/>
  <c r="H2477" i="1" s="1"/>
  <c r="H4134" i="1"/>
  <c r="H4130" i="1" s="1"/>
  <c r="H4129" i="1" s="1"/>
  <c r="I1477" i="1"/>
  <c r="I1476" i="1" s="1"/>
  <c r="I3591" i="1"/>
  <c r="I3590" i="1" s="1"/>
  <c r="I3589" i="1" s="1"/>
  <c r="H2202" i="1"/>
  <c r="H4021" i="1"/>
  <c r="I1938" i="1"/>
  <c r="I1937" i="1" s="1"/>
  <c r="H1661" i="1"/>
  <c r="H1660" i="1" s="1"/>
  <c r="H2610" i="1"/>
  <c r="H2609" i="1" s="1"/>
  <c r="H2964" i="1"/>
  <c r="H2960" i="1" s="1"/>
  <c r="H2959" i="1" s="1"/>
  <c r="H2950" i="1" s="1"/>
  <c r="H3425" i="1"/>
  <c r="H3424" i="1" s="1"/>
  <c r="H3423" i="1" s="1"/>
  <c r="H3422" i="1" s="1"/>
  <c r="H3660" i="1"/>
  <c r="H3659" i="1" s="1"/>
  <c r="H3658" i="1" s="1"/>
  <c r="H3657" i="1" s="1"/>
  <c r="I2362" i="1"/>
  <c r="I2361" i="1" s="1"/>
  <c r="I3974" i="1"/>
  <c r="I3996" i="1"/>
  <c r="I3995" i="1" s="1"/>
  <c r="I3989" i="1" s="1"/>
  <c r="I1010" i="1"/>
  <c r="I1009" i="1" s="1"/>
  <c r="I1003" i="1" s="1"/>
  <c r="I1087" i="1"/>
  <c r="I1163" i="1"/>
  <c r="I1162" i="1" s="1"/>
  <c r="I1161" i="1" s="1"/>
  <c r="I2151" i="1"/>
  <c r="I2150" i="1" s="1"/>
  <c r="I2189" i="1"/>
  <c r="I2185" i="1" s="1"/>
  <c r="I2184" i="1" s="1"/>
  <c r="I3660" i="1"/>
  <c r="I3659" i="1" s="1"/>
  <c r="I3658" i="1" s="1"/>
  <c r="I3657" i="1" s="1"/>
  <c r="I4134" i="1"/>
  <c r="I4130" i="1" s="1"/>
  <c r="I4129" i="1" s="1"/>
  <c r="I4739" i="1"/>
  <c r="I4735" i="1" s="1"/>
  <c r="I4734" i="1" s="1"/>
  <c r="I4733" i="1" s="1"/>
  <c r="I4732" i="1" s="1"/>
  <c r="I1490" i="1"/>
  <c r="I1489" i="1" s="1"/>
  <c r="I1488" i="1" s="1"/>
  <c r="I3505" i="1"/>
  <c r="I3504" i="1" s="1"/>
  <c r="I3610" i="1"/>
  <c r="I3603" i="1" s="1"/>
  <c r="I3673" i="1"/>
  <c r="I3669" i="1" s="1"/>
  <c r="I3668" i="1" s="1"/>
  <c r="I4330" i="1"/>
  <c r="I3984" i="1"/>
  <c r="I3983" i="1" s="1"/>
  <c r="I3982" i="1" s="1"/>
  <c r="J3984" i="1"/>
  <c r="L3984" i="1"/>
  <c r="L3983" i="1" s="1"/>
  <c r="L3982" i="1" s="1"/>
  <c r="L4081" i="1"/>
  <c r="J2377" i="1"/>
  <c r="I2377" i="1"/>
  <c r="I2376" i="1" s="1"/>
  <c r="I2375" i="1" s="1"/>
  <c r="I2369" i="1" s="1"/>
  <c r="L1530" i="1"/>
  <c r="L1529" i="1" s="1"/>
  <c r="L2213" i="1"/>
  <c r="L2212" i="1" s="1"/>
  <c r="L1597" i="1"/>
  <c r="L2964" i="1"/>
  <c r="L2960" i="1" s="1"/>
  <c r="L2959" i="1" s="1"/>
  <c r="L2950" i="1" s="1"/>
  <c r="L3720" i="1"/>
  <c r="L3719" i="1" s="1"/>
  <c r="L4610" i="1"/>
  <c r="L3798" i="1"/>
  <c r="L3797" i="1" s="1"/>
  <c r="L3796" i="1" s="1"/>
  <c r="L3795" i="1" s="1"/>
  <c r="L3794" i="1" s="1"/>
  <c r="L1031" i="1"/>
  <c r="L1030" i="1" s="1"/>
  <c r="L933" i="1"/>
  <c r="L932" i="1" s="1"/>
  <c r="L4167" i="1"/>
  <c r="L4166" i="1" s="1"/>
  <c r="L1311" i="1"/>
  <c r="L1310" i="1" s="1"/>
  <c r="L1309" i="1" s="1"/>
  <c r="L2861" i="1"/>
  <c r="L2860" i="1" s="1"/>
  <c r="L372" i="1"/>
  <c r="L371" i="1" s="1"/>
  <c r="L703" i="1"/>
  <c r="L47" i="1"/>
  <c r="L43" i="1" s="1"/>
  <c r="L42" i="1" s="1"/>
  <c r="L3742" i="1"/>
  <c r="L3738" i="1" s="1"/>
  <c r="L3737" i="1" s="1"/>
  <c r="L214" i="1"/>
  <c r="L1041" i="1"/>
  <c r="L1040" i="1" s="1"/>
  <c r="L617" i="1"/>
  <c r="L616" i="1" s="1"/>
  <c r="H1650" i="1"/>
  <c r="H1163" i="1"/>
  <c r="H1162" i="1" s="1"/>
  <c r="H1161" i="1" s="1"/>
  <c r="H1362" i="1"/>
  <c r="H2503" i="1"/>
  <c r="H2496" i="1" s="1"/>
  <c r="H556" i="1"/>
  <c r="H2823" i="1"/>
  <c r="H2822" i="1" s="1"/>
  <c r="H2821" i="1" s="1"/>
  <c r="H2820" i="1" s="1"/>
  <c r="H3221" i="1"/>
  <c r="H765" i="1"/>
  <c r="H3610" i="1"/>
  <c r="H3603" i="1" s="1"/>
  <c r="H3626" i="1"/>
  <c r="H750" i="1"/>
  <c r="H449" i="1"/>
  <c r="H442" i="1" s="1"/>
  <c r="H441" i="1" s="1"/>
  <c r="H440" i="1" s="1"/>
  <c r="H439" i="1" s="1"/>
  <c r="H3409" i="1"/>
  <c r="H3408" i="1" s="1"/>
  <c r="H3407" i="1" s="1"/>
  <c r="H3406" i="1" s="1"/>
  <c r="H4610" i="1"/>
  <c r="I1537" i="1"/>
  <c r="I3245" i="1"/>
  <c r="I4021" i="1"/>
  <c r="I372" i="1"/>
  <c r="I371" i="1" s="1"/>
  <c r="I1927" i="1"/>
  <c r="I1765" i="1"/>
  <c r="I1764" i="1" s="1"/>
  <c r="I1763" i="1" s="1"/>
  <c r="I1762" i="1" s="1"/>
  <c r="I2785" i="1"/>
  <c r="I2784" i="1" s="1"/>
  <c r="I2783" i="1" s="1"/>
  <c r="I3626" i="1"/>
  <c r="I3798" i="1"/>
  <c r="I3797" i="1" s="1"/>
  <c r="I3796" i="1" s="1"/>
  <c r="I3795" i="1" s="1"/>
  <c r="I3794" i="1" s="1"/>
  <c r="I20" i="1" l="1"/>
  <c r="I19" i="1" s="1"/>
  <c r="L2527" i="1"/>
  <c r="J676" i="1"/>
  <c r="K676" i="1" s="1"/>
  <c r="I3244" i="1"/>
  <c r="J3214" i="1"/>
  <c r="K3214" i="1" s="1"/>
  <c r="J3023" i="1"/>
  <c r="J4413" i="1"/>
  <c r="K4413" i="1" s="1"/>
  <c r="H2782" i="1"/>
  <c r="L1065" i="1"/>
  <c r="H4401" i="1"/>
  <c r="J2861" i="1"/>
  <c r="J2860" i="1" s="1"/>
  <c r="K2860" i="1" s="1"/>
  <c r="J1938" i="1"/>
  <c r="J3610" i="1"/>
  <c r="K21" i="1"/>
  <c r="K805" i="1"/>
  <c r="J3768" i="1"/>
  <c r="J4183" i="1"/>
  <c r="J4179" i="1" s="1"/>
  <c r="K4179" i="1" s="1"/>
  <c r="J2566" i="1"/>
  <c r="J1098" i="1"/>
  <c r="J1097" i="1" s="1"/>
  <c r="K1097" i="1" s="1"/>
  <c r="K4060" i="1"/>
  <c r="J2823" i="1"/>
  <c r="J582" i="1"/>
  <c r="J3188" i="1"/>
  <c r="J3425" i="1"/>
  <c r="J1765" i="1"/>
  <c r="K337" i="1"/>
  <c r="J4680" i="1"/>
  <c r="J4679" i="1" s="1"/>
  <c r="J1530" i="1"/>
  <c r="J1163" i="1"/>
  <c r="J1162" i="1" s="1"/>
  <c r="K984" i="1"/>
  <c r="L4672" i="1"/>
  <c r="L4671" i="1" s="1"/>
  <c r="L1627" i="1"/>
  <c r="H4378" i="1"/>
  <c r="H4377" i="1" s="1"/>
  <c r="H1160" i="1"/>
  <c r="I4321" i="1"/>
  <c r="I4320" i="1" s="1"/>
  <c r="I4313" i="1" s="1"/>
  <c r="I4312" i="1" s="1"/>
  <c r="J3798" i="1"/>
  <c r="J1041" i="1"/>
  <c r="J1040" i="1" s="1"/>
  <c r="K1040" i="1" s="1"/>
  <c r="J3996" i="1"/>
  <c r="K827" i="1"/>
  <c r="J1661" i="1"/>
  <c r="J535" i="1"/>
  <c r="K535" i="1" s="1"/>
  <c r="J226" i="1"/>
  <c r="J2362" i="1"/>
  <c r="K2362" i="1" s="1"/>
  <c r="J102" i="1"/>
  <c r="J2478" i="1"/>
  <c r="K2478" i="1" s="1"/>
  <c r="J3221" i="1"/>
  <c r="K3221" i="1" s="1"/>
  <c r="J703" i="1"/>
  <c r="K703" i="1" s="1"/>
  <c r="J1031" i="1"/>
  <c r="J4552" i="1"/>
  <c r="K4552" i="1" s="1"/>
  <c r="J2004" i="1"/>
  <c r="J556" i="1"/>
  <c r="K556" i="1" s="1"/>
  <c r="J2489" i="1"/>
  <c r="J867" i="1"/>
  <c r="J866" i="1" s="1"/>
  <c r="K866" i="1" s="1"/>
  <c r="J4049" i="1"/>
  <c r="J4322" i="1"/>
  <c r="K4322" i="1" s="1"/>
  <c r="J845" i="1"/>
  <c r="J35" i="1"/>
  <c r="K35" i="1" s="1"/>
  <c r="J4634" i="1"/>
  <c r="J372" i="1"/>
  <c r="K372" i="1" s="1"/>
  <c r="J3700" i="1"/>
  <c r="K3700" i="1" s="1"/>
  <c r="J2284" i="1"/>
  <c r="K2284" i="1" s="1"/>
  <c r="J636" i="1"/>
  <c r="K636" i="1" s="1"/>
  <c r="J2983" i="1"/>
  <c r="K2983" i="1" s="1"/>
  <c r="J3930" i="1"/>
  <c r="J1444" i="1"/>
  <c r="J1443" i="1" s="1"/>
  <c r="J2045" i="1"/>
  <c r="J1722" i="1"/>
  <c r="J1721" i="1" s="1"/>
  <c r="J74" i="1"/>
  <c r="J1202" i="1"/>
  <c r="J1201" i="1" s="1"/>
  <c r="J2610" i="1"/>
  <c r="J513" i="1"/>
  <c r="K513" i="1" s="1"/>
  <c r="J2325" i="1"/>
  <c r="J3949" i="1"/>
  <c r="K3949" i="1" s="1"/>
  <c r="J3409" i="1"/>
  <c r="J4462" i="1"/>
  <c r="K4462" i="1" s="1"/>
  <c r="J740" i="1"/>
  <c r="J750" i="1"/>
  <c r="K750" i="1" s="1"/>
  <c r="J3959" i="1"/>
  <c r="K3959" i="1" s="1"/>
  <c r="J4330" i="1"/>
  <c r="J1810" i="1"/>
  <c r="J3058" i="1"/>
  <c r="K3058" i="1" s="1"/>
  <c r="K330" i="1"/>
  <c r="L3244" i="1"/>
  <c r="J765" i="1"/>
  <c r="K765" i="1" s="1"/>
  <c r="J3505" i="1"/>
  <c r="K3505" i="1" s="1"/>
  <c r="J1373" i="1"/>
  <c r="K1373" i="1" s="1"/>
  <c r="J2213" i="1"/>
  <c r="J2212" i="1" s="1"/>
  <c r="K2212" i="1" s="1"/>
  <c r="J1490" i="1"/>
  <c r="J2530" i="1"/>
  <c r="J2529" i="1" s="1"/>
  <c r="J2085" i="1"/>
  <c r="J3526" i="1"/>
  <c r="K3526" i="1" s="1"/>
  <c r="J4222" i="1"/>
  <c r="J3278" i="1"/>
  <c r="J4093" i="1"/>
  <c r="J3642" i="1"/>
  <c r="K3642" i="1" s="1"/>
  <c r="J4610" i="1"/>
  <c r="K4610" i="1" s="1"/>
  <c r="J2785" i="1"/>
  <c r="J2784" i="1" s="1"/>
  <c r="J786" i="1"/>
  <c r="K4330" i="1"/>
  <c r="K3768" i="1"/>
  <c r="K3278" i="1"/>
  <c r="K3188" i="1"/>
  <c r="K4629" i="1"/>
  <c r="K991" i="1"/>
  <c r="J3983" i="1"/>
  <c r="K3984" i="1"/>
  <c r="J1567" i="1"/>
  <c r="K1568" i="1"/>
  <c r="J932" i="1"/>
  <c r="K932" i="1" s="1"/>
  <c r="K933" i="1"/>
  <c r="J2994" i="1"/>
  <c r="K2995" i="1"/>
  <c r="J605" i="1"/>
  <c r="K609" i="1"/>
  <c r="J1915" i="1"/>
  <c r="K1919" i="1"/>
  <c r="J651" i="1"/>
  <c r="K651" i="1" s="1"/>
  <c r="K652" i="1"/>
  <c r="J4435" i="1"/>
  <c r="K4436" i="1"/>
  <c r="K3161" i="1"/>
  <c r="J1372" i="1"/>
  <c r="K1372" i="1" s="1"/>
  <c r="J2044" i="1"/>
  <c r="K2045" i="1"/>
  <c r="J3590" i="1"/>
  <c r="K3591" i="1"/>
  <c r="J264" i="1"/>
  <c r="K265" i="1"/>
  <c r="J1660" i="1"/>
  <c r="K1660" i="1" s="1"/>
  <c r="K1661" i="1"/>
  <c r="J3294" i="1"/>
  <c r="K3295" i="1"/>
  <c r="J1809" i="1"/>
  <c r="K1809" i="1" s="1"/>
  <c r="K1810" i="1"/>
  <c r="J2283" i="1"/>
  <c r="J1937" i="1"/>
  <c r="K1937" i="1" s="1"/>
  <c r="K1938" i="1"/>
  <c r="J396" i="1"/>
  <c r="K403" i="1"/>
  <c r="J197" i="1"/>
  <c r="K197" i="1" s="1"/>
  <c r="K201" i="1"/>
  <c r="J1109" i="1"/>
  <c r="K1110" i="1"/>
  <c r="J2565" i="1"/>
  <c r="K2566" i="1"/>
  <c r="J4038" i="1"/>
  <c r="K4038" i="1" s="1"/>
  <c r="K4039" i="1"/>
  <c r="J4130" i="1"/>
  <c r="K4134" i="1"/>
  <c r="J43" i="1"/>
  <c r="K47" i="1"/>
  <c r="J3797" i="1"/>
  <c r="K3798" i="1"/>
  <c r="J2639" i="1"/>
  <c r="K2640" i="1"/>
  <c r="J1984" i="1"/>
  <c r="K1985" i="1"/>
  <c r="J185" i="1"/>
  <c r="K185" i="1" s="1"/>
  <c r="K186" i="1"/>
  <c r="J3669" i="1"/>
  <c r="K3673" i="1"/>
  <c r="J2111" i="1"/>
  <c r="K2111" i="1" s="1"/>
  <c r="K2112" i="1"/>
  <c r="J2310" i="1"/>
  <c r="K2311" i="1"/>
  <c r="J1263" i="1"/>
  <c r="K1264" i="1"/>
  <c r="J912" i="1"/>
  <c r="K912" i="1" s="1"/>
  <c r="K923" i="1"/>
  <c r="J442" i="1"/>
  <c r="K449" i="1"/>
  <c r="J4004" i="1"/>
  <c r="K4008" i="1"/>
  <c r="J492" i="1"/>
  <c r="K504" i="1"/>
  <c r="J4518" i="1"/>
  <c r="K4522" i="1"/>
  <c r="J3340" i="1"/>
  <c r="K3344" i="1"/>
  <c r="J4407" i="1"/>
  <c r="K4407" i="1" s="1"/>
  <c r="K4408" i="1"/>
  <c r="K3898" i="1"/>
  <c r="J1345" i="1"/>
  <c r="K1349" i="1"/>
  <c r="J1503" i="1"/>
  <c r="K1504" i="1"/>
  <c r="J2324" i="1"/>
  <c r="K2325" i="1"/>
  <c r="J1470" i="1"/>
  <c r="K1471" i="1"/>
  <c r="J2271" i="1"/>
  <c r="K2275" i="1"/>
  <c r="J4735" i="1"/>
  <c r="K4739" i="1"/>
  <c r="J4499" i="1"/>
  <c r="K4503" i="1"/>
  <c r="J3906" i="1"/>
  <c r="K3906" i="1" s="1"/>
  <c r="K3907" i="1"/>
  <c r="J3262" i="1"/>
  <c r="K3262" i="1" s="1"/>
  <c r="K3263" i="1"/>
  <c r="J4762" i="1"/>
  <c r="K4762" i="1" s="1"/>
  <c r="K4763" i="1"/>
  <c r="J3779" i="1"/>
  <c r="K3779" i="1" s="1"/>
  <c r="K3780" i="1"/>
  <c r="J2960" i="1"/>
  <c r="K2964" i="1"/>
  <c r="J1384" i="1"/>
  <c r="K1385" i="1"/>
  <c r="K867" i="1"/>
  <c r="K4049" i="1"/>
  <c r="L1123" i="1"/>
  <c r="J4725" i="1"/>
  <c r="K4726" i="1"/>
  <c r="J2630" i="1"/>
  <c r="K2631" i="1"/>
  <c r="J1832" i="1"/>
  <c r="K1833" i="1"/>
  <c r="J2517" i="1"/>
  <c r="K2521" i="1"/>
  <c r="J844" i="1"/>
  <c r="K845" i="1"/>
  <c r="J1672" i="1"/>
  <c r="K1673" i="1"/>
  <c r="J4172" i="1"/>
  <c r="K4172" i="1" s="1"/>
  <c r="K4173" i="1"/>
  <c r="K4634" i="1"/>
  <c r="J4315" i="1"/>
  <c r="K4316" i="1"/>
  <c r="J3051" i="1"/>
  <c r="K3052" i="1"/>
  <c r="J2624" i="1"/>
  <c r="K2625" i="1"/>
  <c r="J3809" i="1"/>
  <c r="K3810" i="1"/>
  <c r="J3101" i="1"/>
  <c r="K3101" i="1" s="1"/>
  <c r="K3102" i="1"/>
  <c r="J3401" i="1"/>
  <c r="K3402" i="1"/>
  <c r="J3233" i="1"/>
  <c r="K3234" i="1"/>
  <c r="J3034" i="1"/>
  <c r="K3035" i="1"/>
  <c r="J2906" i="1"/>
  <c r="K2907" i="1"/>
  <c r="J2856" i="1"/>
  <c r="K2857" i="1"/>
  <c r="J2802" i="1"/>
  <c r="K2803" i="1"/>
  <c r="J2663" i="1"/>
  <c r="K2664" i="1"/>
  <c r="J2233" i="1"/>
  <c r="K2233" i="1" s="1"/>
  <c r="K2234" i="1"/>
  <c r="J2203" i="1"/>
  <c r="K2204" i="1"/>
  <c r="J2158" i="1"/>
  <c r="K2158" i="1" s="1"/>
  <c r="K2159" i="1"/>
  <c r="J798" i="1"/>
  <c r="K799" i="1"/>
  <c r="J289" i="1"/>
  <c r="K290" i="1"/>
  <c r="J193" i="1"/>
  <c r="K193" i="1" s="1"/>
  <c r="K194" i="1"/>
  <c r="J1222" i="1"/>
  <c r="K1223" i="1"/>
  <c r="J110" i="1"/>
  <c r="K111" i="1"/>
  <c r="J2024" i="1"/>
  <c r="K2025" i="1"/>
  <c r="J1544" i="1"/>
  <c r="K1545" i="1"/>
  <c r="J293" i="1"/>
  <c r="K293" i="1" s="1"/>
  <c r="K294" i="1"/>
  <c r="J3132" i="1"/>
  <c r="K3132" i="1" s="1"/>
  <c r="K3133" i="1"/>
  <c r="J4388" i="1"/>
  <c r="K4389" i="1"/>
  <c r="J4307" i="1"/>
  <c r="K4308" i="1"/>
  <c r="J4247" i="1"/>
  <c r="K4247" i="1" s="1"/>
  <c r="K4248" i="1"/>
  <c r="J3228" i="1"/>
  <c r="K3228" i="1" s="1"/>
  <c r="K3229" i="1"/>
  <c r="J2253" i="1"/>
  <c r="K2254" i="1"/>
  <c r="J1847" i="1"/>
  <c r="K1848" i="1"/>
  <c r="J1357" i="1"/>
  <c r="K1358" i="1"/>
  <c r="J1119" i="1"/>
  <c r="K1120" i="1"/>
  <c r="J956" i="1"/>
  <c r="K957" i="1"/>
  <c r="J4372" i="1"/>
  <c r="K4372" i="1" s="1"/>
  <c r="K4373" i="1"/>
  <c r="J2065" i="1"/>
  <c r="K2066" i="1"/>
  <c r="J1322" i="1"/>
  <c r="K1322" i="1" s="1"/>
  <c r="K1323" i="1"/>
  <c r="J4381" i="1"/>
  <c r="K4382" i="1"/>
  <c r="J4214" i="1"/>
  <c r="K4214" i="1" s="1"/>
  <c r="K4215" i="1"/>
  <c r="J3252" i="1"/>
  <c r="K3253" i="1"/>
  <c r="J3120" i="1"/>
  <c r="K3121" i="1"/>
  <c r="J2506" i="1"/>
  <c r="K2507" i="1"/>
  <c r="J2146" i="1"/>
  <c r="K2147" i="1"/>
  <c r="J1413" i="1"/>
  <c r="K1414" i="1"/>
  <c r="J1004" i="1"/>
  <c r="K1004" i="1" s="1"/>
  <c r="K1005" i="1"/>
  <c r="J255" i="1"/>
  <c r="K256" i="1"/>
  <c r="J1195" i="1"/>
  <c r="K1195" i="1" s="1"/>
  <c r="K1196" i="1"/>
  <c r="J735" i="1"/>
  <c r="K736" i="1"/>
  <c r="J367" i="1"/>
  <c r="K368" i="1"/>
  <c r="J1784" i="1"/>
  <c r="K1785" i="1"/>
  <c r="J3738" i="1"/>
  <c r="K3742" i="1"/>
  <c r="J164" i="1"/>
  <c r="K168" i="1"/>
  <c r="J225" i="1"/>
  <c r="K225" i="1" s="1"/>
  <c r="K226" i="1"/>
  <c r="J2376" i="1"/>
  <c r="K2377" i="1"/>
  <c r="J2704" i="1"/>
  <c r="K2708" i="1"/>
  <c r="J675" i="1"/>
  <c r="K675" i="1" s="1"/>
  <c r="J4194" i="1"/>
  <c r="K4195" i="1"/>
  <c r="J4166" i="1"/>
  <c r="K4166" i="1" s="1"/>
  <c r="K4167" i="1"/>
  <c r="J3285" i="1"/>
  <c r="K3285" i="1" s="1"/>
  <c r="K3286" i="1"/>
  <c r="J3760" i="1"/>
  <c r="K3760" i="1" s="1"/>
  <c r="K3761" i="1"/>
  <c r="J1419" i="1"/>
  <c r="K1420" i="1"/>
  <c r="J1529" i="1"/>
  <c r="K1529" i="1" s="1"/>
  <c r="K1530" i="1"/>
  <c r="J3108" i="1"/>
  <c r="K3109" i="1"/>
  <c r="J973" i="1"/>
  <c r="K974" i="1"/>
  <c r="J2361" i="1"/>
  <c r="K2361" i="1" s="1"/>
  <c r="K2861" i="1"/>
  <c r="K1041" i="1"/>
  <c r="J1489" i="1"/>
  <c r="K1490" i="1"/>
  <c r="J1075" i="1"/>
  <c r="K1079" i="1"/>
  <c r="J688" i="1"/>
  <c r="K689" i="1"/>
  <c r="J1476" i="1"/>
  <c r="K1476" i="1" s="1"/>
  <c r="K1477" i="1"/>
  <c r="J3603" i="1"/>
  <c r="K3603" i="1" s="1"/>
  <c r="K3610" i="1"/>
  <c r="J1030" i="1"/>
  <c r="K1030" i="1" s="1"/>
  <c r="K1031" i="1"/>
  <c r="J129" i="1"/>
  <c r="K133" i="1"/>
  <c r="J2675" i="1"/>
  <c r="K2676" i="1"/>
  <c r="J4559" i="1"/>
  <c r="K4559" i="1" s="1"/>
  <c r="K4563" i="1"/>
  <c r="J4230" i="1"/>
  <c r="K4231" i="1"/>
  <c r="J3304" i="1"/>
  <c r="K3308" i="1"/>
  <c r="J4288" i="1"/>
  <c r="K4292" i="1"/>
  <c r="J3022" i="1"/>
  <c r="K3023" i="1"/>
  <c r="J2455" i="1"/>
  <c r="K2459" i="1"/>
  <c r="J2003" i="1"/>
  <c r="K2004" i="1"/>
  <c r="J581" i="1"/>
  <c r="K581" i="1" s="1"/>
  <c r="K582" i="1"/>
  <c r="J2224" i="1"/>
  <c r="K2225" i="1"/>
  <c r="J669" i="1"/>
  <c r="K670" i="1"/>
  <c r="J4092" i="1"/>
  <c r="K4093" i="1"/>
  <c r="J2953" i="1"/>
  <c r="K2954" i="1"/>
  <c r="J2058" i="1"/>
  <c r="K2059" i="1"/>
  <c r="J1608" i="1"/>
  <c r="K1608" i="1" s="1"/>
  <c r="K1609" i="1"/>
  <c r="J1991" i="1"/>
  <c r="K1995" i="1"/>
  <c r="J4663" i="1"/>
  <c r="K4664" i="1"/>
  <c r="J3424" i="1"/>
  <c r="K3425" i="1"/>
  <c r="J3690" i="1"/>
  <c r="K3691" i="1"/>
  <c r="J3719" i="1"/>
  <c r="K3719" i="1" s="1"/>
  <c r="K3720" i="1"/>
  <c r="J4755" i="1"/>
  <c r="K4756" i="1"/>
  <c r="J2448" i="1"/>
  <c r="K2449" i="1"/>
  <c r="J1150" i="1"/>
  <c r="K1154" i="1"/>
  <c r="J3408" i="1"/>
  <c r="K3409" i="1"/>
  <c r="J1754" i="1"/>
  <c r="K1754" i="1" s="1"/>
  <c r="K1755" i="1"/>
  <c r="J785" i="1"/>
  <c r="K785" i="1" s="1"/>
  <c r="K786" i="1"/>
  <c r="J1552" i="1"/>
  <c r="K1553" i="1"/>
  <c r="J242" i="1"/>
  <c r="K243" i="1"/>
  <c r="J2178" i="1"/>
  <c r="K2179" i="1"/>
  <c r="J1558" i="1"/>
  <c r="K1558" i="1" s="1"/>
  <c r="K1559" i="1"/>
  <c r="K3371" i="1"/>
  <c r="K814" i="1"/>
  <c r="J2697" i="1"/>
  <c r="K2698" i="1"/>
  <c r="J3884" i="1"/>
  <c r="K3885" i="1"/>
  <c r="J739" i="1"/>
  <c r="K739" i="1" s="1"/>
  <c r="K740" i="1"/>
  <c r="J3270" i="1"/>
  <c r="K3271" i="1"/>
  <c r="J838" i="1"/>
  <c r="K839" i="1"/>
  <c r="J4086" i="1"/>
  <c r="K4087" i="1"/>
  <c r="J2605" i="1"/>
  <c r="K2606" i="1"/>
  <c r="J2767" i="1"/>
  <c r="K2767" i="1" s="1"/>
  <c r="K2768" i="1"/>
  <c r="J3472" i="1"/>
  <c r="K3473" i="1"/>
  <c r="J4396" i="1"/>
  <c r="K4397" i="1"/>
  <c r="J4202" i="1"/>
  <c r="K4203" i="1"/>
  <c r="J2574" i="1"/>
  <c r="K2575" i="1"/>
  <c r="J2412" i="1"/>
  <c r="K2413" i="1"/>
  <c r="J2338" i="1"/>
  <c r="K2339" i="1"/>
  <c r="J2073" i="1"/>
  <c r="K2074" i="1"/>
  <c r="J1819" i="1"/>
  <c r="K1820" i="1"/>
  <c r="J1579" i="1"/>
  <c r="K1580" i="1"/>
  <c r="J1458" i="1"/>
  <c r="K1459" i="1"/>
  <c r="J1189" i="1"/>
  <c r="K1190" i="1"/>
  <c r="J1127" i="1"/>
  <c r="K1128" i="1"/>
  <c r="J1088" i="1"/>
  <c r="K1089" i="1"/>
  <c r="J418" i="1"/>
  <c r="K419" i="1"/>
  <c r="J2977" i="1"/>
  <c r="K2977" i="1" s="1"/>
  <c r="K2978" i="1"/>
  <c r="J2592" i="1"/>
  <c r="K2593" i="1"/>
  <c r="J2468" i="1"/>
  <c r="K2469" i="1"/>
  <c r="J2053" i="1"/>
  <c r="K2054" i="1"/>
  <c r="J1773" i="1"/>
  <c r="K1774" i="1"/>
  <c r="J1651" i="1"/>
  <c r="K1652" i="1"/>
  <c r="J1329" i="1"/>
  <c r="K1330" i="1"/>
  <c r="J302" i="1"/>
  <c r="K302" i="1" s="1"/>
  <c r="K303" i="1"/>
  <c r="J390" i="1"/>
  <c r="K391" i="1"/>
  <c r="J1824" i="1"/>
  <c r="K1825" i="1"/>
  <c r="J4602" i="1"/>
  <c r="K4603" i="1"/>
  <c r="J3750" i="1"/>
  <c r="K3751" i="1"/>
  <c r="J3867" i="1"/>
  <c r="K3868" i="1"/>
  <c r="J2927" i="1"/>
  <c r="K2928" i="1"/>
  <c r="J2721" i="1"/>
  <c r="K2721" i="1" s="1"/>
  <c r="K2722" i="1"/>
  <c r="J2655" i="1"/>
  <c r="K2655" i="1" s="1"/>
  <c r="K2656" i="1"/>
  <c r="J2512" i="1"/>
  <c r="K2513" i="1"/>
  <c r="J2472" i="1"/>
  <c r="K2472" i="1" s="1"/>
  <c r="K2473" i="1"/>
  <c r="J2432" i="1"/>
  <c r="K2432" i="1" s="1"/>
  <c r="K2433" i="1"/>
  <c r="J2333" i="1"/>
  <c r="K2334" i="1"/>
  <c r="J2154" i="1"/>
  <c r="K2155" i="1"/>
  <c r="J1870" i="1"/>
  <c r="K1870" i="1" s="1"/>
  <c r="K1871" i="1"/>
  <c r="J1778" i="1"/>
  <c r="K1779" i="1"/>
  <c r="J1599" i="1"/>
  <c r="K1600" i="1"/>
  <c r="J1338" i="1"/>
  <c r="K1339" i="1"/>
  <c r="J1183" i="1"/>
  <c r="K1184" i="1"/>
  <c r="J833" i="1"/>
  <c r="K834" i="1"/>
  <c r="J696" i="1"/>
  <c r="K697" i="1"/>
  <c r="J664" i="1"/>
  <c r="K665" i="1"/>
  <c r="J577" i="1"/>
  <c r="K578" i="1"/>
  <c r="J485" i="1"/>
  <c r="K485" i="1" s="1"/>
  <c r="K486" i="1"/>
  <c r="J413" i="1"/>
  <c r="K413" i="1" s="1"/>
  <c r="K414" i="1"/>
  <c r="J358" i="1"/>
  <c r="K359" i="1"/>
  <c r="J260" i="1"/>
  <c r="K260" i="1" s="1"/>
  <c r="K261" i="1"/>
  <c r="J156" i="1"/>
  <c r="K157" i="1"/>
  <c r="J55" i="1"/>
  <c r="K56" i="1"/>
  <c r="J4713" i="1"/>
  <c r="K4714" i="1"/>
  <c r="J4533" i="1"/>
  <c r="K4533" i="1" s="1"/>
  <c r="K4534" i="1"/>
  <c r="J4493" i="1"/>
  <c r="K4493" i="1" s="1"/>
  <c r="K4494" i="1"/>
  <c r="J4300" i="1"/>
  <c r="K4301" i="1"/>
  <c r="J3845" i="1"/>
  <c r="K3845" i="1" s="1"/>
  <c r="K3846" i="1"/>
  <c r="J3583" i="1"/>
  <c r="K3584" i="1"/>
  <c r="J3459" i="1"/>
  <c r="K3460" i="1"/>
  <c r="J3210" i="1"/>
  <c r="K3210" i="1" s="1"/>
  <c r="K3211" i="1"/>
  <c r="J3097" i="1"/>
  <c r="K3098" i="1"/>
  <c r="J2428" i="1"/>
  <c r="K2429" i="1"/>
  <c r="J2304" i="1"/>
  <c r="K2305" i="1"/>
  <c r="J1932" i="1"/>
  <c r="K1932" i="1" s="1"/>
  <c r="K1933" i="1"/>
  <c r="J1145" i="1"/>
  <c r="K1146" i="1"/>
  <c r="J2165" i="1"/>
  <c r="K2166" i="1"/>
  <c r="J142" i="1"/>
  <c r="K143" i="1"/>
  <c r="J3143" i="1"/>
  <c r="K3143" i="1" s="1"/>
  <c r="K3144" i="1"/>
  <c r="J4577" i="1"/>
  <c r="K4578" i="1"/>
  <c r="J3046" i="1"/>
  <c r="K3047" i="1"/>
  <c r="J2747" i="1"/>
  <c r="K2747" i="1" s="1"/>
  <c r="K2748" i="1"/>
  <c r="J2343" i="1"/>
  <c r="K2344" i="1"/>
  <c r="J2197" i="1"/>
  <c r="K2198" i="1"/>
  <c r="J1805" i="1"/>
  <c r="K1806" i="1"/>
  <c r="J3991" i="1"/>
  <c r="K3992" i="1"/>
  <c r="J3175" i="1"/>
  <c r="K3175" i="1" s="1"/>
  <c r="K3176" i="1"/>
  <c r="J1681" i="1"/>
  <c r="K1681" i="1" s="1"/>
  <c r="K1682" i="1"/>
  <c r="J938" i="1"/>
  <c r="K938" i="1" s="1"/>
  <c r="K939" i="1"/>
  <c r="J435" i="1"/>
  <c r="K435" i="1" s="1"/>
  <c r="K436" i="1"/>
  <c r="J4656" i="1"/>
  <c r="K4657" i="1"/>
  <c r="J4489" i="1"/>
  <c r="K4490" i="1"/>
  <c r="J4367" i="1"/>
  <c r="K4368" i="1"/>
  <c r="K4238" i="1"/>
  <c r="J4208" i="1"/>
  <c r="K4209" i="1"/>
  <c r="J4145" i="1"/>
  <c r="K4146" i="1"/>
  <c r="J4108" i="1"/>
  <c r="K4108" i="1" s="1"/>
  <c r="K4109" i="1"/>
  <c r="J4024" i="1"/>
  <c r="K4025" i="1"/>
  <c r="J3975" i="1"/>
  <c r="K3976" i="1"/>
  <c r="J3942" i="1"/>
  <c r="K3943" i="1"/>
  <c r="J3838" i="1"/>
  <c r="K3839" i="1"/>
  <c r="J3786" i="1"/>
  <c r="K3787" i="1"/>
  <c r="J3598" i="1"/>
  <c r="K3598" i="1" s="1"/>
  <c r="K3599" i="1"/>
  <c r="J3152" i="1"/>
  <c r="K3153" i="1"/>
  <c r="J3074" i="1"/>
  <c r="K3075" i="1"/>
  <c r="J2914" i="1"/>
  <c r="K2915" i="1"/>
  <c r="J2831" i="1"/>
  <c r="K2832" i="1"/>
  <c r="J2559" i="1"/>
  <c r="K2559" i="1" s="1"/>
  <c r="K2560" i="1"/>
  <c r="J2499" i="1"/>
  <c r="K2500" i="1"/>
  <c r="J2420" i="1"/>
  <c r="K2421" i="1"/>
  <c r="J2266" i="1"/>
  <c r="K2267" i="1"/>
  <c r="J2207" i="1"/>
  <c r="K2207" i="1" s="1"/>
  <c r="K2208" i="1"/>
  <c r="J1958" i="1"/>
  <c r="K1958" i="1" s="1"/>
  <c r="K1959" i="1"/>
  <c r="J1928" i="1"/>
  <c r="K1929" i="1"/>
  <c r="J1799" i="1"/>
  <c r="K1800" i="1"/>
  <c r="J1742" i="1"/>
  <c r="K1743" i="1"/>
  <c r="J1689" i="1"/>
  <c r="K1690" i="1"/>
  <c r="J1583" i="1"/>
  <c r="K1583" i="1" s="1"/>
  <c r="K1584" i="1"/>
  <c r="J1367" i="1"/>
  <c r="K1367" i="1" s="1"/>
  <c r="K1368" i="1"/>
  <c r="J1258" i="1"/>
  <c r="K1259" i="1"/>
  <c r="J876" i="1"/>
  <c r="K877" i="1"/>
  <c r="J2738" i="1"/>
  <c r="K2739" i="1"/>
  <c r="K3930" i="1"/>
  <c r="J315" i="1"/>
  <c r="K319" i="1"/>
  <c r="J2761" i="1"/>
  <c r="K2762" i="1"/>
  <c r="J348" i="1"/>
  <c r="K348" i="1" s="1"/>
  <c r="K349" i="1"/>
  <c r="J2477" i="1"/>
  <c r="K2477" i="1" s="1"/>
  <c r="J73" i="1"/>
  <c r="K74" i="1"/>
  <c r="J4702" i="1"/>
  <c r="K4702" i="1" s="1"/>
  <c r="K4703" i="1"/>
  <c r="J944" i="1"/>
  <c r="K948" i="1"/>
  <c r="J12" i="1"/>
  <c r="K13" i="1"/>
  <c r="J2122" i="1"/>
  <c r="K2123" i="1"/>
  <c r="J1020" i="1"/>
  <c r="K1021" i="1"/>
  <c r="J1280" i="1"/>
  <c r="K1281" i="1"/>
  <c r="J2894" i="1"/>
  <c r="K2895" i="1"/>
  <c r="J2316" i="1"/>
  <c r="K2316" i="1" s="1"/>
  <c r="K2317" i="1"/>
  <c r="J964" i="1"/>
  <c r="K965" i="1"/>
  <c r="J3995" i="1"/>
  <c r="K3996" i="1"/>
  <c r="K4222" i="1"/>
  <c r="J2822" i="1"/>
  <c r="K2823" i="1"/>
  <c r="J2246" i="1"/>
  <c r="K2247" i="1"/>
  <c r="J1838" i="1"/>
  <c r="K1838" i="1" s="1"/>
  <c r="K1839" i="1"/>
  <c r="J1009" i="1"/>
  <c r="K1010" i="1"/>
  <c r="J1949" i="1"/>
  <c r="K1950" i="1"/>
  <c r="J468" i="1"/>
  <c r="K469" i="1"/>
  <c r="J3365" i="1"/>
  <c r="K3366" i="1"/>
  <c r="J2384" i="1"/>
  <c r="K2385" i="1"/>
  <c r="J4473" i="1"/>
  <c r="K4474" i="1"/>
  <c r="J1271" i="1"/>
  <c r="K1272" i="1"/>
  <c r="J2034" i="1"/>
  <c r="K2034" i="1" s="1"/>
  <c r="K2035" i="1"/>
  <c r="J1637" i="1"/>
  <c r="K1641" i="1"/>
  <c r="J308" i="1"/>
  <c r="K309" i="1"/>
  <c r="J2390" i="1"/>
  <c r="K2390" i="1" s="1"/>
  <c r="K2391" i="1"/>
  <c r="J3850" i="1"/>
  <c r="K3851" i="1"/>
  <c r="J2726" i="1"/>
  <c r="K2726" i="1" s="1"/>
  <c r="K2727" i="1"/>
  <c r="J117" i="1"/>
  <c r="K118" i="1"/>
  <c r="J1709" i="1"/>
  <c r="K1713" i="1"/>
  <c r="J1702" i="1"/>
  <c r="K1703" i="1"/>
  <c r="J2931" i="1"/>
  <c r="K2931" i="1" s="1"/>
  <c r="K2932" i="1"/>
  <c r="J4073" i="1"/>
  <c r="K4074" i="1"/>
  <c r="J3086" i="1"/>
  <c r="K3087" i="1"/>
  <c r="J3316" i="1"/>
  <c r="K3317" i="1"/>
  <c r="J4446" i="1"/>
  <c r="K4446" i="1" s="1"/>
  <c r="K4447" i="1"/>
  <c r="J2553" i="1"/>
  <c r="K2554" i="1"/>
  <c r="K3545" i="1"/>
  <c r="J3179" i="1"/>
  <c r="K3180" i="1"/>
  <c r="J3685" i="1"/>
  <c r="K3686" i="1"/>
  <c r="J3636" i="1"/>
  <c r="K3637" i="1"/>
  <c r="J3521" i="1"/>
  <c r="K3521" i="1" s="1"/>
  <c r="K3522" i="1"/>
  <c r="J3480" i="1"/>
  <c r="K3481" i="1"/>
  <c r="J3327" i="1"/>
  <c r="K3328" i="1"/>
  <c r="J3139" i="1"/>
  <c r="K3140" i="1"/>
  <c r="J3066" i="1"/>
  <c r="K3067" i="1"/>
  <c r="J2940" i="1"/>
  <c r="K2941" i="1"/>
  <c r="J2887" i="1"/>
  <c r="K2887" i="1" s="1"/>
  <c r="K2888" i="1"/>
  <c r="J2260" i="1"/>
  <c r="K2261" i="1"/>
  <c r="J2134" i="1"/>
  <c r="K2135" i="1"/>
  <c r="J179" i="1"/>
  <c r="K180" i="1"/>
  <c r="J2841" i="1"/>
  <c r="K2842" i="1"/>
  <c r="J281" i="1"/>
  <c r="K282" i="1"/>
  <c r="J3728" i="1"/>
  <c r="K3728" i="1" s="1"/>
  <c r="K3729" i="1"/>
  <c r="J2080" i="1"/>
  <c r="K2081" i="1"/>
  <c r="J2944" i="1"/>
  <c r="K2944" i="1" s="1"/>
  <c r="K2945" i="1"/>
  <c r="J3733" i="1"/>
  <c r="K3734" i="1"/>
  <c r="J3258" i="1"/>
  <c r="K3259" i="1"/>
  <c r="J3128" i="1"/>
  <c r="K3129" i="1"/>
  <c r="J1655" i="1"/>
  <c r="K1655" i="1" s="1"/>
  <c r="K1656" i="1"/>
  <c r="J1498" i="1"/>
  <c r="K1499" i="1"/>
  <c r="K2882" i="1"/>
  <c r="J1963" i="1"/>
  <c r="K1964" i="1"/>
  <c r="J1483" i="1"/>
  <c r="K1484" i="1"/>
  <c r="J1215" i="1"/>
  <c r="K1216" i="1"/>
  <c r="J1058" i="1"/>
  <c r="K1059" i="1"/>
  <c r="J4675" i="1"/>
  <c r="K4676" i="1"/>
  <c r="J424" i="1"/>
  <c r="K425" i="1"/>
  <c r="J1525" i="1"/>
  <c r="K1526" i="1"/>
  <c r="J4747" i="1"/>
  <c r="K4748" i="1"/>
  <c r="J4585" i="1"/>
  <c r="K4586" i="1"/>
  <c r="J3861" i="1"/>
  <c r="K3861" i="1" s="1"/>
  <c r="K3862" i="1"/>
  <c r="J3775" i="1"/>
  <c r="K3775" i="1" s="1"/>
  <c r="K3776" i="1"/>
  <c r="J2836" i="1"/>
  <c r="K2837" i="1"/>
  <c r="J2619" i="1"/>
  <c r="K2620" i="1"/>
  <c r="J2030" i="1"/>
  <c r="K2031" i="1"/>
  <c r="J1696" i="1"/>
  <c r="K1697" i="1"/>
  <c r="J1297" i="1"/>
  <c r="K1297" i="1" s="1"/>
  <c r="K1298" i="1"/>
  <c r="J862" i="1"/>
  <c r="K863" i="1"/>
  <c r="J620" i="1"/>
  <c r="K621" i="1"/>
  <c r="J481" i="1"/>
  <c r="K482" i="1"/>
  <c r="J148" i="1"/>
  <c r="K149" i="1"/>
  <c r="J1293" i="1"/>
  <c r="K1294" i="1"/>
  <c r="J431" i="1"/>
  <c r="K432" i="1"/>
  <c r="J298" i="1"/>
  <c r="K298" i="1" s="1"/>
  <c r="K299" i="1"/>
  <c r="J4351" i="1"/>
  <c r="K4352" i="1"/>
  <c r="K892" i="1"/>
  <c r="J4254" i="1"/>
  <c r="K4254" i="1" s="1"/>
  <c r="K4264" i="1"/>
  <c r="J2399" i="1"/>
  <c r="K2400" i="1"/>
  <c r="J895" i="1"/>
  <c r="K895" i="1" s="1"/>
  <c r="K896" i="1"/>
  <c r="J101" i="1"/>
  <c r="K102" i="1"/>
  <c r="J723" i="1"/>
  <c r="K723" i="1" s="1"/>
  <c r="K724" i="1"/>
  <c r="J2084" i="1"/>
  <c r="K2084" i="1" s="1"/>
  <c r="K2085" i="1"/>
  <c r="J997" i="1"/>
  <c r="K998" i="1"/>
  <c r="J4151" i="1"/>
  <c r="K4155" i="1"/>
  <c r="J2609" i="1"/>
  <c r="K2609" i="1" s="1"/>
  <c r="K2610" i="1"/>
  <c r="J2848" i="1"/>
  <c r="K2849" i="1"/>
  <c r="J1068" i="1"/>
  <c r="K1069" i="1"/>
  <c r="K4067" i="1"/>
  <c r="J4590" i="1"/>
  <c r="K4594" i="1"/>
  <c r="J3659" i="1"/>
  <c r="K3660" i="1"/>
  <c r="J3921" i="1"/>
  <c r="K3922" i="1"/>
  <c r="J2185" i="1"/>
  <c r="K2189" i="1"/>
  <c r="J2488" i="1"/>
  <c r="K2488" i="1" s="1"/>
  <c r="K2489" i="1"/>
  <c r="J1854" i="1"/>
  <c r="K1855" i="1"/>
  <c r="J4642" i="1"/>
  <c r="K4643" i="1"/>
  <c r="J1247" i="1"/>
  <c r="K1248" i="1"/>
  <c r="J3352" i="1"/>
  <c r="K3353" i="1"/>
  <c r="J2772" i="1"/>
  <c r="K2776" i="1"/>
  <c r="J1630" i="1"/>
  <c r="K1631" i="1"/>
  <c r="J4537" i="1"/>
  <c r="K4541" i="1"/>
  <c r="J4649" i="1"/>
  <c r="K4649" i="1" s="1"/>
  <c r="K4650" i="1"/>
  <c r="J4112" i="1"/>
  <c r="K4124" i="1"/>
  <c r="J3822" i="1"/>
  <c r="K3826" i="1"/>
  <c r="J3004" i="1"/>
  <c r="K3005" i="1"/>
  <c r="J1764" i="1"/>
  <c r="K1765" i="1"/>
  <c r="J1908" i="1"/>
  <c r="K1909" i="1"/>
  <c r="J883" i="1"/>
  <c r="K884" i="1"/>
  <c r="J1426" i="1"/>
  <c r="K1430" i="1"/>
  <c r="J2105" i="1"/>
  <c r="K2106" i="1"/>
  <c r="J1890" i="1"/>
  <c r="K1891" i="1"/>
  <c r="J2814" i="1"/>
  <c r="K2814" i="1" s="1"/>
  <c r="K2815" i="1"/>
  <c r="J3240" i="1"/>
  <c r="K3241" i="1"/>
  <c r="J2099" i="1"/>
  <c r="K2100" i="1"/>
  <c r="K67" i="1"/>
  <c r="J63" i="1"/>
  <c r="J3652" i="1"/>
  <c r="K3652" i="1" s="1"/>
  <c r="K3653" i="1"/>
  <c r="J1242" i="1"/>
  <c r="K1243" i="1"/>
  <c r="J3010" i="1"/>
  <c r="K3010" i="1" s="1"/>
  <c r="K3011" i="1"/>
  <c r="J4422" i="1"/>
  <c r="K4422" i="1" s="1"/>
  <c r="K4423" i="1"/>
  <c r="J4359" i="1"/>
  <c r="K4360" i="1"/>
  <c r="J3969" i="1"/>
  <c r="K3969" i="1" s="1"/>
  <c r="K3970" i="1"/>
  <c r="J3937" i="1"/>
  <c r="K3937" i="1" s="1"/>
  <c r="K3938" i="1"/>
  <c r="J2439" i="1"/>
  <c r="K2440" i="1"/>
  <c r="J2371" i="1"/>
  <c r="K2372" i="1"/>
  <c r="J1878" i="1"/>
  <c r="K1879" i="1"/>
  <c r="J1792" i="1"/>
  <c r="K1793" i="1"/>
  <c r="J1736" i="1"/>
  <c r="K1737" i="1"/>
  <c r="J1604" i="1"/>
  <c r="K1605" i="1"/>
  <c r="J1539" i="1"/>
  <c r="K1540" i="1"/>
  <c r="J1401" i="1"/>
  <c r="K1402" i="1"/>
  <c r="J1363" i="1"/>
  <c r="K1364" i="1"/>
  <c r="J1313" i="1"/>
  <c r="K1314" i="1"/>
  <c r="J1210" i="1"/>
  <c r="K1211" i="1"/>
  <c r="J3081" i="1"/>
  <c r="K3082" i="1"/>
  <c r="J2922" i="1"/>
  <c r="K2923" i="1"/>
  <c r="J2755" i="1"/>
  <c r="K2756" i="1"/>
  <c r="J2651" i="1"/>
  <c r="K2652" i="1"/>
  <c r="J2541" i="1"/>
  <c r="K2542" i="1"/>
  <c r="J1971" i="1"/>
  <c r="K1972" i="1"/>
  <c r="J1591" i="1"/>
  <c r="K1592" i="1"/>
  <c r="J1236" i="1"/>
  <c r="K1237" i="1"/>
  <c r="J1177" i="1"/>
  <c r="K1178" i="1"/>
  <c r="J1052" i="1"/>
  <c r="K1053" i="1"/>
  <c r="J855" i="1"/>
  <c r="K856" i="1"/>
  <c r="J475" i="1"/>
  <c r="K475" i="1" s="1"/>
  <c r="K476" i="1"/>
  <c r="J1436" i="1"/>
  <c r="K1437" i="1"/>
  <c r="J1132" i="1"/>
  <c r="K1133" i="1"/>
  <c r="J4720" i="1"/>
  <c r="K4721" i="1"/>
  <c r="J4218" i="1"/>
  <c r="K4218" i="1" s="1"/>
  <c r="K4219" i="1"/>
  <c r="K4119" i="1"/>
  <c r="J3894" i="1"/>
  <c r="K3894" i="1" s="1"/>
  <c r="K3895" i="1"/>
  <c r="J3465" i="1"/>
  <c r="K3466" i="1"/>
  <c r="J2870" i="1"/>
  <c r="K2871" i="1"/>
  <c r="J2796" i="1"/>
  <c r="K2797" i="1"/>
  <c r="J2684" i="1"/>
  <c r="K2685" i="1"/>
  <c r="J2599" i="1"/>
  <c r="K2600" i="1"/>
  <c r="J2547" i="1"/>
  <c r="K2548" i="1"/>
  <c r="J2094" i="1"/>
  <c r="K2095" i="1"/>
  <c r="J1978" i="1"/>
  <c r="K1979" i="1"/>
  <c r="J1899" i="1"/>
  <c r="K1900" i="1"/>
  <c r="J1305" i="1"/>
  <c r="K1306" i="1"/>
  <c r="J627" i="1"/>
  <c r="K628" i="1"/>
  <c r="J276" i="1"/>
  <c r="K276" i="1" s="1"/>
  <c r="K277" i="1"/>
  <c r="J4455" i="1"/>
  <c r="K4455" i="1" s="1"/>
  <c r="K4456" i="1"/>
  <c r="J4030" i="1"/>
  <c r="K4031" i="1"/>
  <c r="J3497" i="1"/>
  <c r="K3498" i="1"/>
  <c r="J3157" i="1"/>
  <c r="K3157" i="1" s="1"/>
  <c r="K3158" i="1"/>
  <c r="J2717" i="1"/>
  <c r="K2718" i="1"/>
  <c r="J1866" i="1"/>
  <c r="K1867" i="1"/>
  <c r="J1748" i="1"/>
  <c r="K1749" i="1"/>
  <c r="J1617" i="1"/>
  <c r="K1618" i="1"/>
  <c r="J215" i="1"/>
  <c r="K216" i="1"/>
  <c r="J1139" i="1"/>
  <c r="K1140" i="1"/>
  <c r="J210" i="1"/>
  <c r="K210" i="1" s="1"/>
  <c r="K211" i="1"/>
  <c r="J2880" i="1"/>
  <c r="K2881" i="1"/>
  <c r="J461" i="1"/>
  <c r="K462" i="1"/>
  <c r="J3790" i="1"/>
  <c r="K3790" i="1" s="1"/>
  <c r="K3791" i="1"/>
  <c r="J3015" i="1"/>
  <c r="K3016" i="1"/>
  <c r="J2688" i="1"/>
  <c r="K2688" i="1" s="1"/>
  <c r="K2689" i="1"/>
  <c r="J928" i="1"/>
  <c r="K928" i="1" s="1"/>
  <c r="K929" i="1"/>
  <c r="J4402" i="1"/>
  <c r="K4402" i="1" s="1"/>
  <c r="K4403" i="1"/>
  <c r="J4082" i="1"/>
  <c r="K4082" i="1" s="1"/>
  <c r="K4083" i="1"/>
  <c r="J2875" i="1"/>
  <c r="K2876" i="1"/>
  <c r="J2584" i="1"/>
  <c r="K2585" i="1"/>
  <c r="J3875" i="1"/>
  <c r="K3876" i="1"/>
  <c r="J2356" i="1"/>
  <c r="K2357" i="1"/>
  <c r="J1510" i="1"/>
  <c r="K1511" i="1"/>
  <c r="J4016" i="1"/>
  <c r="K4017" i="1"/>
  <c r="J2169" i="1"/>
  <c r="K2169" i="1" s="1"/>
  <c r="K2170" i="1"/>
  <c r="J1621" i="1"/>
  <c r="K1621" i="1" s="1"/>
  <c r="K1622" i="1"/>
  <c r="J1393" i="1"/>
  <c r="K1393" i="1" s="1"/>
  <c r="K1394" i="1"/>
  <c r="J890" i="1"/>
  <c r="K891" i="1"/>
  <c r="J598" i="1"/>
  <c r="K598" i="1" s="1"/>
  <c r="K599" i="1"/>
  <c r="J234" i="1"/>
  <c r="K235" i="1"/>
  <c r="J4572" i="1"/>
  <c r="K4573" i="1"/>
  <c r="J4514" i="1"/>
  <c r="K4514" i="1" s="1"/>
  <c r="K4515" i="1"/>
  <c r="J3857" i="1"/>
  <c r="K3858" i="1"/>
  <c r="J3817" i="1"/>
  <c r="K3818" i="1"/>
  <c r="J3577" i="1"/>
  <c r="K3577" i="1" s="1"/>
  <c r="K3578" i="1"/>
  <c r="J3488" i="1"/>
  <c r="K3489" i="1"/>
  <c r="J3335" i="1"/>
  <c r="K3336" i="1"/>
  <c r="J3247" i="1"/>
  <c r="K3248" i="1"/>
  <c r="J3171" i="1"/>
  <c r="K3171" i="1" s="1"/>
  <c r="K3172" i="1"/>
  <c r="J3040" i="1"/>
  <c r="K3041" i="1"/>
  <c r="J2973" i="1"/>
  <c r="K2974" i="1"/>
  <c r="J2808" i="1"/>
  <c r="K2809" i="1"/>
  <c r="J2671" i="1"/>
  <c r="K2672" i="1"/>
  <c r="J2579" i="1"/>
  <c r="K2580" i="1"/>
  <c r="J2351" i="1"/>
  <c r="K2352" i="1"/>
  <c r="J2298" i="1"/>
  <c r="K2299" i="1"/>
  <c r="J2241" i="1"/>
  <c r="K2242" i="1"/>
  <c r="J2138" i="1"/>
  <c r="K2138" i="1" s="1"/>
  <c r="K2139" i="1"/>
  <c r="J2018" i="1"/>
  <c r="K2019" i="1"/>
  <c r="J1886" i="1"/>
  <c r="K1887" i="1"/>
  <c r="J1518" i="1"/>
  <c r="K1519" i="1"/>
  <c r="J1464" i="1"/>
  <c r="K1465" i="1"/>
  <c r="J1406" i="1"/>
  <c r="K1407" i="1"/>
  <c r="J1318" i="1"/>
  <c r="K1319" i="1"/>
  <c r="J1229" i="1"/>
  <c r="K1230" i="1"/>
  <c r="J1092" i="1"/>
  <c r="K1092" i="1" s="1"/>
  <c r="K1093" i="1"/>
  <c r="L2281" i="1"/>
  <c r="L2280" i="1" s="1"/>
  <c r="I4672" i="1"/>
  <c r="I4671" i="1" s="1"/>
  <c r="I2042" i="1"/>
  <c r="I1123" i="1"/>
  <c r="L4753" i="1"/>
  <c r="L4752" i="1" s="1"/>
  <c r="L4751" i="1" s="1"/>
  <c r="L4731" i="1" s="1"/>
  <c r="H1596" i="1"/>
  <c r="H1595" i="1" s="1"/>
  <c r="I1693" i="1"/>
  <c r="I1685" i="1" s="1"/>
  <c r="L2919" i="1"/>
  <c r="L2918" i="1" s="1"/>
  <c r="H3277" i="1"/>
  <c r="H3276" i="1" s="1"/>
  <c r="H3275" i="1" s="1"/>
  <c r="I2919" i="1"/>
  <c r="I2918" i="1" s="1"/>
  <c r="I4165" i="1"/>
  <c r="I10" i="1"/>
  <c r="I9" i="1" s="1"/>
  <c r="I8" i="1" s="1"/>
  <c r="I2527" i="1"/>
  <c r="I2526" i="1" s="1"/>
  <c r="H20" i="1"/>
  <c r="H19" i="1" s="1"/>
  <c r="H10" i="1" s="1"/>
  <c r="H9" i="1" s="1"/>
  <c r="H8" i="1" s="1"/>
  <c r="H7" i="1" s="1"/>
  <c r="H804" i="1"/>
  <c r="H803" i="1" s="1"/>
  <c r="H802" i="1" s="1"/>
  <c r="H795" i="1" s="1"/>
  <c r="L1487" i="1"/>
  <c r="I2950" i="1"/>
  <c r="J983" i="1"/>
  <c r="I126" i="1"/>
  <c r="I125" i="1" s="1"/>
  <c r="H3844" i="1"/>
  <c r="H3843" i="1" s="1"/>
  <c r="H3842" i="1" s="1"/>
  <c r="H3813" i="1" s="1"/>
  <c r="H3149" i="1"/>
  <c r="I983" i="1"/>
  <c r="I982" i="1" s="1"/>
  <c r="I971" i="1" s="1"/>
  <c r="I961" i="1" s="1"/>
  <c r="I1487" i="1"/>
  <c r="H4059" i="1"/>
  <c r="H4037" i="1" s="1"/>
  <c r="H4036" i="1" s="1"/>
  <c r="H4035" i="1" s="1"/>
  <c r="I1975" i="1"/>
  <c r="I1967" i="1" s="1"/>
  <c r="H2853" i="1"/>
  <c r="H2845" i="1" s="1"/>
  <c r="H4178" i="1"/>
  <c r="L1975" i="1"/>
  <c r="L1967" i="1" s="1"/>
  <c r="H3756" i="1"/>
  <c r="H3755" i="1" s="1"/>
  <c r="H3754" i="1" s="1"/>
  <c r="H2981" i="1"/>
  <c r="H2971" i="1" s="1"/>
  <c r="H2949" i="1" s="1"/>
  <c r="H1159" i="1"/>
  <c r="H2445" i="1"/>
  <c r="I1410" i="1"/>
  <c r="I1397" i="1" s="1"/>
  <c r="I2077" i="1"/>
  <c r="I2069" i="1" s="1"/>
  <c r="H2596" i="1"/>
  <c r="H2588" i="1" s="1"/>
  <c r="H1065" i="1"/>
  <c r="I329" i="1"/>
  <c r="I328" i="1" s="1"/>
  <c r="I327" i="1" s="1"/>
  <c r="I326" i="1" s="1"/>
  <c r="I3365" i="1"/>
  <c r="I3364" i="1" s="1"/>
  <c r="I3363" i="1" s="1"/>
  <c r="I3362" i="1" s="1"/>
  <c r="I3361" i="1" s="1"/>
  <c r="I4059" i="1"/>
  <c r="I4037" i="1" s="1"/>
  <c r="I4036" i="1" s="1"/>
  <c r="I4035" i="1" s="1"/>
  <c r="H3503" i="1"/>
  <c r="H3502" i="1" s="1"/>
  <c r="H3501" i="1" s="1"/>
  <c r="I2981" i="1"/>
  <c r="I2971" i="1" s="1"/>
  <c r="I2281" i="1"/>
  <c r="I2280" i="1" s="1"/>
  <c r="I3844" i="1"/>
  <c r="I3843" i="1" s="1"/>
  <c r="I3842" i="1" s="1"/>
  <c r="I3813" i="1" s="1"/>
  <c r="H362" i="1"/>
  <c r="H356" i="1" s="1"/>
  <c r="H355" i="1" s="1"/>
  <c r="H2077" i="1"/>
  <c r="H2069" i="1" s="1"/>
  <c r="L2042" i="1"/>
  <c r="L2001" i="1"/>
  <c r="I2853" i="1"/>
  <c r="I2845" i="1" s="1"/>
  <c r="H3948" i="1"/>
  <c r="H3947" i="1" s="1"/>
  <c r="H3946" i="1" s="1"/>
  <c r="H3918" i="1" s="1"/>
  <c r="L2853" i="1"/>
  <c r="L2845" i="1" s="1"/>
  <c r="I1936" i="1"/>
  <c r="I1926" i="1" s="1"/>
  <c r="J20" i="1"/>
  <c r="I3948" i="1"/>
  <c r="I3947" i="1" s="1"/>
  <c r="H1029" i="1"/>
  <c r="H1028" i="1" s="1"/>
  <c r="J329" i="1"/>
  <c r="L20" i="1"/>
  <c r="L19" i="1" s="1"/>
  <c r="L10" i="1" s="1"/>
  <c r="L9" i="1" s="1"/>
  <c r="L8" i="1" s="1"/>
  <c r="I1160" i="1"/>
  <c r="I1159" i="1" s="1"/>
  <c r="L2782" i="1"/>
  <c r="L2781" i="1" s="1"/>
  <c r="I1659" i="1"/>
  <c r="I1649" i="1" s="1"/>
  <c r="I1626" i="1" s="1"/>
  <c r="I3405" i="1"/>
  <c r="I4609" i="1"/>
  <c r="I4608" i="1" s="1"/>
  <c r="I4607" i="1" s="1"/>
  <c r="I4606" i="1" s="1"/>
  <c r="L1596" i="1"/>
  <c r="L1595" i="1" s="1"/>
  <c r="I362" i="1"/>
  <c r="I356" i="1" s="1"/>
  <c r="I355" i="1" s="1"/>
  <c r="H1522" i="1"/>
  <c r="H1514" i="1" s="1"/>
  <c r="I1233" i="1"/>
  <c r="I1219" i="1" s="1"/>
  <c r="H1905" i="1"/>
  <c r="I4454" i="1"/>
  <c r="I4453" i="1" s="1"/>
  <c r="I4452" i="1" s="1"/>
  <c r="I3756" i="1"/>
  <c r="I3755" i="1" s="1"/>
  <c r="I3754" i="1" s="1"/>
  <c r="H1397" i="1"/>
  <c r="J4609" i="1"/>
  <c r="I2476" i="1"/>
  <c r="I2466" i="1" s="1"/>
  <c r="I4753" i="1"/>
  <c r="I4752" i="1" s="1"/>
  <c r="I4751" i="1" s="1"/>
  <c r="I4731" i="1" s="1"/>
  <c r="I2001" i="1"/>
  <c r="H4230" i="1"/>
  <c r="H4229" i="1" s="1"/>
  <c r="H4400" i="1"/>
  <c r="H4394" i="1" s="1"/>
  <c r="H1796" i="1"/>
  <c r="H1788" i="1" s="1"/>
  <c r="H635" i="1"/>
  <c r="H634" i="1" s="1"/>
  <c r="H633" i="1" s="1"/>
  <c r="I4401" i="1"/>
  <c r="I4400" i="1" s="1"/>
  <c r="I4394" i="1" s="1"/>
  <c r="I1596" i="1"/>
  <c r="I1595" i="1" s="1"/>
  <c r="H4165" i="1"/>
  <c r="I1905" i="1"/>
  <c r="L1233" i="1"/>
  <c r="L1219" i="1" s="1"/>
  <c r="H4753" i="1"/>
  <c r="H4752" i="1" s="1"/>
  <c r="H4751" i="1" s="1"/>
  <c r="H4731" i="1" s="1"/>
  <c r="J3948" i="1"/>
  <c r="I1029" i="1"/>
  <c r="I1028" i="1" s="1"/>
  <c r="L1410" i="1"/>
  <c r="L1397" i="1" s="1"/>
  <c r="L1335" i="1"/>
  <c r="I70" i="1"/>
  <c r="H2281" i="1"/>
  <c r="H2280" i="1" s="1"/>
  <c r="I3277" i="1"/>
  <c r="I3276" i="1" s="1"/>
  <c r="I3275" i="1" s="1"/>
  <c r="I4178" i="1"/>
  <c r="H3070" i="1"/>
  <c r="H126" i="1"/>
  <c r="H125" i="1" s="1"/>
  <c r="I3187" i="1"/>
  <c r="I3186" i="1" s="1"/>
  <c r="I3185" i="1" s="1"/>
  <c r="H3019" i="1"/>
  <c r="L1693" i="1"/>
  <c r="L1685" i="1" s="1"/>
  <c r="I184" i="1"/>
  <c r="I183" i="1" s="1"/>
  <c r="I176" i="1" s="1"/>
  <c r="I175" i="1" s="1"/>
  <c r="I160" i="1" s="1"/>
  <c r="L2077" i="1"/>
  <c r="L2069" i="1" s="1"/>
  <c r="H1096" i="1"/>
  <c r="H1086" i="1" s="1"/>
  <c r="I3019" i="1"/>
  <c r="I804" i="1"/>
  <c r="I803" i="1" s="1"/>
  <c r="I802" i="1" s="1"/>
  <c r="I795" i="1" s="1"/>
  <c r="I2445" i="1"/>
  <c r="H2725" i="1"/>
  <c r="H2715" i="1" s="1"/>
  <c r="I1796" i="1"/>
  <c r="I1788" i="1" s="1"/>
  <c r="L2237" i="1"/>
  <c r="H2042" i="1"/>
  <c r="H2000" i="1" s="1"/>
  <c r="L306" i="1"/>
  <c r="L285" i="1" s="1"/>
  <c r="I4551" i="1"/>
  <c r="I4550" i="1" s="1"/>
  <c r="I4549" i="1" s="1"/>
  <c r="I4548" i="1" s="1"/>
  <c r="I2237" i="1"/>
  <c r="I1522" i="1"/>
  <c r="I1514" i="1" s="1"/>
  <c r="H3187" i="1"/>
  <c r="H3186" i="1" s="1"/>
  <c r="H3185" i="1" s="1"/>
  <c r="H4090" i="1"/>
  <c r="H2360" i="1"/>
  <c r="H2347" i="1" s="1"/>
  <c r="I1371" i="1"/>
  <c r="I1361" i="1" s="1"/>
  <c r="I1334" i="1" s="1"/>
  <c r="I749" i="1"/>
  <c r="I748" i="1" s="1"/>
  <c r="I512" i="1"/>
  <c r="I490" i="1" s="1"/>
  <c r="I466" i="1" s="1"/>
  <c r="I465" i="1" s="1"/>
  <c r="I702" i="1"/>
  <c r="I701" i="1" s="1"/>
  <c r="L804" i="1"/>
  <c r="L803" i="1" s="1"/>
  <c r="L802" i="1" s="1"/>
  <c r="L795" i="1" s="1"/>
  <c r="L4454" i="1"/>
  <c r="L4453" i="1" s="1"/>
  <c r="L4452" i="1" s="1"/>
  <c r="H3333" i="1"/>
  <c r="H3332" i="1" s="1"/>
  <c r="H2175" i="1"/>
  <c r="L1659" i="1"/>
  <c r="L1649" i="1" s="1"/>
  <c r="L1626" i="1" s="1"/>
  <c r="I2752" i="1"/>
  <c r="I2751" i="1" s="1"/>
  <c r="I2596" i="1"/>
  <c r="I2588" i="1" s="1"/>
  <c r="L3973" i="1"/>
  <c r="L1160" i="1"/>
  <c r="L1159" i="1" s="1"/>
  <c r="I306" i="1"/>
  <c r="I285" i="1" s="1"/>
  <c r="H3893" i="1"/>
  <c r="H3892" i="1" s="1"/>
  <c r="H3891" i="1" s="1"/>
  <c r="H3890" i="1" s="1"/>
  <c r="I2694" i="1"/>
  <c r="L983" i="1"/>
  <c r="L982" i="1" s="1"/>
  <c r="L971" i="1" s="1"/>
  <c r="L961" i="1" s="1"/>
  <c r="I3333" i="1"/>
  <c r="I3332" i="1" s="1"/>
  <c r="I1096" i="1"/>
  <c r="I1086" i="1" s="1"/>
  <c r="I1064" i="1" s="1"/>
  <c r="H4671" i="1"/>
  <c r="H2527" i="1"/>
  <c r="H2526" i="1" s="1"/>
  <c r="H328" i="1"/>
  <c r="H327" i="1" s="1"/>
  <c r="H326" i="1" s="1"/>
  <c r="I2211" i="1"/>
  <c r="I2201" i="1" s="1"/>
  <c r="H1371" i="1"/>
  <c r="H1361" i="1" s="1"/>
  <c r="H2781" i="1"/>
  <c r="L1522" i="1"/>
  <c r="L1514" i="1" s="1"/>
  <c r="H2211" i="1"/>
  <c r="H2201" i="1" s="1"/>
  <c r="H1936" i="1"/>
  <c r="H1926" i="1" s="1"/>
  <c r="H4321" i="1"/>
  <c r="H4320" i="1" s="1"/>
  <c r="H4313" i="1" s="1"/>
  <c r="H4312" i="1" s="1"/>
  <c r="H512" i="1"/>
  <c r="H490" i="1" s="1"/>
  <c r="H466" i="1" s="1"/>
  <c r="H465" i="1" s="1"/>
  <c r="H1659" i="1"/>
  <c r="H1649" i="1" s="1"/>
  <c r="H1626" i="1" s="1"/>
  <c r="H3699" i="1"/>
  <c r="H3698" i="1" s="1"/>
  <c r="H3697" i="1" s="1"/>
  <c r="H4453" i="1"/>
  <c r="H4452" i="1" s="1"/>
  <c r="I1441" i="1"/>
  <c r="J3277" i="1"/>
  <c r="J804" i="1"/>
  <c r="I894" i="1"/>
  <c r="I881" i="1" s="1"/>
  <c r="I860" i="1" s="1"/>
  <c r="H1335" i="1"/>
  <c r="L2981" i="1"/>
  <c r="L2971" i="1" s="1"/>
  <c r="L2949" i="1" s="1"/>
  <c r="I1719" i="1"/>
  <c r="I1718" i="1" s="1"/>
  <c r="I4230" i="1"/>
  <c r="I4229" i="1" s="1"/>
  <c r="H2237" i="1"/>
  <c r="I2725" i="1"/>
  <c r="I2715" i="1" s="1"/>
  <c r="H184" i="1"/>
  <c r="H183" i="1" s="1"/>
  <c r="H176" i="1" s="1"/>
  <c r="H175" i="1" s="1"/>
  <c r="H160" i="1" s="1"/>
  <c r="L4312" i="1"/>
  <c r="I3070" i="1"/>
  <c r="L3656" i="1"/>
  <c r="L328" i="1"/>
  <c r="L327" i="1" s="1"/>
  <c r="L326" i="1" s="1"/>
  <c r="I3699" i="1"/>
  <c r="I3698" i="1" s="1"/>
  <c r="I3697" i="1" s="1"/>
  <c r="H1233" i="1"/>
  <c r="H1219" i="1" s="1"/>
  <c r="H2694" i="1"/>
  <c r="L702" i="1"/>
  <c r="L701" i="1" s="1"/>
  <c r="L4165" i="1"/>
  <c r="L2175" i="1"/>
  <c r="I635" i="1"/>
  <c r="I634" i="1" s="1"/>
  <c r="I633" i="1" s="1"/>
  <c r="I3893" i="1"/>
  <c r="I3892" i="1" s="1"/>
  <c r="I3891" i="1" s="1"/>
  <c r="I3890" i="1" s="1"/>
  <c r="L184" i="1"/>
  <c r="L183" i="1" s="1"/>
  <c r="L176" i="1" s="1"/>
  <c r="L175" i="1" s="1"/>
  <c r="L160" i="1" s="1"/>
  <c r="H4609" i="1"/>
  <c r="H4608" i="1" s="1"/>
  <c r="H4607" i="1" s="1"/>
  <c r="H4606" i="1" s="1"/>
  <c r="L439" i="1"/>
  <c r="H1719" i="1"/>
  <c r="H1718" i="1" s="1"/>
  <c r="L1905" i="1"/>
  <c r="L3893" i="1"/>
  <c r="L3892" i="1" s="1"/>
  <c r="L3891" i="1" s="1"/>
  <c r="L3890" i="1" s="1"/>
  <c r="H285" i="1"/>
  <c r="H702" i="1"/>
  <c r="H701" i="1" s="1"/>
  <c r="I2782" i="1"/>
  <c r="I2781" i="1" s="1"/>
  <c r="L2596" i="1"/>
  <c r="L2588" i="1" s="1"/>
  <c r="L2445" i="1"/>
  <c r="I3149" i="1"/>
  <c r="L3948" i="1"/>
  <c r="L3947" i="1" s="1"/>
  <c r="L1796" i="1"/>
  <c r="L1788" i="1" s="1"/>
  <c r="J4059" i="1"/>
  <c r="L4059" i="1"/>
  <c r="L4037" i="1" s="1"/>
  <c r="L4036" i="1" s="1"/>
  <c r="L4035" i="1" s="1"/>
  <c r="L4178" i="1"/>
  <c r="H3656" i="1"/>
  <c r="H4551" i="1"/>
  <c r="H4550" i="1" s="1"/>
  <c r="H4549" i="1" s="1"/>
  <c r="H4548" i="1" s="1"/>
  <c r="H2476" i="1"/>
  <c r="H2466" i="1" s="1"/>
  <c r="L3844" i="1"/>
  <c r="L3843" i="1" s="1"/>
  <c r="L3842" i="1" s="1"/>
  <c r="L3813" i="1" s="1"/>
  <c r="L4090" i="1"/>
  <c r="L2360" i="1"/>
  <c r="L2347" i="1" s="1"/>
  <c r="L3333" i="1"/>
  <c r="L3332" i="1" s="1"/>
  <c r="L749" i="1"/>
  <c r="L748" i="1" s="1"/>
  <c r="H894" i="1"/>
  <c r="H881" i="1" s="1"/>
  <c r="H860" i="1" s="1"/>
  <c r="L3503" i="1"/>
  <c r="L3502" i="1" s="1"/>
  <c r="L3501" i="1" s="1"/>
  <c r="L3602" i="1"/>
  <c r="L3588" i="1" s="1"/>
  <c r="L4551" i="1"/>
  <c r="L4550" i="1" s="1"/>
  <c r="L4549" i="1" s="1"/>
  <c r="L4548" i="1" s="1"/>
  <c r="I4090" i="1"/>
  <c r="L3187" i="1"/>
  <c r="L3186" i="1" s="1"/>
  <c r="L3185" i="1" s="1"/>
  <c r="L3019" i="1"/>
  <c r="L4229" i="1"/>
  <c r="L1441" i="1"/>
  <c r="I3503" i="1"/>
  <c r="I3502" i="1" s="1"/>
  <c r="I3501" i="1" s="1"/>
  <c r="L1718" i="1"/>
  <c r="I3656" i="1"/>
  <c r="L4401" i="1"/>
  <c r="L4400" i="1" s="1"/>
  <c r="L4394" i="1" s="1"/>
  <c r="L3756" i="1"/>
  <c r="L3755" i="1" s="1"/>
  <c r="L3754" i="1" s="1"/>
  <c r="L3070" i="1"/>
  <c r="L3277" i="1"/>
  <c r="L3276" i="1" s="1"/>
  <c r="L3275" i="1" s="1"/>
  <c r="H3405" i="1"/>
  <c r="L894" i="1"/>
  <c r="L881" i="1" s="1"/>
  <c r="L860" i="1" s="1"/>
  <c r="L3699" i="1"/>
  <c r="L3698" i="1" s="1"/>
  <c r="L3697" i="1" s="1"/>
  <c r="L2211" i="1"/>
  <c r="L2201" i="1" s="1"/>
  <c r="J749" i="1"/>
  <c r="L362" i="1"/>
  <c r="L356" i="1" s="1"/>
  <c r="L4609" i="1"/>
  <c r="L4608" i="1" s="1"/>
  <c r="L4607" i="1" s="1"/>
  <c r="L4606" i="1" s="1"/>
  <c r="L1096" i="1"/>
  <c r="L1086" i="1" s="1"/>
  <c r="L1064" i="1" s="1"/>
  <c r="L3405" i="1"/>
  <c r="L2526" i="1"/>
  <c r="L512" i="1"/>
  <c r="L490" i="1" s="1"/>
  <c r="L466" i="1" s="1"/>
  <c r="L465" i="1" s="1"/>
  <c r="L126" i="1"/>
  <c r="L125" i="1" s="1"/>
  <c r="H983" i="1"/>
  <c r="H982" i="1" s="1"/>
  <c r="H971" i="1" s="1"/>
  <c r="H961" i="1" s="1"/>
  <c r="L3149" i="1"/>
  <c r="H1441" i="1"/>
  <c r="H1440" i="1" s="1"/>
  <c r="L70" i="1"/>
  <c r="L2476" i="1"/>
  <c r="L2466" i="1" s="1"/>
  <c r="L635" i="1"/>
  <c r="L634" i="1" s="1"/>
  <c r="L633" i="1" s="1"/>
  <c r="L1936" i="1"/>
  <c r="L1926" i="1" s="1"/>
  <c r="L1371" i="1"/>
  <c r="L1361" i="1" s="1"/>
  <c r="I2175" i="1"/>
  <c r="J635" i="1"/>
  <c r="L2725" i="1"/>
  <c r="L2715" i="1" s="1"/>
  <c r="L2693" i="1" s="1"/>
  <c r="I3973" i="1"/>
  <c r="I2360" i="1"/>
  <c r="I2347" i="1" s="1"/>
  <c r="H749" i="1"/>
  <c r="H748" i="1" s="1"/>
  <c r="I3602" i="1"/>
  <c r="I3588" i="1" s="1"/>
  <c r="L1029" i="1"/>
  <c r="L1028" i="1" s="1"/>
  <c r="H3602" i="1"/>
  <c r="H3588" i="1" s="1"/>
  <c r="K4680" i="1" l="1"/>
  <c r="J3057" i="1"/>
  <c r="J3056" i="1" s="1"/>
  <c r="K4183" i="1"/>
  <c r="K1163" i="1"/>
  <c r="J371" i="1"/>
  <c r="K371" i="1" s="1"/>
  <c r="K1098" i="1"/>
  <c r="J184" i="1"/>
  <c r="K2213" i="1"/>
  <c r="J2982" i="1"/>
  <c r="K2982" i="1" s="1"/>
  <c r="J34" i="1"/>
  <c r="K34" i="1" s="1"/>
  <c r="K2530" i="1"/>
  <c r="K2785" i="1"/>
  <c r="K1202" i="1"/>
  <c r="K1444" i="1"/>
  <c r="J702" i="1"/>
  <c r="J3187" i="1"/>
  <c r="J1029" i="1"/>
  <c r="K1029" i="1" s="1"/>
  <c r="J2476" i="1"/>
  <c r="J3699" i="1"/>
  <c r="J4321" i="1"/>
  <c r="J4320" i="1" s="1"/>
  <c r="K1722" i="1"/>
  <c r="J4551" i="1"/>
  <c r="K4551" i="1" s="1"/>
  <c r="J512" i="1"/>
  <c r="J4165" i="1"/>
  <c r="K4165" i="1" s="1"/>
  <c r="J4229" i="1"/>
  <c r="K4229" i="1" s="1"/>
  <c r="J4213" i="1"/>
  <c r="K4213" i="1" s="1"/>
  <c r="J3756" i="1"/>
  <c r="J894" i="1"/>
  <c r="K894" i="1" s="1"/>
  <c r="J4401" i="1"/>
  <c r="K4401" i="1" s="1"/>
  <c r="J3893" i="1"/>
  <c r="J3892" i="1" s="1"/>
  <c r="K702" i="1"/>
  <c r="J1435" i="1"/>
  <c r="K1435" i="1" s="1"/>
  <c r="K1436" i="1"/>
  <c r="J2754" i="1"/>
  <c r="K2755" i="1"/>
  <c r="J1791" i="1"/>
  <c r="K1792" i="1"/>
  <c r="J882" i="1"/>
  <c r="K882" i="1" s="1"/>
  <c r="K883" i="1"/>
  <c r="J1763" i="1"/>
  <c r="K1764" i="1"/>
  <c r="J3821" i="1"/>
  <c r="K3822" i="1"/>
  <c r="J1629" i="1"/>
  <c r="K1630" i="1"/>
  <c r="J3351" i="1"/>
  <c r="K3351" i="1" s="1"/>
  <c r="K3352" i="1"/>
  <c r="J4641" i="1"/>
  <c r="K4641" i="1" s="1"/>
  <c r="K4642" i="1"/>
  <c r="J3920" i="1"/>
  <c r="K3921" i="1"/>
  <c r="J4589" i="1"/>
  <c r="K4590" i="1"/>
  <c r="J430" i="1"/>
  <c r="K431" i="1"/>
  <c r="J619" i="1"/>
  <c r="K620" i="1"/>
  <c r="J2029" i="1"/>
  <c r="K2030" i="1"/>
  <c r="J2835" i="1"/>
  <c r="K2835" i="1" s="1"/>
  <c r="K2836" i="1"/>
  <c r="J4746" i="1"/>
  <c r="K4746" i="1" s="1"/>
  <c r="K4747" i="1"/>
  <c r="J423" i="1"/>
  <c r="K424" i="1"/>
  <c r="J1057" i="1"/>
  <c r="K1058" i="1"/>
  <c r="J1482" i="1"/>
  <c r="K1482" i="1" s="1"/>
  <c r="K1483" i="1"/>
  <c r="J2552" i="1"/>
  <c r="K2553" i="1"/>
  <c r="J3315" i="1"/>
  <c r="K3315" i="1" s="1"/>
  <c r="K3316" i="1"/>
  <c r="J4072" i="1"/>
  <c r="K4072" i="1" s="1"/>
  <c r="K4073" i="1"/>
  <c r="J1701" i="1"/>
  <c r="K1702" i="1"/>
  <c r="J116" i="1"/>
  <c r="K117" i="1"/>
  <c r="J3849" i="1"/>
  <c r="K3850" i="1"/>
  <c r="J307" i="1"/>
  <c r="K307" i="1" s="1"/>
  <c r="K308" i="1"/>
  <c r="J1270" i="1"/>
  <c r="K1271" i="1"/>
  <c r="J2383" i="1"/>
  <c r="K2384" i="1"/>
  <c r="J467" i="1"/>
  <c r="K467" i="1" s="1"/>
  <c r="K468" i="1"/>
  <c r="J1003" i="1"/>
  <c r="K1003" i="1" s="1"/>
  <c r="K1009" i="1"/>
  <c r="J2245" i="1"/>
  <c r="K2246" i="1"/>
  <c r="J4212" i="1"/>
  <c r="K4212" i="1" s="1"/>
  <c r="J963" i="1"/>
  <c r="K964" i="1"/>
  <c r="J2893" i="1"/>
  <c r="K2894" i="1"/>
  <c r="J1019" i="1"/>
  <c r="K1020" i="1"/>
  <c r="J11" i="1"/>
  <c r="K11" i="1" s="1"/>
  <c r="K12" i="1"/>
  <c r="J2760" i="1"/>
  <c r="K2761" i="1"/>
  <c r="J3929" i="1"/>
  <c r="J875" i="1"/>
  <c r="K876" i="1"/>
  <c r="J1688" i="1"/>
  <c r="K1689" i="1"/>
  <c r="J1798" i="1"/>
  <c r="K1799" i="1"/>
  <c r="J2265" i="1"/>
  <c r="K2266" i="1"/>
  <c r="J2498" i="1"/>
  <c r="K2499" i="1"/>
  <c r="J2830" i="1"/>
  <c r="K2830" i="1" s="1"/>
  <c r="K2831" i="1"/>
  <c r="J3073" i="1"/>
  <c r="K3074" i="1"/>
  <c r="J3837" i="1"/>
  <c r="K3838" i="1"/>
  <c r="K3975" i="1"/>
  <c r="J3974" i="1"/>
  <c r="J4207" i="1"/>
  <c r="K4208" i="1"/>
  <c r="J2516" i="1"/>
  <c r="K2517" i="1"/>
  <c r="J1831" i="1"/>
  <c r="K1832" i="1"/>
  <c r="J4724" i="1"/>
  <c r="K4725" i="1"/>
  <c r="J2959" i="1"/>
  <c r="K2960" i="1"/>
  <c r="J4734" i="1"/>
  <c r="K4735" i="1"/>
  <c r="J1469" i="1"/>
  <c r="K1470" i="1"/>
  <c r="J1502" i="1"/>
  <c r="K1503" i="1"/>
  <c r="J803" i="1"/>
  <c r="K804" i="1"/>
  <c r="J4719" i="1"/>
  <c r="K4720" i="1"/>
  <c r="J854" i="1"/>
  <c r="K855" i="1"/>
  <c r="J1590" i="1"/>
  <c r="K1591" i="1"/>
  <c r="J2540" i="1"/>
  <c r="K2540" i="1" s="1"/>
  <c r="K2541" i="1"/>
  <c r="J3080" i="1"/>
  <c r="K3081" i="1"/>
  <c r="J1312" i="1"/>
  <c r="K1313" i="1"/>
  <c r="J1400" i="1"/>
  <c r="K1401" i="1"/>
  <c r="J1603" i="1"/>
  <c r="K1603" i="1" s="1"/>
  <c r="K1604" i="1"/>
  <c r="J2370" i="1"/>
  <c r="K2370" i="1" s="1"/>
  <c r="K2371" i="1"/>
  <c r="J4358" i="1"/>
  <c r="K4359" i="1"/>
  <c r="J2098" i="1"/>
  <c r="K2098" i="1" s="1"/>
  <c r="K2099" i="1"/>
  <c r="J2104" i="1"/>
  <c r="K2105" i="1"/>
  <c r="J4350" i="1"/>
  <c r="K4350" i="1" s="1"/>
  <c r="K4351" i="1"/>
  <c r="K3277" i="1"/>
  <c r="K512" i="1"/>
  <c r="K4609" i="1"/>
  <c r="J1317" i="1"/>
  <c r="K1317" i="1" s="1"/>
  <c r="K1318" i="1"/>
  <c r="J1463" i="1"/>
  <c r="K1464" i="1"/>
  <c r="J1885" i="1"/>
  <c r="K1886" i="1"/>
  <c r="J2297" i="1"/>
  <c r="K2297" i="1" s="1"/>
  <c r="K2298" i="1"/>
  <c r="J2578" i="1"/>
  <c r="K2578" i="1" s="1"/>
  <c r="K2579" i="1"/>
  <c r="J2807" i="1"/>
  <c r="K2808" i="1"/>
  <c r="J3039" i="1"/>
  <c r="K3040" i="1"/>
  <c r="J3246" i="1"/>
  <c r="K3246" i="1" s="1"/>
  <c r="K3247" i="1"/>
  <c r="J3487" i="1"/>
  <c r="K3488" i="1"/>
  <c r="J3816" i="1"/>
  <c r="K3816" i="1" s="1"/>
  <c r="K3817" i="1"/>
  <c r="J233" i="1"/>
  <c r="K233" i="1" s="1"/>
  <c r="K234" i="1"/>
  <c r="J889" i="1"/>
  <c r="K889" i="1" s="1"/>
  <c r="K890" i="1"/>
  <c r="J4015" i="1"/>
  <c r="K4015" i="1" s="1"/>
  <c r="K4016" i="1"/>
  <c r="J2355" i="1"/>
  <c r="K2355" i="1" s="1"/>
  <c r="K2356" i="1"/>
  <c r="J2583" i="1"/>
  <c r="K2583" i="1" s="1"/>
  <c r="K2584" i="1"/>
  <c r="J3014" i="1"/>
  <c r="K3014" i="1" s="1"/>
  <c r="K3015" i="1"/>
  <c r="K461" i="1"/>
  <c r="J457" i="1"/>
  <c r="K457" i="1" s="1"/>
  <c r="K215" i="1"/>
  <c r="J214" i="1"/>
  <c r="K214" i="1" s="1"/>
  <c r="J1747" i="1"/>
  <c r="K1748" i="1"/>
  <c r="K2717" i="1"/>
  <c r="J2716" i="1"/>
  <c r="K2716" i="1" s="1"/>
  <c r="J3496" i="1"/>
  <c r="K3497" i="1"/>
  <c r="J626" i="1"/>
  <c r="K627" i="1"/>
  <c r="J1898" i="1"/>
  <c r="K1899" i="1"/>
  <c r="J2093" i="1"/>
  <c r="K2094" i="1"/>
  <c r="J2598" i="1"/>
  <c r="K2599" i="1"/>
  <c r="J2795" i="1"/>
  <c r="K2795" i="1" s="1"/>
  <c r="K2796" i="1"/>
  <c r="J3464" i="1"/>
  <c r="K3465" i="1"/>
  <c r="J62" i="1"/>
  <c r="K63" i="1"/>
  <c r="J2847" i="1"/>
  <c r="K2848" i="1"/>
  <c r="J4150" i="1"/>
  <c r="K4151" i="1"/>
  <c r="J1497" i="1"/>
  <c r="K1497" i="1" s="1"/>
  <c r="K1498" i="1"/>
  <c r="J3127" i="1"/>
  <c r="K3128" i="1"/>
  <c r="J3732" i="1"/>
  <c r="K3732" i="1" s="1"/>
  <c r="K3733" i="1"/>
  <c r="J2079" i="1"/>
  <c r="K2080" i="1"/>
  <c r="J280" i="1"/>
  <c r="K280" i="1" s="1"/>
  <c r="K281" i="1"/>
  <c r="J178" i="1"/>
  <c r="K179" i="1"/>
  <c r="J2259" i="1"/>
  <c r="K2260" i="1"/>
  <c r="J2939" i="1"/>
  <c r="K2940" i="1"/>
  <c r="J3138" i="1"/>
  <c r="K3139" i="1"/>
  <c r="J3479" i="1"/>
  <c r="K3480" i="1"/>
  <c r="K3636" i="1"/>
  <c r="J3626" i="1"/>
  <c r="K3179" i="1"/>
  <c r="J3170" i="1"/>
  <c r="K3170" i="1" s="1"/>
  <c r="J4488" i="1"/>
  <c r="K4489" i="1"/>
  <c r="J3990" i="1"/>
  <c r="K3990" i="1" s="1"/>
  <c r="K3991" i="1"/>
  <c r="J2196" i="1"/>
  <c r="K2196" i="1" s="1"/>
  <c r="K2197" i="1"/>
  <c r="J4576" i="1"/>
  <c r="K4576" i="1" s="1"/>
  <c r="K4577" i="1"/>
  <c r="J141" i="1"/>
  <c r="K142" i="1"/>
  <c r="J1144" i="1"/>
  <c r="K1145" i="1"/>
  <c r="J2303" i="1"/>
  <c r="K2304" i="1"/>
  <c r="J3096" i="1"/>
  <c r="K3097" i="1"/>
  <c r="J3458" i="1"/>
  <c r="K3459" i="1"/>
  <c r="J4712" i="1"/>
  <c r="K4713" i="1"/>
  <c r="J155" i="1"/>
  <c r="K155" i="1" s="1"/>
  <c r="K156" i="1"/>
  <c r="J357" i="1"/>
  <c r="K357" i="1" s="1"/>
  <c r="K358" i="1"/>
  <c r="J663" i="1"/>
  <c r="K663" i="1" s="1"/>
  <c r="K664" i="1"/>
  <c r="J832" i="1"/>
  <c r="K832" i="1" s="1"/>
  <c r="K833" i="1"/>
  <c r="J1337" i="1"/>
  <c r="K1338" i="1"/>
  <c r="J1777" i="1"/>
  <c r="K1777" i="1" s="1"/>
  <c r="K1778" i="1"/>
  <c r="J2153" i="1"/>
  <c r="K2154" i="1"/>
  <c r="J2511" i="1"/>
  <c r="K2512" i="1"/>
  <c r="K3867" i="1"/>
  <c r="J3866" i="1"/>
  <c r="J4601" i="1"/>
  <c r="K4601" i="1" s="1"/>
  <c r="K4602" i="1"/>
  <c r="J389" i="1"/>
  <c r="K389" i="1" s="1"/>
  <c r="K390" i="1"/>
  <c r="J1328" i="1"/>
  <c r="K1329" i="1"/>
  <c r="J1772" i="1"/>
  <c r="K1772" i="1" s="1"/>
  <c r="K1773" i="1"/>
  <c r="K2468" i="1"/>
  <c r="J2467" i="1"/>
  <c r="K2467" i="1" s="1"/>
  <c r="K1088" i="1"/>
  <c r="J1087" i="1"/>
  <c r="K1087" i="1" s="1"/>
  <c r="J1188" i="1"/>
  <c r="K1189" i="1"/>
  <c r="K1579" i="1"/>
  <c r="J1578" i="1"/>
  <c r="J2072" i="1"/>
  <c r="K2073" i="1"/>
  <c r="J2411" i="1"/>
  <c r="K2412" i="1"/>
  <c r="J4201" i="1"/>
  <c r="K4202" i="1"/>
  <c r="J3471" i="1"/>
  <c r="K3472" i="1"/>
  <c r="J2604" i="1"/>
  <c r="K2605" i="1"/>
  <c r="J837" i="1"/>
  <c r="K837" i="1" s="1"/>
  <c r="K838" i="1"/>
  <c r="J2696" i="1"/>
  <c r="K2697" i="1"/>
  <c r="J241" i="1"/>
  <c r="K242" i="1"/>
  <c r="J3407" i="1"/>
  <c r="K3408" i="1"/>
  <c r="J2447" i="1"/>
  <c r="K2448" i="1"/>
  <c r="J4754" i="1"/>
  <c r="K4755" i="1"/>
  <c r="J3689" i="1"/>
  <c r="K3690" i="1"/>
  <c r="J4662" i="1"/>
  <c r="K4663" i="1"/>
  <c r="J2952" i="1"/>
  <c r="K2953" i="1"/>
  <c r="J668" i="1"/>
  <c r="K668" i="1" s="1"/>
  <c r="K669" i="1"/>
  <c r="J2454" i="1"/>
  <c r="K2455" i="1"/>
  <c r="J4287" i="1"/>
  <c r="K4288" i="1"/>
  <c r="K4230" i="1"/>
  <c r="K2675" i="1"/>
  <c r="J1074" i="1"/>
  <c r="K1075" i="1"/>
  <c r="J1488" i="1"/>
  <c r="K1488" i="1" s="1"/>
  <c r="K1489" i="1"/>
  <c r="J972" i="1"/>
  <c r="K972" i="1" s="1"/>
  <c r="K973" i="1"/>
  <c r="J1418" i="1"/>
  <c r="K1419" i="1"/>
  <c r="J4193" i="1"/>
  <c r="K4194" i="1"/>
  <c r="J2703" i="1"/>
  <c r="K2704" i="1"/>
  <c r="K4679" i="1"/>
  <c r="J1783" i="1"/>
  <c r="K1784" i="1"/>
  <c r="J734" i="1"/>
  <c r="K734" i="1" s="1"/>
  <c r="K735" i="1"/>
  <c r="J254" i="1"/>
  <c r="K254" i="1" s="1"/>
  <c r="K255" i="1"/>
  <c r="J1412" i="1"/>
  <c r="K1413" i="1"/>
  <c r="J2505" i="1"/>
  <c r="K2506" i="1"/>
  <c r="J3251" i="1"/>
  <c r="K3252" i="1"/>
  <c r="J4380" i="1"/>
  <c r="K4381" i="1"/>
  <c r="J2064" i="1"/>
  <c r="K2064" i="1" s="1"/>
  <c r="K2065" i="1"/>
  <c r="J955" i="1"/>
  <c r="K955" i="1" s="1"/>
  <c r="K956" i="1"/>
  <c r="J1356" i="1"/>
  <c r="K1356" i="1" s="1"/>
  <c r="K1357" i="1"/>
  <c r="J2252" i="1"/>
  <c r="K2252" i="1" s="1"/>
  <c r="K2253" i="1"/>
  <c r="J4387" i="1"/>
  <c r="K4388" i="1"/>
  <c r="J2023" i="1"/>
  <c r="K2024" i="1"/>
  <c r="J1221" i="1"/>
  <c r="K1222" i="1"/>
  <c r="K289" i="1"/>
  <c r="J288" i="1"/>
  <c r="J2801" i="1"/>
  <c r="K2802" i="1"/>
  <c r="J2905" i="1"/>
  <c r="K2906" i="1"/>
  <c r="J3232" i="1"/>
  <c r="K3232" i="1" s="1"/>
  <c r="K3233" i="1"/>
  <c r="J2623" i="1"/>
  <c r="K2623" i="1" s="1"/>
  <c r="K2624" i="1"/>
  <c r="J4314" i="1"/>
  <c r="K4314" i="1" s="1"/>
  <c r="K4315" i="1"/>
  <c r="J4513" i="1"/>
  <c r="K4518" i="1"/>
  <c r="J491" i="1"/>
  <c r="K491" i="1" s="1"/>
  <c r="K492" i="1"/>
  <c r="J441" i="1"/>
  <c r="K442" i="1"/>
  <c r="J1262" i="1"/>
  <c r="K1263" i="1"/>
  <c r="J1720" i="1"/>
  <c r="K1721" i="1"/>
  <c r="J2638" i="1"/>
  <c r="K2639" i="1"/>
  <c r="J42" i="1"/>
  <c r="K42" i="1" s="1"/>
  <c r="K43" i="1"/>
  <c r="J4129" i="1"/>
  <c r="K4129" i="1" s="1"/>
  <c r="K4130" i="1"/>
  <c r="J2564" i="1"/>
  <c r="K2565" i="1"/>
  <c r="J3589" i="1"/>
  <c r="K3589" i="1" s="1"/>
  <c r="K3590" i="1"/>
  <c r="J1442" i="1"/>
  <c r="K1443" i="1"/>
  <c r="J4434" i="1"/>
  <c r="K4434" i="1" s="1"/>
  <c r="K4435" i="1"/>
  <c r="J1914" i="1"/>
  <c r="K1915" i="1"/>
  <c r="J2993" i="1"/>
  <c r="K2994" i="1"/>
  <c r="J1566" i="1"/>
  <c r="K1567" i="1"/>
  <c r="J328" i="1"/>
  <c r="K329" i="1"/>
  <c r="J1176" i="1"/>
  <c r="K1176" i="1" s="1"/>
  <c r="K1177" i="1"/>
  <c r="J147" i="1"/>
  <c r="K148" i="1"/>
  <c r="K635" i="1"/>
  <c r="K184" i="1"/>
  <c r="J4037" i="1"/>
  <c r="K4059" i="1"/>
  <c r="J4550" i="1"/>
  <c r="I2000" i="1"/>
  <c r="J982" i="1"/>
  <c r="K983" i="1"/>
  <c r="J1131" i="1"/>
  <c r="K1131" i="1" s="1"/>
  <c r="K1132" i="1"/>
  <c r="J1051" i="1"/>
  <c r="K1052" i="1"/>
  <c r="J1235" i="1"/>
  <c r="K1236" i="1"/>
  <c r="J1970" i="1"/>
  <c r="K1971" i="1"/>
  <c r="K2651" i="1"/>
  <c r="J2650" i="1"/>
  <c r="J2921" i="1"/>
  <c r="K2922" i="1"/>
  <c r="J1209" i="1"/>
  <c r="K1209" i="1" s="1"/>
  <c r="K1210" i="1"/>
  <c r="K1363" i="1"/>
  <c r="J1362" i="1"/>
  <c r="K1362" i="1" s="1"/>
  <c r="J1538" i="1"/>
  <c r="K1539" i="1"/>
  <c r="J1735" i="1"/>
  <c r="K1735" i="1" s="1"/>
  <c r="K1736" i="1"/>
  <c r="J1877" i="1"/>
  <c r="K1878" i="1"/>
  <c r="J2438" i="1"/>
  <c r="K2439" i="1"/>
  <c r="J1241" i="1"/>
  <c r="K1242" i="1"/>
  <c r="J3239" i="1"/>
  <c r="K3239" i="1" s="1"/>
  <c r="K3240" i="1"/>
  <c r="K1890" i="1"/>
  <c r="J1425" i="1"/>
  <c r="K1425" i="1" s="1"/>
  <c r="K1426" i="1"/>
  <c r="J1907" i="1"/>
  <c r="K1908" i="1"/>
  <c r="J3003" i="1"/>
  <c r="K3004" i="1"/>
  <c r="J4107" i="1"/>
  <c r="K4112" i="1"/>
  <c r="J4532" i="1"/>
  <c r="K4537" i="1"/>
  <c r="J2771" i="1"/>
  <c r="K2771" i="1" s="1"/>
  <c r="K2772" i="1"/>
  <c r="J1246" i="1"/>
  <c r="K1247" i="1"/>
  <c r="J1853" i="1"/>
  <c r="K1854" i="1"/>
  <c r="J2184" i="1"/>
  <c r="K2185" i="1"/>
  <c r="J3658" i="1"/>
  <c r="K3659" i="1"/>
  <c r="K1293" i="1"/>
  <c r="J1292" i="1"/>
  <c r="J480" i="1"/>
  <c r="K481" i="1"/>
  <c r="J861" i="1"/>
  <c r="K861" i="1" s="1"/>
  <c r="K862" i="1"/>
  <c r="J1695" i="1"/>
  <c r="K1696" i="1"/>
  <c r="J2618" i="1"/>
  <c r="K2619" i="1"/>
  <c r="J4584" i="1"/>
  <c r="K4584" i="1" s="1"/>
  <c r="K4585" i="1"/>
  <c r="J1524" i="1"/>
  <c r="K1525" i="1"/>
  <c r="J4674" i="1"/>
  <c r="K4674" i="1" s="1"/>
  <c r="K4675" i="1"/>
  <c r="J1214" i="1"/>
  <c r="K1214" i="1" s="1"/>
  <c r="K1215" i="1"/>
  <c r="J1962" i="1"/>
  <c r="K1962" i="1" s="1"/>
  <c r="K1963" i="1"/>
  <c r="J3085" i="1"/>
  <c r="K3086" i="1"/>
  <c r="J1708" i="1"/>
  <c r="K1708" i="1" s="1"/>
  <c r="K1709" i="1"/>
  <c r="J1636" i="1"/>
  <c r="K1637" i="1"/>
  <c r="J3641" i="1"/>
  <c r="J4472" i="1"/>
  <c r="K4473" i="1"/>
  <c r="J3364" i="1"/>
  <c r="K3365" i="1"/>
  <c r="J1948" i="1"/>
  <c r="K1949" i="1"/>
  <c r="J2821" i="1"/>
  <c r="K2822" i="1"/>
  <c r="K3995" i="1"/>
  <c r="J1279" i="1"/>
  <c r="K1280" i="1"/>
  <c r="J2121" i="1"/>
  <c r="K2122" i="1"/>
  <c r="J943" i="1"/>
  <c r="K943" i="1" s="1"/>
  <c r="K944" i="1"/>
  <c r="J72" i="1"/>
  <c r="K73" i="1"/>
  <c r="J314" i="1"/>
  <c r="K315" i="1"/>
  <c r="J2737" i="1"/>
  <c r="K2738" i="1"/>
  <c r="J1257" i="1"/>
  <c r="K1257" i="1" s="1"/>
  <c r="K1258" i="1"/>
  <c r="J1741" i="1"/>
  <c r="K1742" i="1"/>
  <c r="K1928" i="1"/>
  <c r="J1927" i="1"/>
  <c r="K1927" i="1" s="1"/>
  <c r="J2419" i="1"/>
  <c r="K2420" i="1"/>
  <c r="J2913" i="1"/>
  <c r="K2914" i="1"/>
  <c r="J3151" i="1"/>
  <c r="K3151" i="1" s="1"/>
  <c r="K3152" i="1"/>
  <c r="J3785" i="1"/>
  <c r="K3785" i="1" s="1"/>
  <c r="K3786" i="1"/>
  <c r="J3941" i="1"/>
  <c r="K3941" i="1" s="1"/>
  <c r="K3942" i="1"/>
  <c r="J4023" i="1"/>
  <c r="K4024" i="1"/>
  <c r="J4144" i="1"/>
  <c r="K4145" i="1"/>
  <c r="J1671" i="1"/>
  <c r="K1672" i="1"/>
  <c r="J843" i="1"/>
  <c r="K844" i="1"/>
  <c r="J4454" i="1"/>
  <c r="K4454" i="1" s="1"/>
  <c r="J2629" i="1"/>
  <c r="K2630" i="1"/>
  <c r="J1383" i="1"/>
  <c r="K1384" i="1"/>
  <c r="J4498" i="1"/>
  <c r="K4499" i="1"/>
  <c r="J2270" i="1"/>
  <c r="K2271" i="1"/>
  <c r="J2323" i="1"/>
  <c r="K2324" i="1"/>
  <c r="J1344" i="1"/>
  <c r="K1345" i="1"/>
  <c r="K3756" i="1"/>
  <c r="J748" i="1"/>
  <c r="K748" i="1" s="1"/>
  <c r="K749" i="1"/>
  <c r="J3698" i="1"/>
  <c r="K3699" i="1"/>
  <c r="J3947" i="1"/>
  <c r="K3947" i="1" s="1"/>
  <c r="K3948" i="1"/>
  <c r="J19" i="1"/>
  <c r="K20" i="1"/>
  <c r="K4321" i="1"/>
  <c r="J1228" i="1"/>
  <c r="K1229" i="1"/>
  <c r="J1405" i="1"/>
  <c r="K1406" i="1"/>
  <c r="J1517" i="1"/>
  <c r="K1518" i="1"/>
  <c r="J2017" i="1"/>
  <c r="K2017" i="1" s="1"/>
  <c r="K2018" i="1"/>
  <c r="J2240" i="1"/>
  <c r="K2241" i="1"/>
  <c r="J2350" i="1"/>
  <c r="K2351" i="1"/>
  <c r="J2670" i="1"/>
  <c r="K2671" i="1"/>
  <c r="K2973" i="1"/>
  <c r="J2972" i="1"/>
  <c r="K2972" i="1" s="1"/>
  <c r="J3334" i="1"/>
  <c r="K3334" i="1" s="1"/>
  <c r="K3335" i="1"/>
  <c r="K3857" i="1"/>
  <c r="J3856" i="1"/>
  <c r="K3856" i="1" s="1"/>
  <c r="J4571" i="1"/>
  <c r="K4572" i="1"/>
  <c r="J1509" i="1"/>
  <c r="K1509" i="1" s="1"/>
  <c r="K1510" i="1"/>
  <c r="J3874" i="1"/>
  <c r="K3874" i="1" s="1"/>
  <c r="K3875" i="1"/>
  <c r="J2874" i="1"/>
  <c r="K2874" i="1" s="1"/>
  <c r="K2875" i="1"/>
  <c r="J2879" i="1"/>
  <c r="K2879" i="1" s="1"/>
  <c r="K2880" i="1"/>
  <c r="J1138" i="1"/>
  <c r="K1139" i="1"/>
  <c r="J1616" i="1"/>
  <c r="K1617" i="1"/>
  <c r="K1866" i="1"/>
  <c r="J1865" i="1"/>
  <c r="J4029" i="1"/>
  <c r="K4030" i="1"/>
  <c r="J1304" i="1"/>
  <c r="K1305" i="1"/>
  <c r="J1977" i="1"/>
  <c r="K1978" i="1"/>
  <c r="J2546" i="1"/>
  <c r="K2547" i="1"/>
  <c r="J2683" i="1"/>
  <c r="K2684" i="1"/>
  <c r="J2869" i="1"/>
  <c r="K2870" i="1"/>
  <c r="J1067" i="1"/>
  <c r="K1068" i="1"/>
  <c r="J996" i="1"/>
  <c r="K996" i="1" s="1"/>
  <c r="K997" i="1"/>
  <c r="J2528" i="1"/>
  <c r="K2529" i="1"/>
  <c r="J100" i="1"/>
  <c r="K101" i="1"/>
  <c r="J2398" i="1"/>
  <c r="K2399" i="1"/>
  <c r="J3257" i="1"/>
  <c r="K3258" i="1"/>
  <c r="J2840" i="1"/>
  <c r="K2840" i="1" s="1"/>
  <c r="K2841" i="1"/>
  <c r="K2134" i="1"/>
  <c r="J2133" i="1"/>
  <c r="J3065" i="1"/>
  <c r="K3065" i="1" s="1"/>
  <c r="K3066" i="1"/>
  <c r="J3326" i="1"/>
  <c r="K3327" i="1"/>
  <c r="J3684" i="1"/>
  <c r="K3685" i="1"/>
  <c r="J4366" i="1"/>
  <c r="K4367" i="1"/>
  <c r="J4655" i="1"/>
  <c r="K4655" i="1" s="1"/>
  <c r="K4656" i="1"/>
  <c r="J1804" i="1"/>
  <c r="K1805" i="1"/>
  <c r="J2342" i="1"/>
  <c r="K2342" i="1" s="1"/>
  <c r="K2343" i="1"/>
  <c r="J3045" i="1"/>
  <c r="K3046" i="1"/>
  <c r="J2164" i="1"/>
  <c r="K2165" i="1"/>
  <c r="J2427" i="1"/>
  <c r="K2428" i="1"/>
  <c r="J3582" i="1"/>
  <c r="K3583" i="1"/>
  <c r="J4299" i="1"/>
  <c r="K4300" i="1"/>
  <c r="J54" i="1"/>
  <c r="K54" i="1" s="1"/>
  <c r="K55" i="1"/>
  <c r="K577" i="1"/>
  <c r="J572" i="1"/>
  <c r="K572" i="1" s="1"/>
  <c r="J695" i="1"/>
  <c r="K695" i="1" s="1"/>
  <c r="K696" i="1"/>
  <c r="J1182" i="1"/>
  <c r="K1183" i="1"/>
  <c r="J1598" i="1"/>
  <c r="K1599" i="1"/>
  <c r="J2332" i="1"/>
  <c r="K2332" i="1" s="1"/>
  <c r="K2333" i="1"/>
  <c r="J2926" i="1"/>
  <c r="K2926" i="1" s="1"/>
  <c r="K2927" i="1"/>
  <c r="J3749" i="1"/>
  <c r="K3749" i="1" s="1"/>
  <c r="K3750" i="1"/>
  <c r="J1823" i="1"/>
  <c r="K1823" i="1" s="1"/>
  <c r="K1824" i="1"/>
  <c r="K1651" i="1"/>
  <c r="J1650" i="1"/>
  <c r="K1650" i="1" s="1"/>
  <c r="J2052" i="1"/>
  <c r="K2053" i="1"/>
  <c r="J2591" i="1"/>
  <c r="K2592" i="1"/>
  <c r="J417" i="1"/>
  <c r="K417" i="1" s="1"/>
  <c r="K418" i="1"/>
  <c r="J1126" i="1"/>
  <c r="K1127" i="1"/>
  <c r="J1457" i="1"/>
  <c r="K1457" i="1" s="1"/>
  <c r="K1458" i="1"/>
  <c r="J1818" i="1"/>
  <c r="K1819" i="1"/>
  <c r="J2337" i="1"/>
  <c r="K2337" i="1" s="1"/>
  <c r="K2338" i="1"/>
  <c r="J2573" i="1"/>
  <c r="K2573" i="1" s="1"/>
  <c r="K2574" i="1"/>
  <c r="J4395" i="1"/>
  <c r="K4395" i="1" s="1"/>
  <c r="K4396" i="1"/>
  <c r="J4081" i="1"/>
  <c r="K4081" i="1" s="1"/>
  <c r="K4086" i="1"/>
  <c r="J3269" i="1"/>
  <c r="K3270" i="1"/>
  <c r="J3883" i="1"/>
  <c r="K3884" i="1"/>
  <c r="J2177" i="1"/>
  <c r="K2178" i="1"/>
  <c r="J1551" i="1"/>
  <c r="K1552" i="1"/>
  <c r="J1149" i="1"/>
  <c r="K1150" i="1"/>
  <c r="J2783" i="1"/>
  <c r="K2784" i="1"/>
  <c r="J3423" i="1"/>
  <c r="K3424" i="1"/>
  <c r="J1990" i="1"/>
  <c r="K1990" i="1" s="1"/>
  <c r="K1991" i="1"/>
  <c r="J2057" i="1"/>
  <c r="K2057" i="1" s="1"/>
  <c r="K2058" i="1"/>
  <c r="J4091" i="1"/>
  <c r="K4092" i="1"/>
  <c r="J2223" i="1"/>
  <c r="K2224" i="1"/>
  <c r="J2002" i="1"/>
  <c r="K2003" i="1"/>
  <c r="J3021" i="1"/>
  <c r="K3022" i="1"/>
  <c r="J3303" i="1"/>
  <c r="K3303" i="1" s="1"/>
  <c r="K3304" i="1"/>
  <c r="J128" i="1"/>
  <c r="K129" i="1"/>
  <c r="J687" i="1"/>
  <c r="K687" i="1" s="1"/>
  <c r="K688" i="1"/>
  <c r="J1200" i="1"/>
  <c r="K1201" i="1"/>
  <c r="J3107" i="1"/>
  <c r="K3108" i="1"/>
  <c r="K3057" i="1"/>
  <c r="J3504" i="1"/>
  <c r="J2375" i="1"/>
  <c r="K2376" i="1"/>
  <c r="J163" i="1"/>
  <c r="K164" i="1"/>
  <c r="J3737" i="1"/>
  <c r="K3737" i="1" s="1"/>
  <c r="K3738" i="1"/>
  <c r="K367" i="1"/>
  <c r="J363" i="1"/>
  <c r="J2145" i="1"/>
  <c r="K2146" i="1"/>
  <c r="J3119" i="1"/>
  <c r="K3120" i="1"/>
  <c r="J1118" i="1"/>
  <c r="K1118" i="1" s="1"/>
  <c r="K1119" i="1"/>
  <c r="J1846" i="1"/>
  <c r="K1846" i="1" s="1"/>
  <c r="K1847" i="1"/>
  <c r="J4306" i="1"/>
  <c r="K4307" i="1"/>
  <c r="J1543" i="1"/>
  <c r="K1543" i="1" s="1"/>
  <c r="K1544" i="1"/>
  <c r="J109" i="1"/>
  <c r="K109" i="1" s="1"/>
  <c r="K110" i="1"/>
  <c r="J797" i="1"/>
  <c r="K798" i="1"/>
  <c r="K2203" i="1"/>
  <c r="J2202" i="1"/>
  <c r="K2202" i="1" s="1"/>
  <c r="J2662" i="1"/>
  <c r="K2663" i="1"/>
  <c r="J2855" i="1"/>
  <c r="K2856" i="1"/>
  <c r="J3033" i="1"/>
  <c r="K3033" i="1" s="1"/>
  <c r="K3034" i="1"/>
  <c r="J3400" i="1"/>
  <c r="K3401" i="1"/>
  <c r="J3808" i="1"/>
  <c r="K3808" i="1" s="1"/>
  <c r="K3809" i="1"/>
  <c r="J3050" i="1"/>
  <c r="K3050" i="1" s="1"/>
  <c r="K3051" i="1"/>
  <c r="J3339" i="1"/>
  <c r="K3340" i="1"/>
  <c r="J3525" i="1"/>
  <c r="K3525" i="1" s="1"/>
  <c r="J4003" i="1"/>
  <c r="K4003" i="1" s="1"/>
  <c r="K4004" i="1"/>
  <c r="J2309" i="1"/>
  <c r="K2310" i="1"/>
  <c r="J3668" i="1"/>
  <c r="K3668" i="1" s="1"/>
  <c r="K3669" i="1"/>
  <c r="J1983" i="1"/>
  <c r="K1984" i="1"/>
  <c r="J1161" i="1"/>
  <c r="K1162" i="1"/>
  <c r="J3796" i="1"/>
  <c r="K3797" i="1"/>
  <c r="J1108" i="1"/>
  <c r="K1109" i="1"/>
  <c r="J395" i="1"/>
  <c r="K396" i="1"/>
  <c r="J2282" i="1"/>
  <c r="K2283" i="1"/>
  <c r="J3293" i="1"/>
  <c r="K3293" i="1" s="1"/>
  <c r="K3294" i="1"/>
  <c r="J259" i="1"/>
  <c r="K264" i="1"/>
  <c r="J2043" i="1"/>
  <c r="K2043" i="1" s="1"/>
  <c r="K2044" i="1"/>
  <c r="J3156" i="1"/>
  <c r="J604" i="1"/>
  <c r="K605" i="1"/>
  <c r="J3982" i="1"/>
  <c r="K3982" i="1" s="1"/>
  <c r="K3983" i="1"/>
  <c r="L1440" i="1"/>
  <c r="H960" i="1"/>
  <c r="I2949" i="1"/>
  <c r="I2948" i="1" s="1"/>
  <c r="I1440" i="1"/>
  <c r="I1333" i="1" s="1"/>
  <c r="H3696" i="1"/>
  <c r="H3680" i="1" s="1"/>
  <c r="I3946" i="1"/>
  <c r="I3918" i="1" s="1"/>
  <c r="I3879" i="1" s="1"/>
  <c r="H2444" i="1"/>
  <c r="H2443" i="1" s="1"/>
  <c r="I250" i="1"/>
  <c r="H1064" i="1"/>
  <c r="H1063" i="1" s="1"/>
  <c r="L1334" i="1"/>
  <c r="H2174" i="1"/>
  <c r="H2173" i="1" s="1"/>
  <c r="I960" i="1"/>
  <c r="I3696" i="1"/>
  <c r="I3680" i="1" s="1"/>
  <c r="L1904" i="1"/>
  <c r="H1904" i="1"/>
  <c r="H1903" i="1" s="1"/>
  <c r="L2000" i="1"/>
  <c r="H3148" i="1"/>
  <c r="H3147" i="1" s="1"/>
  <c r="I2174" i="1"/>
  <c r="I2173" i="1" s="1"/>
  <c r="I3331" i="1"/>
  <c r="L2174" i="1"/>
  <c r="L2173" i="1" s="1"/>
  <c r="L3587" i="1"/>
  <c r="L3492" i="1" s="1"/>
  <c r="I7" i="1"/>
  <c r="H2693" i="1"/>
  <c r="H2692" i="1" s="1"/>
  <c r="I694" i="1"/>
  <c r="I632" i="1" s="1"/>
  <c r="H4164" i="1"/>
  <c r="H4142" i="1" s="1"/>
  <c r="H4141" i="1" s="1"/>
  <c r="I2444" i="1"/>
  <c r="I2443" i="1" s="1"/>
  <c r="I1904" i="1"/>
  <c r="I1903" i="1" s="1"/>
  <c r="L2444" i="1"/>
  <c r="L2443" i="1" s="1"/>
  <c r="L7" i="1"/>
  <c r="H2948" i="1"/>
  <c r="H4393" i="1"/>
  <c r="H4311" i="1" s="1"/>
  <c r="H4034" i="1"/>
  <c r="H4020" i="1" s="1"/>
  <c r="I4164" i="1"/>
  <c r="I4142" i="1" s="1"/>
  <c r="I4141" i="1" s="1"/>
  <c r="I4393" i="1"/>
  <c r="I4311" i="1" s="1"/>
  <c r="I2693" i="1"/>
  <c r="I2692" i="1" s="1"/>
  <c r="I1625" i="1"/>
  <c r="H250" i="1"/>
  <c r="L3946" i="1"/>
  <c r="L3918" i="1" s="1"/>
  <c r="L3879" i="1" s="1"/>
  <c r="L4393" i="1"/>
  <c r="L4311" i="1" s="1"/>
  <c r="H4581" i="1"/>
  <c r="L250" i="1"/>
  <c r="L355" i="1"/>
  <c r="L354" i="1" s="1"/>
  <c r="I4581" i="1"/>
  <c r="I3148" i="1"/>
  <c r="I3147" i="1" s="1"/>
  <c r="H1334" i="1"/>
  <c r="H1333" i="1" s="1"/>
  <c r="H3331" i="1"/>
  <c r="I354" i="1"/>
  <c r="H694" i="1"/>
  <c r="H632" i="1" s="1"/>
  <c r="H3879" i="1"/>
  <c r="L694" i="1"/>
  <c r="L632" i="1" s="1"/>
  <c r="L1063" i="1"/>
  <c r="I1063" i="1"/>
  <c r="L4164" i="1"/>
  <c r="L4142" i="1" s="1"/>
  <c r="L4141" i="1" s="1"/>
  <c r="H1625" i="1"/>
  <c r="L2692" i="1"/>
  <c r="H3587" i="1"/>
  <c r="H3492" i="1" s="1"/>
  <c r="L3331" i="1"/>
  <c r="L4581" i="1"/>
  <c r="L3696" i="1"/>
  <c r="L3680" i="1" s="1"/>
  <c r="L1625" i="1"/>
  <c r="L2948" i="1"/>
  <c r="I4034" i="1"/>
  <c r="I4020" i="1" s="1"/>
  <c r="H354" i="1"/>
  <c r="L4034" i="1"/>
  <c r="L4020" i="1" s="1"/>
  <c r="L960" i="1"/>
  <c r="L3148" i="1"/>
  <c r="L3147" i="1" s="1"/>
  <c r="I3587" i="1"/>
  <c r="I3492" i="1" s="1"/>
  <c r="K3893" i="1" l="1"/>
  <c r="J1028" i="1"/>
  <c r="K1028" i="1" s="1"/>
  <c r="J3186" i="1"/>
  <c r="K3187" i="1"/>
  <c r="J4400" i="1"/>
  <c r="J2466" i="1"/>
  <c r="K2466" i="1" s="1"/>
  <c r="K2476" i="1"/>
  <c r="J881" i="1"/>
  <c r="J3989" i="1"/>
  <c r="K3989" i="1" s="1"/>
  <c r="J634" i="1"/>
  <c r="K634" i="1" s="1"/>
  <c r="J4608" i="1"/>
  <c r="K4608" i="1" s="1"/>
  <c r="J183" i="1"/>
  <c r="J3755" i="1"/>
  <c r="J394" i="1"/>
  <c r="K395" i="1"/>
  <c r="J3795" i="1"/>
  <c r="K3796" i="1"/>
  <c r="J1982" i="1"/>
  <c r="K1982" i="1" s="1"/>
  <c r="K1983" i="1"/>
  <c r="L1333" i="1"/>
  <c r="J603" i="1"/>
  <c r="K603" i="1" s="1"/>
  <c r="K604" i="1"/>
  <c r="K3339" i="1"/>
  <c r="J3333" i="1"/>
  <c r="J2661" i="1"/>
  <c r="K2662" i="1"/>
  <c r="J796" i="1"/>
  <c r="K796" i="1" s="1"/>
  <c r="K797" i="1"/>
  <c r="J3118" i="1"/>
  <c r="K3119" i="1"/>
  <c r="J162" i="1"/>
  <c r="K163" i="1"/>
  <c r="J3891" i="1"/>
  <c r="K3892" i="1"/>
  <c r="J3150" i="1"/>
  <c r="K3156" i="1"/>
  <c r="J253" i="1"/>
  <c r="K259" i="1"/>
  <c r="K2282" i="1"/>
  <c r="K1108" i="1"/>
  <c r="J1096" i="1"/>
  <c r="K1161" i="1"/>
  <c r="J3055" i="1"/>
  <c r="K3055" i="1" s="1"/>
  <c r="K3056" i="1"/>
  <c r="J1199" i="1"/>
  <c r="K1199" i="1" s="1"/>
  <c r="K1200" i="1"/>
  <c r="J127" i="1"/>
  <c r="K128" i="1"/>
  <c r="K3021" i="1"/>
  <c r="K2223" i="1"/>
  <c r="J2211" i="1"/>
  <c r="J3422" i="1"/>
  <c r="K3423" i="1"/>
  <c r="K1149" i="1"/>
  <c r="J2176" i="1"/>
  <c r="K2176" i="1" s="1"/>
  <c r="K2177" i="1"/>
  <c r="J3268" i="1"/>
  <c r="K3268" i="1" s="1"/>
  <c r="K3269" i="1"/>
  <c r="K2052" i="1"/>
  <c r="J2042" i="1"/>
  <c r="K2042" i="1" s="1"/>
  <c r="K1598" i="1"/>
  <c r="J1597" i="1"/>
  <c r="J3581" i="1"/>
  <c r="K3581" i="1" s="1"/>
  <c r="K3582" i="1"/>
  <c r="K2164" i="1"/>
  <c r="J2163" i="1"/>
  <c r="J3683" i="1"/>
  <c r="K3683" i="1" s="1"/>
  <c r="K3684" i="1"/>
  <c r="J2397" i="1"/>
  <c r="K2398" i="1"/>
  <c r="K2528" i="1"/>
  <c r="J1066" i="1"/>
  <c r="K1066" i="1" s="1"/>
  <c r="K1067" i="1"/>
  <c r="K2683" i="1"/>
  <c r="J2682" i="1"/>
  <c r="J1976" i="1"/>
  <c r="K1977" i="1"/>
  <c r="J4028" i="1"/>
  <c r="K4029" i="1"/>
  <c r="K1616" i="1"/>
  <c r="J1615" i="1"/>
  <c r="J4570" i="1"/>
  <c r="K4570" i="1" s="1"/>
  <c r="K4571" i="1"/>
  <c r="J2669" i="1"/>
  <c r="K2670" i="1"/>
  <c r="J2239" i="1"/>
  <c r="K2239" i="1" s="1"/>
  <c r="K2240" i="1"/>
  <c r="J1516" i="1"/>
  <c r="K1517" i="1"/>
  <c r="J1227" i="1"/>
  <c r="K1228" i="1"/>
  <c r="K1671" i="1"/>
  <c r="J1659" i="1"/>
  <c r="J4022" i="1"/>
  <c r="K4022" i="1" s="1"/>
  <c r="K4023" i="1"/>
  <c r="J2912" i="1"/>
  <c r="K2913" i="1"/>
  <c r="K314" i="1"/>
  <c r="J306" i="1"/>
  <c r="J1278" i="1"/>
  <c r="K1279" i="1"/>
  <c r="J2820" i="1"/>
  <c r="K2820" i="1" s="1"/>
  <c r="K2821" i="1"/>
  <c r="J3363" i="1"/>
  <c r="K3364" i="1"/>
  <c r="J1291" i="1"/>
  <c r="K1292" i="1"/>
  <c r="K4550" i="1"/>
  <c r="J4036" i="1"/>
  <c r="K4037" i="1"/>
  <c r="J287" i="1"/>
  <c r="K288" i="1"/>
  <c r="J4286" i="1"/>
  <c r="K4287" i="1"/>
  <c r="J4661" i="1"/>
  <c r="K4662" i="1"/>
  <c r="K4754" i="1"/>
  <c r="J4753" i="1"/>
  <c r="J3406" i="1"/>
  <c r="K3406" i="1" s="1"/>
  <c r="K3407" i="1"/>
  <c r="J2695" i="1"/>
  <c r="K2695" i="1" s="1"/>
  <c r="K2696" i="1"/>
  <c r="J2603" i="1"/>
  <c r="K2603" i="1" s="1"/>
  <c r="K2604" i="1"/>
  <c r="J4200" i="1"/>
  <c r="K4200" i="1" s="1"/>
  <c r="K4201" i="1"/>
  <c r="J2071" i="1"/>
  <c r="K2072" i="1"/>
  <c r="J1187" i="1"/>
  <c r="K1187" i="1" s="1"/>
  <c r="K1188" i="1"/>
  <c r="J1327" i="1"/>
  <c r="K1328" i="1"/>
  <c r="J2510" i="1"/>
  <c r="K2510" i="1" s="1"/>
  <c r="K2511" i="1"/>
  <c r="J4711" i="1"/>
  <c r="K4712" i="1"/>
  <c r="J3095" i="1"/>
  <c r="K3095" i="1" s="1"/>
  <c r="K3096" i="1"/>
  <c r="J1143" i="1"/>
  <c r="K1143" i="1" s="1"/>
  <c r="K1144" i="1"/>
  <c r="J3478" i="1"/>
  <c r="K3479" i="1"/>
  <c r="K2939" i="1"/>
  <c r="J2938" i="1"/>
  <c r="J177" i="1"/>
  <c r="K177" i="1" s="1"/>
  <c r="K178" i="1"/>
  <c r="J2078" i="1"/>
  <c r="K2078" i="1" s="1"/>
  <c r="K2079" i="1"/>
  <c r="J3126" i="1"/>
  <c r="K3127" i="1"/>
  <c r="J4149" i="1"/>
  <c r="K4149" i="1" s="1"/>
  <c r="K4150" i="1"/>
  <c r="J61" i="1"/>
  <c r="K62" i="1"/>
  <c r="J2092" i="1"/>
  <c r="K2093" i="1"/>
  <c r="J625" i="1"/>
  <c r="K625" i="1" s="1"/>
  <c r="K626" i="1"/>
  <c r="J2806" i="1"/>
  <c r="K2806" i="1" s="1"/>
  <c r="K2807" i="1"/>
  <c r="J1462" i="1"/>
  <c r="K1462" i="1" s="1"/>
  <c r="K1463" i="1"/>
  <c r="J4607" i="1"/>
  <c r="J3276" i="1"/>
  <c r="J2103" i="1"/>
  <c r="K2103" i="1" s="1"/>
  <c r="K2104" i="1"/>
  <c r="J4357" i="1"/>
  <c r="K4358" i="1"/>
  <c r="K1312" i="1"/>
  <c r="J1311" i="1"/>
  <c r="J853" i="1"/>
  <c r="K854" i="1"/>
  <c r="J802" i="1"/>
  <c r="K803" i="1"/>
  <c r="J1468" i="1"/>
  <c r="K1468" i="1" s="1"/>
  <c r="K1469" i="1"/>
  <c r="K2959" i="1"/>
  <c r="J1830" i="1"/>
  <c r="K1830" i="1" s="1"/>
  <c r="K1831" i="1"/>
  <c r="J4206" i="1"/>
  <c r="K4206" i="1" s="1"/>
  <c r="K4207" i="1"/>
  <c r="J3836" i="1"/>
  <c r="K3837" i="1"/>
  <c r="J2264" i="1"/>
  <c r="K2264" i="1" s="1"/>
  <c r="K2265" i="1"/>
  <c r="J1687" i="1"/>
  <c r="K1688" i="1"/>
  <c r="J3399" i="1"/>
  <c r="K3400" i="1"/>
  <c r="J2854" i="1"/>
  <c r="K2854" i="1" s="1"/>
  <c r="K2855" i="1"/>
  <c r="J4305" i="1"/>
  <c r="K4306" i="1"/>
  <c r="J2144" i="1"/>
  <c r="K2145" i="1"/>
  <c r="J2369" i="1"/>
  <c r="K2375" i="1"/>
  <c r="J2132" i="1"/>
  <c r="K2133" i="1"/>
  <c r="J1864" i="1"/>
  <c r="K1865" i="1"/>
  <c r="J10" i="1"/>
  <c r="K19" i="1"/>
  <c r="J3697" i="1"/>
  <c r="K3698" i="1"/>
  <c r="K1344" i="1"/>
  <c r="K2270" i="1"/>
  <c r="K1383" i="1"/>
  <c r="J1371" i="1"/>
  <c r="K1636" i="1"/>
  <c r="K3085" i="1"/>
  <c r="J1523" i="1"/>
  <c r="K1523" i="1" s="1"/>
  <c r="K1524" i="1"/>
  <c r="K2618" i="1"/>
  <c r="J2617" i="1"/>
  <c r="K2184" i="1"/>
  <c r="K1246" i="1"/>
  <c r="J4531" i="1"/>
  <c r="K4532" i="1"/>
  <c r="J3002" i="1"/>
  <c r="K3003" i="1"/>
  <c r="J2437" i="1"/>
  <c r="K2438" i="1"/>
  <c r="K2921" i="1"/>
  <c r="J2920" i="1"/>
  <c r="J1969" i="1"/>
  <c r="K1970" i="1"/>
  <c r="J1050" i="1"/>
  <c r="K1051" i="1"/>
  <c r="J971" i="1"/>
  <c r="K982" i="1"/>
  <c r="J633" i="1"/>
  <c r="K633" i="1" s="1"/>
  <c r="J1565" i="1"/>
  <c r="K1566" i="1"/>
  <c r="K1914" i="1"/>
  <c r="K1442" i="1"/>
  <c r="J2563" i="1"/>
  <c r="K2563" i="1" s="1"/>
  <c r="K2564" i="1"/>
  <c r="K1720" i="1"/>
  <c r="J440" i="1"/>
  <c r="K441" i="1"/>
  <c r="J4512" i="1"/>
  <c r="K4513" i="1"/>
  <c r="J2904" i="1"/>
  <c r="K2905" i="1"/>
  <c r="J2022" i="1"/>
  <c r="K2022" i="1" s="1"/>
  <c r="K2023" i="1"/>
  <c r="J4379" i="1"/>
  <c r="K4380" i="1"/>
  <c r="J2504" i="1"/>
  <c r="K2504" i="1" s="1"/>
  <c r="K2505" i="1"/>
  <c r="J1782" i="1"/>
  <c r="K1782" i="1" s="1"/>
  <c r="K1783" i="1"/>
  <c r="K2703" i="1"/>
  <c r="J1417" i="1"/>
  <c r="K1417" i="1" s="1"/>
  <c r="K1418" i="1"/>
  <c r="J1577" i="1"/>
  <c r="K1578" i="1"/>
  <c r="J3865" i="1"/>
  <c r="K3865" i="1" s="1"/>
  <c r="K3866" i="1"/>
  <c r="K3626" i="1"/>
  <c r="J3602" i="1"/>
  <c r="K3974" i="1"/>
  <c r="J3973" i="1"/>
  <c r="K3973" i="1" s="1"/>
  <c r="J2759" i="1"/>
  <c r="K2759" i="1" s="1"/>
  <c r="K2760" i="1"/>
  <c r="J1018" i="1"/>
  <c r="K1019" i="1"/>
  <c r="J962" i="1"/>
  <c r="K962" i="1" s="1"/>
  <c r="K963" i="1"/>
  <c r="K2245" i="1"/>
  <c r="J1269" i="1"/>
  <c r="K1269" i="1" s="1"/>
  <c r="K1270" i="1"/>
  <c r="K3849" i="1"/>
  <c r="J3844" i="1"/>
  <c r="J1700" i="1"/>
  <c r="K1700" i="1" s="1"/>
  <c r="K1701" i="1"/>
  <c r="J422" i="1"/>
  <c r="K422" i="1" s="1"/>
  <c r="K423" i="1"/>
  <c r="J618" i="1"/>
  <c r="K619" i="1"/>
  <c r="J4583" i="1"/>
  <c r="K4589" i="1"/>
  <c r="J1628" i="1"/>
  <c r="K1628" i="1" s="1"/>
  <c r="K1629" i="1"/>
  <c r="K1763" i="1"/>
  <c r="J1790" i="1"/>
  <c r="K1791" i="1"/>
  <c r="J2308" i="1"/>
  <c r="K2308" i="1" s="1"/>
  <c r="K2309" i="1"/>
  <c r="K363" i="1"/>
  <c r="J362" i="1"/>
  <c r="K3504" i="1"/>
  <c r="J3503" i="1"/>
  <c r="J3106" i="1"/>
  <c r="K3107" i="1"/>
  <c r="K2002" i="1"/>
  <c r="K4091" i="1"/>
  <c r="K2783" i="1"/>
  <c r="J1550" i="1"/>
  <c r="K1550" i="1" s="1"/>
  <c r="K1551" i="1"/>
  <c r="J3882" i="1"/>
  <c r="K3883" i="1"/>
  <c r="K1818" i="1"/>
  <c r="J1817" i="1"/>
  <c r="J1125" i="1"/>
  <c r="K1126" i="1"/>
  <c r="J2590" i="1"/>
  <c r="K2591" i="1"/>
  <c r="J1181" i="1"/>
  <c r="K1181" i="1" s="1"/>
  <c r="K1182" i="1"/>
  <c r="J4298" i="1"/>
  <c r="K4299" i="1"/>
  <c r="J2426" i="1"/>
  <c r="K2427" i="1"/>
  <c r="J3044" i="1"/>
  <c r="K3044" i="1" s="1"/>
  <c r="K3045" i="1"/>
  <c r="J1803" i="1"/>
  <c r="K1803" i="1" s="1"/>
  <c r="K1804" i="1"/>
  <c r="J4365" i="1"/>
  <c r="K4366" i="1"/>
  <c r="J3325" i="1"/>
  <c r="K3326" i="1"/>
  <c r="J3256" i="1"/>
  <c r="K3257" i="1"/>
  <c r="J99" i="1"/>
  <c r="K99" i="1" s="1"/>
  <c r="K100" i="1"/>
  <c r="K2869" i="1"/>
  <c r="J2868" i="1"/>
  <c r="J2545" i="1"/>
  <c r="K2545" i="1" s="1"/>
  <c r="K2546" i="1"/>
  <c r="J1303" i="1"/>
  <c r="K1304" i="1"/>
  <c r="J1137" i="1"/>
  <c r="K1137" i="1" s="1"/>
  <c r="K1138" i="1"/>
  <c r="J2349" i="1"/>
  <c r="K2350" i="1"/>
  <c r="K1405" i="1"/>
  <c r="J842" i="1"/>
  <c r="K842" i="1" s="1"/>
  <c r="K843" i="1"/>
  <c r="J4143" i="1"/>
  <c r="K4143" i="1" s="1"/>
  <c r="K4144" i="1"/>
  <c r="J2418" i="1"/>
  <c r="K2419" i="1"/>
  <c r="J1740" i="1"/>
  <c r="K1740" i="1" s="1"/>
  <c r="K1741" i="1"/>
  <c r="K2737" i="1"/>
  <c r="J2725" i="1"/>
  <c r="J71" i="1"/>
  <c r="K72" i="1"/>
  <c r="J2120" i="1"/>
  <c r="K2121" i="1"/>
  <c r="K1948" i="1"/>
  <c r="J1936" i="1"/>
  <c r="K4472" i="1"/>
  <c r="J4453" i="1"/>
  <c r="J2649" i="1"/>
  <c r="K2650" i="1"/>
  <c r="K881" i="1"/>
  <c r="K2454" i="1"/>
  <c r="J2951" i="1"/>
  <c r="K2951" i="1" s="1"/>
  <c r="K2952" i="1"/>
  <c r="K3689" i="1"/>
  <c r="J2446" i="1"/>
  <c r="K2446" i="1" s="1"/>
  <c r="K2447" i="1"/>
  <c r="J240" i="1"/>
  <c r="K241" i="1"/>
  <c r="J3470" i="1"/>
  <c r="K3471" i="1"/>
  <c r="J2410" i="1"/>
  <c r="K2411" i="1"/>
  <c r="J2152" i="1"/>
  <c r="K2153" i="1"/>
  <c r="J1336" i="1"/>
  <c r="K1336" i="1" s="1"/>
  <c r="K1337" i="1"/>
  <c r="J3457" i="1"/>
  <c r="K3457" i="1" s="1"/>
  <c r="K3458" i="1"/>
  <c r="J2302" i="1"/>
  <c r="K2302" i="1" s="1"/>
  <c r="K2303" i="1"/>
  <c r="J140" i="1"/>
  <c r="K140" i="1" s="1"/>
  <c r="K141" i="1"/>
  <c r="K4488" i="1"/>
  <c r="J4487" i="1"/>
  <c r="K3138" i="1"/>
  <c r="J3137" i="1"/>
  <c r="J2258" i="1"/>
  <c r="K2258" i="1" s="1"/>
  <c r="K2259" i="1"/>
  <c r="J2846" i="1"/>
  <c r="K2846" i="1" s="1"/>
  <c r="K2847" i="1"/>
  <c r="J3463" i="1"/>
  <c r="K3464" i="1"/>
  <c r="J2597" i="1"/>
  <c r="K2597" i="1" s="1"/>
  <c r="K2598" i="1"/>
  <c r="J1897" i="1"/>
  <c r="K1898" i="1"/>
  <c r="J3495" i="1"/>
  <c r="K3496" i="1"/>
  <c r="J1746" i="1"/>
  <c r="K1746" i="1" s="1"/>
  <c r="K1747" i="1"/>
  <c r="J3486" i="1"/>
  <c r="K3487" i="1"/>
  <c r="J3038" i="1"/>
  <c r="K3038" i="1" s="1"/>
  <c r="K3039" i="1"/>
  <c r="J1884" i="1"/>
  <c r="K1885" i="1"/>
  <c r="J490" i="1"/>
  <c r="J1399" i="1"/>
  <c r="K1399" i="1" s="1"/>
  <c r="K1400" i="1"/>
  <c r="J3079" i="1"/>
  <c r="K3079" i="1" s="1"/>
  <c r="K3080" i="1"/>
  <c r="J1589" i="1"/>
  <c r="K1590" i="1"/>
  <c r="J4718" i="1"/>
  <c r="K4718" i="1" s="1"/>
  <c r="K4719" i="1"/>
  <c r="K1502" i="1"/>
  <c r="J1487" i="1"/>
  <c r="K1487" i="1" s="1"/>
  <c r="J4733" i="1"/>
  <c r="K4734" i="1"/>
  <c r="K4724" i="1"/>
  <c r="K2516" i="1"/>
  <c r="J3072" i="1"/>
  <c r="K3073" i="1"/>
  <c r="J2497" i="1"/>
  <c r="K2497" i="1" s="1"/>
  <c r="K2498" i="1"/>
  <c r="J1797" i="1"/>
  <c r="K1797" i="1" s="1"/>
  <c r="K1798" i="1"/>
  <c r="J874" i="1"/>
  <c r="K874" i="1" s="1"/>
  <c r="K875" i="1"/>
  <c r="J4313" i="1"/>
  <c r="K4320" i="1"/>
  <c r="J3185" i="1"/>
  <c r="K3185" i="1" s="1"/>
  <c r="K3186" i="1"/>
  <c r="J3754" i="1"/>
  <c r="K3754" i="1" s="1"/>
  <c r="K3755" i="1"/>
  <c r="J2322" i="1"/>
  <c r="K2322" i="1" s="1"/>
  <c r="K2323" i="1"/>
  <c r="J4497" i="1"/>
  <c r="K4497" i="1" s="1"/>
  <c r="K4498" i="1"/>
  <c r="J2628" i="1"/>
  <c r="K2628" i="1" s="1"/>
  <c r="K2629" i="1"/>
  <c r="J3640" i="1"/>
  <c r="K3640" i="1" s="1"/>
  <c r="K3641" i="1"/>
  <c r="J1694" i="1"/>
  <c r="K1695" i="1"/>
  <c r="K480" i="1"/>
  <c r="J479" i="1"/>
  <c r="K479" i="1" s="1"/>
  <c r="J3657" i="1"/>
  <c r="K3658" i="1"/>
  <c r="J1852" i="1"/>
  <c r="K1853" i="1"/>
  <c r="J4106" i="1"/>
  <c r="K4106" i="1" s="1"/>
  <c r="K4107" i="1"/>
  <c r="J1906" i="1"/>
  <c r="K1906" i="1" s="1"/>
  <c r="K1907" i="1"/>
  <c r="J1240" i="1"/>
  <c r="K1240" i="1" s="1"/>
  <c r="K1241" i="1"/>
  <c r="J1876" i="1"/>
  <c r="K1877" i="1"/>
  <c r="K1538" i="1"/>
  <c r="J1537" i="1"/>
  <c r="J1234" i="1"/>
  <c r="K1234" i="1" s="1"/>
  <c r="K1235" i="1"/>
  <c r="K183" i="1"/>
  <c r="K147" i="1"/>
  <c r="J146" i="1"/>
  <c r="K146" i="1" s="1"/>
  <c r="J327" i="1"/>
  <c r="K328" i="1"/>
  <c r="J4394" i="1"/>
  <c r="K4400" i="1"/>
  <c r="K2993" i="1"/>
  <c r="J2981" i="1"/>
  <c r="J2637" i="1"/>
  <c r="K2638" i="1"/>
  <c r="J1256" i="1"/>
  <c r="K1256" i="1" s="1"/>
  <c r="K1262" i="1"/>
  <c r="J2800" i="1"/>
  <c r="K2800" i="1" s="1"/>
  <c r="K2801" i="1"/>
  <c r="J1220" i="1"/>
  <c r="K1220" i="1" s="1"/>
  <c r="K1221" i="1"/>
  <c r="J4386" i="1"/>
  <c r="K4386" i="1" s="1"/>
  <c r="K4387" i="1"/>
  <c r="K3251" i="1"/>
  <c r="J3245" i="1"/>
  <c r="K3245" i="1" s="1"/>
  <c r="J1411" i="1"/>
  <c r="K1412" i="1"/>
  <c r="J4673" i="1"/>
  <c r="K4193" i="1"/>
  <c r="J4178" i="1"/>
  <c r="K1074" i="1"/>
  <c r="J1065" i="1"/>
  <c r="J3928" i="1"/>
  <c r="K3929" i="1"/>
  <c r="J2892" i="1"/>
  <c r="K2893" i="1"/>
  <c r="J2382" i="1"/>
  <c r="K2382" i="1" s="1"/>
  <c r="K2383" i="1"/>
  <c r="J115" i="1"/>
  <c r="K116" i="1"/>
  <c r="J2551" i="1"/>
  <c r="K2551" i="1" s="1"/>
  <c r="K2552" i="1"/>
  <c r="J1056" i="1"/>
  <c r="K1056" i="1" s="1"/>
  <c r="K1057" i="1"/>
  <c r="J2028" i="1"/>
  <c r="K2028" i="1" s="1"/>
  <c r="K2029" i="1"/>
  <c r="J429" i="1"/>
  <c r="K429" i="1" s="1"/>
  <c r="K430" i="1"/>
  <c r="J3919" i="1"/>
  <c r="K3919" i="1" s="1"/>
  <c r="K3920" i="1"/>
  <c r="J3815" i="1"/>
  <c r="K3821" i="1"/>
  <c r="J2753" i="1"/>
  <c r="K2754" i="1"/>
  <c r="J701" i="1"/>
  <c r="H631" i="1"/>
  <c r="H4770" i="1" s="1"/>
  <c r="L1903" i="1"/>
  <c r="I631" i="1"/>
  <c r="I4770" i="1" s="1"/>
  <c r="L631" i="1"/>
  <c r="J1441" i="1" l="1"/>
  <c r="J4717" i="1"/>
  <c r="K4717" i="1" s="1"/>
  <c r="J3682" i="1"/>
  <c r="J3681" i="1" s="1"/>
  <c r="K3681" i="1" s="1"/>
  <c r="J2175" i="1"/>
  <c r="J1762" i="1"/>
  <c r="K1762" i="1" s="1"/>
  <c r="J2445" i="1"/>
  <c r="K2445" i="1" s="1"/>
  <c r="J2238" i="1"/>
  <c r="K2238" i="1" s="1"/>
  <c r="J2694" i="1"/>
  <c r="J1627" i="1"/>
  <c r="K1627" i="1" s="1"/>
  <c r="J2503" i="1"/>
  <c r="J2496" i="1" s="1"/>
  <c r="K2496" i="1" s="1"/>
  <c r="J4549" i="1"/>
  <c r="J4548" i="1" s="1"/>
  <c r="K4548" i="1" s="1"/>
  <c r="J176" i="1"/>
  <c r="K4178" i="1"/>
  <c r="J4164" i="1"/>
  <c r="K2753" i="1"/>
  <c r="J2752" i="1"/>
  <c r="J3927" i="1"/>
  <c r="K3927" i="1" s="1"/>
  <c r="K3928" i="1"/>
  <c r="K1537" i="1"/>
  <c r="J1522" i="1"/>
  <c r="K3463" i="1"/>
  <c r="J3456" i="1"/>
  <c r="K3456" i="1" s="1"/>
  <c r="K1065" i="1"/>
  <c r="J326" i="1"/>
  <c r="K326" i="1" s="1"/>
  <c r="K327" i="1"/>
  <c r="J175" i="1"/>
  <c r="K176" i="1"/>
  <c r="K3657" i="1"/>
  <c r="J3656" i="1"/>
  <c r="K3656" i="1" s="1"/>
  <c r="K1694" i="1"/>
  <c r="J1693" i="1"/>
  <c r="J4732" i="1"/>
  <c r="K4732" i="1" s="1"/>
  <c r="K4733" i="1"/>
  <c r="J3136" i="1"/>
  <c r="K3136" i="1" s="1"/>
  <c r="K3137" i="1"/>
  <c r="K701" i="1"/>
  <c r="J694" i="1"/>
  <c r="J3814" i="1"/>
  <c r="K3814" i="1" s="1"/>
  <c r="K3815" i="1"/>
  <c r="J114" i="1"/>
  <c r="K114" i="1" s="1"/>
  <c r="K115" i="1"/>
  <c r="J2891" i="1"/>
  <c r="K2891" i="1" s="1"/>
  <c r="K2892" i="1"/>
  <c r="K1884" i="1"/>
  <c r="J1883" i="1"/>
  <c r="J3485" i="1"/>
  <c r="K3486" i="1"/>
  <c r="J3494" i="1"/>
  <c r="K3495" i="1"/>
  <c r="K2152" i="1"/>
  <c r="J2151" i="1"/>
  <c r="J3469" i="1"/>
  <c r="K3469" i="1" s="1"/>
  <c r="K3470" i="1"/>
  <c r="J860" i="1"/>
  <c r="K860" i="1" s="1"/>
  <c r="J2119" i="1"/>
  <c r="K2119" i="1" s="1"/>
  <c r="K2120" i="1"/>
  <c r="J2417" i="1"/>
  <c r="K2418" i="1"/>
  <c r="J2348" i="1"/>
  <c r="K2348" i="1" s="1"/>
  <c r="K2349" i="1"/>
  <c r="J1302" i="1"/>
  <c r="K1303" i="1"/>
  <c r="K3256" i="1"/>
  <c r="J3244" i="1"/>
  <c r="K3244" i="1" s="1"/>
  <c r="K4365" i="1"/>
  <c r="J4364" i="1"/>
  <c r="K4364" i="1" s="1"/>
  <c r="J4297" i="1"/>
  <c r="K4297" i="1" s="1"/>
  <c r="K4298" i="1"/>
  <c r="J2589" i="1"/>
  <c r="K2589" i="1" s="1"/>
  <c r="K2590" i="1"/>
  <c r="J3105" i="1"/>
  <c r="K3105" i="1" s="1"/>
  <c r="K3106" i="1"/>
  <c r="J1789" i="1"/>
  <c r="K1789" i="1" s="1"/>
  <c r="K1790" i="1"/>
  <c r="K618" i="1"/>
  <c r="J617" i="1"/>
  <c r="J1576" i="1"/>
  <c r="K1577" i="1"/>
  <c r="J4511" i="1"/>
  <c r="K4512" i="1"/>
  <c r="J1564" i="1"/>
  <c r="K1564" i="1" s="1"/>
  <c r="K1565" i="1"/>
  <c r="J961" i="1"/>
  <c r="K971" i="1"/>
  <c r="J1968" i="1"/>
  <c r="K1968" i="1" s="1"/>
  <c r="K1969" i="1"/>
  <c r="J2436" i="1"/>
  <c r="K2436" i="1" s="1"/>
  <c r="K2437" i="1"/>
  <c r="J4530" i="1"/>
  <c r="K4531" i="1"/>
  <c r="J2257" i="1"/>
  <c r="K3697" i="1"/>
  <c r="J3696" i="1"/>
  <c r="J1863" i="1"/>
  <c r="K1864" i="1"/>
  <c r="K2369" i="1"/>
  <c r="J2360" i="1"/>
  <c r="J4304" i="1"/>
  <c r="K4304" i="1" s="1"/>
  <c r="K4305" i="1"/>
  <c r="J3398" i="1"/>
  <c r="K3399" i="1"/>
  <c r="J795" i="1"/>
  <c r="K795" i="1" s="1"/>
  <c r="K802" i="1"/>
  <c r="J4752" i="1"/>
  <c r="K4753" i="1"/>
  <c r="K306" i="1"/>
  <c r="J2681" i="1"/>
  <c r="K2681" i="1" s="1"/>
  <c r="K2682" i="1"/>
  <c r="J2527" i="1"/>
  <c r="J2281" i="1"/>
  <c r="J3890" i="1"/>
  <c r="K3890" i="1" s="1"/>
  <c r="K3891" i="1"/>
  <c r="J3117" i="1"/>
  <c r="K3118" i="1"/>
  <c r="J2660" i="1"/>
  <c r="K2661" i="1"/>
  <c r="K1411" i="1"/>
  <c r="J1410" i="1"/>
  <c r="J2636" i="1"/>
  <c r="K2636" i="1" s="1"/>
  <c r="K2637" i="1"/>
  <c r="K4394" i="1"/>
  <c r="J1875" i="1"/>
  <c r="K1876" i="1"/>
  <c r="J1851" i="1"/>
  <c r="K1851" i="1" s="1"/>
  <c r="K1852" i="1"/>
  <c r="K4313" i="1"/>
  <c r="J3071" i="1"/>
  <c r="K3071" i="1" s="1"/>
  <c r="K3072" i="1"/>
  <c r="J1588" i="1"/>
  <c r="K1589" i="1"/>
  <c r="J4486" i="1"/>
  <c r="K4486" i="1" s="1"/>
  <c r="K4487" i="1"/>
  <c r="J1926" i="1"/>
  <c r="K1926" i="1" s="1"/>
  <c r="K1936" i="1"/>
  <c r="J1398" i="1"/>
  <c r="K1398" i="1" s="1"/>
  <c r="J2782" i="1"/>
  <c r="J2001" i="1"/>
  <c r="J3502" i="1"/>
  <c r="K3503" i="1"/>
  <c r="J3843" i="1"/>
  <c r="K3844" i="1"/>
  <c r="J1905" i="1"/>
  <c r="K2920" i="1"/>
  <c r="J2919" i="1"/>
  <c r="J1233" i="1"/>
  <c r="K2617" i="1"/>
  <c r="J2596" i="1"/>
  <c r="J1361" i="1"/>
  <c r="K1371" i="1"/>
  <c r="J3275" i="1"/>
  <c r="K3275" i="1" s="1"/>
  <c r="K3276" i="1"/>
  <c r="J60" i="1"/>
  <c r="K61" i="1"/>
  <c r="K3126" i="1"/>
  <c r="J3125" i="1"/>
  <c r="J3477" i="1"/>
  <c r="K3477" i="1" s="1"/>
  <c r="K3478" i="1"/>
  <c r="J4285" i="1"/>
  <c r="K4285" i="1" s="1"/>
  <c r="K4286" i="1"/>
  <c r="J4035" i="1"/>
  <c r="K4036" i="1"/>
  <c r="J1290" i="1"/>
  <c r="K1291" i="1"/>
  <c r="J1226" i="1"/>
  <c r="K1226" i="1" s="1"/>
  <c r="K1227" i="1"/>
  <c r="K4028" i="1"/>
  <c r="J4021" i="1"/>
  <c r="K4021" i="1" s="1"/>
  <c r="K3422" i="1"/>
  <c r="J3020" i="1"/>
  <c r="J1160" i="1"/>
  <c r="K3150" i="1"/>
  <c r="J3149" i="1"/>
  <c r="J3332" i="1"/>
  <c r="K3333" i="1"/>
  <c r="J3794" i="1"/>
  <c r="K3794" i="1" s="1"/>
  <c r="K3795" i="1"/>
  <c r="J466" i="1"/>
  <c r="K490" i="1"/>
  <c r="J1896" i="1"/>
  <c r="K1896" i="1" s="1"/>
  <c r="K1897" i="1"/>
  <c r="J2409" i="1"/>
  <c r="K2410" i="1"/>
  <c r="J239" i="1"/>
  <c r="K240" i="1"/>
  <c r="J2648" i="1"/>
  <c r="K2649" i="1"/>
  <c r="K71" i="1"/>
  <c r="J70" i="1"/>
  <c r="K70" i="1" s="1"/>
  <c r="J3324" i="1"/>
  <c r="K3325" i="1"/>
  <c r="K2426" i="1"/>
  <c r="J2425" i="1"/>
  <c r="K1125" i="1"/>
  <c r="J1124" i="1"/>
  <c r="K1124" i="1" s="1"/>
  <c r="J3881" i="1"/>
  <c r="K3882" i="1"/>
  <c r="J4582" i="1"/>
  <c r="K4583" i="1"/>
  <c r="J1017" i="1"/>
  <c r="K1017" i="1" s="1"/>
  <c r="K1018" i="1"/>
  <c r="K4379" i="1"/>
  <c r="J4378" i="1"/>
  <c r="J2903" i="1"/>
  <c r="K2904" i="1"/>
  <c r="K440" i="1"/>
  <c r="J439" i="1"/>
  <c r="K439" i="1" s="1"/>
  <c r="J1049" i="1"/>
  <c r="K1050" i="1"/>
  <c r="J3001" i="1"/>
  <c r="K3002" i="1"/>
  <c r="J3078" i="1"/>
  <c r="J1335" i="1"/>
  <c r="K1335" i="1" s="1"/>
  <c r="J9" i="1"/>
  <c r="K10" i="1"/>
  <c r="J2131" i="1"/>
  <c r="K2132" i="1"/>
  <c r="J2143" i="1"/>
  <c r="K2144" i="1"/>
  <c r="J1686" i="1"/>
  <c r="K1686" i="1" s="1"/>
  <c r="K1687" i="1"/>
  <c r="J3835" i="1"/>
  <c r="K3836" i="1"/>
  <c r="J852" i="1"/>
  <c r="K852" i="1" s="1"/>
  <c r="K853" i="1"/>
  <c r="J4356" i="1"/>
  <c r="K4356" i="1" s="1"/>
  <c r="K4357" i="1"/>
  <c r="J2937" i="1"/>
  <c r="K2937" i="1" s="1"/>
  <c r="K2938" i="1"/>
  <c r="J1649" i="1"/>
  <c r="K1649" i="1" s="1"/>
  <c r="K1659" i="1"/>
  <c r="J1614" i="1"/>
  <c r="K1614" i="1" s="1"/>
  <c r="K1615" i="1"/>
  <c r="J2162" i="1"/>
  <c r="K2162" i="1" s="1"/>
  <c r="K2163" i="1"/>
  <c r="K1597" i="1"/>
  <c r="J1596" i="1"/>
  <c r="J2201" i="1"/>
  <c r="K2201" i="1" s="1"/>
  <c r="K2211" i="1"/>
  <c r="J1086" i="1"/>
  <c r="K1086" i="1" s="1"/>
  <c r="K1096" i="1"/>
  <c r="J3946" i="1"/>
  <c r="J161" i="1"/>
  <c r="K161" i="1" s="1"/>
  <c r="K162" i="1"/>
  <c r="J2971" i="1"/>
  <c r="K2971" i="1" s="1"/>
  <c r="K2981" i="1"/>
  <c r="K4673" i="1"/>
  <c r="J4672" i="1"/>
  <c r="J4452" i="1"/>
  <c r="K4452" i="1" s="1"/>
  <c r="K4453" i="1"/>
  <c r="J2715" i="1"/>
  <c r="K2715" i="1" s="1"/>
  <c r="K2725" i="1"/>
  <c r="K2868" i="1"/>
  <c r="J2853" i="1"/>
  <c r="K1817" i="1"/>
  <c r="J1796" i="1"/>
  <c r="J4090" i="1"/>
  <c r="K4090" i="1" s="1"/>
  <c r="J356" i="1"/>
  <c r="K356" i="1" s="1"/>
  <c r="K362" i="1"/>
  <c r="J3588" i="1"/>
  <c r="K3602" i="1"/>
  <c r="K2694" i="1"/>
  <c r="J2693" i="1"/>
  <c r="J1719" i="1"/>
  <c r="K1441" i="1"/>
  <c r="J1440" i="1"/>
  <c r="K2175" i="1"/>
  <c r="J2950" i="1"/>
  <c r="J1310" i="1"/>
  <c r="K1311" i="1"/>
  <c r="K4607" i="1"/>
  <c r="K2092" i="1"/>
  <c r="J2077" i="1"/>
  <c r="J4710" i="1"/>
  <c r="K4710" i="1" s="1"/>
  <c r="K4711" i="1"/>
  <c r="J1326" i="1"/>
  <c r="K1326" i="1" s="1"/>
  <c r="K1327" i="1"/>
  <c r="J2070" i="1"/>
  <c r="K2070" i="1" s="1"/>
  <c r="K2071" i="1"/>
  <c r="J4660" i="1"/>
  <c r="K4660" i="1" s="1"/>
  <c r="K4661" i="1"/>
  <c r="J286" i="1"/>
  <c r="K286" i="1" s="1"/>
  <c r="K287" i="1"/>
  <c r="K4549" i="1"/>
  <c r="J3362" i="1"/>
  <c r="K3363" i="1"/>
  <c r="J1277" i="1"/>
  <c r="K1277" i="1" s="1"/>
  <c r="K1278" i="1"/>
  <c r="J2911" i="1"/>
  <c r="K2912" i="1"/>
  <c r="J1515" i="1"/>
  <c r="K1515" i="1" s="1"/>
  <c r="K1516" i="1"/>
  <c r="K2669" i="1"/>
  <c r="J2668" i="1"/>
  <c r="K1976" i="1"/>
  <c r="J1975" i="1"/>
  <c r="J2396" i="1"/>
  <c r="K2396" i="1" s="1"/>
  <c r="K2397" i="1"/>
  <c r="J1136" i="1"/>
  <c r="K127" i="1"/>
  <c r="J126" i="1"/>
  <c r="J252" i="1"/>
  <c r="K253" i="1"/>
  <c r="J388" i="1"/>
  <c r="K394" i="1"/>
  <c r="L4770" i="1"/>
  <c r="J2174" i="1" l="1"/>
  <c r="K3682" i="1"/>
  <c r="J2444" i="1"/>
  <c r="K2503" i="1"/>
  <c r="J3405" i="1"/>
  <c r="K3405" i="1" s="1"/>
  <c r="J1309" i="1"/>
  <c r="K1309" i="1" s="1"/>
  <c r="K1310" i="1"/>
  <c r="J1788" i="1"/>
  <c r="K1788" i="1" s="1"/>
  <c r="K1796" i="1"/>
  <c r="J251" i="1"/>
  <c r="K252" i="1"/>
  <c r="J2667" i="1"/>
  <c r="K2667" i="1" s="1"/>
  <c r="K2668" i="1"/>
  <c r="K2693" i="1"/>
  <c r="J1595" i="1"/>
  <c r="K1595" i="1" s="1"/>
  <c r="K1596" i="1"/>
  <c r="J125" i="1"/>
  <c r="K125" i="1" s="1"/>
  <c r="K126" i="1"/>
  <c r="J2910" i="1"/>
  <c r="K2910" i="1" s="1"/>
  <c r="K2911" i="1"/>
  <c r="J3361" i="1"/>
  <c r="K3361" i="1" s="1"/>
  <c r="K3362" i="1"/>
  <c r="J4606" i="1"/>
  <c r="K4606" i="1" s="1"/>
  <c r="J1626" i="1"/>
  <c r="K1440" i="1"/>
  <c r="J2845" i="1"/>
  <c r="K2845" i="1" s="1"/>
  <c r="K2853" i="1"/>
  <c r="J4671" i="1"/>
  <c r="K4671" i="1" s="1"/>
  <c r="K4672" i="1"/>
  <c r="J2130" i="1"/>
  <c r="K2130" i="1" s="1"/>
  <c r="K2131" i="1"/>
  <c r="K3078" i="1"/>
  <c r="J3070" i="1"/>
  <c r="K3070" i="1" s="1"/>
  <c r="J1048" i="1"/>
  <c r="K1048" i="1" s="1"/>
  <c r="K1049" i="1"/>
  <c r="J2902" i="1"/>
  <c r="K2902" i="1" s="1"/>
  <c r="K2903" i="1"/>
  <c r="J3880" i="1"/>
  <c r="K3880" i="1" s="1"/>
  <c r="K3881" i="1"/>
  <c r="J2408" i="1"/>
  <c r="K2408" i="1" s="1"/>
  <c r="K2409" i="1"/>
  <c r="J465" i="1"/>
  <c r="K465" i="1" s="1"/>
  <c r="K466" i="1"/>
  <c r="K3332" i="1"/>
  <c r="K3020" i="1"/>
  <c r="J3019" i="1"/>
  <c r="K3019" i="1" s="1"/>
  <c r="J1289" i="1"/>
  <c r="K1289" i="1" s="1"/>
  <c r="K1290" i="1"/>
  <c r="K1905" i="1"/>
  <c r="J1904" i="1"/>
  <c r="J3501" i="1"/>
  <c r="K3501" i="1" s="1"/>
  <c r="K3502" i="1"/>
  <c r="J4393" i="1"/>
  <c r="J1397" i="1"/>
  <c r="K1397" i="1" s="1"/>
  <c r="K1410" i="1"/>
  <c r="J2280" i="1"/>
  <c r="K2280" i="1" s="1"/>
  <c r="K2281" i="1"/>
  <c r="K2257" i="1"/>
  <c r="J2237" i="1"/>
  <c r="K2237" i="1" s="1"/>
  <c r="K961" i="1"/>
  <c r="J960" i="1"/>
  <c r="K960" i="1" s="1"/>
  <c r="J4510" i="1"/>
  <c r="K4510" i="1" s="1"/>
  <c r="K4511" i="1"/>
  <c r="J2150" i="1"/>
  <c r="K2150" i="1" s="1"/>
  <c r="K2151" i="1"/>
  <c r="J1685" i="1"/>
  <c r="K1685" i="1" s="1"/>
  <c r="K1693" i="1"/>
  <c r="J1064" i="1"/>
  <c r="J1514" i="1"/>
  <c r="K1514" i="1" s="1"/>
  <c r="K1522" i="1"/>
  <c r="J2751" i="1"/>
  <c r="K2751" i="1" s="1"/>
  <c r="K2752" i="1"/>
  <c r="K388" i="1"/>
  <c r="J355" i="1"/>
  <c r="J2069" i="1"/>
  <c r="K2069" i="1" s="1"/>
  <c r="K2077" i="1"/>
  <c r="J4377" i="1"/>
  <c r="K4377" i="1" s="1"/>
  <c r="K4378" i="1"/>
  <c r="K3149" i="1"/>
  <c r="J3148" i="1"/>
  <c r="J1219" i="1"/>
  <c r="K1219" i="1" s="1"/>
  <c r="K1233" i="1"/>
  <c r="K2001" i="1"/>
  <c r="J2000" i="1"/>
  <c r="K2000" i="1" s="1"/>
  <c r="J3116" i="1"/>
  <c r="K3116" i="1" s="1"/>
  <c r="K3117" i="1"/>
  <c r="K2527" i="1"/>
  <c r="J2526" i="1"/>
  <c r="K2526" i="1" s="1"/>
  <c r="J285" i="1"/>
  <c r="K285" i="1" s="1"/>
  <c r="J1862" i="1"/>
  <c r="K1862" i="1" s="1"/>
  <c r="K1863" i="1"/>
  <c r="J3484" i="1"/>
  <c r="K3484" i="1" s="1"/>
  <c r="K3485" i="1"/>
  <c r="J160" i="1"/>
  <c r="K160" i="1" s="1"/>
  <c r="K175" i="1"/>
  <c r="J1718" i="1"/>
  <c r="K1718" i="1" s="1"/>
  <c r="K1719" i="1"/>
  <c r="J3918" i="1"/>
  <c r="K3946" i="1"/>
  <c r="J3834" i="1"/>
  <c r="K3834" i="1" s="1"/>
  <c r="K3835" i="1"/>
  <c r="J2142" i="1"/>
  <c r="K2142" i="1" s="1"/>
  <c r="K2143" i="1"/>
  <c r="J8" i="1"/>
  <c r="K9" i="1"/>
  <c r="J3000" i="1"/>
  <c r="K3000" i="1" s="1"/>
  <c r="K3001" i="1"/>
  <c r="K4582" i="1"/>
  <c r="J3323" i="1"/>
  <c r="K3323" i="1" s="1"/>
  <c r="K3324" i="1"/>
  <c r="J2647" i="1"/>
  <c r="K2647" i="1" s="1"/>
  <c r="K2648" i="1"/>
  <c r="J238" i="1"/>
  <c r="K238" i="1" s="1"/>
  <c r="K239" i="1"/>
  <c r="K4035" i="1"/>
  <c r="J4034" i="1"/>
  <c r="J59" i="1"/>
  <c r="K59" i="1" s="1"/>
  <c r="K60" i="1"/>
  <c r="J1334" i="1"/>
  <c r="K1334" i="1" s="1"/>
  <c r="K1361" i="1"/>
  <c r="J2918" i="1"/>
  <c r="K2918" i="1" s="1"/>
  <c r="K2919" i="1"/>
  <c r="J3842" i="1"/>
  <c r="K3843" i="1"/>
  <c r="J2781" i="1"/>
  <c r="K2781" i="1" s="1"/>
  <c r="K2782" i="1"/>
  <c r="K2444" i="1"/>
  <c r="J2347" i="1"/>
  <c r="K2347" i="1" s="1"/>
  <c r="K2360" i="1"/>
  <c r="J3680" i="1"/>
  <c r="K3680" i="1" s="1"/>
  <c r="K3696" i="1"/>
  <c r="J4529" i="1"/>
  <c r="K4529" i="1" s="1"/>
  <c r="K4530" i="1"/>
  <c r="J1575" i="1"/>
  <c r="K1575" i="1" s="1"/>
  <c r="K1576" i="1"/>
  <c r="J1301" i="1"/>
  <c r="K1301" i="1" s="1"/>
  <c r="K1302" i="1"/>
  <c r="J2416" i="1"/>
  <c r="K2416" i="1" s="1"/>
  <c r="K2417" i="1"/>
  <c r="J1882" i="1"/>
  <c r="K1882" i="1" s="1"/>
  <c r="K1883" i="1"/>
  <c r="J632" i="1"/>
  <c r="K694" i="1"/>
  <c r="J4142" i="1"/>
  <c r="K4164" i="1"/>
  <c r="J1967" i="1"/>
  <c r="K1967" i="1" s="1"/>
  <c r="K1975" i="1"/>
  <c r="K1136" i="1"/>
  <c r="J1123" i="1"/>
  <c r="K1123" i="1" s="1"/>
  <c r="K2174" i="1"/>
  <c r="K3588" i="1"/>
  <c r="J3587" i="1"/>
  <c r="K2950" i="1"/>
  <c r="J2949" i="1"/>
  <c r="J2424" i="1"/>
  <c r="K2424" i="1" s="1"/>
  <c r="K2425" i="1"/>
  <c r="K1160" i="1"/>
  <c r="J1159" i="1"/>
  <c r="K1159" i="1" s="1"/>
  <c r="J3124" i="1"/>
  <c r="K3124" i="1" s="1"/>
  <c r="K3125" i="1"/>
  <c r="J2588" i="1"/>
  <c r="K2588" i="1" s="1"/>
  <c r="K2596" i="1"/>
  <c r="J1587" i="1"/>
  <c r="K1587" i="1" s="1"/>
  <c r="K1588" i="1"/>
  <c r="J4312" i="1"/>
  <c r="K4312" i="1" s="1"/>
  <c r="J1874" i="1"/>
  <c r="K1874" i="1" s="1"/>
  <c r="K1875" i="1"/>
  <c r="J2659" i="1"/>
  <c r="K2659" i="1" s="1"/>
  <c r="K2660" i="1"/>
  <c r="J4751" i="1"/>
  <c r="K4752" i="1"/>
  <c r="J3397" i="1"/>
  <c r="K3397" i="1" s="1"/>
  <c r="K3398" i="1"/>
  <c r="J616" i="1"/>
  <c r="K616" i="1" s="1"/>
  <c r="K617" i="1"/>
  <c r="J3493" i="1"/>
  <c r="K3493" i="1" s="1"/>
  <c r="K3494" i="1"/>
  <c r="J4581" i="1" l="1"/>
  <c r="K4581" i="1" s="1"/>
  <c r="J2173" i="1"/>
  <c r="K2173" i="1" s="1"/>
  <c r="J2443" i="1"/>
  <c r="K2443" i="1" s="1"/>
  <c r="J4141" i="1"/>
  <c r="K4141" i="1" s="1"/>
  <c r="K4142" i="1"/>
  <c r="J3879" i="1"/>
  <c r="K3879" i="1" s="1"/>
  <c r="K3918" i="1"/>
  <c r="J354" i="1"/>
  <c r="K354" i="1" s="1"/>
  <c r="K355" i="1"/>
  <c r="K1904" i="1"/>
  <c r="J1903" i="1"/>
  <c r="K1903" i="1" s="1"/>
  <c r="J1625" i="1"/>
  <c r="K1625" i="1" s="1"/>
  <c r="K1626" i="1"/>
  <c r="J4020" i="1"/>
  <c r="K4020" i="1" s="1"/>
  <c r="K4034" i="1"/>
  <c r="J4311" i="1"/>
  <c r="K4311" i="1" s="1"/>
  <c r="K4393" i="1"/>
  <c r="K632" i="1"/>
  <c r="J631" i="1"/>
  <c r="K631" i="1" s="1"/>
  <c r="J3813" i="1"/>
  <c r="K3813" i="1" s="1"/>
  <c r="K3842" i="1"/>
  <c r="K8" i="1"/>
  <c r="J7" i="1"/>
  <c r="J3147" i="1"/>
  <c r="K3147" i="1" s="1"/>
  <c r="K3148" i="1"/>
  <c r="J1063" i="1"/>
  <c r="K1063" i="1" s="1"/>
  <c r="K1064" i="1"/>
  <c r="J3331" i="1"/>
  <c r="K3331" i="1" s="1"/>
  <c r="J2692" i="1"/>
  <c r="K2692" i="1" s="1"/>
  <c r="J4731" i="1"/>
  <c r="K4731" i="1" s="1"/>
  <c r="K4751" i="1"/>
  <c r="J2948" i="1"/>
  <c r="K2948" i="1" s="1"/>
  <c r="K2949" i="1"/>
  <c r="J3492" i="1"/>
  <c r="K3492" i="1" s="1"/>
  <c r="K3587" i="1"/>
  <c r="J1333" i="1"/>
  <c r="K1333" i="1" s="1"/>
  <c r="K251" i="1"/>
  <c r="J250" i="1"/>
  <c r="K250" i="1" s="1"/>
  <c r="K7" i="1" l="1"/>
  <c r="J4770" i="1"/>
  <c r="K4770" i="1" s="1"/>
</calcChain>
</file>

<file path=xl/sharedStrings.xml><?xml version="1.0" encoding="utf-8"?>
<sst xmlns="http://schemas.openxmlformats.org/spreadsheetml/2006/main" count="30575" uniqueCount="1481">
  <si>
    <t>Создание в субъектах Российской Федерации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 - Приобретение в собственность муниципального образования здания для размещения дошкольного образовательного учреждения по ул. Грибоедова, 68в</t>
  </si>
  <si>
    <t>24101L1593</t>
  </si>
  <si>
    <t>Создание в субъектах Российской Федерации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 - Приобретение в собственность муниципального образования здания для размещения дошкольного образовательного учреждения по ул. Чернышевского, 17в</t>
  </si>
  <si>
    <t>0410101170</t>
  </si>
  <si>
    <t>Целевая субсидия на реализацию проекта "Культурный десант"</t>
  </si>
  <si>
    <t>0350101180</t>
  </si>
  <si>
    <t>Целевая субсидия на подготовку документации, необходимой для принятия в муниципальную собственность бесхозяйных объектов культурного наследия и монументального искусства</t>
  </si>
  <si>
    <t>Строительство нового корпуса здания МАОУ «СОШ № 42» г. Перми по адресу: ул. Нестерова, 18 в г. Перми</t>
  </si>
  <si>
    <t>2420142110</t>
  </si>
  <si>
    <t>Реконструкция здания МБОУ "Гимназия № 17" г. Перми (пристройка нового корпуса)</t>
  </si>
  <si>
    <t>1220522010</t>
  </si>
  <si>
    <t>1220500000</t>
  </si>
  <si>
    <t>Основное мероприятие "Выполнение комплекса мероприятий по приведению в нормативное состояние трамвайных путей"</t>
  </si>
  <si>
    <t>919002Ф180</t>
  </si>
  <si>
    <t>Обеспечение условий для развития физической культуры и массового спорта</t>
  </si>
  <si>
    <t>122042Т150</t>
  </si>
  <si>
    <t>Капитальный ремонт трамвайных путей, контактно-кабельной сети городского наземного электрического транспорта и обновление подвижного состава г. Перми</t>
  </si>
  <si>
    <t>91900SР040</t>
  </si>
  <si>
    <t>Целевая субсидия на оплату труда работников Пермского зоопарка, обеспечивающих уход за новой коллекцией животных</t>
  </si>
  <si>
    <t>Мероприятия, направленные на приведение бесхозяйных и муниципальных пожарных водоемов, пирсов в нормативное состояние</t>
  </si>
  <si>
    <t>Строительство здания для размещения дошкольного образовательного учреждения по ул. Желябова, 16б</t>
  </si>
  <si>
    <t>Строительство приюта для содержания безнадзорных животных по ул. Верхне-Муллинской, 106а г. Перми</t>
  </si>
  <si>
    <t>Осуществление регулярных перевозок пассажиров автомобильным транспортом и городским наземным электрическим транспортом по муниципальным маршрутам регулярных перевозок города Перми в связи с празднованием Нового года по регулируемому тарифу города Перми</t>
  </si>
  <si>
    <t>Капитальный ремонт трамвайных путей от ул. 1905 года до станции Пермь II с устройством контактной сети трамвайной линии</t>
  </si>
  <si>
    <t>Непрограммные расходы по обеспечению деятельности контрольно-счетной палаты города Перми</t>
  </si>
  <si>
    <t>Непрограммные расходы по обеспечению деятельности избирательной комиссии города Перми</t>
  </si>
  <si>
    <t>Реализация мероприятий по содействию созданию в субъектах Российской Федерации (исходя из прогнозируемой потребности) новых мест в общеобразовательных организациях в рамках государственной программы Российской Федерации «Развитие образования»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</si>
  <si>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 - Строительство нового корпуса здания МАОУ «СОШ № 42» г. Перми по адресу: ул. Нестерова, 18 в г. Перми</t>
  </si>
  <si>
    <t>Основное мероприятие «Субсидия некоммерческим организациям, не являющимся государственными (муниципальными) учреждениями, оказывающим информационно-консультационную поддержку местным товаропроизводителям в виде организации и проведения конференций»</t>
  </si>
  <si>
    <t>Утвержденный годовой бюджет (с учетом изменений, внесенных решением Пермской городской Думы № 260 )</t>
  </si>
  <si>
    <t>0340101060</t>
  </si>
  <si>
    <t>Муниципальная программа "Управление земельными ресурсами города Перми"</t>
  </si>
  <si>
    <t>Подпрограмма "Распоряжение земельными участками, находящимися в муниципальной собственности и собственность на которые не разграничена"</t>
  </si>
  <si>
    <t>Основное мероприятие "Обеспечение платности использования земельных участков"</t>
  </si>
  <si>
    <t>2230101060</t>
  </si>
  <si>
    <t>0510371110</t>
  </si>
  <si>
    <t>Реализация мероприятий по содействию созданию в субъектах Российской Федерации (исходя из прогнозируемой потребности) новых мест в общеобразовательных организациях в рамках государственной программы Российской Федерации "Развитие образования"</t>
  </si>
  <si>
    <t>91900SР080</t>
  </si>
  <si>
    <t>Софинансирование проектов инициативного бюджетирования</t>
  </si>
  <si>
    <t>9190070450</t>
  </si>
  <si>
    <t>Единовременная премия обучающимся, награжденным знаком отличия Пермского края "Гордость Пермского края"</t>
  </si>
  <si>
    <t>919002Н080</t>
  </si>
  <si>
    <t>Стимулирование педагогических работников по результатам обучения школьников</t>
  </si>
  <si>
    <t>122012Т160</t>
  </si>
  <si>
    <t>Организация транспортного обслуживания населения автомобильным транспортом по маршруту Пермь II - Пермь I в связи с изменением железнодорожного сообщения на участке Пермь II - ОП «Мотовилиха»</t>
  </si>
  <si>
    <t>Субсидии частным организациям, осуществляющим образовательную деятельность и содержание ребенка (присмотр и уход за ребенком)</t>
  </si>
  <si>
    <t>Субсидии частным организациям, осуществляющим общеобразовательную деятельность</t>
  </si>
  <si>
    <t>1830123020</t>
  </si>
  <si>
    <t>Формирование земельных участков в целях предоставления многодетным семьям</t>
  </si>
  <si>
    <t>Основное мероприятие «Предоставление грантов системы образования частным образовательным организациям, индивидуальным предпринимателям, осуществляющим образовательную деятельность»</t>
  </si>
  <si>
    <t>0510141440</t>
  </si>
  <si>
    <t>2420141590</t>
  </si>
  <si>
    <t>2230101000</t>
  </si>
  <si>
    <t>1410400000</t>
  </si>
  <si>
    <t>1710600000</t>
  </si>
  <si>
    <t>9190021200</t>
  </si>
  <si>
    <t>9190021460</t>
  </si>
  <si>
    <t>1810100590</t>
  </si>
  <si>
    <t>2110271690</t>
  </si>
  <si>
    <t>0420000000</t>
  </si>
  <si>
    <t>0420100000</t>
  </si>
  <si>
    <t>0420100740</t>
  </si>
  <si>
    <t>0420170070</t>
  </si>
  <si>
    <t>0210221010</t>
  </si>
  <si>
    <t>0340182020</t>
  </si>
  <si>
    <t>2230182020</t>
  </si>
  <si>
    <t>2240182020</t>
  </si>
  <si>
    <t>1010121370</t>
  </si>
  <si>
    <t>1010121390</t>
  </si>
  <si>
    <t>1730471190</t>
  </si>
  <si>
    <t>1720121710</t>
  </si>
  <si>
    <t>1750000000</t>
  </si>
  <si>
    <t>1750100000</t>
  </si>
  <si>
    <t>1750121420</t>
  </si>
  <si>
    <t>1730121400</t>
  </si>
  <si>
    <t>1730200590</t>
  </si>
  <si>
    <t>9190021230</t>
  </si>
  <si>
    <t>1010121380</t>
  </si>
  <si>
    <t>1010171020</t>
  </si>
  <si>
    <t>1010321250</t>
  </si>
  <si>
    <t>1010423160</t>
  </si>
  <si>
    <t>1010471010</t>
  </si>
  <si>
    <t>1220171120</t>
  </si>
  <si>
    <t>1410121100</t>
  </si>
  <si>
    <t>0910121020</t>
  </si>
  <si>
    <t>0210181000</t>
  </si>
  <si>
    <t>0210181010</t>
  </si>
  <si>
    <t>0210281040</t>
  </si>
  <si>
    <t>0210181020</t>
  </si>
  <si>
    <t>0210271000</t>
  </si>
  <si>
    <t>1730382110</t>
  </si>
  <si>
    <t>1410221970</t>
  </si>
  <si>
    <t>1410400590</t>
  </si>
  <si>
    <t>1410421000</t>
  </si>
  <si>
    <t>2500000000</t>
  </si>
  <si>
    <t>2510000000</t>
  </si>
  <si>
    <t>2510100000</t>
  </si>
  <si>
    <t>2510200000</t>
  </si>
  <si>
    <t>2510221440</t>
  </si>
  <si>
    <t>2510300000</t>
  </si>
  <si>
    <t>2510321450</t>
  </si>
  <si>
    <t>9130021920</t>
  </si>
  <si>
    <t>975</t>
  </si>
  <si>
    <t>0520400000</t>
  </si>
  <si>
    <t>0510482020</t>
  </si>
  <si>
    <t>0510500590</t>
  </si>
  <si>
    <t>0510501070</t>
  </si>
  <si>
    <t>0520200590</t>
  </si>
  <si>
    <t>0520300000</t>
  </si>
  <si>
    <t>Основное мероприятие «Предоставление дополнительных мер социальной поддержки отдельным категориям граждан»</t>
  </si>
  <si>
    <t>Основное мероприятие «Показ (организация показа) спектаклей, концертов и концертных программ»</t>
  </si>
  <si>
    <t>Основное мероприятие «Проведение (организация проведения) мероприятий досуговой и культурно-просветительской направленности»</t>
  </si>
  <si>
    <t>Основное мероприятие «Реализация дополнительных общеобразовательных общеразвивающих и предпрофессиональных программ в области искусств»</t>
  </si>
  <si>
    <t>Основное мероприятие «Обеспечение сохранения и использования объектов культурного наследия, объектов монументального искусства»</t>
  </si>
  <si>
    <t>Основное мероприятие «Проведение занятий физкультурно-спортивной направленности по месту проживания граждан»</t>
  </si>
  <si>
    <t>Основное мероприятие «Финансовая поддержка деятельности социально ориентированных некоммерческих организаций»</t>
  </si>
  <si>
    <t>Подпрограмма «Вовлечение граждан в местное самоуправление»</t>
  </si>
  <si>
    <t>Основное мероприятие «Создание условий для формирования благоприятной инвестиционной среды»</t>
  </si>
  <si>
    <t>Основное мероприятие «Организация мероприятий, направленных на формирование инновационного мышления»</t>
  </si>
  <si>
    <t>Подпрограмма «Создание условий для обеспечения жителей города Перми услугами торговли, общественного питания, бытового обслуживания»</t>
  </si>
  <si>
    <t>Основное мероприятие «Организация мероприятий по демонтажу самовольно установленных и незаконно размещенных объектов потребительского рынка»</t>
  </si>
  <si>
    <t>Основное мероприятие «Выполнение комплекса мероприятий по содержанию и ремонту автомобильных дорог и элементов дорог»</t>
  </si>
  <si>
    <t>Основное мероприятие «Выполнение комплекса мероприятий по содержанию, ремонту и обследованию искусственных дорожных сооружений»</t>
  </si>
  <si>
    <t>Основное мероприятие «Выполнение комплекса мероприятий по приведению в нормативное состояние автомобильных дорог и искусственных дорожных сооружений»</t>
  </si>
  <si>
    <t>Реконструкция ул. Карпинского от ул. Архитектора Свиязева до ул. Советской Армии</t>
  </si>
  <si>
    <t>Основное мероприятие «Организация содержания объектов озеленения общего пользования»</t>
  </si>
  <si>
    <t>Основное мероприятие «Организация содержания пустошей, логов и водоохранных зон»</t>
  </si>
  <si>
    <t>Основное мероприятие «Выполнение комплекса мероприятий по приведению в нормативное состояние объектов озеленения общего пользования»</t>
  </si>
  <si>
    <t>Основное мероприятие «Выполнение комплекса мероприятий по восстановлению нормативного состояния объектов ритуального назначения»</t>
  </si>
  <si>
    <t>Основное мероприятие «Обеспечение выполнения функции по регулированию тарифов на перевозки пассажиров и багажа автомобильным и наземным электрическим транспортом на муниципальных маршрутах регулярных перевозок города Перми»</t>
  </si>
  <si>
    <t>Основное мероприятие «Выполнение функции по управлению регулярными перевозками и контролю за работой муниципальных маршрутов города Перми»</t>
  </si>
  <si>
    <t>Обустройство остановочных пунктов, используемых в регулярных перевозках пассажиров</t>
  </si>
  <si>
    <t>Основное мероприятие «Организация каникулярной занятости несовершеннолетних, состоящих на учете в территориальных отделах полиции города Перми»</t>
  </si>
  <si>
    <t>Подпрограмма «Совершенствование системы первичной профилактики употребления психоактивных веществ среди детей и молодежи»</t>
  </si>
  <si>
    <t>Основное мероприятие «Капитальные вложения в объекты недвижимого имущества муниципальной собственности в области пожарной безопасности»</t>
  </si>
  <si>
    <t>Основное мероприятие «Реализация мероприятий в области жилищно-коммунального хозяйства»</t>
  </si>
  <si>
    <t>Основное мероприятие «Оказание мер социальной поддержки гражданам по оплате жилищно-коммунальных услуг»</t>
  </si>
  <si>
    <t>Основное мероприятие «Актуализация Правил землепользования и застройки города Перми»</t>
  </si>
  <si>
    <t>Обеспечение разработки документации по планировке территории в части функциональных зон СТН</t>
  </si>
  <si>
    <t>Основное мероприятие «Снос самовольных построек, приведение объектов капитального строительства в первоначальное положение на территории города Перми»</t>
  </si>
  <si>
    <t>Муниципальная программа «Приведение в нормативное состояние образовательных организаций города Перми»</t>
  </si>
  <si>
    <t>Подпрограмма «Развитие сети муниципальных организаций города Перми общего и дополнительного образования»</t>
  </si>
  <si>
    <t>Повышение эффективности управления имущественным комплексом административных зданий (помещений) города Перми</t>
  </si>
  <si>
    <t>Развитие архивного дела в городе Перми</t>
  </si>
  <si>
    <t>Мероприятия по отлову безнадзорных животных, их транспортировке, учету и регистрации, содержанию, лечению, кастрации (стерилизации), эвтаназии, утилизации</t>
  </si>
  <si>
    <t>Предоставление ежемесячных денежных муниципальных выплат за проезд в медицинские организации, осуществляющие свою деятельность на территории города Перми, для проведения амбулаторного гемодиализа жителям города Перми с хронической почечной недостаточностью</t>
  </si>
  <si>
    <t>Предоставление ежемесячной денежной выплаты одному из родителей (законных представителей), являющихся студентами или учащимися, имеющих детей в возрасте до 1,5 лет</t>
  </si>
  <si>
    <t>Адресная социальная муниципальная помощь</t>
  </si>
  <si>
    <t>Проведение мероприятий социальной направленности</t>
  </si>
  <si>
    <t>Субсидии общественным объединениям инвалидов, общественным организациям для организации проведения мероприятий (участия в мероприятиях)</t>
  </si>
  <si>
    <t>Ежегодная премия города Перми «Преодоление»</t>
  </si>
  <si>
    <t>Предоставление мер социальной поддержки педагогическим работникам организаций дополнительного образования в области культуры и искусства</t>
  </si>
  <si>
    <t>Предоставление мер социальной поддержки педагогическим работникам организаций дополнительного образования в области физической культуры и спорта</t>
  </si>
  <si>
    <t>Основное мероприятие «Публичные нормативные обязательства в сфере физической культуры и спорта»</t>
  </si>
  <si>
    <t>Ежегодный конкурс на лучшее оформление предприятий города Перми к Новому году</t>
  </si>
  <si>
    <t>Содержание и ремонт автомобильных дорог</t>
  </si>
  <si>
    <t>Обеспечение работы пунктов весового и габаритного контроля на автомобильных дорогах</t>
  </si>
  <si>
    <t>Возмещение затрат на содержание (обследование, прочистку), паспортизацию ливневой канализации и очистных сооружений</t>
  </si>
  <si>
    <t>Капитальный ремонт автомобильных дорог и искусственных дорожных сооружений</t>
  </si>
  <si>
    <t>Возмещение затрат на содержание, паспортизацию, текущий и капитальный ремонт сетей наружного освещения</t>
  </si>
  <si>
    <t>Организация и осуществление мероприятий по гражданской обороне, защите населения и территории города Перми от чрезвычайных ситуаций природного и техногенного характера</t>
  </si>
  <si>
    <t>Содержание спасательных постов в местах массового отдыха у воды</t>
  </si>
  <si>
    <t>Обеспечение молодых семей первичной финансовой поддержкой в приобретении (строительстве) отдельного благоустроенного жилья</t>
  </si>
  <si>
    <t>Строительство блочной модульной котельной в микрорайоне «Южный»</t>
  </si>
  <si>
    <t>Ликвидация бесхозяйных отходов с территории города Перми</t>
  </si>
  <si>
    <t>Поддержка сети информационно-консультационных пунктов на базе территориальных общественных самоуправлений и общественных центров</t>
  </si>
  <si>
    <t>Меры социальной поддержки гражданам, проживающим в непригодном для проживания и аварийном жилищном фонде</t>
  </si>
  <si>
    <t>Подпрограмма «Проведение капитального ремонта общего имущества собственников помещений в многоквартирных домах, расположенных на территории города Перми»</t>
  </si>
  <si>
    <t>Основное мероприятие «Исполнение обязанностей собственника помещений по содержанию общего имущества собственников помещений в многоквартирных домах в части муниципальной доли собственности»</t>
  </si>
  <si>
    <t>Уплата взносов на капитальный ремонт общего имущества в многоквартирных домах в части муниципальной доли собственности</t>
  </si>
  <si>
    <t>Субсидии некоммерческим организациям</t>
  </si>
  <si>
    <t>Целевая субсидия на реализацию историко-культурной образовательной программы</t>
  </si>
  <si>
    <t>Муниципальная программа «Развитие муниципальной службы в администрации города Перми»</t>
  </si>
  <si>
    <t>Подпрограмма «Совершенствование механизмов кадровой работы в администрации города Перми»</t>
  </si>
  <si>
    <t>Мониторинг уровня  оплаты труда муниципальных служащих администрации города Перми</t>
  </si>
  <si>
    <t>Содержание имущественного комплекса административных зданий (помещений)</t>
  </si>
  <si>
    <t>Мероприятия, направленные на решение отдельных вопросов местного значения в микрорайонах города Перми</t>
  </si>
  <si>
    <t xml:space="preserve">Исполнение обязанностей по уплате платежей в Федеральный бюджет </t>
  </si>
  <si>
    <t>Капитальный ремонт здания для размещения муниципального архива</t>
  </si>
  <si>
    <t>Субсидии организациям отдыха детей и их оздоровления независимо от организационно-правовой формы и формы собственности, индивидуальным предпринимателям</t>
  </si>
  <si>
    <t>Мероприятия по обновлению инвестиционного паспорта города Перми, инвестиционного портала города Перми, участие в конгрессах, инвестиционных выставках и экономических форумах</t>
  </si>
  <si>
    <t>Организация мест массового отдыха у воды на территории города Перми</t>
  </si>
  <si>
    <t>Ремонт тротуаров, пешеходных дорожек и газонов вдоль тротуаров, пешеходных дорожек</t>
  </si>
  <si>
    <t>Содержание сетей наружного освещения микрорайона Бумкомбинат</t>
  </si>
  <si>
    <t>Проведение аудиторской экспертизы экономической обоснованности тарифа на перевозки пассажиров автомобильным и городским наземным электрическим транспортом на муниципальных маршрутах города Перми</t>
  </si>
  <si>
    <t>Возмещение затрат хозяйствующим субъектам, осуществляющим регулярные перевозки автомобильным транспортом</t>
  </si>
  <si>
    <t>Возмещение недополученных доходов хозяйствующим субъектам, осуществляющим регулярные перевозки автомобильным транспортом отдельных категорий граждан</t>
  </si>
  <si>
    <t xml:space="preserve">Возмещение затрат хозяйствующим субъектам, осуществляющим регулярные перевозки городским наземным электрическим транспортом </t>
  </si>
  <si>
    <t>Возмещение недополученных доходов хозяйствующим субъектам, осуществляющим регулярные перевозки по маршрутам регулярных перевозок города Перми отдельных категорий граждан, в части денежных средств, поступающих в бюджет города Перми от реализации льготных проездных документов</t>
  </si>
  <si>
    <t>1710141320</t>
  </si>
  <si>
    <t>1710541240</t>
  </si>
  <si>
    <t>1710541310</t>
  </si>
  <si>
    <t>1710621430</t>
  </si>
  <si>
    <t>Подпрограмма «Обеспечение санитарно-эпидемиологических требований законодательства»</t>
  </si>
  <si>
    <t>1750271040</t>
  </si>
  <si>
    <t>Финансовое обеспечение затрат по проведению капитального ремонта фасадов многоквартирных домов города Перми</t>
  </si>
  <si>
    <t>Муниципальная программа «Управление земельными ресурсами города Перми»</t>
  </si>
  <si>
    <t>Подпрограмма «Распоряжение земельными участками, находящимися в муниципальной собственности и собственность на которые не разграничена»</t>
  </si>
  <si>
    <t>Основное мероприятие «Обеспечение платности использования земельных участков»</t>
  </si>
  <si>
    <t>Защита земельно-имущественных прав</t>
  </si>
  <si>
    <t>Подпрограмма «Повышение эффективности управления земельными ресурсами путем развития информационной системы управления землями»</t>
  </si>
  <si>
    <t>1920121840</t>
  </si>
  <si>
    <t>Сопровождение и модернизация информационной системы управления землями</t>
  </si>
  <si>
    <t>1920121850</t>
  </si>
  <si>
    <t>Обеспечение защиты персональных данных</t>
  </si>
  <si>
    <t>Основное мероприятие «Формирование высокопрофессионального кадрового состава администрации города Перми с применением инновационных кадровых технологий»</t>
  </si>
  <si>
    <t>2510121810</t>
  </si>
  <si>
    <t>Организация обучения муниципальных служащих ФО, ТО и ФП по дополнительным образовательным программам</t>
  </si>
  <si>
    <t>Приведение в нормативное состояние административных зданий (помещений)</t>
  </si>
  <si>
    <t>919002П040</t>
  </si>
  <si>
    <t>919002П060</t>
  </si>
  <si>
    <t>919002С190</t>
  </si>
  <si>
    <t>919002С250</t>
  </si>
  <si>
    <t>919002Т060</t>
  </si>
  <si>
    <t>919002У100</t>
  </si>
  <si>
    <t>Руководитель Контрольно-счетной палаты города Перми</t>
  </si>
  <si>
    <t>Председатель Избирательной комиссии города Перми, его заместитель и секретарь</t>
  </si>
  <si>
    <t>2410141670</t>
  </si>
  <si>
    <t>0510141460</t>
  </si>
  <si>
    <t>0510141560</t>
  </si>
  <si>
    <t>1810323410</t>
  </si>
  <si>
    <t>1810323420</t>
  </si>
  <si>
    <t>1810323430</t>
  </si>
  <si>
    <t>620</t>
  </si>
  <si>
    <t>0330200000</t>
  </si>
  <si>
    <t>0330241890</t>
  </si>
  <si>
    <t>0340101070</t>
  </si>
  <si>
    <t>0410200000</t>
  </si>
  <si>
    <t>0410241910</t>
  </si>
  <si>
    <t>0320101070</t>
  </si>
  <si>
    <t>0320201070</t>
  </si>
  <si>
    <t>0320301070</t>
  </si>
  <si>
    <t>0330241880</t>
  </si>
  <si>
    <t>120</t>
  </si>
  <si>
    <t>320</t>
  </si>
  <si>
    <t>222022Н020</t>
  </si>
  <si>
    <t>2250171170</t>
  </si>
  <si>
    <t>2420200000</t>
  </si>
  <si>
    <t>2420241730</t>
  </si>
  <si>
    <t>2420241770</t>
  </si>
  <si>
    <t>224032Н020</t>
  </si>
  <si>
    <t>915002У090</t>
  </si>
  <si>
    <t>915002У100</t>
  </si>
  <si>
    <t>9150041010</t>
  </si>
  <si>
    <t>071032С050</t>
  </si>
  <si>
    <t>1010123110</t>
  </si>
  <si>
    <t>0910222110</t>
  </si>
  <si>
    <t>240</t>
  </si>
  <si>
    <t>1730500000</t>
  </si>
  <si>
    <t>1730571830</t>
  </si>
  <si>
    <t>1730221410</t>
  </si>
  <si>
    <t>153032С070</t>
  </si>
  <si>
    <t>1420341040</t>
  </si>
  <si>
    <t>1420341050</t>
  </si>
  <si>
    <t>1420341110</t>
  </si>
  <si>
    <t>1420341340</t>
  </si>
  <si>
    <t>1420341350</t>
  </si>
  <si>
    <t>1420341360</t>
  </si>
  <si>
    <t>1420341570</t>
  </si>
  <si>
    <t>1510341900</t>
  </si>
  <si>
    <t>2410141600</t>
  </si>
  <si>
    <t>2410141610</t>
  </si>
  <si>
    <t>2410141640</t>
  </si>
  <si>
    <t>1020141520</t>
  </si>
  <si>
    <t>1110700000</t>
  </si>
  <si>
    <t>1110741740</t>
  </si>
  <si>
    <t>1110500000</t>
  </si>
  <si>
    <t>1110541710</t>
  </si>
  <si>
    <t>1110541750</t>
  </si>
  <si>
    <t>1110541780</t>
  </si>
  <si>
    <t>1110541810</t>
  </si>
  <si>
    <t>1110541840</t>
  </si>
  <si>
    <t>944</t>
  </si>
  <si>
    <t>121032Т080</t>
  </si>
  <si>
    <t>073042С140</t>
  </si>
  <si>
    <t>0720300000</t>
  </si>
  <si>
    <t>9190051200</t>
  </si>
  <si>
    <t>131012П050</t>
  </si>
  <si>
    <t>1420323120</t>
  </si>
  <si>
    <t>2510321550</t>
  </si>
  <si>
    <t>630</t>
  </si>
  <si>
    <t>0520423350</t>
  </si>
  <si>
    <t>0520470100</t>
  </si>
  <si>
    <t>1510400000</t>
  </si>
  <si>
    <t>1530400000</t>
  </si>
  <si>
    <t>1530451340</t>
  </si>
  <si>
    <t>1530451350</t>
  </si>
  <si>
    <t>1530481060</t>
  </si>
  <si>
    <t>153032С080</t>
  </si>
  <si>
    <t>919002С090</t>
  </si>
  <si>
    <t>2420241190</t>
  </si>
  <si>
    <t>Обеспечение работников учреждений бюджетной сферы Пермского края путевками на санаторно-курортное лечение и оздоровление</t>
  </si>
  <si>
    <t>Основное мероприятие «Комплекс мероприятий по переезду Пермского зоопарка»</t>
  </si>
  <si>
    <t>Основное мероприятие «Капитальные вложения в объекты недвижимого имущества муниципальной собственности в сфере культуры»</t>
  </si>
  <si>
    <t>Реконструкция здания МАУК «Пермский планетарий»</t>
  </si>
  <si>
    <t>Реконструкция здания МАУ ДО «Детская музыкальная школа № 1»</t>
  </si>
  <si>
    <t>Основное мероприятие «Капитальные вложения в объекты недвижимого имущества муниципальной собственности в сфере молодежной политики»</t>
  </si>
  <si>
    <t>Реконструкция здания МАУ «Дворец молодежи» г. Перми</t>
  </si>
  <si>
    <t>Субсидии некоммерческим организациям, не являющимся государственными (муниципальными) учреждениями, выполняющим работы по организации занятости молодежи</t>
  </si>
  <si>
    <t>Физкультурные и спортивные мероприятия</t>
  </si>
  <si>
    <t>Субсидия некоммерческим организациям, не являющимся государственными (муниципальными) учреждениями, на организацию и проведение спортивных мероприятий для лиц с ограниченными возможностями здоровья согласно календарному плану</t>
  </si>
  <si>
    <t>Субсидии некоммерческим организациям, общественным объединениям (за исключением политических партий) на реализацию социальных проектов</t>
  </si>
  <si>
    <t>Основное мероприятие «Организация и проведение мероприятий по ранней профилактике правонарушений среди несовершеннолетних»</t>
  </si>
  <si>
    <t>Основное мероприятие «Единовременная выплата в случае рождения троих или более детей одновременно»</t>
  </si>
  <si>
    <t>Мероприятия по организации оздоровления и отдыха детей</t>
  </si>
  <si>
    <t>Демонтаж самовольно установленных и незаконно размещенных рекламных конструкций</t>
  </si>
  <si>
    <t>Инвентаризация бесхозяйных сетей ливневой канализации</t>
  </si>
  <si>
    <t>Строительство автомобильной дороги Переход ул. Строителей – площадь Гайдара</t>
  </si>
  <si>
    <t>Основное мероприятие «Выполнение комплекса работ по строительству и реконструкции объектов озеленения общего пользования»</t>
  </si>
  <si>
    <t>Реконструкция центральной площадки города Перми - эспланада, 64-й квартал, участок 1 (от здания Пермского академического Театра-Театра ул. Борчанинова)</t>
  </si>
  <si>
    <t>Строительство сквера по ул. Гашкова, 20</t>
  </si>
  <si>
    <t>Строительство сквера по ул. Калгановской, 62</t>
  </si>
  <si>
    <t>Строительство сквера по ул. Екатерининской, 171</t>
  </si>
  <si>
    <t>Основное мероприятие «Организация содержания искусственных инженерных сооружений, предназначенных для движения пешеходов»</t>
  </si>
  <si>
    <t>Основное мероприятие «Строительство искусственных инженерных сооружений, предназначенных для движения пешеходов»</t>
  </si>
  <si>
    <t>Строительство пешеходного перехода из микрорайона Владимирский в микрорайон Юбилейный</t>
  </si>
  <si>
    <t>Основное мероприятие «Демонтаж самовольно установленных и незаконно размещенных движимых объектов»</t>
  </si>
  <si>
    <t>Профилактика совершения преступлений на автомобильных дорогах Пермского края и в общественных местах и иных местах массового пребывания граждан</t>
  </si>
  <si>
    <t>Осуществление полномочий по страхованию граждан Российской Федерации, участвующих в деятельности дружин охраны общественного порядка на территории Пермского края</t>
  </si>
  <si>
    <t>Расходы, связанные со строительством пожарных водоемов</t>
  </si>
  <si>
    <t>Строительство пожарного водоема в микрорайоне Голый Мыс Свердловского района города Перми</t>
  </si>
  <si>
    <t>Строительство пожарного водоема в микрорайоне Оборино Кировского района города Перми</t>
  </si>
  <si>
    <t>Строительство пожарного водоема в микрорайоне Бумкомбинат по ул. Малореченской Орджоникидзевского района города Перми</t>
  </si>
  <si>
    <t>Строительство пожарного водоема в микрорайоне Камский на пересечении ул. Сурикова и Кислотной Орджоникидзевского района города Перми</t>
  </si>
  <si>
    <t>Строительство пожарного водоема в микрорайоне Голованово Орджоникидзевского района города Перми</t>
  </si>
  <si>
    <t>Строительство пожарного водоема по ул. Островского в поселке Новые Ляды города Перми</t>
  </si>
  <si>
    <t>Основное мероприятие «Обеспечение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родителей»</t>
  </si>
  <si>
    <t>Содержание жилых помещений специализированного жилищного фонда для детей-сирот, детей, оставшихся без попечения родителей, лицам из их числа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</si>
  <si>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</si>
  <si>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>Обеспечение жильем отдельных категорий граждан, установленных Федеральным законом от 12 января 1995 г. № 5-ФЗ  «О ветеранах», в соответствии с Указом Президента Российской Федерации от 7 мая 2008 г. № 714 «Об обеспечении жильем ветеранов Великой Отечественной войны 1941-1945 годов»</t>
  </si>
  <si>
    <t>Содержание и текущий ремонт детских игровых площадок</t>
  </si>
  <si>
    <t>Основное мероприятие «Обеспечение повышения энергетической эффективности в многоквартирных домах»</t>
  </si>
  <si>
    <t>Управление капитального строительства администрации города Перми</t>
  </si>
  <si>
    <t>Администрация Дзержинского района города Перми</t>
  </si>
  <si>
    <t>Департамент экономики и промышленной политики администрации города Перми</t>
  </si>
  <si>
    <t>Департамент социальной политики администрации города Перми</t>
  </si>
  <si>
    <t>Управление жилищных отношений администрации города Перми</t>
  </si>
  <si>
    <t>Формулы</t>
  </si>
  <si>
    <t>0100000000</t>
  </si>
  <si>
    <t>0110000000</t>
  </si>
  <si>
    <t>0110100000</t>
  </si>
  <si>
    <t>0120000000</t>
  </si>
  <si>
    <t>0120100000</t>
  </si>
  <si>
    <t>9500000000</t>
  </si>
  <si>
    <t>9580000000</t>
  </si>
  <si>
    <t>9580000110</t>
  </si>
  <si>
    <t>9580000190</t>
  </si>
  <si>
    <t>2200000000</t>
  </si>
  <si>
    <t>2240000000</t>
  </si>
  <si>
    <t>2240200000</t>
  </si>
  <si>
    <t>2240200820</t>
  </si>
  <si>
    <t>9570000000</t>
  </si>
  <si>
    <t>9570000110</t>
  </si>
  <si>
    <t>9570000190</t>
  </si>
  <si>
    <t>0600000000</t>
  </si>
  <si>
    <t>1000000000</t>
  </si>
  <si>
    <t>1010000000</t>
  </si>
  <si>
    <t>1010100000</t>
  </si>
  <si>
    <t>1100000000</t>
  </si>
  <si>
    <t>1110000000</t>
  </si>
  <si>
    <t>1110600000</t>
  </si>
  <si>
    <t>1200000000</t>
  </si>
  <si>
    <t>1220000000</t>
  </si>
  <si>
    <t>1220300000</t>
  </si>
  <si>
    <t>1220321780</t>
  </si>
  <si>
    <t>1800000000</t>
  </si>
  <si>
    <t>1820000000</t>
  </si>
  <si>
    <t>1820200000</t>
  </si>
  <si>
    <t>1700000000</t>
  </si>
  <si>
    <t>1730000000</t>
  </si>
  <si>
    <t>1110100000</t>
  </si>
  <si>
    <t>1110200000</t>
  </si>
  <si>
    <t>1720000000</t>
  </si>
  <si>
    <t>1030000000</t>
  </si>
  <si>
    <t>1030100000</t>
  </si>
  <si>
    <t>1030100590</t>
  </si>
  <si>
    <t>2100000000</t>
  </si>
  <si>
    <t>2110100000</t>
  </si>
  <si>
    <t>2110121640</t>
  </si>
  <si>
    <t>2110000000</t>
  </si>
  <si>
    <t>200</t>
  </si>
  <si>
    <t>1400000000</t>
  </si>
  <si>
    <t>1410000000</t>
  </si>
  <si>
    <t>1300000000</t>
  </si>
  <si>
    <t>1320000000</t>
  </si>
  <si>
    <t>1320100000</t>
  </si>
  <si>
    <t>1320121090</t>
  </si>
  <si>
    <t>0300000000</t>
  </si>
  <si>
    <t>0330000000</t>
  </si>
  <si>
    <t>0330100000</t>
  </si>
  <si>
    <t>0400000000</t>
  </si>
  <si>
    <t>0410000000</t>
  </si>
  <si>
    <t>0410100000</t>
  </si>
  <si>
    <t>0410100590</t>
  </si>
  <si>
    <t>0410123140</t>
  </si>
  <si>
    <t>0410170040</t>
  </si>
  <si>
    <t>0700000000</t>
  </si>
  <si>
    <t>0730000000</t>
  </si>
  <si>
    <t>0730100000</t>
  </si>
  <si>
    <t>0340000000</t>
  </si>
  <si>
    <t>0340100000</t>
  </si>
  <si>
    <t>0340100680</t>
  </si>
  <si>
    <t>600</t>
  </si>
  <si>
    <t>0340121270</t>
  </si>
  <si>
    <t>300</t>
  </si>
  <si>
    <t>0340182030</t>
  </si>
  <si>
    <t>0200000000</t>
  </si>
  <si>
    <t>0210000000</t>
  </si>
  <si>
    <t>0220000000</t>
  </si>
  <si>
    <t>0220100000</t>
  </si>
  <si>
    <t>0310000000</t>
  </si>
  <si>
    <t>0310100000</t>
  </si>
  <si>
    <t>0310100720</t>
  </si>
  <si>
    <t>0310121980</t>
  </si>
  <si>
    <t>0320000000</t>
  </si>
  <si>
    <t>0320100000</t>
  </si>
  <si>
    <t>0320100590</t>
  </si>
  <si>
    <t>0320200000</t>
  </si>
  <si>
    <t>0320200590</t>
  </si>
  <si>
    <t>0320200670</t>
  </si>
  <si>
    <t>0320300000</t>
  </si>
  <si>
    <t>0320300590</t>
  </si>
  <si>
    <t>0320400000</t>
  </si>
  <si>
    <t>0350000000</t>
  </si>
  <si>
    <t>0350100000</t>
  </si>
  <si>
    <t>0350100590</t>
  </si>
  <si>
    <t>0350100750</t>
  </si>
  <si>
    <t>0340100590</t>
  </si>
  <si>
    <t>0210400000</t>
  </si>
  <si>
    <t>9100000000</t>
  </si>
  <si>
    <t>9190000000</t>
  </si>
  <si>
    <t>100</t>
  </si>
  <si>
    <t>1310000000</t>
  </si>
  <si>
    <t>1310200000</t>
  </si>
  <si>
    <t>1310221080</t>
  </si>
  <si>
    <t>1420000000</t>
  </si>
  <si>
    <t>1420200000</t>
  </si>
  <si>
    <t>1420221120</t>
  </si>
  <si>
    <t>0900000000</t>
  </si>
  <si>
    <t>0910000000</t>
  </si>
  <si>
    <t>0910200000</t>
  </si>
  <si>
    <t>0910221150</t>
  </si>
  <si>
    <t>0910100000</t>
  </si>
  <si>
    <t>0910121140</t>
  </si>
  <si>
    <t>9190021880</t>
  </si>
  <si>
    <t>0350121990</t>
  </si>
  <si>
    <t>0500000000</t>
  </si>
  <si>
    <t>0510000000</t>
  </si>
  <si>
    <t>2210000000</t>
  </si>
  <si>
    <t>2210100000</t>
  </si>
  <si>
    <t>2210100590</t>
  </si>
  <si>
    <t>2210100610</t>
  </si>
  <si>
    <t>2210100770</t>
  </si>
  <si>
    <t>2210200000</t>
  </si>
  <si>
    <t>2250000000</t>
  </si>
  <si>
    <t>2250100000</t>
  </si>
  <si>
    <t>2250170030</t>
  </si>
  <si>
    <t>2300000000</t>
  </si>
  <si>
    <t>2310000000</t>
  </si>
  <si>
    <t>2310100000</t>
  </si>
  <si>
    <t>2310200000</t>
  </si>
  <si>
    <t>2400000000</t>
  </si>
  <si>
    <t>2410000000</t>
  </si>
  <si>
    <t>2410200000</t>
  </si>
  <si>
    <t>800</t>
  </si>
  <si>
    <t>2220000000</t>
  </si>
  <si>
    <t>2220100000</t>
  </si>
  <si>
    <t>2220100590</t>
  </si>
  <si>
    <t>2220100690</t>
  </si>
  <si>
    <t>2220100700</t>
  </si>
  <si>
    <t>2220100840</t>
  </si>
  <si>
    <t>2220200000</t>
  </si>
  <si>
    <t>2230000000</t>
  </si>
  <si>
    <t>2230100000</t>
  </si>
  <si>
    <t>2230100590</t>
  </si>
  <si>
    <t>2250170050</t>
  </si>
  <si>
    <t>2420000000</t>
  </si>
  <si>
    <t>2420100000</t>
  </si>
  <si>
    <t>400</t>
  </si>
  <si>
    <t>0510400000</t>
  </si>
  <si>
    <t>0510400590</t>
  </si>
  <si>
    <t>0720000000</t>
  </si>
  <si>
    <t>0720100000</t>
  </si>
  <si>
    <t>0720100650</t>
  </si>
  <si>
    <t>2240221190</t>
  </si>
  <si>
    <t>0710000000</t>
  </si>
  <si>
    <t>0710100000</t>
  </si>
  <si>
    <t>0710200000</t>
  </si>
  <si>
    <t>2240100000</t>
  </si>
  <si>
    <t>2240100590</t>
  </si>
  <si>
    <t>2240200630</t>
  </si>
  <si>
    <t>2240200640</t>
  </si>
  <si>
    <t>2220100710</t>
  </si>
  <si>
    <t>9600000000</t>
  </si>
  <si>
    <t>9610000000</t>
  </si>
  <si>
    <t>9610092000</t>
  </si>
  <si>
    <t>1710000000</t>
  </si>
  <si>
    <t>1710100000</t>
  </si>
  <si>
    <t>1710141090</t>
  </si>
  <si>
    <t>1710141130</t>
  </si>
  <si>
    <t>1710141140</t>
  </si>
  <si>
    <t>1710141210</t>
  </si>
  <si>
    <t>1710141220</t>
  </si>
  <si>
    <t>1710200000</t>
  </si>
  <si>
    <t>1710241100</t>
  </si>
  <si>
    <t>1710300000</t>
  </si>
  <si>
    <t>1710371160</t>
  </si>
  <si>
    <t>1710400000</t>
  </si>
  <si>
    <t>1710421670</t>
  </si>
  <si>
    <t>1710421680</t>
  </si>
  <si>
    <t>1710500000</t>
  </si>
  <si>
    <t>1720100000</t>
  </si>
  <si>
    <t>1730200000</t>
  </si>
  <si>
    <t>1730300000</t>
  </si>
  <si>
    <t>1730400000</t>
  </si>
  <si>
    <t>1740000000</t>
  </si>
  <si>
    <t>1740100000</t>
  </si>
  <si>
    <t>1740100590</t>
  </si>
  <si>
    <t>0710300000</t>
  </si>
  <si>
    <t>9700000000</t>
  </si>
  <si>
    <t>9710000000</t>
  </si>
  <si>
    <t>9710000590</t>
  </si>
  <si>
    <t>2410100000</t>
  </si>
  <si>
    <t>2420141170</t>
  </si>
  <si>
    <t>2420141180</t>
  </si>
  <si>
    <t>2420141390</t>
  </si>
  <si>
    <t>2000000000</t>
  </si>
  <si>
    <t>2010000000</t>
  </si>
  <si>
    <t>2010100000</t>
  </si>
  <si>
    <t>2010123370</t>
  </si>
  <si>
    <t>2020100000</t>
  </si>
  <si>
    <t>2020100590</t>
  </si>
  <si>
    <t>0510100000</t>
  </si>
  <si>
    <t>9620000000</t>
  </si>
  <si>
    <t>9620093000</t>
  </si>
  <si>
    <t>9160000000</t>
  </si>
  <si>
    <t>2110121660</t>
  </si>
  <si>
    <t>2120000000</t>
  </si>
  <si>
    <t>2120100000</t>
  </si>
  <si>
    <t>2120121790</t>
  </si>
  <si>
    <t>2120200000</t>
  </si>
  <si>
    <t>2120200590</t>
  </si>
  <si>
    <t>2120221700</t>
  </si>
  <si>
    <t>2120300000</t>
  </si>
  <si>
    <t>2120321650</t>
  </si>
  <si>
    <t>2110200000</t>
  </si>
  <si>
    <t>2110300000</t>
  </si>
  <si>
    <t>2110321630</t>
  </si>
  <si>
    <t>2110400000</t>
  </si>
  <si>
    <t>2110421620</t>
  </si>
  <si>
    <t>9150000000</t>
  </si>
  <si>
    <t>9150000590</t>
  </si>
  <si>
    <t>9190021950</t>
  </si>
  <si>
    <t>0800000000</t>
  </si>
  <si>
    <t>0810000000</t>
  </si>
  <si>
    <t>0810100000</t>
  </si>
  <si>
    <t>0820000000</t>
  </si>
  <si>
    <t>0820100000</t>
  </si>
  <si>
    <t>0820121170</t>
  </si>
  <si>
    <t>0830000000</t>
  </si>
  <si>
    <t>0830100000</t>
  </si>
  <si>
    <t>0830100590</t>
  </si>
  <si>
    <t>0830200000</t>
  </si>
  <si>
    <t>0830221180</t>
  </si>
  <si>
    <t>9300000000</t>
  </si>
  <si>
    <t>9310000000</t>
  </si>
  <si>
    <t>9310000110</t>
  </si>
  <si>
    <t>9390000000</t>
  </si>
  <si>
    <t>9390000110</t>
  </si>
  <si>
    <t>9390000190</t>
  </si>
  <si>
    <t>9400000000</t>
  </si>
  <si>
    <t>9410000000</t>
  </si>
  <si>
    <t>9410000110</t>
  </si>
  <si>
    <t>9490000000</t>
  </si>
  <si>
    <t>9490000110</t>
  </si>
  <si>
    <t>9490000190</t>
  </si>
  <si>
    <t>9200000000</t>
  </si>
  <si>
    <t>9220000000</t>
  </si>
  <si>
    <t>9220000110</t>
  </si>
  <si>
    <t>9220000190</t>
  </si>
  <si>
    <t>9290000000</t>
  </si>
  <si>
    <t>9290000110</t>
  </si>
  <si>
    <t>9290000190</t>
  </si>
  <si>
    <t>9190021870</t>
  </si>
  <si>
    <t>9190082070</t>
  </si>
  <si>
    <t>1900000000</t>
  </si>
  <si>
    <t>1910000000</t>
  </si>
  <si>
    <t>1910100000</t>
  </si>
  <si>
    <t>1910121520</t>
  </si>
  <si>
    <t>1920000000</t>
  </si>
  <si>
    <t>1920100000</t>
  </si>
  <si>
    <t>1010200000</t>
  </si>
  <si>
    <t>1010300000</t>
  </si>
  <si>
    <t>1010400000</t>
  </si>
  <si>
    <t>1020000000</t>
  </si>
  <si>
    <t>1020100000</t>
  </si>
  <si>
    <t>1020141510</t>
  </si>
  <si>
    <t>1020200000</t>
  </si>
  <si>
    <t>1110300000</t>
  </si>
  <si>
    <t>1110400000</t>
  </si>
  <si>
    <t>1120000000</t>
  </si>
  <si>
    <t>1120100000</t>
  </si>
  <si>
    <t>1120200000</t>
  </si>
  <si>
    <t>1120300000</t>
  </si>
  <si>
    <t>1120400000</t>
  </si>
  <si>
    <t>1120441540</t>
  </si>
  <si>
    <t>0730170020</t>
  </si>
  <si>
    <t>0730200000</t>
  </si>
  <si>
    <t>0730300000</t>
  </si>
  <si>
    <t>0730400000</t>
  </si>
  <si>
    <t>9190082080</t>
  </si>
  <si>
    <t>0210200000</t>
  </si>
  <si>
    <t>0210300000</t>
  </si>
  <si>
    <t>0210100000</t>
  </si>
  <si>
    <t>0720121050</t>
  </si>
  <si>
    <t>0720200000</t>
  </si>
  <si>
    <t>1730100000</t>
  </si>
  <si>
    <t>1220100000</t>
  </si>
  <si>
    <t>1220123280</t>
  </si>
  <si>
    <t>1220171060</t>
  </si>
  <si>
    <t>1220171070</t>
  </si>
  <si>
    <t>1220171080</t>
  </si>
  <si>
    <t>1220171100</t>
  </si>
  <si>
    <t>1220200000</t>
  </si>
  <si>
    <t>1220200590</t>
  </si>
  <si>
    <t>1210000000</t>
  </si>
  <si>
    <t>1210100000</t>
  </si>
  <si>
    <t>1210200000</t>
  </si>
  <si>
    <t>1210200590</t>
  </si>
  <si>
    <t>1210300000</t>
  </si>
  <si>
    <t>1210321610</t>
  </si>
  <si>
    <t>1210400000</t>
  </si>
  <si>
    <t>1210500000</t>
  </si>
  <si>
    <t>1210523340</t>
  </si>
  <si>
    <t>1220321770</t>
  </si>
  <si>
    <t>1410100000</t>
  </si>
  <si>
    <t>1410100590</t>
  </si>
  <si>
    <t>1410200000</t>
  </si>
  <si>
    <t>1310100000</t>
  </si>
  <si>
    <t>1310171270</t>
  </si>
  <si>
    <t>1420100000</t>
  </si>
  <si>
    <t>1420121110</t>
  </si>
  <si>
    <t>1420300000</t>
  </si>
  <si>
    <t>9510000000</t>
  </si>
  <si>
    <t>9510000110</t>
  </si>
  <si>
    <t>9590000000</t>
  </si>
  <si>
    <t>9590000110</t>
  </si>
  <si>
    <t>9590000190</t>
  </si>
  <si>
    <t>0610000000</t>
  </si>
  <si>
    <t>0610100000</t>
  </si>
  <si>
    <t>0910221160</t>
  </si>
  <si>
    <t>9130000000</t>
  </si>
  <si>
    <t>9130000590</t>
  </si>
  <si>
    <t>9130021960</t>
  </si>
  <si>
    <t>9140000000</t>
  </si>
  <si>
    <t>9140000590</t>
  </si>
  <si>
    <t>9190021890</t>
  </si>
  <si>
    <t>9190021900</t>
  </si>
  <si>
    <t>9190081100</t>
  </si>
  <si>
    <t>1500000000</t>
  </si>
  <si>
    <t>1510000000</t>
  </si>
  <si>
    <t>1510200000</t>
  </si>
  <si>
    <t>9190081050</t>
  </si>
  <si>
    <t>0510200000</t>
  </si>
  <si>
    <t>0510221130</t>
  </si>
  <si>
    <t>0510400600</t>
  </si>
  <si>
    <t>0520000000</t>
  </si>
  <si>
    <t>0520200000</t>
  </si>
  <si>
    <t>0510500000</t>
  </si>
  <si>
    <t>0510223210</t>
  </si>
  <si>
    <t>0510300000</t>
  </si>
  <si>
    <t>0510370000</t>
  </si>
  <si>
    <t>0510141420</t>
  </si>
  <si>
    <t>0510371200</t>
  </si>
  <si>
    <t>0520100000</t>
  </si>
  <si>
    <t>1530000000</t>
  </si>
  <si>
    <t>1530100000</t>
  </si>
  <si>
    <t>1510100000</t>
  </si>
  <si>
    <t>1510121470</t>
  </si>
  <si>
    <t>1510121480</t>
  </si>
  <si>
    <t>1510300000</t>
  </si>
  <si>
    <t>1520000000</t>
  </si>
  <si>
    <t>1520100000</t>
  </si>
  <si>
    <t>1520121500</t>
  </si>
  <si>
    <t>1530300000</t>
  </si>
  <si>
    <t>1520100590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</si>
  <si>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 (Строительство автомобильной дороги по ул. Журналиста Дементьева от ул. Лядовская до дома № 147 по ул. Журналиста Дементьева)</t>
  </si>
  <si>
    <t>Средства на исполнение судебных актов, вступивших в законную силу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</si>
  <si>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</t>
  </si>
  <si>
    <t>Развитие застроенных территорий города Перми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</si>
  <si>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 - строительство нового корпуса МАОУ «СОШ № 59» г. Перми</t>
  </si>
  <si>
    <t>Поддержка муниципальных программ формирования современной городской среды</t>
  </si>
  <si>
    <t>02104SС240</t>
  </si>
  <si>
    <t>24201SР042</t>
  </si>
  <si>
    <t>24201SР040</t>
  </si>
  <si>
    <t>10201SТ040</t>
  </si>
  <si>
    <t>10201SТ041</t>
  </si>
  <si>
    <t>10201SТ042</t>
  </si>
  <si>
    <t>10201SТ043</t>
  </si>
  <si>
    <t>10201SТ045</t>
  </si>
  <si>
    <t>10201SТ046</t>
  </si>
  <si>
    <t>10201SТ047</t>
  </si>
  <si>
    <t>22202SН040</t>
  </si>
  <si>
    <t>Целевая субсидия на содержание помещений, временно неиспользуемых для оказания муниципальных услуг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</si>
  <si>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</si>
  <si>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Совершенствование механизмов работы с кадровыми резервами администрации города Перми, в том числе организация подготовки участников кадровых резервов администрации города Перми</t>
  </si>
  <si>
    <t>Субсидии юридическим лицам (за исключением государственных (муниципальных) учреждений) на выполнение муниципальных работ по проведению занятий физкультурно-спортивной направленности по месту проживания граждан</t>
  </si>
  <si>
    <t>Субсидии на оказание содействия субъектам физической культуры и спорта, осуществляющим свою деятельность на территории города Перми</t>
  </si>
  <si>
    <t>903</t>
  </si>
  <si>
    <t>924</t>
  </si>
  <si>
    <t>931</t>
  </si>
  <si>
    <t>945</t>
  </si>
  <si>
    <t>955</t>
  </si>
  <si>
    <t>976</t>
  </si>
  <si>
    <t>977</t>
  </si>
  <si>
    <t>978</t>
  </si>
  <si>
    <t>985</t>
  </si>
  <si>
    <t>991</t>
  </si>
  <si>
    <t>992</t>
  </si>
  <si>
    <t>110</t>
  </si>
  <si>
    <t>310</t>
  </si>
  <si>
    <t>330</t>
  </si>
  <si>
    <t>340</t>
  </si>
  <si>
    <t>350</t>
  </si>
  <si>
    <t>360</t>
  </si>
  <si>
    <t>460</t>
  </si>
  <si>
    <t>610</t>
  </si>
  <si>
    <t>810</t>
  </si>
  <si>
    <t>830</t>
  </si>
  <si>
    <t>850</t>
  </si>
  <si>
    <t>860</t>
  </si>
  <si>
    <t>870</t>
  </si>
  <si>
    <t>Строительство сетей водоснабжения и водоотведения в микрорайоне «Заозерье» для земельных участков многодетных семей</t>
  </si>
  <si>
    <t>Основное мероприятие «Приобретение оборудования, мебели, инвентаря, материальных запасов для вновь приобретаемых (построенных) и реконструированных образовательных организаций»</t>
  </si>
  <si>
    <t>Целевая субсидия на проведение мероприятий по сохранению и использованию музея «Дом Дягилева» в культурно-образовательной деятельности муниципального бюджетного общеобразовательного учреждения «Гимназия № 11 им.  С.П. Дягилева»</t>
  </si>
  <si>
    <t>Основное мероприятие «Публичные нормативные обязательства в сфере образования»</t>
  </si>
  <si>
    <t>Премия Главы города Перми «Золотой резерв»</t>
  </si>
  <si>
    <t>Основное мероприятие «Компенсационные посадки зеленых насаждений»</t>
  </si>
  <si>
    <t>Основное мероприятие «Мероприятия, направленные на приведение жилищного фонда в соответствие с требованиями законодательства»</t>
  </si>
  <si>
    <t>Реконструкция системы очистки сточных вод в микрорайоне «Крым» Кировского района города Перми</t>
  </si>
  <si>
    <t>Строительство водопроводных сетей в микрорайоне «Висим» Мотовилихинского района города Перми</t>
  </si>
  <si>
    <t>Строительство водопроводных сетей в микрорайоне «Вышка-1» Мотовилихинского района города Перми</t>
  </si>
  <si>
    <t>Основное мероприятие «Научно-исследовательские работы в области развития систем коммунальной инфраструктуры»</t>
  </si>
  <si>
    <t>Муниципальная программа «Формирование современной городской среды»</t>
  </si>
  <si>
    <t>Подпрограмма «Формирование комфортного внутригородского пространства на территории муниципального образования город Пермь»</t>
  </si>
  <si>
    <t>Основное мероприятие «Благоустройство дворовых территорий многоквартирных домов города Перми»</t>
  </si>
  <si>
    <t>Основное мероприятие «Выполнение комплекса мероприятий по строительству (реконструкции) искусственных дорожных сооружений, предназначенных для движения пешеходов»</t>
  </si>
  <si>
    <t>Строительство надземного пешеходного перехода по ул. Соликамской в районе остановки общественного транспорта «Промкомбинат»</t>
  </si>
  <si>
    <t>Подпрограмма «Благоустройство общественных территорий муниципального образования город Пермь»</t>
  </si>
  <si>
    <t>Основное мероприятие «Выполнение комплекса мероприятий по капитальному ремонту территорий общего пользования»</t>
  </si>
  <si>
    <t>Основное мероприятие «Организация мероприятий по обеспечению населения города Перми сельскохозяйственной продукцией»</t>
  </si>
  <si>
    <t>Социологическое исследование «Город, доброжелательный к детям»</t>
  </si>
  <si>
    <t>Основное мероприятие «Повышение эффективности работы с кадровым составом на муниципальной службе в администрации города Перми»</t>
  </si>
  <si>
    <t>Мероприятия, связанные с награждением Почетным знаком г. Перми «За заслуги перед г. Пермь»</t>
  </si>
  <si>
    <t>Выплата денежного вознаграждения физическим лицам, награжденным Почетным знаком г. Перми «За заслуги перед г. Пермь»</t>
  </si>
  <si>
    <t>Целевая субсидия СОШ № 71 на организацию перевозки детей, проживающих в отдаленном жилом районе (микрорайон Налимиха), не имеющем общеобразовательного учреждения, к месту обучения и обратно</t>
  </si>
  <si>
    <t>Администрирование государственных полномочий по организации проведения мероприятий по отлову безнадзорных  животных, их транспортировке, учету и регистрации, содержанию, лечению, кастрации (стерилизации), эвтаназии, утилизации</t>
  </si>
  <si>
    <t>Субсидии некоммерческим организациям, не являющимся государственными (муниципальными) учреждениями, выполняющим муниципальные работы в сфере молодежной политики</t>
  </si>
  <si>
    <t>Субсидии советам ветеранов (пенсионеров) войны, труда, Вооруженных Сил и правоохранительных органов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</si>
  <si>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Революции от ЦКР до ул. Сибирской с обустройством трамвайной линии. 1 этап)</t>
  </si>
  <si>
    <t>Целевая субсидия на проведение акции для детей города Перми «Почта Деда Мороза»</t>
  </si>
  <si>
    <t>Демонтаж самовольно установленных и незаконно размещенных нестационарных торговых объектов, автостоянок открытого типа</t>
  </si>
  <si>
    <t>Возмещение недополученных доходов хозяйствующим субъектам, осуществляющим регулярные перевозки городским наземным электрическим транспортом отдельных категорий граждан</t>
  </si>
  <si>
    <t>Основное мероприятие «Предоставление информационной и консультационной поддержки субъектам малого и среднего предпринимательства»</t>
  </si>
  <si>
    <t>Организация предоставления общедоступного и бесплатного  дошкольного, начального общего, основного общего, среднего общего  образования обучающимся с ограниченными возможностями здоровья в отдельных муниципальных общеобразовательных учреждениях, осуществляющих образовательную деятельность по адаптированным основным общеобразовательным программам, в муниципальных общеобразовательных учреждениях со специальным наименованием «специальные учебно-воспитательные учреждения для обучающихся с девиантным (общественно опасным) поведением» и муниципальных санаторных общеобразовательных учреждениях</t>
  </si>
  <si>
    <t>1410300000</t>
  </si>
  <si>
    <t>1410321940</t>
  </si>
  <si>
    <t>1420341940</t>
  </si>
  <si>
    <t>1420341950</t>
  </si>
  <si>
    <t>Строительство пожарного водоема в микрорайоне Новобродовский Свердловского района города Перми</t>
  </si>
  <si>
    <t>Строительство пожарного водоема в микрорайоне Шустовка Орджоникидзевского района города Перми</t>
  </si>
  <si>
    <t>1020141500</t>
  </si>
  <si>
    <t>Реконструкция ул. Революции от ЦКР до ул. Сибирской с обустройством трамвайной линии. 1 этап</t>
  </si>
  <si>
    <t>10201SТ044</t>
  </si>
  <si>
    <t>1020141930</t>
  </si>
  <si>
    <t>1020141270</t>
  </si>
  <si>
    <t>Строительство автомобильной дороги по ул. Журналиста Дементьева от ул. Лядовская до дома № 147 по ул. Журналиста Дементьева</t>
  </si>
  <si>
    <t>1020141920</t>
  </si>
  <si>
    <t>Реконструкция пересечения ул. Героев Хасана и Транссибирской магистрали (включая тоннель)</t>
  </si>
  <si>
    <t>1750221030</t>
  </si>
  <si>
    <t>1710141150</t>
  </si>
  <si>
    <t>2410141690</t>
  </si>
  <si>
    <t>2420241960</t>
  </si>
  <si>
    <t>2420241970</t>
  </si>
  <si>
    <t>Строительство спортивной площадки МАОУ "СОШ № 131" г. Перми</t>
  </si>
  <si>
    <t>Строительство спортивной площадки МАОУ "СОШ № 122" г. Перми</t>
  </si>
  <si>
    <t>1020141790</t>
  </si>
  <si>
    <t>2410141660</t>
  </si>
  <si>
    <t>1730382100</t>
  </si>
  <si>
    <t>10101SТ040</t>
  </si>
  <si>
    <t>0320100112</t>
  </si>
  <si>
    <t>Целевая субсидия на приобретение мобильного комплекта звукового оборудования</t>
  </si>
  <si>
    <t>0310100590</t>
  </si>
  <si>
    <t>153042С190</t>
  </si>
  <si>
    <t>1710700000</t>
  </si>
  <si>
    <t>Основное мероприятие "Оформление в муниципальную собственность набережной реки Камы"</t>
  </si>
  <si>
    <t>Техническая инвентаризация и паспортизация набережной реки Камы (участок от Кафедрального собора до насосной станции, 1 очередь, 2 этап)</t>
  </si>
  <si>
    <t>Дополнительные меры социальной поддержки гражданам для соблюдения установленных предельных индексов изменения размера платы за коммунальные услуги</t>
  </si>
  <si>
    <t>Строительство тротуара по ул. Таежной в микрорайоне Соболи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</si>
  <si>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Карпинского от ул. Мира до Шоссе Космонавтов)</t>
  </si>
  <si>
    <t>Основное мероприятие "Обеспечение защиты населения территории города Перми от чрезвычайных ситуаций"</t>
  </si>
  <si>
    <t>Проведение мониторинга оползневых склонов</t>
  </si>
  <si>
    <t>Строительство пожарного водоема в микрорайоне Январский по ул. Рубцовской Орджоникидзевского района города Перми</t>
  </si>
  <si>
    <t>Строительство пожарного водоема в микрорайоне Налимиха на перекрестке улиц Налимихинской и Грушевой Кировского района города Перми</t>
  </si>
  <si>
    <t>Капитальный ремонт фасадов многоквартирных домов</t>
  </si>
  <si>
    <t>Приобретение в собственность муниципального образования здания для размещения дошкольного образовательного учреждения по ул. Чернышевского, 17в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</si>
  <si>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</si>
  <si>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казенных учреждений</t>
  </si>
  <si>
    <t xml:space="preserve">Расходы на выплаты персоналу государственных (муниципальных) органов 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</si>
  <si>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</si>
  <si>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</si>
  <si>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Социальное обеспечение и иные выплаты населению</t>
  </si>
  <si>
    <t>Публичные нормативные социальные выплаты гражданам</t>
  </si>
  <si>
    <t>Социальные выплаты гражданам, кроме публичных нормативных социальных выплат</t>
  </si>
  <si>
    <t>Публичные нормативные выплаты гражданам несоциального характера</t>
  </si>
  <si>
    <t>Премии и гранты</t>
  </si>
  <si>
    <t>Иные выплаты населению</t>
  </si>
  <si>
    <t>Капитальные вложения в объекты государственной (муниципальной) собственности</t>
  </si>
  <si>
    <t>Бюджетные инвестиции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</si>
  <si>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</si>
  <si>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</si>
  <si>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Субсидии некоммерческим организациям (за исключением государственных (муниципальных) учреждений)</t>
  </si>
  <si>
    <t>Иные бюджетные ассигнования</t>
  </si>
  <si>
    <t>Исполнение судебных актов</t>
  </si>
  <si>
    <t>Уплата налогов, сборов и иных платежей</t>
  </si>
  <si>
    <t>Предоставление платежей, взносов, безвозмездных перечислений субъектам международного права</t>
  </si>
  <si>
    <t>Резервные средства</t>
  </si>
  <si>
    <t>Стипендии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</si>
  <si>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</si>
  <si>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Субсидии автономным учреждениям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</si>
  <si>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</si>
  <si>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Муниципальная программа «Градостроительная деятельность на территории города Перми»</t>
  </si>
  <si>
    <t>Основное мероприятие «Разработка документации по планировке территории в части функциональных зон СТН, обеспечивающей развитие центра и локальных центров»</t>
  </si>
  <si>
    <t>Основное мероприятие «Реализация прочих мероприятий, обеспечивающих градостроительную деятельность на территории города Перми»</t>
  </si>
  <si>
    <t>Подпрограмма «Улучшение архитектурного облика города Перми»</t>
  </si>
  <si>
    <t>Основное мероприятие «Разработка документации по архитектурному облику центральных улиц города Перми»</t>
  </si>
  <si>
    <t>Подпрограмма «Создание условий для развития жилищного строительства»</t>
  </si>
  <si>
    <t>Основное мероприятие «Мероприятия, направленные на обеспечение земельными участками многодетных семей – жителей города Перми»</t>
  </si>
  <si>
    <t>Основное мероприятие «Формирование земельных участков на торги под жилищное и иное строительство»</t>
  </si>
  <si>
    <t>Подпрограмма «Повышение эффективности принятия градостроительных решений путем развития автоматизированной информационной системы обеспечения градостроительной деятельности»</t>
  </si>
  <si>
    <t>Основное мероприятие «Ведение автоматизированной информационной системы обеспечения градостроительной деятельности»</t>
  </si>
  <si>
    <t>Наполнение автоматизированной информационной системы обеспечения градостроительной деятельности</t>
  </si>
  <si>
    <t>Сопровождение автоматизированной информационной системы обеспечения градостроительной деятельности</t>
  </si>
  <si>
    <t>Муниципальная программа «Укрепление межнационального и межконфессионального согласия в городе Перми»</t>
  </si>
  <si>
    <t>Подпрограмма «Содействие формированию гармоничной межнациональной ситуации в городе Перми»</t>
  </si>
  <si>
    <t>Основное мероприятие «Организация и проведение мероприятий по содействию формирования гармоничной межнациональной ситуации в городе Перми»</t>
  </si>
  <si>
    <t>Подпрограмма «Содействие формированию гармоничной межконфессиональной ситуации в городе Перми»</t>
  </si>
  <si>
    <t>Основное мероприятие «Организация и проведение мероприятий по содействию формирования гармоничной межконфессиональной ситуации в городе Перми»</t>
  </si>
  <si>
    <t>Муниципальная программа «Социальная поддержка населения города Перми»</t>
  </si>
  <si>
    <t>Основное мероприятие «Обеспечение работников муниципальных учреждений города Перми путевками на санаторно-курортное лечение и оздоровление»</t>
  </si>
  <si>
    <t>Подпрограмма «Создание безбарьерной среды для маломобильных граждан»</t>
  </si>
  <si>
    <t>Муниципальная программа «Культура города Перми»</t>
  </si>
  <si>
    <t>Подпрограмма «Городские культурно-зрелищные мероприятия»</t>
  </si>
  <si>
    <t>Основное мероприятие «Проведение мероприятий в области культуры»</t>
  </si>
  <si>
    <t>Целевая субсидия учреждениям культуры на проведение мероприятий</t>
  </si>
  <si>
    <t>Городские культурно-зрелищные мероприятия, культурно-зрелищные мероприятия по месту жительства</t>
  </si>
  <si>
    <t>Подпрограмма «Создание условий для творческой и профессиональной самореализации населения»</t>
  </si>
  <si>
    <t>Подпрограмма «Приведение в нормативное состояние подведомственных учреждений департамента культуры и молодежной политики администрации города Перми»</t>
  </si>
  <si>
    <t>Подпрограмма «Одаренные дети города Перми»</t>
  </si>
  <si>
    <t>Целевая субсидия организациям дополнительного образования на поддержку одаренных детей города Перми, создание условий для профессионального совершенствования педагогических кадров и поддержке учреждений</t>
  </si>
  <si>
    <t>Выплата ежегодной премии «Лучший преподаватель детской школы искусств города Перми»</t>
  </si>
  <si>
    <t>Подпрограмма «Определение и развитие культурной идентичности города Перми»</t>
  </si>
  <si>
    <t>Муниципальная программа «Молодежь города Перми»</t>
  </si>
  <si>
    <t>Поддержка инициативной и талантливой молодежи</t>
  </si>
  <si>
    <t>Муниципальная программа «Развитие физической культуры и спорта в городе Перми»</t>
  </si>
  <si>
    <t>Подпрограмма «Обеспечение населения физкультурно-оздоровительными и спортивными услугами»</t>
  </si>
  <si>
    <t>Основное мероприятие «Капитальные вложения в объекты недвижимого имущества муниципальной собственности в сфере физической культуры и массового спорта»</t>
  </si>
  <si>
    <t>Устройство муниципальных плоскостных спортивных сооружений с оснащением инвентарем</t>
  </si>
  <si>
    <t>Целевые субсидии учреждениям системы физической культуры и спорта на аренду имущественных комплексов</t>
  </si>
  <si>
    <t>Муниципальная программа «Общественное участие»</t>
  </si>
  <si>
    <t>Подпрограмма «Поддержка общественно полезной деятельности социально ориентированных некоммерческих организаций»</t>
  </si>
  <si>
    <t>Организация конкурсов и проведение мероприятий в рамках содействия социально ориентированным некоммерческим организациям (за исключением государственных (муниципальных) учреждений)</t>
  </si>
  <si>
    <t>Субсидии территориальным общественным самоуправлениям</t>
  </si>
  <si>
    <t>Основное мероприятие «Развитие инфраструктуры поддержки социально ориентированных некоммерческих организаций и информационно-методическое обеспечение деятельности социально ориентированных некоммерческих организаций»</t>
  </si>
  <si>
    <t>Содержание имущества и обеспечение деятельности общественных центров</t>
  </si>
  <si>
    <t>Совершенствование системы информационно-методического обеспечения деятельности социально ориентированных некоммерческих организаций и популяризация социально ориентированной деятельности</t>
  </si>
  <si>
    <t>Муниципальная программа «Семья и дети города Перми»</t>
  </si>
  <si>
    <t>Подпрограмма «Обеспечение социальной безопасности семей с детьми»</t>
  </si>
  <si>
    <t>Основное мероприятие «Выполнение государственных полномочий по образованию комиссий по делам несовершеннолетних и защите их прав и организация их деятельности»</t>
  </si>
  <si>
    <t>Образование комиссий по делам несовершеннолетних и защите их прав и организация их деятельности</t>
  </si>
  <si>
    <t>Подпрограмма «Пропаганда приоритета института семьи, семейных ценностей, здорового образа жизни»</t>
  </si>
  <si>
    <t>Основное мероприятие «Проведение мероприятий по содействию создания среды, дружественной к семье и детям»</t>
  </si>
  <si>
    <t>Основное мероприятие «Проведение мероприятий в рамках реализации городской инициативы «Город-детям! Дети-городу!»</t>
  </si>
  <si>
    <t>Основное мероприятие «Финансовое обеспечение на увеличение переданных государственных полномочий по организации оздоровления и отдыха детей»</t>
  </si>
  <si>
    <t>Основное мероприятие «Проведение мероприятий по администрированию отдыха детей в каникулярное время»</t>
  </si>
  <si>
    <t>Основное мероприятие «Организация оздоровления и отдыха детей в загородных лагерях отдыха и оздоровления детей и санаторно-оздоровительных детских лагерях»</t>
  </si>
  <si>
    <t>Муниципальная программа «Экономическое развитие города Перми»</t>
  </si>
  <si>
    <t>Подпрограмма «Взаимодействие с предприятиями города»</t>
  </si>
  <si>
    <t>Подпрограмма «Инвестиционная привлекательность»</t>
  </si>
  <si>
    <t>Подпрограмма «Развитие малого и среднего предпринимательства»</t>
  </si>
  <si>
    <t>Проведение конкурсов, общегородских мероприятий, направленных на развитие малого и среднего предпринимательства</t>
  </si>
  <si>
    <t>Муниципальная программа «Потребительский рынок города Перми»</t>
  </si>
  <si>
    <t>Мониторинг объектов потребительского рынка на территории города Перми</t>
  </si>
  <si>
    <t>Муниципальная программа «Организация дорожной деятельности в городе Перми»</t>
  </si>
  <si>
    <t>Подпрограмма «Приведение в нормативное состояние автомобильных дорог и дорожных сооружений»</t>
  </si>
  <si>
    <t>1510109602</t>
  </si>
  <si>
    <t>Обеспечение мероприятий по переселению граждан из аварийного жилищного фонда</t>
  </si>
  <si>
    <t>15101S9602</t>
  </si>
  <si>
    <t>15104SР040</t>
  </si>
  <si>
    <t>15104SР045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</si>
  <si>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 - приобретение в собственность муниципального образования город Пермь жилых помещений</t>
  </si>
  <si>
    <t>1420341980</t>
  </si>
  <si>
    <t>1420341990</t>
  </si>
  <si>
    <t>1710721830</t>
  </si>
  <si>
    <t>Обеспечение мероприятий по переселению граждан из аварийного жилищного фонда за счет средств краевого бюджета</t>
  </si>
  <si>
    <t>22102SН040</t>
  </si>
  <si>
    <t>Реконструкция ул. Социалистической от ПК7 до ПК10+50 с разворотным кольцом</t>
  </si>
  <si>
    <t>0310100089</t>
  </si>
  <si>
    <t>Целевая субсидия на участие в молодежных Дельфийских играх России</t>
  </si>
  <si>
    <t>0340100089</t>
  </si>
  <si>
    <t>Уточненный план</t>
  </si>
  <si>
    <t>тыс.руб.</t>
  </si>
  <si>
    <t>0113</t>
  </si>
  <si>
    <t>0701</t>
  </si>
  <si>
    <t>1102</t>
  </si>
  <si>
    <t/>
  </si>
  <si>
    <t>0106</t>
  </si>
  <si>
    <t>0111</t>
  </si>
  <si>
    <t>0412</t>
  </si>
  <si>
    <t>0407</t>
  </si>
  <si>
    <t>0603</t>
  </si>
  <si>
    <t>0605</t>
  </si>
  <si>
    <t>0907</t>
  </si>
  <si>
    <t>0703</t>
  </si>
  <si>
    <t>0707</t>
  </si>
  <si>
    <t>0709</t>
  </si>
  <si>
    <t>0801</t>
  </si>
  <si>
    <t>0804</t>
  </si>
  <si>
    <t>1003</t>
  </si>
  <si>
    <t>0702</t>
  </si>
  <si>
    <t>0705</t>
  </si>
  <si>
    <t>1004</t>
  </si>
  <si>
    <t>1006</t>
  </si>
  <si>
    <t>1101</t>
  </si>
  <si>
    <t>0104</t>
  </si>
  <si>
    <t>0309</t>
  </si>
  <si>
    <t>0314</t>
  </si>
  <si>
    <t>0409</t>
  </si>
  <si>
    <t>0502</t>
  </si>
  <si>
    <t>0503</t>
  </si>
  <si>
    <t>0505</t>
  </si>
  <si>
    <t>0501</t>
  </si>
  <si>
    <t>0408</t>
  </si>
  <si>
    <t>1001</t>
  </si>
  <si>
    <t>0105</t>
  </si>
  <si>
    <t>0102</t>
  </si>
  <si>
    <t>1103</t>
  </si>
  <si>
    <t>1105</t>
  </si>
  <si>
    <t>0107</t>
  </si>
  <si>
    <t>0103</t>
  </si>
  <si>
    <t>Муниципальная программа "Развитие сети образовательных организаций города Перми"</t>
  </si>
  <si>
    <t>Подпрограмма "Развитие сети муниципальных организаций города Перми общего и дополнительного образования"</t>
  </si>
  <si>
    <t>Основное мероприятие "Капитальные вложения в объекты муниципальных общеобразовательных организаций и организаций дополнительного образования"</t>
  </si>
  <si>
    <t>24201L5200</t>
  </si>
  <si>
    <t>03201R5170</t>
  </si>
  <si>
    <t>Поддержка творческой деятельности и техническое оснащение детских и кукольных театров</t>
  </si>
  <si>
    <t>03203R5190</t>
  </si>
  <si>
    <t>Поддержка отрасли культуры</t>
  </si>
  <si>
    <t>Подпрограмма "Обеспечение доступного и качественного дошкольного образования"</t>
  </si>
  <si>
    <t>Основное мероприятие "Предоставление дошкольного образования в дошкольных образовательных организациях"</t>
  </si>
  <si>
    <t>Подпрограмма "Обеспечение доступного и качественного общего образования"</t>
  </si>
  <si>
    <t>Основное мероприятие "Предоставление общего (начального, основного, среднего) образования в общеобразовательных организациях"</t>
  </si>
  <si>
    <t>Основное мероприятие "Оказание мер государственной поддержки работникам образовательных организаций"</t>
  </si>
  <si>
    <t>1010153900</t>
  </si>
  <si>
    <t>Реализация мероприятий, направленных на достижение целевых показателей программы комплексного развития транспортной инфраструктуры "Безопасные и качественные дороги Пермской городской агломерации"</t>
  </si>
  <si>
    <t>919002С260</t>
  </si>
  <si>
    <t>Возмещение хозяйствующим субъектам недополученных доходов от перевозки отдельных категорий граждан с использованием социальных проездных документов</t>
  </si>
  <si>
    <t>Подпрограмма "Организация оздоровления и отдыха детей города Перми"</t>
  </si>
  <si>
    <t>Основное мероприятие "Организация оздоровления и отдыха детей в загородных лагерях отдыха и оздоровления детей и санаторно-оздоровительных детских лагерях"</t>
  </si>
  <si>
    <t>Расходы на выплаты персоналу государственных (муниципальных) органов</t>
  </si>
  <si>
    <t>153042С020</t>
  </si>
  <si>
    <t>Обеспечение жильем молодых семей</t>
  </si>
  <si>
    <t>1530451760</t>
  </si>
  <si>
    <t>Обеспечение жильем отдельных категорий граждан, установленных Федеральным законом от 24 ноября 1995 г. № 181-ФЗ "О социальной защите инвалидов в Российской Федерации"</t>
  </si>
  <si>
    <t>Реализация мероприятий по обеспечению жильем молодых семей государственной программы Российской Федерации "Обеспечение доступным и комфортным жильем и коммунальными услугами граждан Российской Федерации"</t>
  </si>
  <si>
    <t>Предоставление мер социальной поддержки педагогическим работникам образовательных государственных и муниципальных организаций Пермского края, работающим и проживающим в сельской местности и поселках городского типа (рабочих поселках), по оплате жилого помещения и коммунальных услуг</t>
  </si>
  <si>
    <t>Строительство резервуара для воды емкостью 5000 кубических метров на территории насосной станции "Заречная" города Перми</t>
  </si>
  <si>
    <t>Строительство многоквартирного жилого дома по адресу: ул. Маяковского, 57 для обеспечения жильем граждан</t>
  </si>
  <si>
    <t>Основное мероприятие "Приобретение в собственность муниципального образования город Пермь жилых помещений"</t>
  </si>
  <si>
    <t>Обеспечение жильем отдельных категорий граждан, установленных Федеральным законом от 12 января 1995 г. № 5-ФЗ "О ветеранах"</t>
  </si>
  <si>
    <t>Основное мероприятие «Управление муниципальной долей собственности в многоквартирных домах в соответствии с жилищным законодательством РФ»</t>
  </si>
  <si>
    <t>0320200960</t>
  </si>
  <si>
    <t>0350100900</t>
  </si>
  <si>
    <t>Целевая субсидия на создание мемориала "Солдат России"</t>
  </si>
  <si>
    <t>2210100800</t>
  </si>
  <si>
    <t>1220123270</t>
  </si>
  <si>
    <t>Осуществление регулярных перевозок пассажиров автомобильным транспортом по муниципальным маршрутам регулярных перевозок города Перми по регулируемому тарифу города Перми</t>
  </si>
  <si>
    <t>Возмещение затрат по подключению к системе газоснабжения жилых домов в зонах индивидуальной жилой застройки</t>
  </si>
  <si>
    <t>1510142010</t>
  </si>
  <si>
    <t>Мероприятия по расселению жилищного фонда на территории города Перми, признанного аварийным после 01 января 2012 г.</t>
  </si>
  <si>
    <t>15101SЖ160</t>
  </si>
  <si>
    <t>Мероприятия по расселению жилищного фонда на территории Пермского края, признанного аварийным после 01 января 2012 г.</t>
  </si>
  <si>
    <t>24101L1120</t>
  </si>
  <si>
    <t>Субсидии на софинансирование капитальных вложений в объекты муниципальной собственности</t>
  </si>
  <si>
    <t>24101L1121</t>
  </si>
  <si>
    <t>0320101060</t>
  </si>
  <si>
    <t>Целевая субсидия на повышение фонда оплаты труда</t>
  </si>
  <si>
    <t>0320201060</t>
  </si>
  <si>
    <t>0320301060</t>
  </si>
  <si>
    <t>0350101060</t>
  </si>
  <si>
    <t>Субсидии на реализацию мероприятий по содействию созданию в субъектах Российской Федерации новых мест в общеобразовательных организациях</t>
  </si>
  <si>
    <t>2420242100</t>
  </si>
  <si>
    <t>Строительство спортивной площадки МАОУ "Гимназия № 31" г. Перми</t>
  </si>
  <si>
    <t>1010423170</t>
  </si>
  <si>
    <t>Паспортизация, инвентаризация сетей наружного освещения</t>
  </si>
  <si>
    <t>24201SН071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</si>
  <si>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 - реконструкция здания МАОУ "СОШ №93" г. Перми (пристройка нового корпуса)</t>
  </si>
  <si>
    <t>24201SР041</t>
  </si>
  <si>
    <t>2620123040</t>
  </si>
  <si>
    <t>Капитальный ремонт общественных территорий города Перми</t>
  </si>
  <si>
    <t>26201SЖ090</t>
  </si>
  <si>
    <t>Поддержка муниципальных программ формирования современной городской среды (расходы, не софинансируемые из федерального бюджета)</t>
  </si>
  <si>
    <t>2620200000</t>
  </si>
  <si>
    <t>Основное мероприятие «Выполнение комплекса работ по строительству и реконструкции территорий общего пользования»</t>
  </si>
  <si>
    <t>2620242020</t>
  </si>
  <si>
    <t>Реконструкция сквера в 68 квартале, эспланада</t>
  </si>
  <si>
    <t>24201R5200</t>
  </si>
  <si>
    <t>13101SП020</t>
  </si>
  <si>
    <t>15304L4970</t>
  </si>
  <si>
    <t>24101L1590</t>
  </si>
  <si>
    <t>Создание в субъектах Российской Федерации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</si>
  <si>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24101LН070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</si>
  <si>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</t>
  </si>
  <si>
    <t>Подпрограмма "Обеспечение эффективного управления многоквартирными домами в городе Перми"</t>
  </si>
  <si>
    <t>Основное мероприятие "Муниципальная поддержка благоустройства придомовых территорий многоквартирных домов города Перми"</t>
  </si>
  <si>
    <t>05102SФ130</t>
  </si>
  <si>
    <t>Строительство спортивных объектов, устройство спортивных площадок и оснащение объектов спортивным оборудованием и инвентарем для занятий физической культурой и спортом</t>
  </si>
  <si>
    <t>Основное мероприятие "Совершенствование спортивной инфраструктуры и материально-технической базы для занятий физической культурой и массовым спортом"</t>
  </si>
  <si>
    <t>9190021750</t>
  </si>
  <si>
    <t>Организация работ по определению кадастровой стоимости недвижимого имущества, принадлежащего на праве собственности физическим лицам</t>
  </si>
  <si>
    <t>1220400000</t>
  </si>
  <si>
    <t>Основное мероприятие «Капитальные вложения в объекты муниципальной собственности в сфере регулярных перевозок города Перми»</t>
  </si>
  <si>
    <t>1220443000</t>
  </si>
  <si>
    <t>Приобретение транспортных средств в собственность муниципального образования</t>
  </si>
  <si>
    <t>24101L1591</t>
  </si>
  <si>
    <t>Основное мероприятие «Выполнение комплекса мероприятий в отношении сетей наружного освещения улиц города Перми для поддержания нормативного уровня освещенности»</t>
  </si>
  <si>
    <t>Подпрограмма «Развитие автомобильных дорог и дорожных сооружений, в том числе обеспечение территории города ливневой канализацией и наружным освещением»</t>
  </si>
  <si>
    <t>Основное мероприятие «Выполнение комплекса мероприятий по строительству и реконструкции автомобильных дорог»</t>
  </si>
  <si>
    <t>Подпрограмма «Обеспечение деятельности заказчиков работ»</t>
  </si>
  <si>
    <t>Основное мероприятие «Выполнение функций муниципального заказчика работ»</t>
  </si>
  <si>
    <t>Муниципальная программа «Благоустройство и содержание объектов озеленения общего пользования и объектов ритуального назначения на территории города Перми»</t>
  </si>
  <si>
    <t>Подпрограмма «Озеленение территории города Перми, в том числе путем создания парков и скверов»</t>
  </si>
  <si>
    <t>Подпрограмма «Восстановление нормативного состояния и развитие объектов ритуального назначения»</t>
  </si>
  <si>
    <t>Основное мероприятие «Организация эвакуации умерших»</t>
  </si>
  <si>
    <t>Основное мероприятие «Выполнение комплекса мероприятий по строительству и реконструкции объектов ритуального назначения»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</si>
  <si>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</t>
  </si>
  <si>
    <t>Подпрограмма «Совершенствование организации дорожного движения на улично-дорожной сети города Перми»</t>
  </si>
  <si>
    <t>Основное мероприятие «Обеспечение безопасности дорожного движения на автомобильных дорогах местного значения, в том числе на объектах улично-дорожной сети в границах городского округа»</t>
  </si>
  <si>
    <t>Основное мероприятие «Выполнение функции заказчика в сфере организации дорожного движения»</t>
  </si>
  <si>
    <t>Основное мероприятие «Совершенствование технологии управления дорожным движением и развитие комплекса технических средств видеонаблюдения и управления дорожным движением»</t>
  </si>
  <si>
    <t>Разработка (актуализация) и реализация проектов организации дорожного движения и развитие комплекса технических средств видеонаблюдения и управления дорожным движением</t>
  </si>
  <si>
    <t>Основное мероприятие «Повышение эффективности в организации и функционировании мест паркования транспортных средств»</t>
  </si>
  <si>
    <t>Мероприятия по реализации парковочной политики на автомобильных дорогах местного значения, в том числе на объектах улично-дорожной сети в границах городского округа</t>
  </si>
  <si>
    <t>Основное мероприятие «Обеспечение объектами транспортной инфраструктуры автомобильных дорог местного значения и поддержание их в нормативном состоянии»</t>
  </si>
  <si>
    <t>Содержание и ремонт остановочных пунктов</t>
  </si>
  <si>
    <t>Муниципальная программа «Профилактика правонарушений в городе Перми»</t>
  </si>
  <si>
    <t>Подпрограмма «Снижение количества грабежей и разбоев, совершенных в общественных местах, правонарушений среди несовершеннолетних»</t>
  </si>
  <si>
    <t>Основное мероприятие «Создание условий для деятельности добровольных формирований населения по охране общественного порядка»</t>
  </si>
  <si>
    <t>Мероприятия по профилактике правонарушений среди несовершеннолетних</t>
  </si>
  <si>
    <t>Основное мероприятие «Профилактика употребления психоактивных веществ»</t>
  </si>
  <si>
    <t>Мероприятия, направленные на первичную профилактику употребления психоактивных веществ</t>
  </si>
  <si>
    <t>Муниципальная программа «Осуществление мер по гражданской обороне, пожарной безопасности и защите от чрезвычайных ситуаций в городе Перми»</t>
  </si>
  <si>
    <t>Подпрограмма «Предупреждение и ликвидация чрезвычайных ситуаций природного и техногенного характера, совершенствование гражданской обороны на территории города Перми»</t>
  </si>
  <si>
    <t>Основное мероприятие «Создание условий для решения задач гражданской обороны, участия в предупреждении и ликвидации последствий чрезвычайных ситуаций на территории города Перми»</t>
  </si>
  <si>
    <t>Подпрограмма «Обеспечение первичных мер пожарной безопасности на территории города Перми»</t>
  </si>
  <si>
    <t>Основное мероприятие «Организация информирования населения о мерах пожарной безопасности»</t>
  </si>
  <si>
    <t>Мероприятия, направленные на информирование населения о мерах пожарной безопасности</t>
  </si>
  <si>
    <t>Муниципальная программа «Обеспечение жильем жителей города Перми»</t>
  </si>
  <si>
    <t>Подпрограмма «Ликвидация аварийного и непригодного для проживания жилищного фонда»</t>
  </si>
  <si>
    <t>Основное мероприятие «Переселение граждан города Перми из непригодного для проживания и аварийного жилищного фонда»</t>
  </si>
  <si>
    <t>Снос многоквартирных домов, признанных аварийными и подлежащих сносу</t>
  </si>
  <si>
    <t>Переселение граждан города Перми из многоквартирных домов, признанных аварийными и не входящих в действующие программы переселения, непригодного для проживания жилищного фонда</t>
  </si>
  <si>
    <t>Подпрограмма «Управление муниципальным жилищным фондом города Перми»</t>
  </si>
  <si>
    <t>Основное мероприятие «Реализация мероприятий в целях эффективного использования муниципального жилищного фонда»</t>
  </si>
  <si>
    <t>Обеспечение нормативного содержания муниципального жилищного фонда</t>
  </si>
  <si>
    <t>Подпрограмма «Повышение доступности жилья»</t>
  </si>
  <si>
    <t>Основное мероприятие «Исполнение судебных решений о предоставлении благоустроенного жилья»</t>
  </si>
  <si>
    <t>Основное мероприятие «Капитальные вложения в объекты муниципального жилого фонда»</t>
  </si>
  <si>
    <t>Обеспечение жилыми помещениями реабилитированных лиц, имеющих инвалидность или являющихся пенсионерами, и проживающих совместно членов их семей</t>
  </si>
  <si>
    <t>Муниципальная программа «Развитие системы жилищно-коммунального хозяйства в городе Перми»</t>
  </si>
  <si>
    <t>Подпрограмма «Модернизация и комплексное развитие систем коммунальной инфраструктуры»</t>
  </si>
  <si>
    <t>Основное мероприятие «Капитальные вложения в объекты муниципальной собственности системы водоснабжения и водоотведения»</t>
  </si>
  <si>
    <t>Расширение и реконструкция (3 очередь) канализации города Перми</t>
  </si>
  <si>
    <t>Основное мероприятие «Капитальные вложения в объекты муниципальной собственности в системе газоснабжения»</t>
  </si>
  <si>
    <t>Основное мероприятие «Муниципальная поддержка газификации жилых домов в микрорайонах индивидуальной застройки»</t>
  </si>
  <si>
    <t>Основное мероприятие «Исполнение обязанностей муниципального заказчика-застройщика при осуществлении бюджетных инвестиций в объекты муниципальной собственности систем коммунальной инфраструктуры»</t>
  </si>
  <si>
    <t>Мероприятия по обеспечению ввода в эксплуатацию и оформления в муниципальную собственность объектов бюджетных инвестиций систем коммунальной инфраструктуры</t>
  </si>
  <si>
    <t>Исполнение обязанностей по уплате земельного налога по объектам капитальных вложений систем коммунальной инфраструктуры</t>
  </si>
  <si>
    <t>Подпрограмма «Обеспечение эффективного управления многоквартирными домами в городе Перми»</t>
  </si>
  <si>
    <t>Основное мероприятие «Информационное, консультационное, методическое и обучающее сопровождение субъектов в сфере управления многоквартирными домами»</t>
  </si>
  <si>
    <t>Основное мероприятие «Муниципальная поддержка благоустройства придомовых территорий многоквартирных домов города Перми»</t>
  </si>
  <si>
    <t>Подпрограмма «Содержание объектов инженерной инфраструктуры»</t>
  </si>
  <si>
    <t>1740121740</t>
  </si>
  <si>
    <t>Содержание и текущий ремонт объектов инженерной инфраструктуры</t>
  </si>
  <si>
    <t>Муниципальная программа «Управление муниципальным имуществом города Перми»</t>
  </si>
  <si>
    <t>Подпрограмма «Распоряжение муниципальным имуществом»</t>
  </si>
  <si>
    <t>Реализация мероприятий в сфере управления и распоряжения муниципальным имуществом, обеспечение правовой защиты муниципального имущества</t>
  </si>
  <si>
    <t>2020000000</t>
  </si>
  <si>
    <t>Подпрограмма «Содержание муниципального имущества»</t>
  </si>
  <si>
    <t>Основное мероприятие «Обеспечение содержания и обслуживания нежилого муниципального фонда»</t>
  </si>
  <si>
    <t>Реализация мероприятий по содержанию и обслуживанию нежилого муниципального фонда</t>
  </si>
  <si>
    <t>Муниципальная программа «Охрана природы и лесное хозяйство города Перми»</t>
  </si>
  <si>
    <t>Основное мероприятие «Охрана и улучшение состояния природных объектов на территории города Перми»</t>
  </si>
  <si>
    <t>Содержание и развитие системы ООПТ местного значения</t>
  </si>
  <si>
    <t>Основное мероприятие «Организация городских конкурсов социально значимых проектов в сфере экологии и природопользования»</t>
  </si>
  <si>
    <t>Основное мероприятие «Экологическое просвещение населения города Перми»</t>
  </si>
  <si>
    <t>Привлечение населения города Перми к реализации экологических проектов, акций</t>
  </si>
  <si>
    <t>Основное мероприятие «Наблюдение за состоянием атмосферного воздуха и улучшение его качества»</t>
  </si>
  <si>
    <t>Подготовка и предоставление населению города Перми информации о состоянии окружающей среды</t>
  </si>
  <si>
    <t>Основное мероприятие «Проведение лесоустройства, учета и осуществление лесного контроля городских лесов»</t>
  </si>
  <si>
    <t>Проведение мероприятий по лесоустройству, межеванию и лесному контролю</t>
  </si>
  <si>
    <t>Основное мероприятие «Выполнение мероприятий по охране, защите, воспроизводству городских лесов»</t>
  </si>
  <si>
    <t>Обеспечение санитарной и противопожарной безопасности на территории Пермского городского лесничества</t>
  </si>
  <si>
    <t>Поддержание территории городских лесов в нормативном состоянии</t>
  </si>
  <si>
    <t>Муниципальная программа «Обеспечение доступности качественного предоставления услуг в сфере образования в городе Перми»</t>
  </si>
  <si>
    <t>Подпрограмма «Обеспечение доступного и качественного дошкольного образования»</t>
  </si>
  <si>
    <t>Целевые субсидии организациям дошкольного образования на аренду имущественных комплексов</t>
  </si>
  <si>
    <t>Основное мероприятие «Предоставление дошкольного образования в дошкольных образовательных организациях»</t>
  </si>
  <si>
    <t>Предоставление мер социальной поддержки педагогическим работникам образовательных организаций</t>
  </si>
  <si>
    <t>Подпрограмма «Обеспечение доступного и качественного общего образования»</t>
  </si>
  <si>
    <t>Целевая субсидия кадетской школе на предоставление бесплатного питания учащимся</t>
  </si>
  <si>
    <t>Целевая субсидия общеобразовательным организациям на предоставление бесплатного питания отдельным категориям учащихся</t>
  </si>
  <si>
    <t>Основное мероприятие «Предоставление общего (начального, основного, среднего) образования в общеобразовательных организациях»</t>
  </si>
  <si>
    <t>Подпрограмма «Обеспечение доступного и качественного дополнительного образования»</t>
  </si>
  <si>
    <t>Основное мероприятие «Оказание услуг по реализации дополнительных образовательных программ»</t>
  </si>
  <si>
    <t>Подпрограмма «Ресурсное обеспечение качественного функционирования системы образования города Перми»</t>
  </si>
  <si>
    <t>Основное мероприятие «Обеспечение условий для качественного функционирования системы образования города Перми»</t>
  </si>
  <si>
    <t>Основное мероприятие «Организация и проведение мероприятий в области образования»</t>
  </si>
  <si>
    <t>Целевая субсидия образовательным организациям на отраслевые мероприятия для детей и педагогических работников</t>
  </si>
  <si>
    <t>Целевая субсидия образовательным организациям на мероприятия в области инновационного развития системы образования</t>
  </si>
  <si>
    <t>Целевая субсидия образовательным организациям на проведение мероприятий «Уроки о бюджете»</t>
  </si>
  <si>
    <t>Отраслевые мероприятия для детей и педагогических работников</t>
  </si>
  <si>
    <t>Основное мероприятие «Оказание мер государственной поддержки работникам образовательных организаций»</t>
  </si>
  <si>
    <t>Подпрограмма «Развитие негосударственного сектора в сфере образования»</t>
  </si>
  <si>
    <t>Основное мероприятие «Оказание услуг частными организациями, осуществляющими образовательную деятельность»</t>
  </si>
  <si>
    <t>Основное мероприятие «Восстановление дошкольных образовательных организаций, закрытых на капитальный ремонт, ранее перепрофилированных групп в дошкольных образовательных организациях»</t>
  </si>
  <si>
    <t>Основное мероприятие «Приведение имущественных комплексов образовательных организаций в соответствие с требованиями действующего законодательства»</t>
  </si>
  <si>
    <t>Муниципальная программа «Развитие сети образовательных организаций города Перми»</t>
  </si>
  <si>
    <t>Основное мероприятие «Капитальные вложения в объекты недвижимого имущества муниципальной собственности в сфере дошкольного образования»</t>
  </si>
  <si>
    <t>Строительство нового корпуса МАОУ «СОШ № 59» г. Перми</t>
  </si>
  <si>
    <t>Непрограммные расходы бюджета города Перми по реализации иных мероприятий</t>
  </si>
  <si>
    <t>Иные непрограммные мероприятия</t>
  </si>
  <si>
    <t>Информирование населения по вопросам местного значения</t>
  </si>
  <si>
    <t>Мероприятия по гражданской обороне по подготовке населения и организаций к действиям в чрезвычайной ситуации в мирное и военное время</t>
  </si>
  <si>
    <t>Учреждение и издание печатного средства массовой информации для опубликования муниципальных правовых актов, обсуждения проектов муниципальных правовых актов по вопросам местного значения</t>
  </si>
  <si>
    <t>Мероприятия по созданию механизмов эффективного управления социально-экономическим развитием города Перми</t>
  </si>
  <si>
    <t>Обеспечение деятельности Пермской городской трехсторонней комиссии по регулированию социально-трудовых отношений в городе Перми</t>
  </si>
  <si>
    <t>Составление протоколов об административных правонарушениях</t>
  </si>
  <si>
    <t>Единовременные денежные вознаграждения и ежегодные денежные выплаты Почетным гражданам города Перми</t>
  </si>
  <si>
    <t>Денежное вознаграждение физическим лицам, награжденным Почетной грамотой города Перми</t>
  </si>
  <si>
    <t>Пенсии за выслугу лет лицам, замещавшим выборные муниципальные должности и муниципальные должности муниципальной службы города Перми</t>
  </si>
  <si>
    <t>Непрограммные расходы по обеспечению деятельности Пермской городской Думы</t>
  </si>
  <si>
    <t>Расходы на выплаты по оплате труда работников муниципальных органов</t>
  </si>
  <si>
    <t>Депутаты Пермской городской Думы и их помощники</t>
  </si>
  <si>
    <t>Расходы на обеспечение функций муниципальных органов</t>
  </si>
  <si>
    <t>Аппарат органа городского самоуправления</t>
  </si>
  <si>
    <t>Оплата взносов в межмуниципальные ассоциации</t>
  </si>
  <si>
    <t>Непрограммные расходы по обеспечению деятельности администрации города Перми</t>
  </si>
  <si>
    <t>Территориальные органы администрации города Перми</t>
  </si>
  <si>
    <t>Функциональные органы администрации города Перми</t>
  </si>
  <si>
    <t>Другие непрограммные расходы по реализации вопросов местного значения города Перми, связанных с общегородским управлением</t>
  </si>
  <si>
    <t>Расходы на исполнение судебных актов по обращению взыскания на средства местного бюджета</t>
  </si>
  <si>
    <t>Резервный фонд</t>
  </si>
  <si>
    <t>Резервный фонд администрации города Перми</t>
  </si>
  <si>
    <t>Непрограммные расходы на реализацию единой политики в сфере инвестиционной и строительной деятельности на территории г. Перми</t>
  </si>
  <si>
    <t>Непрограммные расходы по обеспечению деятельности муниципального казенного учреждения «Управление технического заказчика»</t>
  </si>
  <si>
    <t>Дополнительное образование детей</t>
  </si>
  <si>
    <t>Подпрограмма «Создание условий для поддержания здорового образа жизни»</t>
  </si>
  <si>
    <t>Основное мероприятие «Совершенствование спортивной инфраструктуры и материально-технической базы для занятий физической культурой и массовым спортом»</t>
  </si>
  <si>
    <t>Основное мероприятие «Обеспечение нормативного состояния объектов инженерной инфраструктуры, находящихся в муниципальной собственности, в том числе бесхозяйных объектов»</t>
  </si>
  <si>
    <t>Основное мероприятие «Оказание услуг на получение общедоступного бесплатного дошкольного, начального общего, основного общего, среднего общего образования»</t>
  </si>
  <si>
    <t>Основное мероприятие «Реализация проектов в сфере молодежной политики»</t>
  </si>
  <si>
    <t>9630000000</t>
  </si>
  <si>
    <t>9630092000</t>
  </si>
  <si>
    <t>Расходы на исполнение иных судебных актов</t>
  </si>
  <si>
    <t>Основное мероприятие «Организация оздоровления и отдыха детей в детских лагерях палаточного типа, лагерях досуга и отдыха»</t>
  </si>
  <si>
    <t>221022Н020</t>
  </si>
  <si>
    <t>Подпрограмма «Охрана, защита и воспроизводство городских лесов»</t>
  </si>
  <si>
    <t>Наблюдение за водными объектами города Перми и их обустройство</t>
  </si>
  <si>
    <t>Реализация мероприятий ведомственной целевой программы «Регулирование численности безнадзорных собак на территории города Перми»</t>
  </si>
  <si>
    <t>0320100870</t>
  </si>
  <si>
    <t>2220100880</t>
  </si>
  <si>
    <t>Мероприятия в сфере применения информационных технологий</t>
  </si>
  <si>
    <t>Осуществление полномочий по созданию и организации деятельности административных комиссий</t>
  </si>
  <si>
    <t>Основное мероприятие «Организация и проведение физкультурных мероприятий, спортивно-массовой работы согласно календарным планам районов города Перми»</t>
  </si>
  <si>
    <t>2240300000</t>
  </si>
  <si>
    <t>Профессиональная подготовка, переподготовка и повышение квалификации</t>
  </si>
  <si>
    <t>Основное мероприятие «Осуществление полномочий собственника муниципального имущества города Перми в порядке, предусмотренном действующим законодательством»</t>
  </si>
  <si>
    <t>Основное мероприятие «Приведение имущественных комплексов в соответствие с требованиями действующего законодательства»</t>
  </si>
  <si>
    <t>Основное мероприятие «Организация и проведение ежегодных городских мероприятий, поддержка инициатив общественных объединений и организаций»</t>
  </si>
  <si>
    <t>Основное мероприятие «Библиотечное, библиографическое и информационное обслуживание пользователей библиотек»</t>
  </si>
  <si>
    <t>Муниципальная программа «Организация дорожного движения и развитие регулярных перевозок автомобильным и городским наземным электрическим транспортом в городе Перми»</t>
  </si>
  <si>
    <t>Основное мероприятие «Организация работ по сбору, транспортированию и размещению бесхозяйных отходов на территории города Перми»</t>
  </si>
  <si>
    <t>Основное мероприятие «Выполнение комплекса мероприятий по строительству (реконструкции) сетей наружного освещения»</t>
  </si>
  <si>
    <t>Основное мероприятие «Организация содержания и ремонта фонтанов»</t>
  </si>
  <si>
    <t>Основное мероприятие «Оказание мер социальной поддержки граждан города Перми в целях улучшения жилищных условий»</t>
  </si>
  <si>
    <t>0510401070</t>
  </si>
  <si>
    <t>2010121540</t>
  </si>
  <si>
    <t>Организация ведения реестра муниципального имущества города Перми</t>
  </si>
  <si>
    <t>2020121590</t>
  </si>
  <si>
    <t>Подпрограмма «Реализация природоохранных мероприятий»</t>
  </si>
  <si>
    <t>Основное мероприятие «Формирование рекреационно привлекательных ландшафтов путем создания рекреационных зон и мест отдыха»</t>
  </si>
  <si>
    <t>Основное мероприятие «Поддержание в нормативном состоянии объектов ритуального назначения»</t>
  </si>
  <si>
    <t>Основное мероприятие «Оборудование объектов социальной инфраструктуры средствами беспрепятственного доступа, обеспечение информационной доступности для инвалидов и иных маломобильных групп населения»</t>
  </si>
  <si>
    <t>Строительство плавательного бассейна по адресу: ул. Сысольская, 10/5</t>
  </si>
  <si>
    <t>Строительство спортивной базы «Летающий лыжник» г. Перми, ул. Тихая, 22</t>
  </si>
  <si>
    <t>Основное мероприятие «Реализация дополнительных предпрофессиональных программ в области физической культуры и спорта, программ спортивной подготовки по олимпийским и неолимпийским видам спорта»</t>
  </si>
  <si>
    <t>Основное мероприятие «Обеспечение жителей местами массового отдыха у воды, проведение конкурса среди предприятий города Перми»</t>
  </si>
  <si>
    <t>Реконструкция кладбища «Северное»</t>
  </si>
  <si>
    <t>Подпрограмма «Приоритетное развитие регулярных перевозок автомобильным и городским наземным электрическим транспортом в городе Перми»</t>
  </si>
  <si>
    <t>Субсидии районным штабам народных дружин на организацию деятельности по охране общественного порядка на территории города Перми</t>
  </si>
  <si>
    <t>Основное мероприятие «Организация приведения источников противопожарного водоснабжения в нормативное состояние»</t>
  </si>
  <si>
    <t>Основное мероприятие «Капитальные вложения в объекты муниципальной собственности в системе теплоснабжения»</t>
  </si>
  <si>
    <t>Подпрограмма «Приведение имущественных комплексов муниципальных образовательных организаций города Перми в нормативное состояние»</t>
  </si>
  <si>
    <t>Реконструкция здания МАОУ «СОШ № 93» г. Перми (пристройка нового корпуса)</t>
  </si>
  <si>
    <t>Целевая субсидия СОШ № 82 на организацию подвоза учащихся, проживающих в отдаленных жилых районах (Голый Мыс, Новобродовский), не имеющих общеобразовательных учреждений, к месту обучения и обратно</t>
  </si>
  <si>
    <t>Подпрограмма «Развитие сети дошкольных образовательных организаций города Перми»</t>
  </si>
  <si>
    <t>Строительство газопроводов в микрорайонах индивидуальной застройки города Перми</t>
  </si>
  <si>
    <t>Оплата земельного налога за земельные участки</t>
  </si>
  <si>
    <t>Основное мероприятие «Обучение муниципальных служащих, в том числе участников кадровых резервов администрации города Перми»</t>
  </si>
  <si>
    <t>Основное мероприятие «Осуществление персонифицированного учета жителей города Перми»</t>
  </si>
  <si>
    <t>Молодежная политика</t>
  </si>
  <si>
    <t>2110500000</t>
  </si>
  <si>
    <t>2110521690</t>
  </si>
  <si>
    <t>Посадка зеленых насаждений ценных видов</t>
  </si>
  <si>
    <t>9190021720</t>
  </si>
  <si>
    <t>1410121280</t>
  </si>
  <si>
    <t>Создание и содержание в целях гражданской обороны запасов материально-технических, продовольственных и иных средств</t>
  </si>
  <si>
    <t>Глава  города Перми</t>
  </si>
  <si>
    <t>9190021730</t>
  </si>
  <si>
    <t>9190021910</t>
  </si>
  <si>
    <t>Мероприятия, связанные с награждением Почетной грамотой города Перми</t>
  </si>
  <si>
    <t>Основное мероприятие «Оказание услуг по присмотру и уходу, реализации основных общеобразовательных программ дошкольного образования»</t>
  </si>
  <si>
    <t>Здравоохранение</t>
  </si>
  <si>
    <t>Санитарно-эпидемиологическое благополучие</t>
  </si>
  <si>
    <t>1410241030</t>
  </si>
  <si>
    <t>1410241410</t>
  </si>
  <si>
    <t>1110800000</t>
  </si>
  <si>
    <t>1750200000</t>
  </si>
  <si>
    <t>Осуществление полномочий по регулированию тарифов на перевозки пассажиров и багажа автомобильным и городским электрическим транспортом на муниципальных маршрутах регулярных перевозок</t>
  </si>
  <si>
    <t>Осуществление государственных полномочий по постановке на учет граждан, имеющих право на получение жилищных субсидий в связи с переселением из районов Крайнего Севера и приравненных к ним местностей</t>
  </si>
  <si>
    <t>9190054850</t>
  </si>
  <si>
    <t>131012П020</t>
  </si>
  <si>
    <t>910</t>
  </si>
  <si>
    <t>9190059300</t>
  </si>
  <si>
    <t>1740121760</t>
  </si>
  <si>
    <t>Управление записи актов гражданского состояния администрации города Перми</t>
  </si>
  <si>
    <t>Строительство противооползневого сооружения в районе жилых домов по ул. КИМ, 5, 7, ул. Ивановской, 19 и ул. Чехова, 2, 4, 6, 8, 10</t>
  </si>
  <si>
    <t>Техническая инвентаризация и паспортизация объектов инженерной инфраструктуры</t>
  </si>
  <si>
    <t>Выплата материального стимулирования народным дружинникам за участие в охране общественного порядка</t>
  </si>
  <si>
    <t>Обеспечение жильем граждан, уволенных с военной службы (службы), и приравненных к ним лиц</t>
  </si>
  <si>
    <t>Государственная регистрация актов гражданского состояния</t>
  </si>
  <si>
    <t>1730121360</t>
  </si>
  <si>
    <t>Проведение мероприятий, направленных на развитие системы общественного контроля в сфере жилищно-коммунального хозяйства</t>
  </si>
  <si>
    <t>Основное мероприятие «Организация противооползневых мероприятий»</t>
  </si>
  <si>
    <t>0510141430</t>
  </si>
  <si>
    <t>2600000000</t>
  </si>
  <si>
    <t>2620000000</t>
  </si>
  <si>
    <t>26201L5550</t>
  </si>
  <si>
    <t>2620100000</t>
  </si>
  <si>
    <t>2610000000</t>
  </si>
  <si>
    <t>2610100000</t>
  </si>
  <si>
    <t>26101L5550</t>
  </si>
  <si>
    <t>1020141280</t>
  </si>
  <si>
    <t>1020300000</t>
  </si>
  <si>
    <t>1020341290</t>
  </si>
  <si>
    <t>1210421560</t>
  </si>
  <si>
    <t>Финансовое обеспечение затрат по благоустройству придомовых территорий многоквартирных домов города Перми</t>
  </si>
  <si>
    <t>0910300000</t>
  </si>
  <si>
    <t>Организация обустройства улично-дорожной сети города Перми светофорными объектами</t>
  </si>
  <si>
    <t>Основное мероприятие «Обустройство улично-дорожной сети города Перми светофорными объектами»</t>
  </si>
  <si>
    <t>930</t>
  </si>
  <si>
    <t>0320200760</t>
  </si>
  <si>
    <t>410</t>
  </si>
  <si>
    <t>1210321600</t>
  </si>
  <si>
    <t>1220123290</t>
  </si>
  <si>
    <t>Актуализация отраслевых нормативных документов в сфере коммунальной инфраструктуры</t>
  </si>
  <si>
    <t>Разработка программы комплексного развития транспортной инфраструктуры города Перми</t>
  </si>
  <si>
    <t>1810000000</t>
  </si>
  <si>
    <t>1810100000</t>
  </si>
  <si>
    <t>1810200000</t>
  </si>
  <si>
    <t>1810223300</t>
  </si>
  <si>
    <t>1810300000</t>
  </si>
  <si>
    <t>1820100000</t>
  </si>
  <si>
    <t>1830000000</t>
  </si>
  <si>
    <t>1830100000</t>
  </si>
  <si>
    <t>1830200000</t>
  </si>
  <si>
    <t>1840000000</t>
  </si>
  <si>
    <t>1840100000</t>
  </si>
  <si>
    <t>1840121210</t>
  </si>
  <si>
    <t>1840121220</t>
  </si>
  <si>
    <t>Обеспечение деятельности (оказание услуг, выполнение работ) подведомственных учреждений, в том числе на предоставление муниципальным бюджетным и автономным учреждениям субсидий</t>
  </si>
  <si>
    <t xml:space="preserve">Целевая субсидия на создание театральных постановок </t>
  </si>
  <si>
    <t>Целевая субсидия на проведение ремонтно-реставрационных работ по приведению в нормативное состояние объектов культурного наследия и объектов монументального искусства</t>
  </si>
  <si>
    <t>Подпрограмма «Системное развитие механизмов, способствующих самореализации молодежи»</t>
  </si>
  <si>
    <t>Подпрограмма «Создание условий для социальной интеграции молодежи в общественно-полезную деятельность»</t>
  </si>
  <si>
    <t>Основное мероприятие «Осуществление мероприятий по организации занятости молодежи»</t>
  </si>
  <si>
    <t xml:space="preserve">Целевая субсидия на организацию занятости молодежи </t>
  </si>
  <si>
    <t>Ремонт и приведение в нормативное состояние муниципальных учреждений системы физической культуры и спорта</t>
  </si>
  <si>
    <t>Основное мероприятие «Комплекс мер, направленный на развитие немуниципальных организаций, работающих в сфере физической культуры и спорта»</t>
  </si>
  <si>
    <t>Целевые субсидии на взносы на капитальный ремонт общего имущества в многоквартирных домах</t>
  </si>
  <si>
    <t>Основное мероприятие «Создание условий для занятий физической культурой и спортом»</t>
  </si>
  <si>
    <t xml:space="preserve">Основное мероприятие «Организация и проведение физкультурных и спортивных мероприятий согласно календарному плану» </t>
  </si>
  <si>
    <t>Строительство объектов недвижимого имущества и инженерной инфраструктуры на территории Экстрим-парка</t>
  </si>
  <si>
    <t>Основное мероприятие «Мониторинг деятельности социально ориентированных некоммерческих организаций»</t>
  </si>
  <si>
    <t>0610200000</t>
  </si>
  <si>
    <t>0610271130</t>
  </si>
  <si>
    <t>0610271140</t>
  </si>
  <si>
    <t>0610271250</t>
  </si>
  <si>
    <t>0610221300</t>
  </si>
  <si>
    <t>0620000000</t>
  </si>
  <si>
    <t>0620100000</t>
  </si>
  <si>
    <t>0620121310</t>
  </si>
  <si>
    <t>0620121330</t>
  </si>
  <si>
    <t>Целевая субсидия на содержание имущественного комплекса по ул. Пермская, 61, 80</t>
  </si>
  <si>
    <t>Основное мероприятие «Организация и проведение мероприятий с детьми и подростками, нуждающимися в экстренной психологической помощи»</t>
  </si>
  <si>
    <t>Подпрограмма «Организация оздоровления и отдыха детей города Перми»</t>
  </si>
  <si>
    <t>Возмещение затрат по установке приборов учета коммунальных ресурсов в части муниципальной доли собственности в жилых домах города Перми</t>
  </si>
  <si>
    <t>Основное мероприятие «Содержание и организация деятельности аварийно-спасательных служб и обеспечение безопасности людей на водных объектах»</t>
  </si>
  <si>
    <t>Подпрограмма «Реализация Генерального плана города Перми и градостроительной политики города Перми, развитие центра и локальных центров»</t>
  </si>
  <si>
    <t>Разработка и утверждение градостроительных планов земельных участков</t>
  </si>
  <si>
    <t>Проведение экспертиз, оказание консультационных, юридических услуг</t>
  </si>
  <si>
    <t>Создание макета центрального планировочного района города Перми</t>
  </si>
  <si>
    <t>Основное мероприятие «Ведение информационной системы управления землями»</t>
  </si>
  <si>
    <t>Субсидии частным общеобразовательным организациям на предоставление бесплатного питания отдельным категориям учащимся</t>
  </si>
  <si>
    <t>Строительство здания для размещения дошкольного образовательного учреждения по ул. Евгения Пермяка/Целинной</t>
  </si>
  <si>
    <t>Основное мероприятие «Капитальные вложения в объекты муниципальных общеобразовательных организаций и организаций дополнительного образования»</t>
  </si>
  <si>
    <t>Основное мероприятие «Капитальные вложения в спортивные объекты муниципальных общеобразовательных организаций города Перми»</t>
  </si>
  <si>
    <t>2220100770</t>
  </si>
  <si>
    <t>2230100770</t>
  </si>
  <si>
    <t>2240100770</t>
  </si>
  <si>
    <t>Организация взаимодействия с образовательными организациями высшего образования</t>
  </si>
  <si>
    <t>Администрирование государственных полномочий по организации проведения мероприятий по отлову безнадзорных животных, их транспортировке, учету и регистрации, содержанию, лечению, кастрации (стерилизации), эвтаназии, утилизации</t>
  </si>
  <si>
    <t>Организация осуществления государственных полномочий по обеспечению жилыми помещениями детей-сирот и детей, оставшихся без попечения родителей, лиц из числа детей-сирот и детей, оставшихся без попечения родителей</t>
  </si>
  <si>
    <t>Осуществление полномочий по составлению (изменению, дополнению) списков кандидатов в присяжные заседатели федеральных судов общей юрисдикции в Российской Федерации</t>
  </si>
  <si>
    <t>Судебная система</t>
  </si>
  <si>
    <t>Спорт высших достижений</t>
  </si>
  <si>
    <t>0730100590</t>
  </si>
  <si>
    <t>Единая субвенция на выполнение отдельных государственных полномочий в сфере образования</t>
  </si>
  <si>
    <t>222022С170</t>
  </si>
  <si>
    <t>Стипендии одаренным детям, обучающимся в образовательных учреждениях дополнительного образования в сфере культуры</t>
  </si>
  <si>
    <t>Расходы на подготовку документации, необходимой для принятия в муниципальную собственность бесхозяйных объектов монументального искусства</t>
  </si>
  <si>
    <t>Строительство спортивной площадки МАОУ «СОШ № 135» г. Перми</t>
  </si>
  <si>
    <t>Строительство спортивной площадки МАОУ «СОШ № 115» г. Перми</t>
  </si>
  <si>
    <t>Строительство спортивной площадки МАОУ «СОШ № 82» г. Перми</t>
  </si>
  <si>
    <t>Строительство блочной модульной котельной по адресу: г. Пермь, ул. Докучаева, 27</t>
  </si>
  <si>
    <t>Приобретение в собственность муниципального образования здания для размещения дошкольного образовательного учреждения по ул. Грибоедова, 68в</t>
  </si>
  <si>
    <t>Приобретение физкультурно-оздоровительного комплекса по адресу: ул. Транспортная, 7</t>
  </si>
  <si>
    <t>Приобретение физкультурно-оздоровительного комплекса по адресу: ул. Рабочая, 9</t>
  </si>
  <si>
    <t>Строительство берегоукрепительного сооружения в районе жилых домов по ул. Куфонина 30, 32</t>
  </si>
  <si>
    <t>Реконструкция автомобильной дороги от ул. Героев Хасана до дома № 151а по ул. Героев Хасана с обустройством площадки для разворота общественного транспорта</t>
  </si>
  <si>
    <t>Строительство пожарного водоема в микрорайоне Верхняя Курья по ул. 9-й линии, 70 Мотовилихинского района города Перми</t>
  </si>
  <si>
    <t>Строительство сквера на ул. Краснополянской, 12</t>
  </si>
  <si>
    <t>Подпрограмма «Оказание дополнительных мер социальной помощи и поддержки, организация проведения мероприятий социальной направленности для отдельных категорий граждан»</t>
  </si>
  <si>
    <t>0510400620</t>
  </si>
  <si>
    <t>Целевая субсидия на обеспечение участия в официальных спортивных соревнованиях</t>
  </si>
  <si>
    <t>2220101160</t>
  </si>
  <si>
    <t>Целевая субсидия общеобразовательным организациям на предоставление бесплатного двухразового питания учащимся с ограниченными возможностями здоровья</t>
  </si>
  <si>
    <t>2250171180</t>
  </si>
  <si>
    <t>Субсидии частным общеобразовательным организациям на предоставление бесплатного двухразового питания учащимся с ограниченными возможностями здоровья</t>
  </si>
  <si>
    <t>2240400000</t>
  </si>
  <si>
    <t>2240481030</t>
  </si>
  <si>
    <t>1830300000</t>
  </si>
  <si>
    <t>2310400000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</si>
  <si>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пересечения ул. Героев Хасана и Транссибирской магистрали (включая тоннель))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</si>
  <si>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Карпинского от ул. Архитектора Свиязева до ул. Советской Армии)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</si>
  <si>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автомобильной дороги Переход ул. Строителей - площадь Гайдара)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</si>
  <si>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 (Реконструкция  ул. Героев Хасана от ул. Хлебозаводская до ул. Василия Васильева)</t>
  </si>
  <si>
    <t>Ведомство</t>
  </si>
  <si>
    <t>Целевая статья</t>
  </si>
  <si>
    <t>Вид расходов</t>
  </si>
  <si>
    <t>Наименование расходов</t>
  </si>
  <si>
    <t>01</t>
  </si>
  <si>
    <t>163</t>
  </si>
  <si>
    <t>07</t>
  </si>
  <si>
    <t>Департамент имущественных отношений администрации города Перми</t>
  </si>
  <si>
    <t>Общегосударственные вопросы</t>
  </si>
  <si>
    <t>Другие общегосударственные вопросы</t>
  </si>
  <si>
    <t>Образование</t>
  </si>
  <si>
    <t>Дошкольное образование</t>
  </si>
  <si>
    <t>902</t>
  </si>
  <si>
    <t>06</t>
  </si>
  <si>
    <t>11</t>
  </si>
  <si>
    <t>Департамент финансов администрации города Перми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</si>
  <si>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</si>
  <si>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</si>
  <si>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04</t>
  </si>
  <si>
    <t>Департамент градостроительства и архитектуры администрации города Перми</t>
  </si>
  <si>
    <t>Национальная экономика</t>
  </si>
  <si>
    <t>Другие вопросы в области национальной экономики</t>
  </si>
  <si>
    <t>915</t>
  </si>
  <si>
    <t>03</t>
  </si>
  <si>
    <t>05</t>
  </si>
  <si>
    <t>Управление по экологии и природопользованию администрации города Перми</t>
  </si>
  <si>
    <t>Лесное хозяйство</t>
  </si>
  <si>
    <t>Охрана окружающей среды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</si>
  <si>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</si>
  <si>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</si>
  <si>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09</t>
  </si>
  <si>
    <t>10</t>
  </si>
  <si>
    <t>Социальная политика</t>
  </si>
  <si>
    <t>Социальное обеспечение населения</t>
  </si>
  <si>
    <t>08</t>
  </si>
  <si>
    <t>Общее образование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</si>
  <si>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</si>
  <si>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</si>
  <si>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</si>
  <si>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</si>
  <si>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Другие вопросы в области социальной политики</t>
  </si>
  <si>
    <t>Охрана семьи и детства</t>
  </si>
  <si>
    <t>Администрация Ленинского района города Перми</t>
  </si>
  <si>
    <t>Администрация Свердловского района города Перми</t>
  </si>
  <si>
    <t>932</t>
  </si>
  <si>
    <t>Администрация Мотовилихинского района города Перми</t>
  </si>
  <si>
    <t>933</t>
  </si>
  <si>
    <t>Национальная безопасность и правоохранительная деятельность</t>
  </si>
  <si>
    <t>Жилищно-коммунальное хозяйство</t>
  </si>
  <si>
    <t>Физическая культура и спорт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</si>
  <si>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</si>
  <si>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Дорожное хозяйство (дорожные фонды)</t>
  </si>
  <si>
    <t>Защита населения и территории от чрезвычайных ситуаций природного и техногенного характера, гражданская оборона</t>
  </si>
  <si>
    <t>Другие вопросы в области национальной безопасности и правоохранительной деятельности</t>
  </si>
  <si>
    <t>Жилищное хозяйство</t>
  </si>
  <si>
    <t>Благоустройство</t>
  </si>
  <si>
    <t>Другие вопросы в области жилищно-коммунального хозяйства</t>
  </si>
  <si>
    <t>Массовый спорт</t>
  </si>
  <si>
    <t>934</t>
  </si>
  <si>
    <t>935</t>
  </si>
  <si>
    <t>Администрация Индустриального района города Перми</t>
  </si>
  <si>
    <t>Администрация Кировского района города Перми</t>
  </si>
  <si>
    <t>936</t>
  </si>
  <si>
    <t>937</t>
  </si>
  <si>
    <t>Администрация Орджоникидзевского района города Перми</t>
  </si>
  <si>
    <t>938</t>
  </si>
  <si>
    <t>Администрация поселка Новые Ляды города Перми</t>
  </si>
  <si>
    <t>940</t>
  </si>
  <si>
    <t>951</t>
  </si>
  <si>
    <t>Департамент жилищно-коммунального хозяйства администрации города Перми</t>
  </si>
  <si>
    <t>Управление внешнего благоустройства администрации города Перми</t>
  </si>
  <si>
    <t>Департамент дорог и транспорта администрации города Перми</t>
  </si>
  <si>
    <t>Департамент общественной безопасности администрации города Перми</t>
  </si>
  <si>
    <t xml:space="preserve">Администрация города Перми </t>
  </si>
  <si>
    <t>Контрольно-счетная палата города Перми</t>
  </si>
  <si>
    <t>Избирательная комиссия города Перми</t>
  </si>
  <si>
    <t>Пермская городская Дума</t>
  </si>
  <si>
    <t>Департамент земельных отношений администрации города Перми</t>
  </si>
  <si>
    <t>Общий итог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</si>
  <si>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</si>
  <si>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</si>
  <si>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проведения выборов и референдумов</t>
  </si>
  <si>
    <t>Транспорт</t>
  </si>
  <si>
    <t>Коммунальное хозяйство</t>
  </si>
  <si>
    <t>Пенсионное обеспечение</t>
  </si>
  <si>
    <t>Физическая культура</t>
  </si>
  <si>
    <t>Другие вопросы в области физической культуры и спорта</t>
  </si>
  <si>
    <t>Департамент культуры и молодежной политики администрации города Перми</t>
  </si>
  <si>
    <t>Департамент образования администрации города Перми</t>
  </si>
  <si>
    <t>Комитет по физической культуре и спорту администрации города Перми</t>
  </si>
  <si>
    <t>964</t>
  </si>
  <si>
    <t>942</t>
  </si>
  <si>
    <t>Прикладные научные исследования в области жилищно-коммунального хозяйства</t>
  </si>
  <si>
    <t>0504</t>
  </si>
  <si>
    <t>Целевая субсидия на содержание МАДОУ "Детский сад "IT мир" г. Перми</t>
  </si>
  <si>
    <t>Строительство здания для размещения дошкольного образовательного учреждения по ул. Плеханова, 63</t>
  </si>
  <si>
    <t>Реконструкция здания МАДОУ "Детский сад "IT мир" г. Перми</t>
  </si>
  <si>
    <t>Реконструкция здания муниципального автономного учреждения дополнительного образования "Детско-юношеский центр имени Василия Соломина"</t>
  </si>
  <si>
    <t>Субсидия некоммерческим организациям, не являющимся государственными (муниципальными) учреждениями на реализацию социально значимых программ в сфере физической культуры и спорта</t>
  </si>
  <si>
    <t>Раздел,   подраздел</t>
  </si>
  <si>
    <t>Приложение № 3</t>
  </si>
  <si>
    <t>от</t>
  </si>
  <si>
    <t>№</t>
  </si>
  <si>
    <t>Исполнено</t>
  </si>
  <si>
    <t>% исполнения</t>
  </si>
  <si>
    <t>к решению Пермской городской Думы</t>
  </si>
  <si>
    <t>Отчет об исполнении расходов города Перми по ведомственной структуре расходов бюджета за 2018 год</t>
  </si>
  <si>
    <t>Раздел</t>
  </si>
  <si>
    <t>Подраздел</t>
  </si>
  <si>
    <t>13</t>
  </si>
  <si>
    <t>02</t>
  </si>
  <si>
    <t>12</t>
  </si>
  <si>
    <t>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</si>
</sst>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8"/>
      <name val="Arial Cyr"/>
    </font>
    <font>
      <sz val="11"/>
      <name val="Times New Roman"/>
      <family val="1"/>
      <charset val="204"/>
    </font>
    <font>
      <sz val="8"/>
      <name val="Calibri"/>
      <family val="2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3" fillId="0" borderId="0" xfId="0" applyFont="1" applyFill="1"/>
    <xf numFmtId="0" fontId="3" fillId="0" borderId="2" xfId="0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164" fontId="2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wrapText="1"/>
    </xf>
    <xf numFmtId="49" fontId="1" fillId="0" borderId="2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wrapText="1"/>
    </xf>
    <xf numFmtId="49" fontId="1" fillId="0" borderId="0" xfId="0" applyNumberFormat="1" applyFont="1" applyFill="1" applyAlignment="1">
      <alignment vertical="center"/>
    </xf>
    <xf numFmtId="49" fontId="2" fillId="0" borderId="0" xfId="0" applyNumberFormat="1" applyFont="1" applyFill="1" applyAlignment="1">
      <alignment vertical="center"/>
    </xf>
    <xf numFmtId="49" fontId="1" fillId="0" borderId="2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/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 applyProtection="1">
      <alignment horizontal="center" vertical="center" wrapText="1"/>
    </xf>
    <xf numFmtId="164" fontId="1" fillId="0" borderId="0" xfId="0" applyNumberFormat="1" applyFont="1" applyFill="1" applyAlignment="1">
      <alignment vertical="center"/>
    </xf>
    <xf numFmtId="0" fontId="2" fillId="0" borderId="0" xfId="0" applyFont="1" applyFill="1" applyAlignment="1"/>
    <xf numFmtId="49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164" fontId="1" fillId="0" borderId="0" xfId="0" applyNumberFormat="1" applyFont="1" applyFill="1" applyBorder="1"/>
    <xf numFmtId="0" fontId="1" fillId="0" borderId="0" xfId="0" applyFont="1" applyFill="1" applyBorder="1" applyAlignment="1">
      <alignment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Alignment="1">
      <alignment vertical="center"/>
    </xf>
    <xf numFmtId="164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/>
    <xf numFmtId="0" fontId="1" fillId="0" borderId="1" xfId="0" applyNumberFormat="1" applyFont="1" applyFill="1" applyBorder="1" applyAlignment="1">
      <alignment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165" fontId="1" fillId="0" borderId="2" xfId="0" applyNumberFormat="1" applyFont="1" applyFill="1" applyBorder="1" applyAlignment="1">
      <alignment horizontal="center" vertical="center" wrapText="1"/>
    </xf>
    <xf numFmtId="165" fontId="1" fillId="0" borderId="2" xfId="0" applyNumberFormat="1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165" fontId="2" fillId="0" borderId="2" xfId="0" applyNumberFormat="1" applyFont="1" applyFill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N4774"/>
  <sheetViews>
    <sheetView tabSelected="1" zoomScale="70" zoomScaleNormal="70" workbookViewId="0">
      <pane xSplit="7" ySplit="6" topLeftCell="I4755" activePane="bottomRight" state="frozen"/>
      <selection activeCell="A4" sqref="A4"/>
      <selection pane="topRight" activeCell="F4" sqref="F4"/>
      <selection pane="bottomLeft" activeCell="A7" sqref="A7"/>
      <selection pane="bottomRight" activeCell="K4766" sqref="K4766"/>
    </sheetView>
  </sheetViews>
  <sheetFormatPr defaultColWidth="9.109375" defaultRowHeight="15.6" x14ac:dyDescent="0.3"/>
  <cols>
    <col min="1" max="1" width="9.109375" style="17"/>
    <col min="2" max="2" width="8.5546875" style="17" hidden="1" customWidth="1"/>
    <col min="3" max="4" width="8.5546875" style="17" customWidth="1"/>
    <col min="5" max="5" width="14.33203125" style="17" customWidth="1"/>
    <col min="6" max="6" width="10" style="17" customWidth="1"/>
    <col min="7" max="7" width="56.6640625" style="12" customWidth="1"/>
    <col min="8" max="8" width="18.33203125" style="2" hidden="1" customWidth="1"/>
    <col min="9" max="11" width="18.33203125" style="2" customWidth="1"/>
    <col min="12" max="12" width="18.33203125" style="2" hidden="1" customWidth="1"/>
    <col min="13" max="13" width="9.109375" style="36" hidden="1" customWidth="1"/>
    <col min="14" max="14" width="12.33203125" style="2" customWidth="1"/>
    <col min="15" max="16384" width="9.109375" style="2"/>
  </cols>
  <sheetData>
    <row r="1" spans="1:14" x14ac:dyDescent="0.3">
      <c r="J1" s="39"/>
      <c r="K1" s="40" t="s">
        <v>1468</v>
      </c>
    </row>
    <row r="2" spans="1:14" x14ac:dyDescent="0.3">
      <c r="J2" s="39"/>
      <c r="K2" s="40" t="s">
        <v>1473</v>
      </c>
    </row>
    <row r="3" spans="1:14" x14ac:dyDescent="0.25">
      <c r="J3" s="71" t="s">
        <v>1469</v>
      </c>
      <c r="K3" s="71" t="s">
        <v>1470</v>
      </c>
    </row>
    <row r="4" spans="1:14" s="3" customFormat="1" x14ac:dyDescent="0.3">
      <c r="A4" s="87" t="s">
        <v>1474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46"/>
      <c r="M4" s="37"/>
    </row>
    <row r="5" spans="1:14" s="3" customFormat="1" x14ac:dyDescent="0.3">
      <c r="A5" s="61"/>
      <c r="B5" s="61"/>
      <c r="C5" s="67"/>
      <c r="D5" s="67"/>
      <c r="E5" s="61"/>
      <c r="F5" s="61"/>
      <c r="G5" s="61"/>
      <c r="H5" s="59"/>
      <c r="I5" s="59"/>
      <c r="J5" s="59"/>
      <c r="K5" s="39" t="s">
        <v>911</v>
      </c>
      <c r="L5" s="39"/>
      <c r="M5" s="37"/>
    </row>
    <row r="6" spans="1:14" ht="45.6" customHeight="1" x14ac:dyDescent="0.3">
      <c r="A6" s="34" t="s">
        <v>1368</v>
      </c>
      <c r="B6" s="72" t="s">
        <v>1467</v>
      </c>
      <c r="C6" s="72" t="s">
        <v>1475</v>
      </c>
      <c r="D6" s="72" t="s">
        <v>1476</v>
      </c>
      <c r="E6" s="34" t="s">
        <v>1369</v>
      </c>
      <c r="F6" s="34" t="s">
        <v>1370</v>
      </c>
      <c r="G6" s="70" t="s">
        <v>1371</v>
      </c>
      <c r="H6" s="89" t="s">
        <v>29</v>
      </c>
      <c r="I6" s="70" t="s">
        <v>910</v>
      </c>
      <c r="J6" s="70" t="s">
        <v>1471</v>
      </c>
      <c r="K6" s="70" t="s">
        <v>1472</v>
      </c>
      <c r="L6" s="63" t="s">
        <v>337</v>
      </c>
      <c r="M6" s="39"/>
    </row>
    <row r="7" spans="1:14" s="3" customFormat="1" ht="31.2" x14ac:dyDescent="0.3">
      <c r="A7" s="4" t="s">
        <v>1373</v>
      </c>
      <c r="B7" s="4"/>
      <c r="C7" s="4"/>
      <c r="D7" s="4"/>
      <c r="E7" s="4"/>
      <c r="F7" s="4"/>
      <c r="G7" s="5" t="s">
        <v>1375</v>
      </c>
      <c r="H7" s="21">
        <f t="shared" ref="H7:L7" si="0">H8+H70+H114+H59</f>
        <v>1205452.301</v>
      </c>
      <c r="I7" s="21">
        <f t="shared" si="0"/>
        <v>1666935.02003</v>
      </c>
      <c r="J7" s="21">
        <f t="shared" si="0"/>
        <v>858944.76844000001</v>
      </c>
      <c r="K7" s="73">
        <f>J7/I7*100</f>
        <v>51.528389416435772</v>
      </c>
      <c r="L7" s="21">
        <f t="shared" si="0"/>
        <v>0</v>
      </c>
      <c r="M7" s="65"/>
      <c r="N7" s="65"/>
    </row>
    <row r="8" spans="1:14" s="3" customFormat="1" x14ac:dyDescent="0.3">
      <c r="A8" s="4" t="s">
        <v>1373</v>
      </c>
      <c r="B8" s="43" t="s">
        <v>1372</v>
      </c>
      <c r="C8" s="43" t="s">
        <v>1372</v>
      </c>
      <c r="D8" s="43" t="s">
        <v>915</v>
      </c>
      <c r="E8" s="4"/>
      <c r="F8" s="4"/>
      <c r="G8" s="5" t="s">
        <v>1376</v>
      </c>
      <c r="H8" s="21">
        <f>H9</f>
        <v>143465.872</v>
      </c>
      <c r="I8" s="21">
        <f>I9</f>
        <v>155918.53667999999</v>
      </c>
      <c r="J8" s="21">
        <f t="shared" ref="J8" si="1">J9</f>
        <v>145384.71367</v>
      </c>
      <c r="K8" s="73">
        <f t="shared" ref="K8:K71" si="2">J8/I8*100</f>
        <v>93.244021375329396</v>
      </c>
      <c r="L8" s="21">
        <f>L9</f>
        <v>0</v>
      </c>
      <c r="M8" s="65"/>
      <c r="N8" s="65"/>
    </row>
    <row r="9" spans="1:14" s="9" customFormat="1" x14ac:dyDescent="0.3">
      <c r="A9" s="6" t="s">
        <v>1373</v>
      </c>
      <c r="B9" s="48" t="s">
        <v>912</v>
      </c>
      <c r="C9" s="48" t="s">
        <v>1372</v>
      </c>
      <c r="D9" s="48" t="s">
        <v>1477</v>
      </c>
      <c r="E9" s="6"/>
      <c r="F9" s="6"/>
      <c r="G9" s="7" t="s">
        <v>1377</v>
      </c>
      <c r="H9" s="22">
        <f>H10+H34+H42</f>
        <v>143465.872</v>
      </c>
      <c r="I9" s="22">
        <f>I10+I34+I42+I54</f>
        <v>155918.53667999999</v>
      </c>
      <c r="J9" s="22">
        <f t="shared" ref="J9:L9" si="3">J10+J34+J42+J54</f>
        <v>145384.71367</v>
      </c>
      <c r="K9" s="74">
        <f t="shared" si="2"/>
        <v>93.244021375329396</v>
      </c>
      <c r="L9" s="22">
        <f t="shared" si="3"/>
        <v>0</v>
      </c>
      <c r="M9" s="65"/>
      <c r="N9" s="65"/>
    </row>
    <row r="10" spans="1:14" ht="31.2" x14ac:dyDescent="0.3">
      <c r="A10" s="69" t="s">
        <v>1373</v>
      </c>
      <c r="B10" s="68" t="s">
        <v>912</v>
      </c>
      <c r="C10" s="68" t="s">
        <v>1372</v>
      </c>
      <c r="D10" s="68" t="s">
        <v>1477</v>
      </c>
      <c r="E10" s="69" t="s">
        <v>526</v>
      </c>
      <c r="F10" s="69"/>
      <c r="G10" s="13" t="s">
        <v>1094</v>
      </c>
      <c r="H10" s="19">
        <f>H11+H19</f>
        <v>82818.991999999998</v>
      </c>
      <c r="I10" s="19">
        <f>I11+I19</f>
        <v>82818.989999999991</v>
      </c>
      <c r="J10" s="19">
        <f t="shared" ref="J10" si="4">J11+J19</f>
        <v>72328.350919999997</v>
      </c>
      <c r="K10" s="75">
        <f t="shared" si="2"/>
        <v>87.333051175823329</v>
      </c>
      <c r="L10" s="19">
        <f>L11+L19</f>
        <v>0</v>
      </c>
      <c r="M10" s="50"/>
      <c r="N10" s="50"/>
    </row>
    <row r="11" spans="1:14" ht="31.2" x14ac:dyDescent="0.3">
      <c r="A11" s="69" t="s">
        <v>1373</v>
      </c>
      <c r="B11" s="68" t="s">
        <v>912</v>
      </c>
      <c r="C11" s="68" t="s">
        <v>1372</v>
      </c>
      <c r="D11" s="68" t="s">
        <v>1477</v>
      </c>
      <c r="E11" s="69" t="s">
        <v>527</v>
      </c>
      <c r="F11" s="69"/>
      <c r="G11" s="13" t="s">
        <v>1095</v>
      </c>
      <c r="H11" s="19">
        <f>H12</f>
        <v>13133</v>
      </c>
      <c r="I11" s="19">
        <f>I12</f>
        <v>13133</v>
      </c>
      <c r="J11" s="19">
        <f t="shared" ref="J11:J12" si="5">J12</f>
        <v>5230.3900000000003</v>
      </c>
      <c r="K11" s="75">
        <f t="shared" si="2"/>
        <v>39.82631538871545</v>
      </c>
      <c r="L11" s="19">
        <f>L12</f>
        <v>0</v>
      </c>
      <c r="M11" s="50"/>
      <c r="N11" s="50"/>
    </row>
    <row r="12" spans="1:14" ht="62.4" x14ac:dyDescent="0.3">
      <c r="A12" s="69" t="s">
        <v>1373</v>
      </c>
      <c r="B12" s="68" t="s">
        <v>912</v>
      </c>
      <c r="C12" s="68" t="s">
        <v>1372</v>
      </c>
      <c r="D12" s="68" t="s">
        <v>1477</v>
      </c>
      <c r="E12" s="69" t="s">
        <v>528</v>
      </c>
      <c r="F12" s="69"/>
      <c r="G12" s="18" t="s">
        <v>1187</v>
      </c>
      <c r="H12" s="19">
        <f>H13</f>
        <v>13133</v>
      </c>
      <c r="I12" s="19">
        <f>I13</f>
        <v>13133</v>
      </c>
      <c r="J12" s="19">
        <f t="shared" si="5"/>
        <v>5230.3900000000003</v>
      </c>
      <c r="K12" s="75">
        <f t="shared" si="2"/>
        <v>39.82631538871545</v>
      </c>
      <c r="L12" s="19">
        <f>L13</f>
        <v>0</v>
      </c>
      <c r="M12" s="50"/>
      <c r="N12" s="50"/>
    </row>
    <row r="13" spans="1:14" ht="62.4" x14ac:dyDescent="0.3">
      <c r="A13" s="69" t="s">
        <v>1373</v>
      </c>
      <c r="B13" s="68" t="s">
        <v>912</v>
      </c>
      <c r="C13" s="68" t="s">
        <v>1372</v>
      </c>
      <c r="D13" s="68" t="s">
        <v>1477</v>
      </c>
      <c r="E13" s="69" t="s">
        <v>529</v>
      </c>
      <c r="F13" s="69"/>
      <c r="G13" s="13" t="s">
        <v>1096</v>
      </c>
      <c r="H13" s="19">
        <f>H14+H16</f>
        <v>13133</v>
      </c>
      <c r="I13" s="19">
        <f>I14+I16</f>
        <v>13133</v>
      </c>
      <c r="J13" s="19">
        <f t="shared" ref="J13" si="6">J14+J16</f>
        <v>5230.3900000000003</v>
      </c>
      <c r="K13" s="75">
        <f t="shared" si="2"/>
        <v>39.82631538871545</v>
      </c>
      <c r="L13" s="19">
        <f>L14+L16</f>
        <v>0</v>
      </c>
      <c r="M13" s="50"/>
      <c r="N13" s="50"/>
    </row>
    <row r="14" spans="1:14" ht="31.2" x14ac:dyDescent="0.3">
      <c r="A14" s="64" t="s">
        <v>1373</v>
      </c>
      <c r="B14" s="62" t="s">
        <v>912</v>
      </c>
      <c r="C14" s="83" t="s">
        <v>1372</v>
      </c>
      <c r="D14" s="83" t="s">
        <v>1477</v>
      </c>
      <c r="E14" s="45" t="s">
        <v>529</v>
      </c>
      <c r="F14" s="45" t="s">
        <v>380</v>
      </c>
      <c r="G14" s="23" t="s">
        <v>809</v>
      </c>
      <c r="H14" s="19">
        <f>H15</f>
        <v>12476</v>
      </c>
      <c r="I14" s="19">
        <f>I15</f>
        <v>12976</v>
      </c>
      <c r="J14" s="19">
        <f t="shared" ref="J14" si="7">J15</f>
        <v>5185.3900000000003</v>
      </c>
      <c r="K14" s="75">
        <f t="shared" si="2"/>
        <v>39.961390258939581</v>
      </c>
      <c r="L14" s="19">
        <f>L15</f>
        <v>0</v>
      </c>
      <c r="M14" s="50"/>
      <c r="N14" s="50"/>
    </row>
    <row r="15" spans="1:14" ht="31.2" x14ac:dyDescent="0.3">
      <c r="A15" s="64" t="s">
        <v>1373</v>
      </c>
      <c r="B15" s="62" t="s">
        <v>912</v>
      </c>
      <c r="C15" s="83" t="s">
        <v>1372</v>
      </c>
      <c r="D15" s="83" t="s">
        <v>1477</v>
      </c>
      <c r="E15" s="45" t="s">
        <v>529</v>
      </c>
      <c r="F15" s="8" t="s">
        <v>247</v>
      </c>
      <c r="G15" s="23" t="s">
        <v>810</v>
      </c>
      <c r="H15" s="14">
        <f>12976-500</f>
        <v>12476</v>
      </c>
      <c r="I15" s="14">
        <v>12976</v>
      </c>
      <c r="J15" s="19">
        <v>5185.3900000000003</v>
      </c>
      <c r="K15" s="75">
        <f t="shared" si="2"/>
        <v>39.961390258939581</v>
      </c>
      <c r="L15" s="19"/>
      <c r="M15" s="50"/>
      <c r="N15" s="50"/>
    </row>
    <row r="16" spans="1:14" x14ac:dyDescent="0.3">
      <c r="A16" s="64" t="s">
        <v>1373</v>
      </c>
      <c r="B16" s="62" t="s">
        <v>912</v>
      </c>
      <c r="C16" s="83" t="s">
        <v>1372</v>
      </c>
      <c r="D16" s="83" t="s">
        <v>1477</v>
      </c>
      <c r="E16" s="45" t="s">
        <v>529</v>
      </c>
      <c r="F16" s="45" t="s">
        <v>464</v>
      </c>
      <c r="G16" s="23" t="s">
        <v>822</v>
      </c>
      <c r="H16" s="19">
        <f>H18+H17</f>
        <v>657</v>
      </c>
      <c r="I16" s="19">
        <f t="shared" ref="I16:L16" si="8">I18+I17</f>
        <v>157</v>
      </c>
      <c r="J16" s="19">
        <f>J17+J18</f>
        <v>45</v>
      </c>
      <c r="K16" s="75">
        <f t="shared" si="2"/>
        <v>28.662420382165603</v>
      </c>
      <c r="L16" s="19">
        <f t="shared" si="8"/>
        <v>0</v>
      </c>
      <c r="M16" s="50"/>
      <c r="N16" s="50"/>
    </row>
    <row r="17" spans="1:14" x14ac:dyDescent="0.3">
      <c r="A17" s="64" t="s">
        <v>1373</v>
      </c>
      <c r="B17" s="62" t="s">
        <v>912</v>
      </c>
      <c r="C17" s="83" t="s">
        <v>1372</v>
      </c>
      <c r="D17" s="83" t="s">
        <v>1477</v>
      </c>
      <c r="E17" s="45" t="s">
        <v>529</v>
      </c>
      <c r="F17" s="45" t="s">
        <v>728</v>
      </c>
      <c r="G17" s="23" t="s">
        <v>823</v>
      </c>
      <c r="H17" s="19">
        <v>0</v>
      </c>
      <c r="I17" s="14">
        <v>157</v>
      </c>
      <c r="J17" s="44">
        <v>45</v>
      </c>
      <c r="K17" s="76">
        <f t="shared" si="2"/>
        <v>28.662420382165603</v>
      </c>
      <c r="L17" s="44"/>
      <c r="M17" s="50"/>
      <c r="N17" s="50"/>
    </row>
    <row r="18" spans="1:14" hidden="1" x14ac:dyDescent="0.3">
      <c r="A18" s="64" t="s">
        <v>1373</v>
      </c>
      <c r="B18" s="62" t="s">
        <v>912</v>
      </c>
      <c r="C18" s="83" t="s">
        <v>1372</v>
      </c>
      <c r="D18" s="83" t="s">
        <v>1477</v>
      </c>
      <c r="E18" s="45" t="s">
        <v>529</v>
      </c>
      <c r="F18" s="45" t="s">
        <v>729</v>
      </c>
      <c r="G18" s="23" t="s">
        <v>824</v>
      </c>
      <c r="H18" s="14">
        <f>735-78</f>
        <v>657</v>
      </c>
      <c r="I18" s="14">
        <v>0</v>
      </c>
      <c r="J18" s="20">
        <v>0</v>
      </c>
      <c r="K18" s="77" t="e">
        <f t="shared" si="2"/>
        <v>#DIV/0!</v>
      </c>
      <c r="L18" s="20"/>
      <c r="M18" s="50">
        <v>111</v>
      </c>
      <c r="N18" s="50"/>
    </row>
    <row r="19" spans="1:14" ht="31.2" x14ac:dyDescent="0.3">
      <c r="A19" s="64" t="s">
        <v>1373</v>
      </c>
      <c r="B19" s="62" t="s">
        <v>912</v>
      </c>
      <c r="C19" s="83" t="s">
        <v>1372</v>
      </c>
      <c r="D19" s="83" t="s">
        <v>1477</v>
      </c>
      <c r="E19" s="45" t="s">
        <v>1097</v>
      </c>
      <c r="F19" s="45"/>
      <c r="G19" s="23" t="s">
        <v>1098</v>
      </c>
      <c r="H19" s="19">
        <f t="shared" ref="H19:L19" si="9">H20</f>
        <v>69685.991999999998</v>
      </c>
      <c r="I19" s="19">
        <f t="shared" si="9"/>
        <v>69685.989999999991</v>
      </c>
      <c r="J19" s="19">
        <f t="shared" si="9"/>
        <v>67097.960919999998</v>
      </c>
      <c r="K19" s="75">
        <f t="shared" si="2"/>
        <v>96.286155825582739</v>
      </c>
      <c r="L19" s="19">
        <f t="shared" si="9"/>
        <v>0</v>
      </c>
      <c r="M19" s="50"/>
      <c r="N19" s="50"/>
    </row>
    <row r="20" spans="1:14" ht="31.2" x14ac:dyDescent="0.3">
      <c r="A20" s="64" t="s">
        <v>1373</v>
      </c>
      <c r="B20" s="62" t="s">
        <v>912</v>
      </c>
      <c r="C20" s="83" t="s">
        <v>1372</v>
      </c>
      <c r="D20" s="83" t="s">
        <v>1477</v>
      </c>
      <c r="E20" s="45" t="s">
        <v>530</v>
      </c>
      <c r="F20" s="45"/>
      <c r="G20" s="18" t="s">
        <v>1099</v>
      </c>
      <c r="H20" s="19">
        <f>H21+H28</f>
        <v>69685.991999999998</v>
      </c>
      <c r="I20" s="19">
        <f>I21+I28</f>
        <v>69685.989999999991</v>
      </c>
      <c r="J20" s="19">
        <f t="shared" ref="J20" si="10">J21+J28</f>
        <v>67097.960919999998</v>
      </c>
      <c r="K20" s="75">
        <f t="shared" si="2"/>
        <v>96.286155825582739</v>
      </c>
      <c r="L20" s="19">
        <f>L21+L28</f>
        <v>0</v>
      </c>
      <c r="M20" s="50"/>
      <c r="N20" s="50"/>
    </row>
    <row r="21" spans="1:14" ht="62.4" x14ac:dyDescent="0.3">
      <c r="A21" s="64" t="s">
        <v>1373</v>
      </c>
      <c r="B21" s="62" t="s">
        <v>912</v>
      </c>
      <c r="C21" s="83" t="s">
        <v>1372</v>
      </c>
      <c r="D21" s="83" t="s">
        <v>1477</v>
      </c>
      <c r="E21" s="45" t="s">
        <v>531</v>
      </c>
      <c r="F21" s="45"/>
      <c r="G21" s="23" t="s">
        <v>1291</v>
      </c>
      <c r="H21" s="19">
        <f>H22+H24+H26</f>
        <v>21549.911000000004</v>
      </c>
      <c r="I21" s="19">
        <f>I22+I24+I26</f>
        <v>21549.911</v>
      </c>
      <c r="J21" s="19">
        <f t="shared" ref="J21" si="11">J22+J24+J26</f>
        <v>21482.82631</v>
      </c>
      <c r="K21" s="75">
        <f t="shared" si="2"/>
        <v>99.688700848926942</v>
      </c>
      <c r="L21" s="19">
        <f>L22+L24+L26</f>
        <v>0</v>
      </c>
      <c r="M21" s="50"/>
      <c r="N21" s="50"/>
    </row>
    <row r="22" spans="1:14" ht="78" x14ac:dyDescent="0.3">
      <c r="A22" s="64" t="s">
        <v>1373</v>
      </c>
      <c r="B22" s="62" t="s">
        <v>912</v>
      </c>
      <c r="C22" s="83" t="s">
        <v>1372</v>
      </c>
      <c r="D22" s="83" t="s">
        <v>1477</v>
      </c>
      <c r="E22" s="45" t="s">
        <v>531</v>
      </c>
      <c r="F22" s="45" t="s">
        <v>431</v>
      </c>
      <c r="G22" s="23" t="s">
        <v>806</v>
      </c>
      <c r="H22" s="19">
        <f t="shared" ref="H22:L22" si="12">H23</f>
        <v>18552.400000000001</v>
      </c>
      <c r="I22" s="19">
        <f t="shared" si="12"/>
        <v>18679.314310000002</v>
      </c>
      <c r="J22" s="19">
        <f t="shared" si="12"/>
        <v>18679.314310000002</v>
      </c>
      <c r="K22" s="75">
        <f t="shared" si="2"/>
        <v>100</v>
      </c>
      <c r="L22" s="19">
        <f t="shared" si="12"/>
        <v>0</v>
      </c>
      <c r="M22" s="50"/>
      <c r="N22" s="50"/>
    </row>
    <row r="23" spans="1:14" x14ac:dyDescent="0.3">
      <c r="A23" s="64" t="s">
        <v>1373</v>
      </c>
      <c r="B23" s="62" t="s">
        <v>912</v>
      </c>
      <c r="C23" s="83" t="s">
        <v>1372</v>
      </c>
      <c r="D23" s="83" t="s">
        <v>1477</v>
      </c>
      <c r="E23" s="45" t="s">
        <v>531</v>
      </c>
      <c r="F23" s="8" t="s">
        <v>719</v>
      </c>
      <c r="G23" s="23" t="s">
        <v>807</v>
      </c>
      <c r="H23" s="14">
        <v>18552.400000000001</v>
      </c>
      <c r="I23" s="14">
        <v>18679.314310000002</v>
      </c>
      <c r="J23" s="19">
        <v>18679.314310000002</v>
      </c>
      <c r="K23" s="75">
        <f t="shared" si="2"/>
        <v>100</v>
      </c>
      <c r="L23" s="19"/>
      <c r="M23" s="50"/>
      <c r="N23" s="50"/>
    </row>
    <row r="24" spans="1:14" ht="31.2" x14ac:dyDescent="0.3">
      <c r="A24" s="64" t="s">
        <v>1373</v>
      </c>
      <c r="B24" s="62" t="s">
        <v>912</v>
      </c>
      <c r="C24" s="83" t="s">
        <v>1372</v>
      </c>
      <c r="D24" s="83" t="s">
        <v>1477</v>
      </c>
      <c r="E24" s="45" t="s">
        <v>531</v>
      </c>
      <c r="F24" s="45" t="s">
        <v>380</v>
      </c>
      <c r="G24" s="23" t="s">
        <v>809</v>
      </c>
      <c r="H24" s="19">
        <f t="shared" ref="H24:L24" si="13">H25</f>
        <v>2847.3110000000001</v>
      </c>
      <c r="I24" s="19">
        <f t="shared" si="13"/>
        <v>2725.3219199999999</v>
      </c>
      <c r="J24" s="19">
        <f t="shared" si="13"/>
        <v>2658.2372300000002</v>
      </c>
      <c r="K24" s="75">
        <f t="shared" si="2"/>
        <v>97.538467308845483</v>
      </c>
      <c r="L24" s="19">
        <f t="shared" si="13"/>
        <v>0</v>
      </c>
      <c r="M24" s="50"/>
      <c r="N24" s="50"/>
    </row>
    <row r="25" spans="1:14" ht="31.2" x14ac:dyDescent="0.3">
      <c r="A25" s="64" t="s">
        <v>1373</v>
      </c>
      <c r="B25" s="62" t="s">
        <v>912</v>
      </c>
      <c r="C25" s="83" t="s">
        <v>1372</v>
      </c>
      <c r="D25" s="83" t="s">
        <v>1477</v>
      </c>
      <c r="E25" s="45" t="s">
        <v>531</v>
      </c>
      <c r="F25" s="8" t="s">
        <v>247</v>
      </c>
      <c r="G25" s="23" t="s">
        <v>810</v>
      </c>
      <c r="H25" s="14">
        <f>2674.8-39.784+212.295</f>
        <v>2847.3110000000001</v>
      </c>
      <c r="I25" s="14">
        <v>2725.3219199999999</v>
      </c>
      <c r="J25" s="19">
        <v>2658.2372300000002</v>
      </c>
      <c r="K25" s="75">
        <f t="shared" si="2"/>
        <v>97.538467308845483</v>
      </c>
      <c r="L25" s="19"/>
      <c r="M25" s="50"/>
      <c r="N25" s="50"/>
    </row>
    <row r="26" spans="1:14" x14ac:dyDescent="0.3">
      <c r="A26" s="64" t="s">
        <v>1373</v>
      </c>
      <c r="B26" s="62" t="s">
        <v>912</v>
      </c>
      <c r="C26" s="83" t="s">
        <v>1372</v>
      </c>
      <c r="D26" s="83" t="s">
        <v>1477</v>
      </c>
      <c r="E26" s="45" t="s">
        <v>531</v>
      </c>
      <c r="F26" s="45" t="s">
        <v>464</v>
      </c>
      <c r="G26" s="23" t="s">
        <v>822</v>
      </c>
      <c r="H26" s="19">
        <f t="shared" ref="H26:L26" si="14">H27</f>
        <v>150.19999999999999</v>
      </c>
      <c r="I26" s="19">
        <f t="shared" si="14"/>
        <v>145.27476999999999</v>
      </c>
      <c r="J26" s="19">
        <f t="shared" si="14"/>
        <v>145.27476999999999</v>
      </c>
      <c r="K26" s="75">
        <f t="shared" si="2"/>
        <v>100</v>
      </c>
      <c r="L26" s="19">
        <f t="shared" si="14"/>
        <v>0</v>
      </c>
      <c r="M26" s="50"/>
      <c r="N26" s="50"/>
    </row>
    <row r="27" spans="1:14" x14ac:dyDescent="0.3">
      <c r="A27" s="64" t="s">
        <v>1373</v>
      </c>
      <c r="B27" s="62" t="s">
        <v>912</v>
      </c>
      <c r="C27" s="83" t="s">
        <v>1372</v>
      </c>
      <c r="D27" s="83" t="s">
        <v>1477</v>
      </c>
      <c r="E27" s="45" t="s">
        <v>531</v>
      </c>
      <c r="F27" s="45" t="s">
        <v>729</v>
      </c>
      <c r="G27" s="23" t="s">
        <v>824</v>
      </c>
      <c r="H27" s="14">
        <v>150.19999999999999</v>
      </c>
      <c r="I27" s="14">
        <v>145.27476999999999</v>
      </c>
      <c r="J27" s="20">
        <v>145.27476999999999</v>
      </c>
      <c r="K27" s="77">
        <f t="shared" si="2"/>
        <v>100</v>
      </c>
      <c r="L27" s="20"/>
      <c r="M27" s="50"/>
      <c r="N27" s="50"/>
    </row>
    <row r="28" spans="1:14" ht="31.2" x14ac:dyDescent="0.3">
      <c r="A28" s="64" t="s">
        <v>1373</v>
      </c>
      <c r="B28" s="62" t="s">
        <v>912</v>
      </c>
      <c r="C28" s="83" t="s">
        <v>1372</v>
      </c>
      <c r="D28" s="83" t="s">
        <v>1477</v>
      </c>
      <c r="E28" s="45" t="s">
        <v>1199</v>
      </c>
      <c r="F28" s="45"/>
      <c r="G28" s="23" t="s">
        <v>1100</v>
      </c>
      <c r="H28" s="19">
        <f>H29+H31</f>
        <v>48136.080999999991</v>
      </c>
      <c r="I28" s="19">
        <f t="shared" ref="I28:L28" si="15">I29+I31</f>
        <v>48136.078999999998</v>
      </c>
      <c r="J28" s="19">
        <f t="shared" si="15"/>
        <v>45615.134610000001</v>
      </c>
      <c r="K28" s="75">
        <f t="shared" si="2"/>
        <v>94.762879647924805</v>
      </c>
      <c r="L28" s="19">
        <f t="shared" si="15"/>
        <v>0</v>
      </c>
      <c r="M28" s="50"/>
      <c r="N28" s="50"/>
    </row>
    <row r="29" spans="1:14" ht="31.2" x14ac:dyDescent="0.3">
      <c r="A29" s="64" t="s">
        <v>1373</v>
      </c>
      <c r="B29" s="62" t="s">
        <v>912</v>
      </c>
      <c r="C29" s="83" t="s">
        <v>1372</v>
      </c>
      <c r="D29" s="83" t="s">
        <v>1477</v>
      </c>
      <c r="E29" s="45" t="s">
        <v>1199</v>
      </c>
      <c r="F29" s="45" t="s">
        <v>380</v>
      </c>
      <c r="G29" s="23" t="s">
        <v>809</v>
      </c>
      <c r="H29" s="19">
        <f t="shared" ref="H29:L29" si="16">H30</f>
        <v>48136.080999999991</v>
      </c>
      <c r="I29" s="19">
        <f t="shared" si="16"/>
        <v>48033.227019999998</v>
      </c>
      <c r="J29" s="19">
        <f t="shared" si="16"/>
        <v>45512.282630000002</v>
      </c>
      <c r="K29" s="75">
        <f t="shared" si="2"/>
        <v>94.751665573186798</v>
      </c>
      <c r="L29" s="19">
        <f t="shared" si="16"/>
        <v>0</v>
      </c>
      <c r="M29" s="50"/>
      <c r="N29" s="50"/>
    </row>
    <row r="30" spans="1:14" ht="31.2" x14ac:dyDescent="0.3">
      <c r="A30" s="64" t="s">
        <v>1373</v>
      </c>
      <c r="B30" s="62" t="s">
        <v>912</v>
      </c>
      <c r="C30" s="83" t="s">
        <v>1372</v>
      </c>
      <c r="D30" s="83" t="s">
        <v>1477</v>
      </c>
      <c r="E30" s="45" t="s">
        <v>1199</v>
      </c>
      <c r="F30" s="8" t="s">
        <v>247</v>
      </c>
      <c r="G30" s="23" t="s">
        <v>810</v>
      </c>
      <c r="H30" s="14">
        <f>57718.7-762.462-4145.908-1109.269-3564.98</f>
        <v>48136.080999999991</v>
      </c>
      <c r="I30" s="14">
        <v>48033.227019999998</v>
      </c>
      <c r="J30" s="20">
        <v>45512.282630000002</v>
      </c>
      <c r="K30" s="77">
        <f t="shared" si="2"/>
        <v>94.751665573186798</v>
      </c>
      <c r="L30" s="20"/>
      <c r="M30" s="50"/>
      <c r="N30" s="50"/>
    </row>
    <row r="31" spans="1:14" x14ac:dyDescent="0.3">
      <c r="A31" s="64" t="s">
        <v>1373</v>
      </c>
      <c r="B31" s="62" t="s">
        <v>912</v>
      </c>
      <c r="C31" s="83" t="s">
        <v>1372</v>
      </c>
      <c r="D31" s="83" t="s">
        <v>1477</v>
      </c>
      <c r="E31" s="45" t="s">
        <v>1199</v>
      </c>
      <c r="F31" s="45" t="s">
        <v>464</v>
      </c>
      <c r="G31" s="23" t="s">
        <v>822</v>
      </c>
      <c r="H31" s="14">
        <f>H32+H33</f>
        <v>0</v>
      </c>
      <c r="I31" s="14">
        <f t="shared" ref="I31:L31" si="17">I32+I33</f>
        <v>102.85198</v>
      </c>
      <c r="J31" s="14">
        <f t="shared" si="17"/>
        <v>102.85198</v>
      </c>
      <c r="K31" s="78">
        <f t="shared" si="2"/>
        <v>100</v>
      </c>
      <c r="L31" s="14">
        <f t="shared" si="17"/>
        <v>0</v>
      </c>
      <c r="M31" s="50"/>
      <c r="N31" s="50"/>
    </row>
    <row r="32" spans="1:14" x14ac:dyDescent="0.3">
      <c r="A32" s="64" t="s">
        <v>1373</v>
      </c>
      <c r="B32" s="62" t="s">
        <v>912</v>
      </c>
      <c r="C32" s="83" t="s">
        <v>1372</v>
      </c>
      <c r="D32" s="83" t="s">
        <v>1477</v>
      </c>
      <c r="E32" s="45" t="s">
        <v>1199</v>
      </c>
      <c r="F32" s="45" t="s">
        <v>728</v>
      </c>
      <c r="G32" s="23" t="s">
        <v>823</v>
      </c>
      <c r="H32" s="19">
        <v>0</v>
      </c>
      <c r="I32" s="14">
        <v>72.851979999999998</v>
      </c>
      <c r="J32" s="20">
        <v>72.851979999999998</v>
      </c>
      <c r="K32" s="77">
        <f t="shared" si="2"/>
        <v>100</v>
      </c>
      <c r="L32" s="20"/>
      <c r="M32" s="50"/>
      <c r="N32" s="50"/>
    </row>
    <row r="33" spans="1:14" x14ac:dyDescent="0.3">
      <c r="A33" s="64" t="s">
        <v>1373</v>
      </c>
      <c r="B33" s="62" t="s">
        <v>912</v>
      </c>
      <c r="C33" s="83" t="s">
        <v>1372</v>
      </c>
      <c r="D33" s="83" t="s">
        <v>1477</v>
      </c>
      <c r="E33" s="45" t="s">
        <v>1199</v>
      </c>
      <c r="F33" s="45" t="s">
        <v>729</v>
      </c>
      <c r="G33" s="23" t="s">
        <v>824</v>
      </c>
      <c r="H33" s="19">
        <v>0</v>
      </c>
      <c r="I33" s="14">
        <v>30</v>
      </c>
      <c r="J33" s="20">
        <v>30</v>
      </c>
      <c r="K33" s="77">
        <f t="shared" si="2"/>
        <v>100</v>
      </c>
      <c r="L33" s="20"/>
      <c r="M33" s="50"/>
      <c r="N33" s="50"/>
    </row>
    <row r="34" spans="1:14" ht="31.2" x14ac:dyDescent="0.3">
      <c r="A34" s="64" t="s">
        <v>1373</v>
      </c>
      <c r="B34" s="62" t="s">
        <v>912</v>
      </c>
      <c r="C34" s="83" t="s">
        <v>1372</v>
      </c>
      <c r="D34" s="83" t="s">
        <v>1477</v>
      </c>
      <c r="E34" s="45" t="s">
        <v>429</v>
      </c>
      <c r="F34" s="45"/>
      <c r="G34" s="23" t="s">
        <v>1140</v>
      </c>
      <c r="H34" s="19">
        <f t="shared" ref="H34:L34" si="18">H35</f>
        <v>1000.88</v>
      </c>
      <c r="I34" s="19">
        <f t="shared" si="18"/>
        <v>1000.8819999999999</v>
      </c>
      <c r="J34" s="19">
        <f t="shared" si="18"/>
        <v>1000.8819999999999</v>
      </c>
      <c r="K34" s="75">
        <f t="shared" si="2"/>
        <v>100</v>
      </c>
      <c r="L34" s="19">
        <f t="shared" si="18"/>
        <v>0</v>
      </c>
      <c r="M34" s="50"/>
      <c r="N34" s="50"/>
    </row>
    <row r="35" spans="1:14" x14ac:dyDescent="0.3">
      <c r="A35" s="64" t="s">
        <v>1373</v>
      </c>
      <c r="B35" s="62" t="s">
        <v>912</v>
      </c>
      <c r="C35" s="83" t="s">
        <v>1372</v>
      </c>
      <c r="D35" s="83" t="s">
        <v>1477</v>
      </c>
      <c r="E35" s="45" t="s">
        <v>430</v>
      </c>
      <c r="F35" s="45"/>
      <c r="G35" s="23" t="s">
        <v>1141</v>
      </c>
      <c r="H35" s="19">
        <f>H36+H39</f>
        <v>1000.88</v>
      </c>
      <c r="I35" s="19">
        <f t="shared" ref="I35:L35" si="19">I36+I39</f>
        <v>1000.8819999999999</v>
      </c>
      <c r="J35" s="19">
        <f t="shared" si="19"/>
        <v>1000.8819999999999</v>
      </c>
      <c r="K35" s="75">
        <f t="shared" si="2"/>
        <v>100</v>
      </c>
      <c r="L35" s="19">
        <f t="shared" si="19"/>
        <v>0</v>
      </c>
      <c r="M35" s="50"/>
      <c r="N35" s="50"/>
    </row>
    <row r="36" spans="1:14" ht="31.2" x14ac:dyDescent="0.3">
      <c r="A36" s="64" t="s">
        <v>1373</v>
      </c>
      <c r="B36" s="62" t="s">
        <v>912</v>
      </c>
      <c r="C36" s="83" t="s">
        <v>1372</v>
      </c>
      <c r="D36" s="83" t="s">
        <v>1477</v>
      </c>
      <c r="E36" s="45" t="s">
        <v>55</v>
      </c>
      <c r="F36" s="45"/>
      <c r="G36" s="31" t="s">
        <v>177</v>
      </c>
      <c r="H36" s="19">
        <f t="shared" ref="H36:L37" si="20">H37</f>
        <v>922.88</v>
      </c>
      <c r="I36" s="19">
        <f t="shared" si="20"/>
        <v>922.88199999999995</v>
      </c>
      <c r="J36" s="19">
        <f t="shared" si="20"/>
        <v>922.88199999999995</v>
      </c>
      <c r="K36" s="75">
        <f t="shared" si="2"/>
        <v>100</v>
      </c>
      <c r="L36" s="19">
        <f t="shared" si="20"/>
        <v>0</v>
      </c>
      <c r="M36" s="50"/>
      <c r="N36" s="50"/>
    </row>
    <row r="37" spans="1:14" x14ac:dyDescent="0.3">
      <c r="A37" s="64" t="s">
        <v>1373</v>
      </c>
      <c r="B37" s="62" t="s">
        <v>912</v>
      </c>
      <c r="C37" s="83" t="s">
        <v>1372</v>
      </c>
      <c r="D37" s="83" t="s">
        <v>1477</v>
      </c>
      <c r="E37" s="45" t="s">
        <v>55</v>
      </c>
      <c r="F37" s="45" t="s">
        <v>464</v>
      </c>
      <c r="G37" s="23" t="s">
        <v>822</v>
      </c>
      <c r="H37" s="19">
        <f t="shared" si="20"/>
        <v>922.88</v>
      </c>
      <c r="I37" s="19">
        <f t="shared" si="20"/>
        <v>922.88199999999995</v>
      </c>
      <c r="J37" s="19">
        <f t="shared" si="20"/>
        <v>922.88199999999995</v>
      </c>
      <c r="K37" s="75">
        <f t="shared" si="2"/>
        <v>100</v>
      </c>
      <c r="L37" s="19">
        <f t="shared" si="20"/>
        <v>0</v>
      </c>
      <c r="M37" s="50"/>
      <c r="N37" s="50"/>
    </row>
    <row r="38" spans="1:14" x14ac:dyDescent="0.3">
      <c r="A38" s="64" t="s">
        <v>1373</v>
      </c>
      <c r="B38" s="62" t="s">
        <v>912</v>
      </c>
      <c r="C38" s="83" t="s">
        <v>1372</v>
      </c>
      <c r="D38" s="83" t="s">
        <v>1477</v>
      </c>
      <c r="E38" s="45" t="s">
        <v>55</v>
      </c>
      <c r="F38" s="45" t="s">
        <v>729</v>
      </c>
      <c r="G38" s="23" t="s">
        <v>824</v>
      </c>
      <c r="H38" s="14">
        <f>963.4-40.52</f>
        <v>922.88</v>
      </c>
      <c r="I38" s="14">
        <v>922.88199999999995</v>
      </c>
      <c r="J38" s="19">
        <v>922.88199999999995</v>
      </c>
      <c r="K38" s="75">
        <f t="shared" si="2"/>
        <v>100</v>
      </c>
      <c r="L38" s="19"/>
      <c r="M38" s="50"/>
      <c r="N38" s="50"/>
    </row>
    <row r="39" spans="1:14" ht="46.8" x14ac:dyDescent="0.3">
      <c r="A39" s="64" t="s">
        <v>1373</v>
      </c>
      <c r="B39" s="62" t="s">
        <v>912</v>
      </c>
      <c r="C39" s="83" t="s">
        <v>1372</v>
      </c>
      <c r="D39" s="83" t="s">
        <v>1477</v>
      </c>
      <c r="E39" s="45" t="s">
        <v>1028</v>
      </c>
      <c r="F39" s="45"/>
      <c r="G39" s="23" t="s">
        <v>1029</v>
      </c>
      <c r="H39" s="14">
        <f>H40</f>
        <v>78</v>
      </c>
      <c r="I39" s="14">
        <f t="shared" ref="I39:L40" si="21">I40</f>
        <v>78</v>
      </c>
      <c r="J39" s="14">
        <f t="shared" si="21"/>
        <v>78</v>
      </c>
      <c r="K39" s="78">
        <f t="shared" si="2"/>
        <v>100</v>
      </c>
      <c r="L39" s="14">
        <f t="shared" si="21"/>
        <v>0</v>
      </c>
      <c r="M39" s="50"/>
      <c r="N39" s="50"/>
    </row>
    <row r="40" spans="1:14" ht="31.2" x14ac:dyDescent="0.3">
      <c r="A40" s="64" t="s">
        <v>1373</v>
      </c>
      <c r="B40" s="62" t="s">
        <v>912</v>
      </c>
      <c r="C40" s="83" t="s">
        <v>1372</v>
      </c>
      <c r="D40" s="83" t="s">
        <v>1477</v>
      </c>
      <c r="E40" s="45" t="s">
        <v>1028</v>
      </c>
      <c r="F40" s="45" t="s">
        <v>380</v>
      </c>
      <c r="G40" s="23" t="s">
        <v>809</v>
      </c>
      <c r="H40" s="14">
        <f>H41</f>
        <v>78</v>
      </c>
      <c r="I40" s="14">
        <f t="shared" si="21"/>
        <v>78</v>
      </c>
      <c r="J40" s="14">
        <f t="shared" si="21"/>
        <v>78</v>
      </c>
      <c r="K40" s="78">
        <f t="shared" si="2"/>
        <v>100</v>
      </c>
      <c r="L40" s="14">
        <f t="shared" si="21"/>
        <v>0</v>
      </c>
      <c r="M40" s="50"/>
      <c r="N40" s="50"/>
    </row>
    <row r="41" spans="1:14" ht="31.2" x14ac:dyDescent="0.3">
      <c r="A41" s="64" t="s">
        <v>1373</v>
      </c>
      <c r="B41" s="62" t="s">
        <v>912</v>
      </c>
      <c r="C41" s="83" t="s">
        <v>1372</v>
      </c>
      <c r="D41" s="83" t="s">
        <v>1477</v>
      </c>
      <c r="E41" s="45" t="s">
        <v>1028</v>
      </c>
      <c r="F41" s="8" t="s">
        <v>247</v>
      </c>
      <c r="G41" s="23" t="s">
        <v>810</v>
      </c>
      <c r="H41" s="14">
        <v>78</v>
      </c>
      <c r="I41" s="14">
        <v>78</v>
      </c>
      <c r="J41" s="19">
        <v>78</v>
      </c>
      <c r="K41" s="75">
        <f t="shared" si="2"/>
        <v>100</v>
      </c>
      <c r="L41" s="19"/>
      <c r="M41" s="50"/>
      <c r="N41" s="50"/>
    </row>
    <row r="42" spans="1:14" ht="31.2" x14ac:dyDescent="0.3">
      <c r="A42" s="64" t="s">
        <v>1373</v>
      </c>
      <c r="B42" s="62" t="s">
        <v>912</v>
      </c>
      <c r="C42" s="83" t="s">
        <v>1372</v>
      </c>
      <c r="D42" s="83" t="s">
        <v>1477</v>
      </c>
      <c r="E42" s="45" t="s">
        <v>343</v>
      </c>
      <c r="F42" s="45"/>
      <c r="G42" s="23" t="s">
        <v>1157</v>
      </c>
      <c r="H42" s="19">
        <f t="shared" ref="H42:L42" si="22">H43</f>
        <v>59646</v>
      </c>
      <c r="I42" s="19">
        <f t="shared" si="22"/>
        <v>59521.4</v>
      </c>
      <c r="J42" s="19">
        <f t="shared" si="22"/>
        <v>59478.216070000002</v>
      </c>
      <c r="K42" s="75">
        <f t="shared" si="2"/>
        <v>99.9274480606975</v>
      </c>
      <c r="L42" s="19">
        <f t="shared" si="22"/>
        <v>0</v>
      </c>
      <c r="M42" s="50"/>
      <c r="N42" s="50"/>
    </row>
    <row r="43" spans="1:14" x14ac:dyDescent="0.3">
      <c r="A43" s="64" t="s">
        <v>1373</v>
      </c>
      <c r="B43" s="62" t="s">
        <v>912</v>
      </c>
      <c r="C43" s="83" t="s">
        <v>1372</v>
      </c>
      <c r="D43" s="83" t="s">
        <v>1477</v>
      </c>
      <c r="E43" s="45" t="s">
        <v>344</v>
      </c>
      <c r="F43" s="45"/>
      <c r="G43" s="23" t="s">
        <v>1159</v>
      </c>
      <c r="H43" s="19">
        <f>H44+H47</f>
        <v>59646</v>
      </c>
      <c r="I43" s="19">
        <f>I44+I47</f>
        <v>59521.4</v>
      </c>
      <c r="J43" s="19">
        <f t="shared" ref="J43" si="23">J44+J47</f>
        <v>59478.216070000002</v>
      </c>
      <c r="K43" s="75">
        <f t="shared" si="2"/>
        <v>99.9274480606975</v>
      </c>
      <c r="L43" s="19">
        <f>L44+L47</f>
        <v>0</v>
      </c>
      <c r="M43" s="50"/>
      <c r="N43" s="50"/>
    </row>
    <row r="44" spans="1:14" ht="31.2" x14ac:dyDescent="0.3">
      <c r="A44" s="64" t="s">
        <v>1373</v>
      </c>
      <c r="B44" s="62" t="s">
        <v>912</v>
      </c>
      <c r="C44" s="83" t="s">
        <v>1372</v>
      </c>
      <c r="D44" s="83" t="s">
        <v>1477</v>
      </c>
      <c r="E44" s="45" t="s">
        <v>345</v>
      </c>
      <c r="F44" s="45"/>
      <c r="G44" s="23" t="s">
        <v>1152</v>
      </c>
      <c r="H44" s="19">
        <f t="shared" ref="H44:L45" si="24">H45</f>
        <v>55124.2</v>
      </c>
      <c r="I44" s="19">
        <f t="shared" si="24"/>
        <v>55453.050609999998</v>
      </c>
      <c r="J44" s="19">
        <f t="shared" si="24"/>
        <v>55452.493600000002</v>
      </c>
      <c r="K44" s="75">
        <f t="shared" si="2"/>
        <v>99.99899552866097</v>
      </c>
      <c r="L44" s="19">
        <f t="shared" si="24"/>
        <v>0</v>
      </c>
      <c r="M44" s="50"/>
      <c r="N44" s="50"/>
    </row>
    <row r="45" spans="1:14" ht="78" x14ac:dyDescent="0.3">
      <c r="A45" s="64" t="s">
        <v>1373</v>
      </c>
      <c r="B45" s="62" t="s">
        <v>912</v>
      </c>
      <c r="C45" s="83" t="s">
        <v>1372</v>
      </c>
      <c r="D45" s="83" t="s">
        <v>1477</v>
      </c>
      <c r="E45" s="45" t="s">
        <v>345</v>
      </c>
      <c r="F45" s="45" t="s">
        <v>431</v>
      </c>
      <c r="G45" s="23" t="s">
        <v>806</v>
      </c>
      <c r="H45" s="19">
        <f t="shared" si="24"/>
        <v>55124.2</v>
      </c>
      <c r="I45" s="19">
        <f t="shared" si="24"/>
        <v>55453.050609999998</v>
      </c>
      <c r="J45" s="19">
        <f t="shared" si="24"/>
        <v>55452.493600000002</v>
      </c>
      <c r="K45" s="75">
        <f t="shared" si="2"/>
        <v>99.99899552866097</v>
      </c>
      <c r="L45" s="19">
        <f t="shared" si="24"/>
        <v>0</v>
      </c>
      <c r="M45" s="50"/>
      <c r="N45" s="50"/>
    </row>
    <row r="46" spans="1:14" ht="31.2" x14ac:dyDescent="0.3">
      <c r="A46" s="64" t="s">
        <v>1373</v>
      </c>
      <c r="B46" s="62" t="s">
        <v>912</v>
      </c>
      <c r="C46" s="83" t="s">
        <v>1372</v>
      </c>
      <c r="D46" s="83" t="s">
        <v>1477</v>
      </c>
      <c r="E46" s="45" t="s">
        <v>345</v>
      </c>
      <c r="F46" s="45" t="s">
        <v>233</v>
      </c>
      <c r="G46" s="23" t="s">
        <v>808</v>
      </c>
      <c r="H46" s="14">
        <v>55124.2</v>
      </c>
      <c r="I46" s="14">
        <v>55453.050609999998</v>
      </c>
      <c r="J46" s="19">
        <v>55452.493600000002</v>
      </c>
      <c r="K46" s="75">
        <f t="shared" si="2"/>
        <v>99.99899552866097</v>
      </c>
      <c r="L46" s="19"/>
      <c r="M46" s="50"/>
      <c r="N46" s="50"/>
    </row>
    <row r="47" spans="1:14" ht="31.2" x14ac:dyDescent="0.3">
      <c r="A47" s="64" t="s">
        <v>1373</v>
      </c>
      <c r="B47" s="62" t="s">
        <v>912</v>
      </c>
      <c r="C47" s="83" t="s">
        <v>1372</v>
      </c>
      <c r="D47" s="83" t="s">
        <v>1477</v>
      </c>
      <c r="E47" s="45" t="s">
        <v>346</v>
      </c>
      <c r="F47" s="45"/>
      <c r="G47" s="23" t="s">
        <v>1154</v>
      </c>
      <c r="H47" s="19">
        <f>H48+H50+H52</f>
        <v>4521.8</v>
      </c>
      <c r="I47" s="19">
        <f>I48+I50+I52</f>
        <v>4068.3493899999999</v>
      </c>
      <c r="J47" s="19">
        <f t="shared" ref="J47" si="25">J48+J50+J52</f>
        <v>4025.7224699999997</v>
      </c>
      <c r="K47" s="75">
        <f t="shared" si="2"/>
        <v>98.952230599840391</v>
      </c>
      <c r="L47" s="19">
        <f>L48+L50+L52</f>
        <v>0</v>
      </c>
      <c r="M47" s="50"/>
      <c r="N47" s="50"/>
    </row>
    <row r="48" spans="1:14" ht="78" x14ac:dyDescent="0.3">
      <c r="A48" s="64" t="s">
        <v>1373</v>
      </c>
      <c r="B48" s="62" t="s">
        <v>912</v>
      </c>
      <c r="C48" s="83" t="s">
        <v>1372</v>
      </c>
      <c r="D48" s="83" t="s">
        <v>1477</v>
      </c>
      <c r="E48" s="45" t="s">
        <v>346</v>
      </c>
      <c r="F48" s="45" t="s">
        <v>431</v>
      </c>
      <c r="G48" s="23" t="s">
        <v>806</v>
      </c>
      <c r="H48" s="19">
        <f t="shared" ref="H48:L48" si="26">H49</f>
        <v>74.3</v>
      </c>
      <c r="I48" s="19">
        <f t="shared" si="26"/>
        <v>77.003100000000003</v>
      </c>
      <c r="J48" s="19">
        <f t="shared" si="26"/>
        <v>77.003100000000003</v>
      </c>
      <c r="K48" s="75">
        <f t="shared" si="2"/>
        <v>100</v>
      </c>
      <c r="L48" s="19">
        <f t="shared" si="26"/>
        <v>0</v>
      </c>
      <c r="M48" s="50"/>
      <c r="N48" s="50"/>
    </row>
    <row r="49" spans="1:14" ht="31.2" x14ac:dyDescent="0.3">
      <c r="A49" s="64" t="s">
        <v>1373</v>
      </c>
      <c r="B49" s="62" t="s">
        <v>912</v>
      </c>
      <c r="C49" s="83" t="s">
        <v>1372</v>
      </c>
      <c r="D49" s="83" t="s">
        <v>1477</v>
      </c>
      <c r="E49" s="45" t="s">
        <v>346</v>
      </c>
      <c r="F49" s="45" t="s">
        <v>233</v>
      </c>
      <c r="G49" s="23" t="s">
        <v>808</v>
      </c>
      <c r="H49" s="14">
        <v>74.3</v>
      </c>
      <c r="I49" s="14">
        <v>77.003100000000003</v>
      </c>
      <c r="J49" s="19">
        <v>77.003100000000003</v>
      </c>
      <c r="K49" s="75">
        <f t="shared" si="2"/>
        <v>100</v>
      </c>
      <c r="L49" s="19"/>
      <c r="M49" s="50"/>
      <c r="N49" s="50"/>
    </row>
    <row r="50" spans="1:14" ht="31.2" x14ac:dyDescent="0.3">
      <c r="A50" s="64" t="s">
        <v>1373</v>
      </c>
      <c r="B50" s="62" t="s">
        <v>912</v>
      </c>
      <c r="C50" s="83" t="s">
        <v>1372</v>
      </c>
      <c r="D50" s="83" t="s">
        <v>1477</v>
      </c>
      <c r="E50" s="45" t="s">
        <v>346</v>
      </c>
      <c r="F50" s="45" t="s">
        <v>380</v>
      </c>
      <c r="G50" s="23" t="s">
        <v>809</v>
      </c>
      <c r="H50" s="19">
        <f t="shared" ref="H50:L50" si="27">H51</f>
        <v>4437.3</v>
      </c>
      <c r="I50" s="19">
        <f t="shared" si="27"/>
        <v>3788.7822900000001</v>
      </c>
      <c r="J50" s="19">
        <f t="shared" si="27"/>
        <v>3746.1553699999999</v>
      </c>
      <c r="K50" s="75">
        <f t="shared" si="2"/>
        <v>98.874917671767307</v>
      </c>
      <c r="L50" s="19">
        <f t="shared" si="27"/>
        <v>0</v>
      </c>
      <c r="M50" s="50"/>
      <c r="N50" s="50"/>
    </row>
    <row r="51" spans="1:14" ht="31.2" x14ac:dyDescent="0.3">
      <c r="A51" s="64" t="s">
        <v>1373</v>
      </c>
      <c r="B51" s="62" t="s">
        <v>912</v>
      </c>
      <c r="C51" s="83" t="s">
        <v>1372</v>
      </c>
      <c r="D51" s="83" t="s">
        <v>1477</v>
      </c>
      <c r="E51" s="45" t="s">
        <v>346</v>
      </c>
      <c r="F51" s="8" t="s">
        <v>247</v>
      </c>
      <c r="G51" s="23" t="s">
        <v>810</v>
      </c>
      <c r="H51" s="14">
        <v>4437.3</v>
      </c>
      <c r="I51" s="14">
        <v>3788.7822900000001</v>
      </c>
      <c r="J51" s="19">
        <v>3746.1553699999999</v>
      </c>
      <c r="K51" s="75">
        <f t="shared" si="2"/>
        <v>98.874917671767307</v>
      </c>
      <c r="L51" s="19"/>
      <c r="M51" s="50"/>
      <c r="N51" s="50"/>
    </row>
    <row r="52" spans="1:14" x14ac:dyDescent="0.3">
      <c r="A52" s="64" t="s">
        <v>1373</v>
      </c>
      <c r="B52" s="62" t="s">
        <v>912</v>
      </c>
      <c r="C52" s="83" t="s">
        <v>1372</v>
      </c>
      <c r="D52" s="83" t="s">
        <v>1477</v>
      </c>
      <c r="E52" s="45" t="s">
        <v>346</v>
      </c>
      <c r="F52" s="45" t="s">
        <v>464</v>
      </c>
      <c r="G52" s="23" t="s">
        <v>822</v>
      </c>
      <c r="H52" s="19">
        <f t="shared" ref="H52:L52" si="28">H53</f>
        <v>10.199999999999999</v>
      </c>
      <c r="I52" s="19">
        <f t="shared" si="28"/>
        <v>202.56399999999999</v>
      </c>
      <c r="J52" s="19">
        <f t="shared" si="28"/>
        <v>202.56399999999999</v>
      </c>
      <c r="K52" s="75">
        <f t="shared" si="2"/>
        <v>100</v>
      </c>
      <c r="L52" s="19">
        <f t="shared" si="28"/>
        <v>0</v>
      </c>
      <c r="M52" s="50"/>
      <c r="N52" s="50"/>
    </row>
    <row r="53" spans="1:14" x14ac:dyDescent="0.3">
      <c r="A53" s="64" t="s">
        <v>1373</v>
      </c>
      <c r="B53" s="62" t="s">
        <v>912</v>
      </c>
      <c r="C53" s="83" t="s">
        <v>1372</v>
      </c>
      <c r="D53" s="83" t="s">
        <v>1477</v>
      </c>
      <c r="E53" s="45" t="s">
        <v>346</v>
      </c>
      <c r="F53" s="45" t="s">
        <v>729</v>
      </c>
      <c r="G53" s="23" t="s">
        <v>824</v>
      </c>
      <c r="H53" s="14">
        <v>10.199999999999999</v>
      </c>
      <c r="I53" s="14">
        <v>202.56399999999999</v>
      </c>
      <c r="J53" s="20">
        <v>202.56399999999999</v>
      </c>
      <c r="K53" s="77">
        <f t="shared" si="2"/>
        <v>100</v>
      </c>
      <c r="L53" s="20"/>
      <c r="M53" s="50"/>
      <c r="N53" s="50"/>
    </row>
    <row r="54" spans="1:14" ht="46.8" x14ac:dyDescent="0.3">
      <c r="A54" s="64" t="s">
        <v>1373</v>
      </c>
      <c r="B54" s="62" t="s">
        <v>912</v>
      </c>
      <c r="C54" s="83" t="s">
        <v>1372</v>
      </c>
      <c r="D54" s="83" t="s">
        <v>1477</v>
      </c>
      <c r="E54" s="45" t="s">
        <v>493</v>
      </c>
      <c r="F54" s="45"/>
      <c r="G54" s="23" t="s">
        <v>1160</v>
      </c>
      <c r="H54" s="14">
        <f t="shared" ref="H54:I57" si="29">H55</f>
        <v>0</v>
      </c>
      <c r="I54" s="14">
        <f t="shared" si="29"/>
        <v>12577.26468</v>
      </c>
      <c r="J54" s="14">
        <f t="shared" ref="J54:L57" si="30">J55</f>
        <v>12577.26468</v>
      </c>
      <c r="K54" s="78">
        <f t="shared" si="2"/>
        <v>100</v>
      </c>
      <c r="L54" s="14">
        <f t="shared" si="30"/>
        <v>0</v>
      </c>
      <c r="M54" s="50"/>
      <c r="N54" s="50"/>
    </row>
    <row r="55" spans="1:14" ht="31.2" x14ac:dyDescent="0.3">
      <c r="A55" s="64" t="s">
        <v>1373</v>
      </c>
      <c r="B55" s="62" t="s">
        <v>912</v>
      </c>
      <c r="C55" s="83" t="s">
        <v>1372</v>
      </c>
      <c r="D55" s="83" t="s">
        <v>1477</v>
      </c>
      <c r="E55" s="45" t="s">
        <v>494</v>
      </c>
      <c r="F55" s="45"/>
      <c r="G55" s="23" t="s">
        <v>1161</v>
      </c>
      <c r="H55" s="14">
        <f t="shared" si="29"/>
        <v>0</v>
      </c>
      <c r="I55" s="14">
        <f t="shared" si="29"/>
        <v>12577.26468</v>
      </c>
      <c r="J55" s="14">
        <f t="shared" si="30"/>
        <v>12577.26468</v>
      </c>
      <c r="K55" s="78">
        <f t="shared" si="2"/>
        <v>100</v>
      </c>
      <c r="L55" s="14">
        <f t="shared" si="30"/>
        <v>0</v>
      </c>
      <c r="M55" s="50"/>
      <c r="N55" s="50"/>
    </row>
    <row r="56" spans="1:14" ht="31.2" x14ac:dyDescent="0.3">
      <c r="A56" s="64" t="s">
        <v>1373</v>
      </c>
      <c r="B56" s="62" t="s">
        <v>912</v>
      </c>
      <c r="C56" s="83" t="s">
        <v>1372</v>
      </c>
      <c r="D56" s="83" t="s">
        <v>1477</v>
      </c>
      <c r="E56" s="45" t="s">
        <v>495</v>
      </c>
      <c r="F56" s="45"/>
      <c r="G56" s="23" t="s">
        <v>687</v>
      </c>
      <c r="H56" s="14">
        <f t="shared" si="29"/>
        <v>0</v>
      </c>
      <c r="I56" s="14">
        <f t="shared" si="29"/>
        <v>12577.26468</v>
      </c>
      <c r="J56" s="14">
        <f t="shared" si="30"/>
        <v>12577.26468</v>
      </c>
      <c r="K56" s="78">
        <f t="shared" si="2"/>
        <v>100</v>
      </c>
      <c r="L56" s="14">
        <f t="shared" si="30"/>
        <v>0</v>
      </c>
      <c r="M56" s="50"/>
      <c r="N56" s="50"/>
    </row>
    <row r="57" spans="1:14" x14ac:dyDescent="0.3">
      <c r="A57" s="64" t="s">
        <v>1373</v>
      </c>
      <c r="B57" s="62" t="s">
        <v>912</v>
      </c>
      <c r="C57" s="83" t="s">
        <v>1372</v>
      </c>
      <c r="D57" s="83" t="s">
        <v>1477</v>
      </c>
      <c r="E57" s="45" t="s">
        <v>495</v>
      </c>
      <c r="F57" s="45" t="s">
        <v>464</v>
      </c>
      <c r="G57" s="23" t="s">
        <v>822</v>
      </c>
      <c r="H57" s="14">
        <f t="shared" si="29"/>
        <v>0</v>
      </c>
      <c r="I57" s="14">
        <f t="shared" si="29"/>
        <v>12577.26468</v>
      </c>
      <c r="J57" s="14">
        <f t="shared" si="30"/>
        <v>12577.26468</v>
      </c>
      <c r="K57" s="78">
        <f t="shared" si="2"/>
        <v>100</v>
      </c>
      <c r="L57" s="14">
        <f t="shared" si="30"/>
        <v>0</v>
      </c>
      <c r="M57" s="50"/>
      <c r="N57" s="50"/>
    </row>
    <row r="58" spans="1:14" x14ac:dyDescent="0.3">
      <c r="A58" s="64" t="s">
        <v>1373</v>
      </c>
      <c r="B58" s="62" t="s">
        <v>912</v>
      </c>
      <c r="C58" s="83" t="s">
        <v>1372</v>
      </c>
      <c r="D58" s="83" t="s">
        <v>1477</v>
      </c>
      <c r="E58" s="45" t="s">
        <v>495</v>
      </c>
      <c r="F58" s="45" t="s">
        <v>728</v>
      </c>
      <c r="G58" s="23" t="s">
        <v>823</v>
      </c>
      <c r="H58" s="20">
        <v>0</v>
      </c>
      <c r="I58" s="20">
        <v>12577.26468</v>
      </c>
      <c r="J58" s="20">
        <v>12577.26468</v>
      </c>
      <c r="K58" s="77">
        <f t="shared" si="2"/>
        <v>100</v>
      </c>
      <c r="L58" s="20"/>
      <c r="M58" s="50"/>
      <c r="N58" s="50"/>
    </row>
    <row r="59" spans="1:14" s="3" customFormat="1" x14ac:dyDescent="0.3">
      <c r="A59" s="4" t="s">
        <v>1373</v>
      </c>
      <c r="B59" s="4" t="s">
        <v>1386</v>
      </c>
      <c r="C59" s="26" t="s">
        <v>1386</v>
      </c>
      <c r="D59" s="26" t="s">
        <v>915</v>
      </c>
      <c r="E59" s="26"/>
      <c r="F59" s="26"/>
      <c r="G59" s="27" t="s">
        <v>1388</v>
      </c>
      <c r="H59" s="28">
        <f t="shared" ref="H59:H68" si="31">H60</f>
        <v>350000</v>
      </c>
      <c r="I59" s="28">
        <f t="shared" ref="I59:L68" si="32">I60</f>
        <v>793500</v>
      </c>
      <c r="J59" s="28">
        <f t="shared" si="32"/>
        <v>0</v>
      </c>
      <c r="K59" s="79">
        <f t="shared" si="2"/>
        <v>0</v>
      </c>
      <c r="L59" s="28">
        <f t="shared" si="32"/>
        <v>0</v>
      </c>
      <c r="M59" s="65"/>
      <c r="N59" s="65"/>
    </row>
    <row r="60" spans="1:14" x14ac:dyDescent="0.3">
      <c r="A60" s="64" t="s">
        <v>1373</v>
      </c>
      <c r="B60" s="64" t="s">
        <v>942</v>
      </c>
      <c r="C60" s="84" t="s">
        <v>1386</v>
      </c>
      <c r="D60" s="84" t="s">
        <v>1402</v>
      </c>
      <c r="E60" s="52"/>
      <c r="F60" s="52"/>
      <c r="G60" s="53" t="s">
        <v>1450</v>
      </c>
      <c r="H60" s="20">
        <f t="shared" si="31"/>
        <v>350000</v>
      </c>
      <c r="I60" s="20">
        <f t="shared" si="32"/>
        <v>793500</v>
      </c>
      <c r="J60" s="20">
        <f t="shared" si="32"/>
        <v>0</v>
      </c>
      <c r="K60" s="77">
        <f t="shared" si="2"/>
        <v>0</v>
      </c>
      <c r="L60" s="20">
        <f t="shared" si="32"/>
        <v>0</v>
      </c>
      <c r="M60" s="65"/>
      <c r="N60" s="65"/>
    </row>
    <row r="61" spans="1:14" ht="62.4" x14ac:dyDescent="0.3">
      <c r="A61" s="64" t="s">
        <v>1373</v>
      </c>
      <c r="B61" s="64" t="s">
        <v>942</v>
      </c>
      <c r="C61" s="69" t="s">
        <v>1386</v>
      </c>
      <c r="D61" s="69" t="s">
        <v>1402</v>
      </c>
      <c r="E61" s="8" t="s">
        <v>361</v>
      </c>
      <c r="F61" s="54"/>
      <c r="G61" s="55" t="s">
        <v>1191</v>
      </c>
      <c r="H61" s="20">
        <f t="shared" si="31"/>
        <v>350000</v>
      </c>
      <c r="I61" s="20">
        <f t="shared" si="32"/>
        <v>793500</v>
      </c>
      <c r="J61" s="20">
        <f t="shared" si="32"/>
        <v>0</v>
      </c>
      <c r="K61" s="77">
        <f t="shared" si="2"/>
        <v>0</v>
      </c>
      <c r="L61" s="20">
        <f t="shared" si="32"/>
        <v>0</v>
      </c>
      <c r="M61" s="50"/>
      <c r="N61" s="50"/>
    </row>
    <row r="62" spans="1:14" ht="46.8" x14ac:dyDescent="0.3">
      <c r="A62" s="64" t="s">
        <v>1373</v>
      </c>
      <c r="B62" s="64" t="s">
        <v>942</v>
      </c>
      <c r="C62" s="69" t="s">
        <v>1386</v>
      </c>
      <c r="D62" s="69" t="s">
        <v>1402</v>
      </c>
      <c r="E62" s="8" t="s">
        <v>362</v>
      </c>
      <c r="F62" s="54"/>
      <c r="G62" s="55" t="s">
        <v>1209</v>
      </c>
      <c r="H62" s="20">
        <f t="shared" si="31"/>
        <v>350000</v>
      </c>
      <c r="I62" s="20">
        <f t="shared" si="32"/>
        <v>793500</v>
      </c>
      <c r="J62" s="20">
        <f t="shared" si="32"/>
        <v>0</v>
      </c>
      <c r="K62" s="77">
        <f t="shared" si="2"/>
        <v>0</v>
      </c>
      <c r="L62" s="20">
        <f t="shared" si="32"/>
        <v>0</v>
      </c>
      <c r="M62" s="50"/>
      <c r="N62" s="50"/>
    </row>
    <row r="63" spans="1:14" ht="46.8" x14ac:dyDescent="0.3">
      <c r="A63" s="64" t="s">
        <v>1373</v>
      </c>
      <c r="B63" s="64" t="s">
        <v>942</v>
      </c>
      <c r="C63" s="69" t="s">
        <v>1386</v>
      </c>
      <c r="D63" s="69" t="s">
        <v>1402</v>
      </c>
      <c r="E63" s="8" t="s">
        <v>1030</v>
      </c>
      <c r="F63" s="54"/>
      <c r="G63" s="55" t="s">
        <v>1031</v>
      </c>
      <c r="H63" s="20">
        <f>H67+H64</f>
        <v>350000</v>
      </c>
      <c r="I63" s="20">
        <f t="shared" ref="I63:L63" si="33">I67+I64</f>
        <v>793500</v>
      </c>
      <c r="J63" s="20">
        <f t="shared" si="33"/>
        <v>0</v>
      </c>
      <c r="K63" s="77">
        <f t="shared" si="2"/>
        <v>0</v>
      </c>
      <c r="L63" s="20">
        <f t="shared" si="33"/>
        <v>0</v>
      </c>
      <c r="M63" s="50"/>
      <c r="N63" s="50"/>
    </row>
    <row r="64" spans="1:14" ht="46.8" x14ac:dyDescent="0.3">
      <c r="A64" s="64" t="s">
        <v>1373</v>
      </c>
      <c r="B64" s="64" t="s">
        <v>942</v>
      </c>
      <c r="C64" s="69" t="s">
        <v>1386</v>
      </c>
      <c r="D64" s="69" t="s">
        <v>1402</v>
      </c>
      <c r="E64" s="8" t="s">
        <v>15</v>
      </c>
      <c r="F64" s="54"/>
      <c r="G64" s="55" t="s">
        <v>16</v>
      </c>
      <c r="H64" s="20">
        <f>H65</f>
        <v>0</v>
      </c>
      <c r="I64" s="20">
        <f t="shared" ref="I64:L65" si="34">I65</f>
        <v>443500</v>
      </c>
      <c r="J64" s="20">
        <f t="shared" si="34"/>
        <v>0</v>
      </c>
      <c r="K64" s="77">
        <f t="shared" si="2"/>
        <v>0</v>
      </c>
      <c r="L64" s="20">
        <f t="shared" si="34"/>
        <v>0</v>
      </c>
      <c r="M64" s="50"/>
      <c r="N64" s="50"/>
    </row>
    <row r="65" spans="1:14" ht="31.2" x14ac:dyDescent="0.3">
      <c r="A65" s="64" t="s">
        <v>1373</v>
      </c>
      <c r="B65" s="64" t="s">
        <v>942</v>
      </c>
      <c r="C65" s="69" t="s">
        <v>1386</v>
      </c>
      <c r="D65" s="69" t="s">
        <v>1402</v>
      </c>
      <c r="E65" s="8" t="s">
        <v>15</v>
      </c>
      <c r="F65" s="45" t="s">
        <v>380</v>
      </c>
      <c r="G65" s="55" t="s">
        <v>809</v>
      </c>
      <c r="H65" s="20">
        <f>H66</f>
        <v>0</v>
      </c>
      <c r="I65" s="20">
        <f t="shared" si="34"/>
        <v>443500</v>
      </c>
      <c r="J65" s="20">
        <f t="shared" si="34"/>
        <v>0</v>
      </c>
      <c r="K65" s="77">
        <f t="shared" si="2"/>
        <v>0</v>
      </c>
      <c r="L65" s="20">
        <f t="shared" si="34"/>
        <v>0</v>
      </c>
      <c r="M65" s="50"/>
      <c r="N65" s="50"/>
    </row>
    <row r="66" spans="1:14" ht="31.2" x14ac:dyDescent="0.3">
      <c r="A66" s="64" t="s">
        <v>1373</v>
      </c>
      <c r="B66" s="64" t="s">
        <v>942</v>
      </c>
      <c r="C66" s="69" t="s">
        <v>1386</v>
      </c>
      <c r="D66" s="69" t="s">
        <v>1402</v>
      </c>
      <c r="E66" s="8" t="s">
        <v>15</v>
      </c>
      <c r="F66" s="8" t="s">
        <v>247</v>
      </c>
      <c r="G66" s="55" t="s">
        <v>810</v>
      </c>
      <c r="H66" s="20">
        <v>0</v>
      </c>
      <c r="I66" s="20">
        <v>443500</v>
      </c>
      <c r="J66" s="19">
        <v>0</v>
      </c>
      <c r="K66" s="75">
        <f t="shared" si="2"/>
        <v>0</v>
      </c>
      <c r="L66" s="20"/>
      <c r="M66" s="50"/>
      <c r="N66" s="50"/>
    </row>
    <row r="67" spans="1:14" ht="31.2" x14ac:dyDescent="0.3">
      <c r="A67" s="64" t="s">
        <v>1373</v>
      </c>
      <c r="B67" s="64" t="s">
        <v>942</v>
      </c>
      <c r="C67" s="69" t="s">
        <v>1386</v>
      </c>
      <c r="D67" s="69" t="s">
        <v>1402</v>
      </c>
      <c r="E67" s="64" t="s">
        <v>1032</v>
      </c>
      <c r="F67" s="54"/>
      <c r="G67" s="55" t="s">
        <v>1033</v>
      </c>
      <c r="H67" s="20">
        <f t="shared" si="31"/>
        <v>350000</v>
      </c>
      <c r="I67" s="20">
        <f t="shared" si="32"/>
        <v>350000</v>
      </c>
      <c r="J67" s="20">
        <f t="shared" si="32"/>
        <v>0</v>
      </c>
      <c r="K67" s="77">
        <f t="shared" si="2"/>
        <v>0</v>
      </c>
      <c r="L67" s="20">
        <f t="shared" si="32"/>
        <v>0</v>
      </c>
      <c r="M67" s="50"/>
      <c r="N67" s="50"/>
    </row>
    <row r="68" spans="1:14" ht="31.2" x14ac:dyDescent="0.3">
      <c r="A68" s="64" t="s">
        <v>1373</v>
      </c>
      <c r="B68" s="64" t="s">
        <v>942</v>
      </c>
      <c r="C68" s="69" t="s">
        <v>1386</v>
      </c>
      <c r="D68" s="69" t="s">
        <v>1402</v>
      </c>
      <c r="E68" s="64" t="s">
        <v>1032</v>
      </c>
      <c r="F68" s="45" t="s">
        <v>380</v>
      </c>
      <c r="G68" s="55" t="s">
        <v>809</v>
      </c>
      <c r="H68" s="20">
        <f t="shared" si="31"/>
        <v>350000</v>
      </c>
      <c r="I68" s="20">
        <f t="shared" si="32"/>
        <v>350000</v>
      </c>
      <c r="J68" s="20">
        <f t="shared" si="32"/>
        <v>0</v>
      </c>
      <c r="K68" s="77">
        <f t="shared" si="2"/>
        <v>0</v>
      </c>
      <c r="L68" s="20">
        <f t="shared" si="32"/>
        <v>0</v>
      </c>
      <c r="M68" s="50"/>
      <c r="N68" s="50"/>
    </row>
    <row r="69" spans="1:14" ht="31.2" x14ac:dyDescent="0.3">
      <c r="A69" s="64" t="s">
        <v>1373</v>
      </c>
      <c r="B69" s="64" t="s">
        <v>942</v>
      </c>
      <c r="C69" s="69" t="s">
        <v>1386</v>
      </c>
      <c r="D69" s="69" t="s">
        <v>1402</v>
      </c>
      <c r="E69" s="64" t="s">
        <v>1032</v>
      </c>
      <c r="F69" s="8" t="s">
        <v>247</v>
      </c>
      <c r="G69" s="55" t="s">
        <v>810</v>
      </c>
      <c r="H69" s="20">
        <v>350000</v>
      </c>
      <c r="I69" s="20">
        <v>350000</v>
      </c>
      <c r="J69" s="19">
        <v>0</v>
      </c>
      <c r="K69" s="75">
        <f t="shared" si="2"/>
        <v>0</v>
      </c>
      <c r="L69" s="20"/>
      <c r="M69" s="50"/>
      <c r="N69" s="50"/>
    </row>
    <row r="70" spans="1:14" s="3" customFormat="1" x14ac:dyDescent="0.3">
      <c r="A70" s="4" t="s">
        <v>1373</v>
      </c>
      <c r="B70" s="43" t="s">
        <v>1374</v>
      </c>
      <c r="C70" s="43" t="s">
        <v>1374</v>
      </c>
      <c r="D70" s="43" t="s">
        <v>915</v>
      </c>
      <c r="E70" s="10"/>
      <c r="F70" s="10"/>
      <c r="G70" s="5" t="s">
        <v>1378</v>
      </c>
      <c r="H70" s="21">
        <f t="shared" ref="H70:L70" si="35">H71+H99</f>
        <v>356986.42899999995</v>
      </c>
      <c r="I70" s="21">
        <f t="shared" si="35"/>
        <v>362516.48334999999</v>
      </c>
      <c r="J70" s="21">
        <f t="shared" si="35"/>
        <v>358630.05477000005</v>
      </c>
      <c r="K70" s="73">
        <f t="shared" si="2"/>
        <v>98.927930519438561</v>
      </c>
      <c r="L70" s="21">
        <f t="shared" si="35"/>
        <v>0</v>
      </c>
      <c r="M70" s="65"/>
      <c r="N70" s="65"/>
    </row>
    <row r="71" spans="1:14" s="9" customFormat="1" ht="18" customHeight="1" x14ac:dyDescent="0.3">
      <c r="A71" s="6" t="s">
        <v>1373</v>
      </c>
      <c r="B71" s="48" t="s">
        <v>913</v>
      </c>
      <c r="C71" s="48" t="s">
        <v>1374</v>
      </c>
      <c r="D71" s="48" t="s">
        <v>1372</v>
      </c>
      <c r="E71" s="11"/>
      <c r="F71" s="11"/>
      <c r="G71" s="7" t="s">
        <v>1379</v>
      </c>
      <c r="H71" s="22">
        <f t="shared" ref="H71:L73" si="36">H72</f>
        <v>356000.04699999996</v>
      </c>
      <c r="I71" s="22">
        <f t="shared" si="36"/>
        <v>356000.04658000002</v>
      </c>
      <c r="J71" s="22">
        <f t="shared" si="36"/>
        <v>353100.00000000006</v>
      </c>
      <c r="K71" s="74">
        <f t="shared" si="2"/>
        <v>99.185380280744354</v>
      </c>
      <c r="L71" s="22">
        <f t="shared" si="36"/>
        <v>0</v>
      </c>
      <c r="M71" s="65"/>
      <c r="N71" s="65"/>
    </row>
    <row r="72" spans="1:14" ht="31.2" x14ac:dyDescent="0.3">
      <c r="A72" s="64" t="s">
        <v>1373</v>
      </c>
      <c r="B72" s="62" t="s">
        <v>913</v>
      </c>
      <c r="C72" s="83" t="s">
        <v>1374</v>
      </c>
      <c r="D72" s="83" t="s">
        <v>1372</v>
      </c>
      <c r="E72" s="45" t="s">
        <v>461</v>
      </c>
      <c r="F72" s="45"/>
      <c r="G72" s="23" t="s">
        <v>1137</v>
      </c>
      <c r="H72" s="19">
        <f t="shared" si="36"/>
        <v>356000.04699999996</v>
      </c>
      <c r="I72" s="19">
        <f t="shared" si="36"/>
        <v>356000.04658000002</v>
      </c>
      <c r="J72" s="19">
        <f t="shared" si="36"/>
        <v>353100.00000000006</v>
      </c>
      <c r="K72" s="75">
        <f t="shared" ref="K72:K135" si="37">J72/I72*100</f>
        <v>99.185380280744354</v>
      </c>
      <c r="L72" s="19">
        <f t="shared" si="36"/>
        <v>0</v>
      </c>
      <c r="M72" s="50"/>
      <c r="N72" s="50"/>
    </row>
    <row r="73" spans="1:14" ht="31.2" x14ac:dyDescent="0.3">
      <c r="A73" s="64" t="s">
        <v>1373</v>
      </c>
      <c r="B73" s="62" t="s">
        <v>913</v>
      </c>
      <c r="C73" s="83" t="s">
        <v>1374</v>
      </c>
      <c r="D73" s="83" t="s">
        <v>1372</v>
      </c>
      <c r="E73" s="45" t="s">
        <v>462</v>
      </c>
      <c r="F73" s="45"/>
      <c r="G73" s="23" t="s">
        <v>1216</v>
      </c>
      <c r="H73" s="19">
        <f t="shared" si="36"/>
        <v>356000.04699999996</v>
      </c>
      <c r="I73" s="19">
        <f t="shared" si="36"/>
        <v>356000.04658000002</v>
      </c>
      <c r="J73" s="19">
        <f t="shared" si="36"/>
        <v>353100.00000000006</v>
      </c>
      <c r="K73" s="75">
        <f t="shared" si="37"/>
        <v>99.185380280744354</v>
      </c>
      <c r="L73" s="19">
        <f t="shared" si="36"/>
        <v>0</v>
      </c>
      <c r="M73" s="50"/>
      <c r="N73" s="50"/>
    </row>
    <row r="74" spans="1:14" ht="46.8" x14ac:dyDescent="0.3">
      <c r="A74" s="64" t="s">
        <v>1373</v>
      </c>
      <c r="B74" s="62" t="s">
        <v>913</v>
      </c>
      <c r="C74" s="83" t="s">
        <v>1374</v>
      </c>
      <c r="D74" s="83" t="s">
        <v>1372</v>
      </c>
      <c r="E74" s="45" t="s">
        <v>522</v>
      </c>
      <c r="F74" s="45"/>
      <c r="G74" s="23" t="s">
        <v>1138</v>
      </c>
      <c r="H74" s="19">
        <f>H78+H75+H81+H84+H87+H96+H90+H93</f>
        <v>356000.04699999996</v>
      </c>
      <c r="I74" s="19">
        <f t="shared" ref="I74:L74" si="38">I78+I75+I81+I84+I87+I96+I90+I93</f>
        <v>356000.04658000002</v>
      </c>
      <c r="J74" s="19">
        <f t="shared" si="38"/>
        <v>353100.00000000006</v>
      </c>
      <c r="K74" s="75">
        <f t="shared" si="37"/>
        <v>99.185380280744354</v>
      </c>
      <c r="L74" s="19">
        <f t="shared" si="38"/>
        <v>0</v>
      </c>
      <c r="M74" s="50"/>
      <c r="N74" s="50"/>
    </row>
    <row r="75" spans="1:14" ht="62.4" hidden="1" x14ac:dyDescent="0.3">
      <c r="A75" s="64" t="s">
        <v>1373</v>
      </c>
      <c r="B75" s="62" t="s">
        <v>913</v>
      </c>
      <c r="C75" s="83" t="s">
        <v>1374</v>
      </c>
      <c r="D75" s="83" t="s">
        <v>1372</v>
      </c>
      <c r="E75" s="45" t="s">
        <v>787</v>
      </c>
      <c r="F75" s="45"/>
      <c r="G75" s="32" t="s">
        <v>805</v>
      </c>
      <c r="H75" s="14">
        <f t="shared" ref="H75:L76" si="39">H76</f>
        <v>0</v>
      </c>
      <c r="I75" s="14">
        <f t="shared" si="39"/>
        <v>0</v>
      </c>
      <c r="J75" s="14">
        <f t="shared" si="39"/>
        <v>0</v>
      </c>
      <c r="K75" s="78" t="e">
        <f t="shared" si="37"/>
        <v>#DIV/0!</v>
      </c>
      <c r="L75" s="14">
        <f t="shared" si="39"/>
        <v>0</v>
      </c>
      <c r="M75" s="50">
        <v>111</v>
      </c>
      <c r="N75" s="50"/>
    </row>
    <row r="76" spans="1:14" ht="31.2" hidden="1" x14ac:dyDescent="0.3">
      <c r="A76" s="64" t="s">
        <v>1373</v>
      </c>
      <c r="B76" s="62" t="s">
        <v>913</v>
      </c>
      <c r="C76" s="83" t="s">
        <v>1374</v>
      </c>
      <c r="D76" s="83" t="s">
        <v>1372</v>
      </c>
      <c r="E76" s="45" t="s">
        <v>787</v>
      </c>
      <c r="F76" s="45" t="s">
        <v>478</v>
      </c>
      <c r="G76" s="23" t="s">
        <v>817</v>
      </c>
      <c r="H76" s="14">
        <f t="shared" si="39"/>
        <v>0</v>
      </c>
      <c r="I76" s="14">
        <f t="shared" si="39"/>
        <v>0</v>
      </c>
      <c r="J76" s="14">
        <f t="shared" si="39"/>
        <v>0</v>
      </c>
      <c r="K76" s="78" t="e">
        <f t="shared" si="37"/>
        <v>#DIV/0!</v>
      </c>
      <c r="L76" s="14">
        <f t="shared" si="39"/>
        <v>0</v>
      </c>
      <c r="M76" s="50">
        <v>111</v>
      </c>
      <c r="N76" s="50"/>
    </row>
    <row r="77" spans="1:14" hidden="1" x14ac:dyDescent="0.3">
      <c r="A77" s="64" t="s">
        <v>1373</v>
      </c>
      <c r="B77" s="62" t="s">
        <v>913</v>
      </c>
      <c r="C77" s="83" t="s">
        <v>1374</v>
      </c>
      <c r="D77" s="83" t="s">
        <v>1372</v>
      </c>
      <c r="E77" s="45" t="s">
        <v>787</v>
      </c>
      <c r="F77" s="45" t="s">
        <v>1273</v>
      </c>
      <c r="G77" s="23" t="s">
        <v>818</v>
      </c>
      <c r="H77" s="14">
        <v>0</v>
      </c>
      <c r="I77" s="14">
        <v>0</v>
      </c>
      <c r="J77" s="19">
        <v>0</v>
      </c>
      <c r="K77" s="75" t="e">
        <f t="shared" si="37"/>
        <v>#DIV/0!</v>
      </c>
      <c r="L77" s="19"/>
      <c r="M77" s="50">
        <v>111</v>
      </c>
      <c r="N77" s="50"/>
    </row>
    <row r="78" spans="1:14" ht="46.8" hidden="1" x14ac:dyDescent="0.3">
      <c r="A78" s="64" t="s">
        <v>1373</v>
      </c>
      <c r="B78" s="62" t="s">
        <v>913</v>
      </c>
      <c r="C78" s="83" t="s">
        <v>1374</v>
      </c>
      <c r="D78" s="83" t="s">
        <v>1372</v>
      </c>
      <c r="E78" s="45" t="s">
        <v>217</v>
      </c>
      <c r="F78" s="45"/>
      <c r="G78" s="23" t="s">
        <v>1346</v>
      </c>
      <c r="H78" s="19">
        <f t="shared" ref="H78:L79" si="40">H79</f>
        <v>0</v>
      </c>
      <c r="I78" s="19">
        <f t="shared" si="40"/>
        <v>0</v>
      </c>
      <c r="J78" s="19">
        <f t="shared" si="40"/>
        <v>0</v>
      </c>
      <c r="K78" s="75" t="e">
        <f t="shared" si="37"/>
        <v>#DIV/0!</v>
      </c>
      <c r="L78" s="19">
        <f t="shared" si="40"/>
        <v>0</v>
      </c>
      <c r="M78" s="50">
        <v>111</v>
      </c>
      <c r="N78" s="50"/>
    </row>
    <row r="79" spans="1:14" ht="31.2" hidden="1" x14ac:dyDescent="0.3">
      <c r="A79" s="64" t="s">
        <v>1373</v>
      </c>
      <c r="B79" s="62" t="s">
        <v>913</v>
      </c>
      <c r="C79" s="83" t="s">
        <v>1374</v>
      </c>
      <c r="D79" s="83" t="s">
        <v>1372</v>
      </c>
      <c r="E79" s="45" t="s">
        <v>217</v>
      </c>
      <c r="F79" s="45" t="s">
        <v>478</v>
      </c>
      <c r="G79" s="23" t="s">
        <v>817</v>
      </c>
      <c r="H79" s="19">
        <f t="shared" si="40"/>
        <v>0</v>
      </c>
      <c r="I79" s="19">
        <f t="shared" si="40"/>
        <v>0</v>
      </c>
      <c r="J79" s="19">
        <f t="shared" si="40"/>
        <v>0</v>
      </c>
      <c r="K79" s="75" t="e">
        <f t="shared" si="37"/>
        <v>#DIV/0!</v>
      </c>
      <c r="L79" s="19">
        <f t="shared" si="40"/>
        <v>0</v>
      </c>
      <c r="M79" s="50">
        <v>111</v>
      </c>
      <c r="N79" s="50"/>
    </row>
    <row r="80" spans="1:14" hidden="1" x14ac:dyDescent="0.3">
      <c r="A80" s="64" t="s">
        <v>1373</v>
      </c>
      <c r="B80" s="62" t="s">
        <v>913</v>
      </c>
      <c r="C80" s="83" t="s">
        <v>1374</v>
      </c>
      <c r="D80" s="83" t="s">
        <v>1372</v>
      </c>
      <c r="E80" s="45" t="s">
        <v>217</v>
      </c>
      <c r="F80" s="45" t="s">
        <v>1273</v>
      </c>
      <c r="G80" s="23" t="s">
        <v>818</v>
      </c>
      <c r="H80" s="14">
        <v>0</v>
      </c>
      <c r="I80" s="14">
        <v>0</v>
      </c>
      <c r="J80" s="19">
        <v>0</v>
      </c>
      <c r="K80" s="75" t="e">
        <f t="shared" si="37"/>
        <v>#DIV/0!</v>
      </c>
      <c r="L80" s="19"/>
      <c r="M80" s="50">
        <v>111</v>
      </c>
      <c r="N80" s="50"/>
    </row>
    <row r="81" spans="1:14" ht="31.2" hidden="1" x14ac:dyDescent="0.3">
      <c r="A81" s="64" t="s">
        <v>1373</v>
      </c>
      <c r="B81" s="62" t="s">
        <v>913</v>
      </c>
      <c r="C81" s="83" t="s">
        <v>1374</v>
      </c>
      <c r="D81" s="83" t="s">
        <v>1372</v>
      </c>
      <c r="E81" s="45" t="s">
        <v>992</v>
      </c>
      <c r="F81" s="45"/>
      <c r="G81" s="23" t="s">
        <v>993</v>
      </c>
      <c r="H81" s="20">
        <f>H82</f>
        <v>0</v>
      </c>
      <c r="I81" s="20">
        <f t="shared" ref="I81:L82" si="41">I82</f>
        <v>0</v>
      </c>
      <c r="J81" s="20">
        <f t="shared" si="41"/>
        <v>0</v>
      </c>
      <c r="K81" s="77" t="e">
        <f t="shared" si="37"/>
        <v>#DIV/0!</v>
      </c>
      <c r="L81" s="20">
        <f t="shared" si="41"/>
        <v>0</v>
      </c>
      <c r="M81" s="50">
        <v>111</v>
      </c>
      <c r="N81" s="50"/>
    </row>
    <row r="82" spans="1:14" ht="31.2" hidden="1" x14ac:dyDescent="0.3">
      <c r="A82" s="64" t="s">
        <v>1373</v>
      </c>
      <c r="B82" s="62" t="s">
        <v>913</v>
      </c>
      <c r="C82" s="83" t="s">
        <v>1374</v>
      </c>
      <c r="D82" s="83" t="s">
        <v>1372</v>
      </c>
      <c r="E82" s="45" t="s">
        <v>992</v>
      </c>
      <c r="F82" s="45" t="s">
        <v>478</v>
      </c>
      <c r="G82" s="23" t="s">
        <v>817</v>
      </c>
      <c r="H82" s="20">
        <f>H83</f>
        <v>0</v>
      </c>
      <c r="I82" s="20">
        <f t="shared" si="41"/>
        <v>0</v>
      </c>
      <c r="J82" s="20">
        <f t="shared" si="41"/>
        <v>0</v>
      </c>
      <c r="K82" s="77" t="e">
        <f t="shared" si="37"/>
        <v>#DIV/0!</v>
      </c>
      <c r="L82" s="20">
        <f t="shared" si="41"/>
        <v>0</v>
      </c>
      <c r="M82" s="50">
        <v>111</v>
      </c>
      <c r="N82" s="50"/>
    </row>
    <row r="83" spans="1:14" hidden="1" x14ac:dyDescent="0.3">
      <c r="A83" s="64" t="s">
        <v>1373</v>
      </c>
      <c r="B83" s="62" t="s">
        <v>913</v>
      </c>
      <c r="C83" s="83" t="s">
        <v>1374</v>
      </c>
      <c r="D83" s="83" t="s">
        <v>1372</v>
      </c>
      <c r="E83" s="45" t="s">
        <v>992</v>
      </c>
      <c r="F83" s="45" t="s">
        <v>1273</v>
      </c>
      <c r="G83" s="23" t="s">
        <v>818</v>
      </c>
      <c r="H83" s="20">
        <v>0</v>
      </c>
      <c r="I83" s="14">
        <v>0</v>
      </c>
      <c r="J83" s="20">
        <v>0</v>
      </c>
      <c r="K83" s="77" t="e">
        <f t="shared" si="37"/>
        <v>#DIV/0!</v>
      </c>
      <c r="L83" s="19"/>
      <c r="M83" s="50">
        <v>111</v>
      </c>
      <c r="N83" s="50"/>
    </row>
    <row r="84" spans="1:14" ht="62.4" hidden="1" x14ac:dyDescent="0.3">
      <c r="A84" s="64" t="s">
        <v>1373</v>
      </c>
      <c r="B84" s="62" t="s">
        <v>913</v>
      </c>
      <c r="C84" s="83" t="s">
        <v>1374</v>
      </c>
      <c r="D84" s="83" t="s">
        <v>1372</v>
      </c>
      <c r="E84" s="45" t="s">
        <v>994</v>
      </c>
      <c r="F84" s="45"/>
      <c r="G84" s="23" t="s">
        <v>805</v>
      </c>
      <c r="H84" s="20">
        <f>H85</f>
        <v>0</v>
      </c>
      <c r="I84" s="20">
        <f t="shared" ref="I84:L85" si="42">I85</f>
        <v>0</v>
      </c>
      <c r="J84" s="20">
        <f t="shared" si="42"/>
        <v>0</v>
      </c>
      <c r="K84" s="77" t="e">
        <f t="shared" si="37"/>
        <v>#DIV/0!</v>
      </c>
      <c r="L84" s="20">
        <f t="shared" si="42"/>
        <v>0</v>
      </c>
      <c r="M84" s="50">
        <v>111</v>
      </c>
      <c r="N84" s="50"/>
    </row>
    <row r="85" spans="1:14" ht="31.2" hidden="1" x14ac:dyDescent="0.3">
      <c r="A85" s="64" t="s">
        <v>1373</v>
      </c>
      <c r="B85" s="62" t="s">
        <v>913</v>
      </c>
      <c r="C85" s="83" t="s">
        <v>1374</v>
      </c>
      <c r="D85" s="83" t="s">
        <v>1372</v>
      </c>
      <c r="E85" s="45" t="s">
        <v>994</v>
      </c>
      <c r="F85" s="45" t="s">
        <v>478</v>
      </c>
      <c r="G85" s="23" t="s">
        <v>817</v>
      </c>
      <c r="H85" s="20">
        <f>H86</f>
        <v>0</v>
      </c>
      <c r="I85" s="20">
        <f t="shared" si="42"/>
        <v>0</v>
      </c>
      <c r="J85" s="20">
        <f t="shared" si="42"/>
        <v>0</v>
      </c>
      <c r="K85" s="77" t="e">
        <f t="shared" si="37"/>
        <v>#DIV/0!</v>
      </c>
      <c r="L85" s="20">
        <f t="shared" si="42"/>
        <v>0</v>
      </c>
      <c r="M85" s="50">
        <v>111</v>
      </c>
      <c r="N85" s="50"/>
    </row>
    <row r="86" spans="1:14" hidden="1" x14ac:dyDescent="0.3">
      <c r="A86" s="64" t="s">
        <v>1373</v>
      </c>
      <c r="B86" s="62" t="s">
        <v>913</v>
      </c>
      <c r="C86" s="83" t="s">
        <v>1374</v>
      </c>
      <c r="D86" s="83" t="s">
        <v>1372</v>
      </c>
      <c r="E86" s="45" t="s">
        <v>994</v>
      </c>
      <c r="F86" s="45" t="s">
        <v>1273</v>
      </c>
      <c r="G86" s="23" t="s">
        <v>818</v>
      </c>
      <c r="H86" s="20">
        <v>0</v>
      </c>
      <c r="I86" s="14">
        <v>0</v>
      </c>
      <c r="J86" s="20">
        <v>0</v>
      </c>
      <c r="K86" s="77" t="e">
        <f t="shared" si="37"/>
        <v>#DIV/0!</v>
      </c>
      <c r="L86" s="19"/>
      <c r="M86" s="50">
        <v>111</v>
      </c>
      <c r="N86" s="50"/>
    </row>
    <row r="87" spans="1:14" ht="78" x14ac:dyDescent="0.3">
      <c r="A87" s="64" t="s">
        <v>1373</v>
      </c>
      <c r="B87" s="62" t="s">
        <v>913</v>
      </c>
      <c r="C87" s="68" t="s">
        <v>1374</v>
      </c>
      <c r="D87" s="68" t="s">
        <v>1372</v>
      </c>
      <c r="E87" s="8" t="s">
        <v>1019</v>
      </c>
      <c r="F87" s="8"/>
      <c r="G87" s="13" t="s">
        <v>1020</v>
      </c>
      <c r="H87" s="20">
        <f>H88</f>
        <v>232464.11</v>
      </c>
      <c r="I87" s="20">
        <f t="shared" ref="I87:L88" si="43">I88</f>
        <v>232464.10959000001</v>
      </c>
      <c r="J87" s="20">
        <f t="shared" si="43"/>
        <v>232464.10959000001</v>
      </c>
      <c r="K87" s="77">
        <f t="shared" si="37"/>
        <v>100</v>
      </c>
      <c r="L87" s="20">
        <f t="shared" si="43"/>
        <v>0</v>
      </c>
      <c r="M87" s="50"/>
      <c r="N87" s="50"/>
    </row>
    <row r="88" spans="1:14" ht="31.2" x14ac:dyDescent="0.3">
      <c r="A88" s="64" t="s">
        <v>1373</v>
      </c>
      <c r="B88" s="62" t="s">
        <v>913</v>
      </c>
      <c r="C88" s="68" t="s">
        <v>1374</v>
      </c>
      <c r="D88" s="68" t="s">
        <v>1372</v>
      </c>
      <c r="E88" s="8" t="s">
        <v>1019</v>
      </c>
      <c r="F88" s="45" t="s">
        <v>478</v>
      </c>
      <c r="G88" s="23" t="s">
        <v>817</v>
      </c>
      <c r="H88" s="20">
        <f>H89</f>
        <v>232464.11</v>
      </c>
      <c r="I88" s="20">
        <f t="shared" si="43"/>
        <v>232464.10959000001</v>
      </c>
      <c r="J88" s="20">
        <f t="shared" si="43"/>
        <v>232464.10959000001</v>
      </c>
      <c r="K88" s="77">
        <f t="shared" si="37"/>
        <v>100</v>
      </c>
      <c r="L88" s="20">
        <f t="shared" si="43"/>
        <v>0</v>
      </c>
      <c r="M88" s="50"/>
      <c r="N88" s="50"/>
    </row>
    <row r="89" spans="1:14" x14ac:dyDescent="0.3">
      <c r="A89" s="64" t="s">
        <v>1373</v>
      </c>
      <c r="B89" s="62" t="s">
        <v>913</v>
      </c>
      <c r="C89" s="68" t="s">
        <v>1374</v>
      </c>
      <c r="D89" s="68" t="s">
        <v>1372</v>
      </c>
      <c r="E89" s="8" t="s">
        <v>1019</v>
      </c>
      <c r="F89" s="45" t="s">
        <v>1273</v>
      </c>
      <c r="G89" s="23" t="s">
        <v>818</v>
      </c>
      <c r="H89" s="19">
        <v>232464.11</v>
      </c>
      <c r="I89" s="20">
        <v>232464.10959000001</v>
      </c>
      <c r="J89" s="20">
        <v>232464.10959000001</v>
      </c>
      <c r="K89" s="77">
        <f t="shared" si="37"/>
        <v>100</v>
      </c>
      <c r="L89" s="20"/>
      <c r="M89" s="50"/>
      <c r="N89" s="50"/>
    </row>
    <row r="90" spans="1:14" ht="124.8" x14ac:dyDescent="0.3">
      <c r="A90" s="64" t="s">
        <v>1373</v>
      </c>
      <c r="B90" s="62" t="s">
        <v>913</v>
      </c>
      <c r="C90" s="83" t="s">
        <v>1374</v>
      </c>
      <c r="D90" s="83" t="s">
        <v>1372</v>
      </c>
      <c r="E90" s="45" t="s">
        <v>1034</v>
      </c>
      <c r="F90" s="45"/>
      <c r="G90" s="23" t="s">
        <v>0</v>
      </c>
      <c r="H90" s="44">
        <f>H91</f>
        <v>84062.74</v>
      </c>
      <c r="I90" s="44">
        <f t="shared" ref="I90:L91" si="44">I91</f>
        <v>84062.74</v>
      </c>
      <c r="J90" s="44">
        <f t="shared" si="44"/>
        <v>84062.74</v>
      </c>
      <c r="K90" s="76">
        <f t="shared" si="37"/>
        <v>100</v>
      </c>
      <c r="L90" s="44">
        <f t="shared" si="44"/>
        <v>0</v>
      </c>
      <c r="M90" s="50"/>
      <c r="N90" s="50"/>
    </row>
    <row r="91" spans="1:14" ht="31.2" x14ac:dyDescent="0.3">
      <c r="A91" s="64" t="s">
        <v>1373</v>
      </c>
      <c r="B91" s="62" t="s">
        <v>913</v>
      </c>
      <c r="C91" s="83" t="s">
        <v>1374</v>
      </c>
      <c r="D91" s="83" t="s">
        <v>1372</v>
      </c>
      <c r="E91" s="45" t="s">
        <v>1034</v>
      </c>
      <c r="F91" s="45" t="s">
        <v>478</v>
      </c>
      <c r="G91" s="23" t="s">
        <v>817</v>
      </c>
      <c r="H91" s="44">
        <f>H92</f>
        <v>84062.74</v>
      </c>
      <c r="I91" s="44">
        <f t="shared" si="44"/>
        <v>84062.74</v>
      </c>
      <c r="J91" s="44">
        <f t="shared" si="44"/>
        <v>84062.74</v>
      </c>
      <c r="K91" s="76">
        <f t="shared" si="37"/>
        <v>100</v>
      </c>
      <c r="L91" s="44">
        <f t="shared" si="44"/>
        <v>0</v>
      </c>
      <c r="M91" s="50"/>
      <c r="N91" s="50"/>
    </row>
    <row r="92" spans="1:14" x14ac:dyDescent="0.3">
      <c r="A92" s="64" t="s">
        <v>1373</v>
      </c>
      <c r="B92" s="62" t="s">
        <v>913</v>
      </c>
      <c r="C92" s="83" t="s">
        <v>1374</v>
      </c>
      <c r="D92" s="83" t="s">
        <v>1372</v>
      </c>
      <c r="E92" s="45" t="s">
        <v>1034</v>
      </c>
      <c r="F92" s="45" t="s">
        <v>1273</v>
      </c>
      <c r="G92" s="23" t="s">
        <v>818</v>
      </c>
      <c r="H92" s="44">
        <v>84062.74</v>
      </c>
      <c r="I92" s="44">
        <v>84062.74</v>
      </c>
      <c r="J92" s="44">
        <v>84062.74</v>
      </c>
      <c r="K92" s="76">
        <f t="shared" si="37"/>
        <v>100</v>
      </c>
      <c r="L92" s="44"/>
      <c r="M92" s="50"/>
      <c r="N92" s="50"/>
    </row>
    <row r="93" spans="1:14" ht="140.4" x14ac:dyDescent="0.3">
      <c r="A93" s="64" t="s">
        <v>1373</v>
      </c>
      <c r="B93" s="62" t="s">
        <v>913</v>
      </c>
      <c r="C93" s="83" t="s">
        <v>1374</v>
      </c>
      <c r="D93" s="83" t="s">
        <v>1372</v>
      </c>
      <c r="E93" s="45" t="s">
        <v>1</v>
      </c>
      <c r="F93" s="45"/>
      <c r="G93" s="23" t="s">
        <v>2</v>
      </c>
      <c r="H93" s="44">
        <f>H94</f>
        <v>39465.800000000003</v>
      </c>
      <c r="I93" s="44">
        <f t="shared" ref="I93:L94" si="45">I94</f>
        <v>39465.800000000003</v>
      </c>
      <c r="J93" s="44">
        <f t="shared" si="45"/>
        <v>36565.753420000001</v>
      </c>
      <c r="K93" s="76">
        <f t="shared" si="37"/>
        <v>92.651747639728569</v>
      </c>
      <c r="L93" s="44">
        <f t="shared" si="45"/>
        <v>0</v>
      </c>
      <c r="M93" s="50"/>
      <c r="N93" s="50"/>
    </row>
    <row r="94" spans="1:14" ht="31.2" x14ac:dyDescent="0.3">
      <c r="A94" s="64" t="s">
        <v>1373</v>
      </c>
      <c r="B94" s="62" t="s">
        <v>913</v>
      </c>
      <c r="C94" s="83" t="s">
        <v>1374</v>
      </c>
      <c r="D94" s="83" t="s">
        <v>1372</v>
      </c>
      <c r="E94" s="45" t="s">
        <v>1</v>
      </c>
      <c r="F94" s="45" t="s">
        <v>478</v>
      </c>
      <c r="G94" s="23" t="s">
        <v>817</v>
      </c>
      <c r="H94" s="44">
        <f>H95</f>
        <v>39465.800000000003</v>
      </c>
      <c r="I94" s="44">
        <f t="shared" si="45"/>
        <v>39465.800000000003</v>
      </c>
      <c r="J94" s="44">
        <f t="shared" si="45"/>
        <v>36565.753420000001</v>
      </c>
      <c r="K94" s="76">
        <f t="shared" si="37"/>
        <v>92.651747639728569</v>
      </c>
      <c r="L94" s="44">
        <f t="shared" si="45"/>
        <v>0</v>
      </c>
      <c r="M94" s="50"/>
      <c r="N94" s="50"/>
    </row>
    <row r="95" spans="1:14" x14ac:dyDescent="0.3">
      <c r="A95" s="64" t="s">
        <v>1373</v>
      </c>
      <c r="B95" s="62" t="s">
        <v>913</v>
      </c>
      <c r="C95" s="83" t="s">
        <v>1374</v>
      </c>
      <c r="D95" s="83" t="s">
        <v>1372</v>
      </c>
      <c r="E95" s="45" t="s">
        <v>1</v>
      </c>
      <c r="F95" s="45" t="s">
        <v>1273</v>
      </c>
      <c r="G95" s="23" t="s">
        <v>818</v>
      </c>
      <c r="H95" s="44">
        <v>39465.800000000003</v>
      </c>
      <c r="I95" s="20">
        <v>39465.800000000003</v>
      </c>
      <c r="J95" s="19">
        <v>36565.753420000001</v>
      </c>
      <c r="K95" s="75">
        <f t="shared" si="37"/>
        <v>92.651747639728569</v>
      </c>
      <c r="L95" s="20"/>
      <c r="M95" s="50"/>
      <c r="N95" s="50"/>
    </row>
    <row r="96" spans="1:14" ht="93.6" x14ac:dyDescent="0.3">
      <c r="A96" s="64" t="s">
        <v>1373</v>
      </c>
      <c r="B96" s="62" t="s">
        <v>913</v>
      </c>
      <c r="C96" s="68" t="s">
        <v>1374</v>
      </c>
      <c r="D96" s="68" t="s">
        <v>1372</v>
      </c>
      <c r="E96" s="8" t="s">
        <v>1021</v>
      </c>
      <c r="F96" s="8"/>
      <c r="G96" s="13" t="s">
        <v>1022</v>
      </c>
      <c r="H96" s="20">
        <f>H97</f>
        <v>7.3970000000000002</v>
      </c>
      <c r="I96" s="20">
        <f t="shared" ref="I96:L97" si="46">I97</f>
        <v>7.3969899999999997</v>
      </c>
      <c r="J96" s="20">
        <f t="shared" si="46"/>
        <v>7.3969899999999997</v>
      </c>
      <c r="K96" s="77">
        <f t="shared" si="37"/>
        <v>100</v>
      </c>
      <c r="L96" s="20">
        <f t="shared" si="46"/>
        <v>0</v>
      </c>
      <c r="M96" s="50"/>
      <c r="N96" s="50"/>
    </row>
    <row r="97" spans="1:14" ht="31.2" x14ac:dyDescent="0.3">
      <c r="A97" s="64" t="s">
        <v>1373</v>
      </c>
      <c r="B97" s="62" t="s">
        <v>913</v>
      </c>
      <c r="C97" s="68" t="s">
        <v>1374</v>
      </c>
      <c r="D97" s="68" t="s">
        <v>1372</v>
      </c>
      <c r="E97" s="8" t="s">
        <v>1021</v>
      </c>
      <c r="F97" s="45" t="s">
        <v>478</v>
      </c>
      <c r="G97" s="23" t="s">
        <v>817</v>
      </c>
      <c r="H97" s="20">
        <f>H98</f>
        <v>7.3970000000000002</v>
      </c>
      <c r="I97" s="20">
        <f t="shared" si="46"/>
        <v>7.3969899999999997</v>
      </c>
      <c r="J97" s="20">
        <f t="shared" si="46"/>
        <v>7.3969899999999997</v>
      </c>
      <c r="K97" s="77">
        <f t="shared" si="37"/>
        <v>100</v>
      </c>
      <c r="L97" s="20">
        <f t="shared" si="46"/>
        <v>0</v>
      </c>
      <c r="M97" s="50"/>
      <c r="N97" s="50"/>
    </row>
    <row r="98" spans="1:14" x14ac:dyDescent="0.3">
      <c r="A98" s="64" t="s">
        <v>1373</v>
      </c>
      <c r="B98" s="62" t="s">
        <v>913</v>
      </c>
      <c r="C98" s="68" t="s">
        <v>1374</v>
      </c>
      <c r="D98" s="68" t="s">
        <v>1372</v>
      </c>
      <c r="E98" s="8" t="s">
        <v>1021</v>
      </c>
      <c r="F98" s="45" t="s">
        <v>1273</v>
      </c>
      <c r="G98" s="23" t="s">
        <v>818</v>
      </c>
      <c r="H98" s="19">
        <v>7.3970000000000002</v>
      </c>
      <c r="I98" s="14">
        <v>7.3969899999999997</v>
      </c>
      <c r="J98" s="20">
        <v>7.3969899999999997</v>
      </c>
      <c r="K98" s="77">
        <f t="shared" si="37"/>
        <v>100</v>
      </c>
      <c r="L98" s="19"/>
      <c r="M98" s="50"/>
      <c r="N98" s="50"/>
    </row>
    <row r="99" spans="1:14" s="9" customFormat="1" x14ac:dyDescent="0.3">
      <c r="A99" s="6" t="s">
        <v>1373</v>
      </c>
      <c r="B99" s="48" t="s">
        <v>929</v>
      </c>
      <c r="C99" s="85" t="s">
        <v>1374</v>
      </c>
      <c r="D99" s="85" t="s">
        <v>1478</v>
      </c>
      <c r="E99" s="29"/>
      <c r="F99" s="29"/>
      <c r="G99" s="25" t="s">
        <v>1403</v>
      </c>
      <c r="H99" s="30">
        <f>H100+H109</f>
        <v>986.38199999999961</v>
      </c>
      <c r="I99" s="30">
        <f>I100+I109</f>
        <v>6516.4367699999993</v>
      </c>
      <c r="J99" s="30">
        <f t="shared" ref="J99:L99" si="47">J100+J109</f>
        <v>5530.0547699999997</v>
      </c>
      <c r="K99" s="80">
        <f t="shared" si="37"/>
        <v>84.86316932374686</v>
      </c>
      <c r="L99" s="30">
        <f t="shared" si="47"/>
        <v>0</v>
      </c>
      <c r="M99" s="65"/>
      <c r="N99" s="65"/>
    </row>
    <row r="100" spans="1:14" ht="31.2" x14ac:dyDescent="0.3">
      <c r="A100" s="64" t="s">
        <v>1373</v>
      </c>
      <c r="B100" s="64" t="s">
        <v>929</v>
      </c>
      <c r="C100" s="45" t="s">
        <v>1374</v>
      </c>
      <c r="D100" s="45" t="s">
        <v>1478</v>
      </c>
      <c r="E100" s="45" t="s">
        <v>461</v>
      </c>
      <c r="F100" s="49"/>
      <c r="G100" s="23" t="s">
        <v>950</v>
      </c>
      <c r="H100" s="20">
        <v>0</v>
      </c>
      <c r="I100" s="20">
        <f>I101</f>
        <v>5530.0547699999997</v>
      </c>
      <c r="J100" s="20">
        <f t="shared" ref="J100:L104" si="48">J101</f>
        <v>5530.0547699999997</v>
      </c>
      <c r="K100" s="77">
        <f t="shared" si="37"/>
        <v>100</v>
      </c>
      <c r="L100" s="20">
        <f t="shared" si="48"/>
        <v>0</v>
      </c>
      <c r="M100" s="50"/>
      <c r="N100" s="50"/>
    </row>
    <row r="101" spans="1:14" ht="46.8" x14ac:dyDescent="0.3">
      <c r="A101" s="64" t="s">
        <v>1373</v>
      </c>
      <c r="B101" s="64" t="s">
        <v>929</v>
      </c>
      <c r="C101" s="45" t="s">
        <v>1374</v>
      </c>
      <c r="D101" s="45" t="s">
        <v>1478</v>
      </c>
      <c r="E101" s="45" t="s">
        <v>476</v>
      </c>
      <c r="F101" s="49"/>
      <c r="G101" s="23" t="s">
        <v>951</v>
      </c>
      <c r="H101" s="20">
        <v>0</v>
      </c>
      <c r="I101" s="20">
        <f>I102</f>
        <v>5530.0547699999997</v>
      </c>
      <c r="J101" s="20">
        <f t="shared" si="48"/>
        <v>5530.0547699999997</v>
      </c>
      <c r="K101" s="77">
        <f t="shared" si="37"/>
        <v>100</v>
      </c>
      <c r="L101" s="20">
        <f t="shared" si="48"/>
        <v>0</v>
      </c>
      <c r="M101" s="50"/>
      <c r="N101" s="50"/>
    </row>
    <row r="102" spans="1:14" ht="62.4" x14ac:dyDescent="0.3">
      <c r="A102" s="64" t="s">
        <v>1373</v>
      </c>
      <c r="B102" s="64" t="s">
        <v>929</v>
      </c>
      <c r="C102" s="45" t="s">
        <v>1374</v>
      </c>
      <c r="D102" s="45" t="s">
        <v>1478</v>
      </c>
      <c r="E102" s="45" t="s">
        <v>477</v>
      </c>
      <c r="F102" s="49"/>
      <c r="G102" s="23" t="s">
        <v>952</v>
      </c>
      <c r="H102" s="20">
        <v>0</v>
      </c>
      <c r="I102" s="20">
        <f>I103+I106</f>
        <v>5530.0547699999997</v>
      </c>
      <c r="J102" s="20">
        <f t="shared" ref="J102:L102" si="49">J103+J106</f>
        <v>5530.0547699999997</v>
      </c>
      <c r="K102" s="77">
        <f t="shared" si="37"/>
        <v>100</v>
      </c>
      <c r="L102" s="20">
        <f t="shared" si="49"/>
        <v>0</v>
      </c>
      <c r="M102" s="50"/>
      <c r="N102" s="50"/>
    </row>
    <row r="103" spans="1:14" ht="46.8" hidden="1" x14ac:dyDescent="0.3">
      <c r="A103" s="64" t="s">
        <v>1373</v>
      </c>
      <c r="B103" s="64" t="s">
        <v>929</v>
      </c>
      <c r="C103" s="45" t="s">
        <v>1374</v>
      </c>
      <c r="D103" s="45" t="s">
        <v>1478</v>
      </c>
      <c r="E103" s="45" t="s">
        <v>953</v>
      </c>
      <c r="F103" s="49"/>
      <c r="G103" s="23" t="s">
        <v>1000</v>
      </c>
      <c r="H103" s="20">
        <v>0</v>
      </c>
      <c r="I103" s="20">
        <f>I104</f>
        <v>0</v>
      </c>
      <c r="J103" s="20">
        <f t="shared" si="48"/>
        <v>0</v>
      </c>
      <c r="K103" s="77" t="e">
        <f t="shared" si="37"/>
        <v>#DIV/0!</v>
      </c>
      <c r="L103" s="20">
        <f t="shared" si="48"/>
        <v>0</v>
      </c>
      <c r="M103" s="50">
        <v>111</v>
      </c>
      <c r="N103" s="50"/>
    </row>
    <row r="104" spans="1:14" ht="31.2" hidden="1" x14ac:dyDescent="0.3">
      <c r="A104" s="64" t="s">
        <v>1373</v>
      </c>
      <c r="B104" s="64" t="s">
        <v>929</v>
      </c>
      <c r="C104" s="45" t="s">
        <v>1374</v>
      </c>
      <c r="D104" s="45" t="s">
        <v>1478</v>
      </c>
      <c r="E104" s="45" t="s">
        <v>953</v>
      </c>
      <c r="F104" s="45" t="s">
        <v>478</v>
      </c>
      <c r="G104" s="23" t="s">
        <v>817</v>
      </c>
      <c r="H104" s="20">
        <v>0</v>
      </c>
      <c r="I104" s="20">
        <f>I105</f>
        <v>0</v>
      </c>
      <c r="J104" s="20">
        <f t="shared" si="48"/>
        <v>0</v>
      </c>
      <c r="K104" s="77" t="e">
        <f t="shared" si="37"/>
        <v>#DIV/0!</v>
      </c>
      <c r="L104" s="20">
        <f t="shared" si="48"/>
        <v>0</v>
      </c>
      <c r="M104" s="50">
        <v>111</v>
      </c>
      <c r="N104" s="50"/>
    </row>
    <row r="105" spans="1:14" hidden="1" x14ac:dyDescent="0.3">
      <c r="A105" s="64" t="s">
        <v>1373</v>
      </c>
      <c r="B105" s="64" t="s">
        <v>929</v>
      </c>
      <c r="C105" s="45" t="s">
        <v>1374</v>
      </c>
      <c r="D105" s="45" t="s">
        <v>1478</v>
      </c>
      <c r="E105" s="45" t="s">
        <v>953</v>
      </c>
      <c r="F105" s="45" t="s">
        <v>1273</v>
      </c>
      <c r="G105" s="23" t="s">
        <v>818</v>
      </c>
      <c r="H105" s="20">
        <v>0</v>
      </c>
      <c r="I105" s="20">
        <v>0</v>
      </c>
      <c r="J105" s="20">
        <v>0</v>
      </c>
      <c r="K105" s="77" t="e">
        <f t="shared" si="37"/>
        <v>#DIV/0!</v>
      </c>
      <c r="L105" s="20"/>
      <c r="M105" s="50">
        <v>111</v>
      </c>
      <c r="N105" s="50"/>
    </row>
    <row r="106" spans="1:14" ht="93.6" x14ac:dyDescent="0.3">
      <c r="A106" s="64" t="s">
        <v>1373</v>
      </c>
      <c r="B106" s="64" t="s">
        <v>929</v>
      </c>
      <c r="C106" s="69" t="s">
        <v>1374</v>
      </c>
      <c r="D106" s="69" t="s">
        <v>1478</v>
      </c>
      <c r="E106" s="8" t="s">
        <v>1016</v>
      </c>
      <c r="F106" s="8"/>
      <c r="G106" s="13" t="s">
        <v>36</v>
      </c>
      <c r="H106" s="20">
        <f>H107</f>
        <v>0</v>
      </c>
      <c r="I106" s="20">
        <f>I107</f>
        <v>5530.0547699999997</v>
      </c>
      <c r="J106" s="20">
        <f t="shared" ref="J106:L107" si="50">J107</f>
        <v>5530.0547699999997</v>
      </c>
      <c r="K106" s="77">
        <f t="shared" si="37"/>
        <v>100</v>
      </c>
      <c r="L106" s="20">
        <f t="shared" si="50"/>
        <v>0</v>
      </c>
      <c r="M106" s="50"/>
      <c r="N106" s="50"/>
    </row>
    <row r="107" spans="1:14" ht="31.2" x14ac:dyDescent="0.3">
      <c r="A107" s="64" t="s">
        <v>1373</v>
      </c>
      <c r="B107" s="64" t="s">
        <v>929</v>
      </c>
      <c r="C107" s="69" t="s">
        <v>1374</v>
      </c>
      <c r="D107" s="69" t="s">
        <v>1478</v>
      </c>
      <c r="E107" s="8" t="s">
        <v>1016</v>
      </c>
      <c r="F107" s="45" t="s">
        <v>478</v>
      </c>
      <c r="G107" s="23" t="s">
        <v>817</v>
      </c>
      <c r="H107" s="20">
        <f>H108</f>
        <v>0</v>
      </c>
      <c r="I107" s="20">
        <f>I108</f>
        <v>5530.0547699999997</v>
      </c>
      <c r="J107" s="20">
        <f t="shared" si="50"/>
        <v>5530.0547699999997</v>
      </c>
      <c r="K107" s="77">
        <f t="shared" si="37"/>
        <v>100</v>
      </c>
      <c r="L107" s="20">
        <f t="shared" si="50"/>
        <v>0</v>
      </c>
      <c r="M107" s="50"/>
      <c r="N107" s="50"/>
    </row>
    <row r="108" spans="1:14" x14ac:dyDescent="0.3">
      <c r="A108" s="64" t="s">
        <v>1373</v>
      </c>
      <c r="B108" s="64" t="s">
        <v>929</v>
      </c>
      <c r="C108" s="69" t="s">
        <v>1374</v>
      </c>
      <c r="D108" s="69" t="s">
        <v>1478</v>
      </c>
      <c r="E108" s="8" t="s">
        <v>1016</v>
      </c>
      <c r="F108" s="45" t="s">
        <v>1273</v>
      </c>
      <c r="G108" s="23" t="s">
        <v>818</v>
      </c>
      <c r="H108" s="19">
        <v>0</v>
      </c>
      <c r="I108" s="20">
        <v>5530.0547699999997</v>
      </c>
      <c r="J108" s="20">
        <v>5530.0547699999997</v>
      </c>
      <c r="K108" s="77">
        <f t="shared" si="37"/>
        <v>100</v>
      </c>
      <c r="L108" s="20"/>
      <c r="M108" s="50"/>
      <c r="N108" s="50"/>
    </row>
    <row r="109" spans="1:14" ht="46.8" x14ac:dyDescent="0.3">
      <c r="A109" s="64" t="s">
        <v>1373</v>
      </c>
      <c r="B109" s="64" t="s">
        <v>929</v>
      </c>
      <c r="C109" s="45" t="s">
        <v>1374</v>
      </c>
      <c r="D109" s="45" t="s">
        <v>1478</v>
      </c>
      <c r="E109" s="45" t="s">
        <v>493</v>
      </c>
      <c r="F109" s="45"/>
      <c r="G109" s="23" t="s">
        <v>1160</v>
      </c>
      <c r="H109" s="20">
        <f>H110</f>
        <v>986.38199999999961</v>
      </c>
      <c r="I109" s="20">
        <f t="shared" ref="I109:L112" si="51">I110</f>
        <v>986.38199999999995</v>
      </c>
      <c r="J109" s="20">
        <f t="shared" si="51"/>
        <v>0</v>
      </c>
      <c r="K109" s="77">
        <f t="shared" si="37"/>
        <v>0</v>
      </c>
      <c r="L109" s="20">
        <f t="shared" si="51"/>
        <v>0</v>
      </c>
      <c r="M109" s="50"/>
      <c r="N109" s="50"/>
    </row>
    <row r="110" spans="1:14" x14ac:dyDescent="0.3">
      <c r="A110" s="64" t="s">
        <v>1373</v>
      </c>
      <c r="B110" s="64" t="s">
        <v>929</v>
      </c>
      <c r="C110" s="45" t="s">
        <v>1374</v>
      </c>
      <c r="D110" s="45" t="s">
        <v>1478</v>
      </c>
      <c r="E110" s="45" t="s">
        <v>1172</v>
      </c>
      <c r="F110" s="45"/>
      <c r="G110" s="23" t="s">
        <v>1174</v>
      </c>
      <c r="H110" s="20">
        <f>H111</f>
        <v>986.38199999999961</v>
      </c>
      <c r="I110" s="20">
        <f t="shared" si="51"/>
        <v>986.38199999999995</v>
      </c>
      <c r="J110" s="20">
        <f t="shared" si="51"/>
        <v>0</v>
      </c>
      <c r="K110" s="77">
        <f t="shared" si="37"/>
        <v>0</v>
      </c>
      <c r="L110" s="20">
        <f t="shared" si="51"/>
        <v>0</v>
      </c>
      <c r="M110" s="50"/>
      <c r="N110" s="50"/>
    </row>
    <row r="111" spans="1:14" ht="31.2" x14ac:dyDescent="0.3">
      <c r="A111" s="64" t="s">
        <v>1373</v>
      </c>
      <c r="B111" s="64" t="s">
        <v>929</v>
      </c>
      <c r="C111" s="45" t="s">
        <v>1374</v>
      </c>
      <c r="D111" s="45" t="s">
        <v>1478</v>
      </c>
      <c r="E111" s="45" t="s">
        <v>1173</v>
      </c>
      <c r="F111" s="45"/>
      <c r="G111" s="23" t="s">
        <v>687</v>
      </c>
      <c r="H111" s="20">
        <f>H112</f>
        <v>986.38199999999961</v>
      </c>
      <c r="I111" s="20">
        <f t="shared" si="51"/>
        <v>986.38199999999995</v>
      </c>
      <c r="J111" s="20">
        <f t="shared" si="51"/>
        <v>0</v>
      </c>
      <c r="K111" s="77">
        <f t="shared" si="37"/>
        <v>0</v>
      </c>
      <c r="L111" s="20">
        <f t="shared" si="51"/>
        <v>0</v>
      </c>
      <c r="M111" s="50"/>
      <c r="N111" s="50"/>
    </row>
    <row r="112" spans="1:14" x14ac:dyDescent="0.3">
      <c r="A112" s="64" t="s">
        <v>1373</v>
      </c>
      <c r="B112" s="64" t="s">
        <v>929</v>
      </c>
      <c r="C112" s="45" t="s">
        <v>1374</v>
      </c>
      <c r="D112" s="45" t="s">
        <v>1478</v>
      </c>
      <c r="E112" s="45" t="s">
        <v>1173</v>
      </c>
      <c r="F112" s="45" t="s">
        <v>464</v>
      </c>
      <c r="G112" s="23" t="s">
        <v>822</v>
      </c>
      <c r="H112" s="20">
        <f>H113</f>
        <v>986.38199999999961</v>
      </c>
      <c r="I112" s="20">
        <f t="shared" si="51"/>
        <v>986.38199999999995</v>
      </c>
      <c r="J112" s="20">
        <f t="shared" si="51"/>
        <v>0</v>
      </c>
      <c r="K112" s="77">
        <f t="shared" si="37"/>
        <v>0</v>
      </c>
      <c r="L112" s="20">
        <f t="shared" si="51"/>
        <v>0</v>
      </c>
      <c r="M112" s="50"/>
      <c r="N112" s="50"/>
    </row>
    <row r="113" spans="1:14" x14ac:dyDescent="0.3">
      <c r="A113" s="64" t="s">
        <v>1373</v>
      </c>
      <c r="B113" s="64" t="s">
        <v>929</v>
      </c>
      <c r="C113" s="45" t="s">
        <v>1374</v>
      </c>
      <c r="D113" s="45" t="s">
        <v>1478</v>
      </c>
      <c r="E113" s="45" t="s">
        <v>1173</v>
      </c>
      <c r="F113" s="45" t="s">
        <v>729</v>
      </c>
      <c r="G113" s="23" t="s">
        <v>824</v>
      </c>
      <c r="H113" s="20">
        <f>6246.382-5260</f>
        <v>986.38199999999961</v>
      </c>
      <c r="I113" s="20">
        <v>986.38199999999995</v>
      </c>
      <c r="J113" s="20">
        <v>0</v>
      </c>
      <c r="K113" s="77">
        <f t="shared" si="37"/>
        <v>0</v>
      </c>
      <c r="L113" s="20"/>
      <c r="M113" s="50"/>
      <c r="N113" s="50"/>
    </row>
    <row r="114" spans="1:14" s="3" customFormat="1" x14ac:dyDescent="0.3">
      <c r="A114" s="4" t="s">
        <v>1373</v>
      </c>
      <c r="B114" s="43" t="s">
        <v>1382</v>
      </c>
      <c r="C114" s="86" t="s">
        <v>1382</v>
      </c>
      <c r="D114" s="86" t="s">
        <v>915</v>
      </c>
      <c r="E114" s="26"/>
      <c r="F114" s="26"/>
      <c r="G114" s="5" t="s">
        <v>1417</v>
      </c>
      <c r="H114" s="28">
        <f t="shared" ref="H114:L117" si="52">H115</f>
        <v>355000</v>
      </c>
      <c r="I114" s="28">
        <f t="shared" si="52"/>
        <v>355000</v>
      </c>
      <c r="J114" s="28">
        <f t="shared" si="52"/>
        <v>354930</v>
      </c>
      <c r="K114" s="79">
        <f t="shared" si="37"/>
        <v>99.980281690140842</v>
      </c>
      <c r="L114" s="28">
        <f t="shared" si="52"/>
        <v>0</v>
      </c>
      <c r="M114" s="65"/>
      <c r="N114" s="65"/>
    </row>
    <row r="115" spans="1:14" s="9" customFormat="1" x14ac:dyDescent="0.3">
      <c r="A115" s="6" t="s">
        <v>1373</v>
      </c>
      <c r="B115" s="48" t="s">
        <v>914</v>
      </c>
      <c r="C115" s="85" t="s">
        <v>1382</v>
      </c>
      <c r="D115" s="85" t="s">
        <v>1478</v>
      </c>
      <c r="E115" s="29"/>
      <c r="F115" s="29"/>
      <c r="G115" s="7" t="s">
        <v>1425</v>
      </c>
      <c r="H115" s="30">
        <f t="shared" si="52"/>
        <v>355000</v>
      </c>
      <c r="I115" s="30">
        <f t="shared" si="52"/>
        <v>355000</v>
      </c>
      <c r="J115" s="30">
        <f t="shared" si="52"/>
        <v>354930</v>
      </c>
      <c r="K115" s="80">
        <f t="shared" si="37"/>
        <v>99.980281690140842</v>
      </c>
      <c r="L115" s="30">
        <f t="shared" si="52"/>
        <v>0</v>
      </c>
      <c r="M115" s="65"/>
      <c r="N115" s="65"/>
    </row>
    <row r="116" spans="1:14" ht="31.2" x14ac:dyDescent="0.3">
      <c r="A116" s="64" t="s">
        <v>1373</v>
      </c>
      <c r="B116" s="62" t="s">
        <v>914</v>
      </c>
      <c r="C116" s="83" t="s">
        <v>1382</v>
      </c>
      <c r="D116" s="83" t="s">
        <v>1478</v>
      </c>
      <c r="E116" s="45" t="s">
        <v>446</v>
      </c>
      <c r="F116" s="45"/>
      <c r="G116" s="23" t="s">
        <v>864</v>
      </c>
      <c r="H116" s="20">
        <f t="shared" si="52"/>
        <v>355000</v>
      </c>
      <c r="I116" s="20">
        <f t="shared" si="52"/>
        <v>355000</v>
      </c>
      <c r="J116" s="20">
        <f t="shared" si="52"/>
        <v>354930</v>
      </c>
      <c r="K116" s="77">
        <f t="shared" si="37"/>
        <v>99.980281690140842</v>
      </c>
      <c r="L116" s="20">
        <f t="shared" si="52"/>
        <v>0</v>
      </c>
      <c r="M116" s="50"/>
      <c r="N116" s="50"/>
    </row>
    <row r="117" spans="1:14" ht="31.2" x14ac:dyDescent="0.3">
      <c r="A117" s="64" t="s">
        <v>1373</v>
      </c>
      <c r="B117" s="62" t="s">
        <v>914</v>
      </c>
      <c r="C117" s="83" t="s">
        <v>1382</v>
      </c>
      <c r="D117" s="83" t="s">
        <v>1478</v>
      </c>
      <c r="E117" s="45" t="s">
        <v>447</v>
      </c>
      <c r="F117" s="45"/>
      <c r="G117" s="23" t="s">
        <v>865</v>
      </c>
      <c r="H117" s="20">
        <f t="shared" si="52"/>
        <v>355000</v>
      </c>
      <c r="I117" s="20">
        <f t="shared" si="52"/>
        <v>355000</v>
      </c>
      <c r="J117" s="20">
        <f t="shared" si="52"/>
        <v>354930</v>
      </c>
      <c r="K117" s="77">
        <f t="shared" si="37"/>
        <v>99.980281690140842</v>
      </c>
      <c r="L117" s="20">
        <f t="shared" si="52"/>
        <v>0</v>
      </c>
      <c r="M117" s="50"/>
      <c r="N117" s="50"/>
    </row>
    <row r="118" spans="1:14" ht="62.4" x14ac:dyDescent="0.3">
      <c r="A118" s="64" t="s">
        <v>1373</v>
      </c>
      <c r="B118" s="62" t="s">
        <v>914</v>
      </c>
      <c r="C118" s="83" t="s">
        <v>1382</v>
      </c>
      <c r="D118" s="83" t="s">
        <v>1478</v>
      </c>
      <c r="E118" s="45" t="s">
        <v>532</v>
      </c>
      <c r="F118" s="45"/>
      <c r="G118" s="23" t="s">
        <v>866</v>
      </c>
      <c r="H118" s="20">
        <f>H119+H122</f>
        <v>355000</v>
      </c>
      <c r="I118" s="20">
        <f>I119+I122</f>
        <v>355000</v>
      </c>
      <c r="J118" s="20">
        <f t="shared" ref="J118" si="53">J119+J122</f>
        <v>354930</v>
      </c>
      <c r="K118" s="77">
        <f t="shared" si="37"/>
        <v>99.980281690140842</v>
      </c>
      <c r="L118" s="20">
        <f>L119+L122</f>
        <v>0</v>
      </c>
      <c r="M118" s="50"/>
      <c r="N118" s="50"/>
    </row>
    <row r="119" spans="1:14" ht="31.2" x14ac:dyDescent="0.3">
      <c r="A119" s="64" t="s">
        <v>1373</v>
      </c>
      <c r="B119" s="62" t="s">
        <v>914</v>
      </c>
      <c r="C119" s="83" t="s">
        <v>1382</v>
      </c>
      <c r="D119" s="83" t="s">
        <v>1478</v>
      </c>
      <c r="E119" s="45" t="s">
        <v>218</v>
      </c>
      <c r="F119" s="45"/>
      <c r="G119" s="23" t="s">
        <v>1347</v>
      </c>
      <c r="H119" s="20">
        <f t="shared" ref="H119:L120" si="54">H120</f>
        <v>195000</v>
      </c>
      <c r="I119" s="20">
        <f t="shared" si="54"/>
        <v>195000</v>
      </c>
      <c r="J119" s="20">
        <f t="shared" si="54"/>
        <v>195000</v>
      </c>
      <c r="K119" s="77">
        <f t="shared" si="37"/>
        <v>100</v>
      </c>
      <c r="L119" s="20">
        <f t="shared" si="54"/>
        <v>0</v>
      </c>
      <c r="M119" s="50"/>
      <c r="N119" s="50"/>
    </row>
    <row r="120" spans="1:14" ht="31.2" x14ac:dyDescent="0.3">
      <c r="A120" s="64" t="s">
        <v>1373</v>
      </c>
      <c r="B120" s="62" t="s">
        <v>914</v>
      </c>
      <c r="C120" s="83" t="s">
        <v>1382</v>
      </c>
      <c r="D120" s="83" t="s">
        <v>1478</v>
      </c>
      <c r="E120" s="45" t="s">
        <v>218</v>
      </c>
      <c r="F120" s="45" t="s">
        <v>478</v>
      </c>
      <c r="G120" s="23" t="s">
        <v>817</v>
      </c>
      <c r="H120" s="20">
        <f t="shared" si="54"/>
        <v>195000</v>
      </c>
      <c r="I120" s="20">
        <f t="shared" si="54"/>
        <v>195000</v>
      </c>
      <c r="J120" s="20">
        <f t="shared" si="54"/>
        <v>195000</v>
      </c>
      <c r="K120" s="77">
        <f t="shared" si="37"/>
        <v>100</v>
      </c>
      <c r="L120" s="20">
        <f t="shared" si="54"/>
        <v>0</v>
      </c>
      <c r="M120" s="50"/>
      <c r="N120" s="50"/>
    </row>
    <row r="121" spans="1:14" x14ac:dyDescent="0.3">
      <c r="A121" s="64" t="s">
        <v>1373</v>
      </c>
      <c r="B121" s="62" t="s">
        <v>914</v>
      </c>
      <c r="C121" s="83" t="s">
        <v>1382</v>
      </c>
      <c r="D121" s="83" t="s">
        <v>1478</v>
      </c>
      <c r="E121" s="45" t="s">
        <v>218</v>
      </c>
      <c r="F121" s="45" t="s">
        <v>1273</v>
      </c>
      <c r="G121" s="23" t="s">
        <v>818</v>
      </c>
      <c r="H121" s="14">
        <f>30000+165000</f>
        <v>195000</v>
      </c>
      <c r="I121" s="14">
        <v>195000</v>
      </c>
      <c r="J121" s="19">
        <v>195000</v>
      </c>
      <c r="K121" s="75">
        <f t="shared" si="37"/>
        <v>100</v>
      </c>
      <c r="L121" s="20"/>
      <c r="M121" s="50"/>
      <c r="N121" s="50"/>
    </row>
    <row r="122" spans="1:14" ht="31.2" x14ac:dyDescent="0.3">
      <c r="A122" s="64" t="s">
        <v>1373</v>
      </c>
      <c r="B122" s="62" t="s">
        <v>914</v>
      </c>
      <c r="C122" s="83" t="s">
        <v>1382</v>
      </c>
      <c r="D122" s="83" t="s">
        <v>1478</v>
      </c>
      <c r="E122" s="45" t="s">
        <v>219</v>
      </c>
      <c r="F122" s="45"/>
      <c r="G122" s="23" t="s">
        <v>1348</v>
      </c>
      <c r="H122" s="20">
        <f t="shared" ref="H122:L123" si="55">H123</f>
        <v>160000</v>
      </c>
      <c r="I122" s="20">
        <f t="shared" si="55"/>
        <v>160000</v>
      </c>
      <c r="J122" s="20">
        <f t="shared" si="55"/>
        <v>159930</v>
      </c>
      <c r="K122" s="77">
        <f t="shared" si="37"/>
        <v>99.956249999999997</v>
      </c>
      <c r="L122" s="20">
        <f t="shared" si="55"/>
        <v>0</v>
      </c>
      <c r="M122" s="50"/>
      <c r="N122" s="50"/>
    </row>
    <row r="123" spans="1:14" ht="31.2" x14ac:dyDescent="0.3">
      <c r="A123" s="64" t="s">
        <v>1373</v>
      </c>
      <c r="B123" s="62" t="s">
        <v>914</v>
      </c>
      <c r="C123" s="83" t="s">
        <v>1382</v>
      </c>
      <c r="D123" s="83" t="s">
        <v>1478</v>
      </c>
      <c r="E123" s="45" t="s">
        <v>219</v>
      </c>
      <c r="F123" s="45" t="s">
        <v>478</v>
      </c>
      <c r="G123" s="23" t="s">
        <v>817</v>
      </c>
      <c r="H123" s="20">
        <f t="shared" si="55"/>
        <v>160000</v>
      </c>
      <c r="I123" s="20">
        <f t="shared" si="55"/>
        <v>160000</v>
      </c>
      <c r="J123" s="20">
        <f t="shared" si="55"/>
        <v>159930</v>
      </c>
      <c r="K123" s="77">
        <f t="shared" si="37"/>
        <v>99.956249999999997</v>
      </c>
      <c r="L123" s="20">
        <f t="shared" si="55"/>
        <v>0</v>
      </c>
      <c r="M123" s="50"/>
      <c r="N123" s="50"/>
    </row>
    <row r="124" spans="1:14" x14ac:dyDescent="0.3">
      <c r="A124" s="64" t="s">
        <v>1373</v>
      </c>
      <c r="B124" s="62" t="s">
        <v>914</v>
      </c>
      <c r="C124" s="83" t="s">
        <v>1382</v>
      </c>
      <c r="D124" s="83" t="s">
        <v>1478</v>
      </c>
      <c r="E124" s="45" t="s">
        <v>219</v>
      </c>
      <c r="F124" s="45" t="s">
        <v>1273</v>
      </c>
      <c r="G124" s="23" t="s">
        <v>818</v>
      </c>
      <c r="H124" s="14">
        <v>160000</v>
      </c>
      <c r="I124" s="14">
        <v>160000</v>
      </c>
      <c r="J124" s="19">
        <v>159930</v>
      </c>
      <c r="K124" s="75">
        <f t="shared" si="37"/>
        <v>99.956249999999997</v>
      </c>
      <c r="L124" s="20"/>
      <c r="M124" s="50"/>
      <c r="N124" s="50"/>
    </row>
    <row r="125" spans="1:14" s="3" customFormat="1" ht="31.2" x14ac:dyDescent="0.3">
      <c r="A125" s="4" t="s">
        <v>1380</v>
      </c>
      <c r="B125" s="43" t="s">
        <v>915</v>
      </c>
      <c r="C125" s="43" t="s">
        <v>915</v>
      </c>
      <c r="D125" s="43" t="s">
        <v>915</v>
      </c>
      <c r="E125" s="10"/>
      <c r="F125" s="10"/>
      <c r="G125" s="5" t="s">
        <v>1383</v>
      </c>
      <c r="H125" s="21">
        <f t="shared" ref="H125:L125" si="56">H126</f>
        <v>304080.26199999999</v>
      </c>
      <c r="I125" s="21">
        <f t="shared" si="56"/>
        <v>218417.21553000002</v>
      </c>
      <c r="J125" s="21">
        <f t="shared" si="56"/>
        <v>134452.41712999999</v>
      </c>
      <c r="K125" s="73">
        <f t="shared" si="37"/>
        <v>61.557609734994855</v>
      </c>
      <c r="L125" s="21">
        <f t="shared" si="56"/>
        <v>0</v>
      </c>
      <c r="M125" s="65"/>
      <c r="N125" s="65"/>
    </row>
    <row r="126" spans="1:14" s="3" customFormat="1" x14ac:dyDescent="0.3">
      <c r="A126" s="4" t="s">
        <v>1380</v>
      </c>
      <c r="B126" s="43" t="s">
        <v>1372</v>
      </c>
      <c r="C126" s="43" t="s">
        <v>1372</v>
      </c>
      <c r="D126" s="43" t="s">
        <v>915</v>
      </c>
      <c r="E126" s="10"/>
      <c r="F126" s="10"/>
      <c r="G126" s="5" t="s">
        <v>1376</v>
      </c>
      <c r="H126" s="21">
        <f>H127+H140+H146</f>
        <v>304080.26199999999</v>
      </c>
      <c r="I126" s="21">
        <f>I127+I140+I146</f>
        <v>218417.21553000002</v>
      </c>
      <c r="J126" s="21">
        <f t="shared" ref="J126" si="57">J127+J140+J146</f>
        <v>134452.41712999999</v>
      </c>
      <c r="K126" s="73">
        <f t="shared" si="37"/>
        <v>61.557609734994855</v>
      </c>
      <c r="L126" s="21">
        <f>L127+L140+L146</f>
        <v>0</v>
      </c>
      <c r="M126" s="65"/>
      <c r="N126" s="65"/>
    </row>
    <row r="127" spans="1:14" s="9" customFormat="1" ht="46.8" x14ac:dyDescent="0.3">
      <c r="A127" s="6" t="s">
        <v>1380</v>
      </c>
      <c r="B127" s="48" t="s">
        <v>916</v>
      </c>
      <c r="C127" s="48" t="s">
        <v>1372</v>
      </c>
      <c r="D127" s="48" t="s">
        <v>1381</v>
      </c>
      <c r="E127" s="11"/>
      <c r="F127" s="11"/>
      <c r="G127" s="7" t="s">
        <v>1384</v>
      </c>
      <c r="H127" s="22">
        <f t="shared" ref="H127:L128" si="58">H128</f>
        <v>114640.1</v>
      </c>
      <c r="I127" s="22">
        <f t="shared" si="58"/>
        <v>113952.1</v>
      </c>
      <c r="J127" s="22">
        <f t="shared" si="58"/>
        <v>113951.57952</v>
      </c>
      <c r="K127" s="74">
        <f t="shared" si="37"/>
        <v>99.999543246679963</v>
      </c>
      <c r="L127" s="22">
        <f t="shared" si="58"/>
        <v>0</v>
      </c>
      <c r="M127" s="65"/>
      <c r="N127" s="65"/>
    </row>
    <row r="128" spans="1:14" ht="31.2" x14ac:dyDescent="0.3">
      <c r="A128" s="64" t="s">
        <v>1380</v>
      </c>
      <c r="B128" s="62" t="s">
        <v>916</v>
      </c>
      <c r="C128" s="83" t="s">
        <v>1372</v>
      </c>
      <c r="D128" s="83" t="s">
        <v>1381</v>
      </c>
      <c r="E128" s="45" t="s">
        <v>343</v>
      </c>
      <c r="F128" s="45"/>
      <c r="G128" s="23" t="s">
        <v>1157</v>
      </c>
      <c r="H128" s="19">
        <f t="shared" si="58"/>
        <v>114640.1</v>
      </c>
      <c r="I128" s="19">
        <f t="shared" si="58"/>
        <v>113952.1</v>
      </c>
      <c r="J128" s="19">
        <f t="shared" si="58"/>
        <v>113951.57952</v>
      </c>
      <c r="K128" s="75">
        <f t="shared" si="37"/>
        <v>99.999543246679963</v>
      </c>
      <c r="L128" s="19">
        <f t="shared" si="58"/>
        <v>0</v>
      </c>
      <c r="M128" s="50"/>
      <c r="N128" s="50"/>
    </row>
    <row r="129" spans="1:14" x14ac:dyDescent="0.3">
      <c r="A129" s="64" t="s">
        <v>1380</v>
      </c>
      <c r="B129" s="62" t="s">
        <v>916</v>
      </c>
      <c r="C129" s="83" t="s">
        <v>1372</v>
      </c>
      <c r="D129" s="83" t="s">
        <v>1381</v>
      </c>
      <c r="E129" s="45" t="s">
        <v>344</v>
      </c>
      <c r="F129" s="45"/>
      <c r="G129" s="23" t="s">
        <v>1159</v>
      </c>
      <c r="H129" s="19">
        <f>H130+H133</f>
        <v>114640.1</v>
      </c>
      <c r="I129" s="19">
        <f>I130+I133</f>
        <v>113952.1</v>
      </c>
      <c r="J129" s="19">
        <f t="shared" ref="J129" si="59">J130+J133</f>
        <v>113951.57952</v>
      </c>
      <c r="K129" s="75">
        <f t="shared" si="37"/>
        <v>99.999543246679963</v>
      </c>
      <c r="L129" s="19">
        <f>L130+L133</f>
        <v>0</v>
      </c>
      <c r="M129" s="50"/>
      <c r="N129" s="50"/>
    </row>
    <row r="130" spans="1:14" ht="31.2" x14ac:dyDescent="0.3">
      <c r="A130" s="64" t="s">
        <v>1380</v>
      </c>
      <c r="B130" s="62" t="s">
        <v>916</v>
      </c>
      <c r="C130" s="83" t="s">
        <v>1372</v>
      </c>
      <c r="D130" s="83" t="s">
        <v>1381</v>
      </c>
      <c r="E130" s="45" t="s">
        <v>345</v>
      </c>
      <c r="F130" s="45"/>
      <c r="G130" s="23" t="s">
        <v>1152</v>
      </c>
      <c r="H130" s="19">
        <f t="shared" ref="H130:L131" si="60">H131</f>
        <v>107776.1</v>
      </c>
      <c r="I130" s="19">
        <f t="shared" si="60"/>
        <v>109060.46217</v>
      </c>
      <c r="J130" s="19">
        <f t="shared" si="60"/>
        <v>109060.46217</v>
      </c>
      <c r="K130" s="75">
        <f t="shared" si="37"/>
        <v>100</v>
      </c>
      <c r="L130" s="19">
        <f t="shared" si="60"/>
        <v>0</v>
      </c>
      <c r="M130" s="50"/>
      <c r="N130" s="50"/>
    </row>
    <row r="131" spans="1:14" ht="78" x14ac:dyDescent="0.3">
      <c r="A131" s="64" t="s">
        <v>1380</v>
      </c>
      <c r="B131" s="62" t="s">
        <v>916</v>
      </c>
      <c r="C131" s="83" t="s">
        <v>1372</v>
      </c>
      <c r="D131" s="83" t="s">
        <v>1381</v>
      </c>
      <c r="E131" s="45" t="s">
        <v>345</v>
      </c>
      <c r="F131" s="45" t="s">
        <v>431</v>
      </c>
      <c r="G131" s="23" t="s">
        <v>806</v>
      </c>
      <c r="H131" s="19">
        <f t="shared" si="60"/>
        <v>107776.1</v>
      </c>
      <c r="I131" s="19">
        <f t="shared" si="60"/>
        <v>109060.46217</v>
      </c>
      <c r="J131" s="19">
        <f t="shared" si="60"/>
        <v>109060.46217</v>
      </c>
      <c r="K131" s="75">
        <f t="shared" si="37"/>
        <v>100</v>
      </c>
      <c r="L131" s="19">
        <f t="shared" si="60"/>
        <v>0</v>
      </c>
      <c r="M131" s="50"/>
      <c r="N131" s="50"/>
    </row>
    <row r="132" spans="1:14" ht="31.2" x14ac:dyDescent="0.3">
      <c r="A132" s="64" t="s">
        <v>1380</v>
      </c>
      <c r="B132" s="62" t="s">
        <v>916</v>
      </c>
      <c r="C132" s="83" t="s">
        <v>1372</v>
      </c>
      <c r="D132" s="83" t="s">
        <v>1381</v>
      </c>
      <c r="E132" s="45" t="s">
        <v>345</v>
      </c>
      <c r="F132" s="45" t="s">
        <v>233</v>
      </c>
      <c r="G132" s="23" t="s">
        <v>808</v>
      </c>
      <c r="H132" s="14">
        <v>107776.1</v>
      </c>
      <c r="I132" s="14">
        <v>109060.46217</v>
      </c>
      <c r="J132" s="19">
        <v>109060.46217</v>
      </c>
      <c r="K132" s="75">
        <f t="shared" si="37"/>
        <v>100</v>
      </c>
      <c r="L132" s="19"/>
      <c r="M132" s="50"/>
      <c r="N132" s="50"/>
    </row>
    <row r="133" spans="1:14" ht="31.2" x14ac:dyDescent="0.3">
      <c r="A133" s="64" t="s">
        <v>1380</v>
      </c>
      <c r="B133" s="62" t="s">
        <v>916</v>
      </c>
      <c r="C133" s="83" t="s">
        <v>1372</v>
      </c>
      <c r="D133" s="83" t="s">
        <v>1381</v>
      </c>
      <c r="E133" s="45" t="s">
        <v>346</v>
      </c>
      <c r="F133" s="45"/>
      <c r="G133" s="23" t="s">
        <v>1154</v>
      </c>
      <c r="H133" s="19">
        <f>H134+H136+H138</f>
        <v>6864</v>
      </c>
      <c r="I133" s="19">
        <f>I134+I136+I138</f>
        <v>4891.6378300000006</v>
      </c>
      <c r="J133" s="19">
        <f t="shared" ref="J133" si="61">J134+J136+J138</f>
        <v>4891.1173500000004</v>
      </c>
      <c r="K133" s="75">
        <f t="shared" si="37"/>
        <v>99.989359800989192</v>
      </c>
      <c r="L133" s="19">
        <f>L134+L136+L138</f>
        <v>0</v>
      </c>
      <c r="M133" s="50"/>
      <c r="N133" s="50"/>
    </row>
    <row r="134" spans="1:14" ht="78" x14ac:dyDescent="0.3">
      <c r="A134" s="64" t="s">
        <v>1380</v>
      </c>
      <c r="B134" s="62" t="s">
        <v>916</v>
      </c>
      <c r="C134" s="83" t="s">
        <v>1372</v>
      </c>
      <c r="D134" s="83" t="s">
        <v>1381</v>
      </c>
      <c r="E134" s="45" t="s">
        <v>346</v>
      </c>
      <c r="F134" s="45" t="s">
        <v>431</v>
      </c>
      <c r="G134" s="23" t="s">
        <v>806</v>
      </c>
      <c r="H134" s="19">
        <f t="shared" ref="H134:L134" si="62">H135</f>
        <v>475.8</v>
      </c>
      <c r="I134" s="19">
        <f t="shared" si="62"/>
        <v>60.795459999999999</v>
      </c>
      <c r="J134" s="19">
        <f t="shared" si="62"/>
        <v>60.795459999999999</v>
      </c>
      <c r="K134" s="75">
        <f t="shared" si="37"/>
        <v>100</v>
      </c>
      <c r="L134" s="19">
        <f t="shared" si="62"/>
        <v>0</v>
      </c>
      <c r="M134" s="50"/>
      <c r="N134" s="50"/>
    </row>
    <row r="135" spans="1:14" ht="31.2" x14ac:dyDescent="0.3">
      <c r="A135" s="64" t="s">
        <v>1380</v>
      </c>
      <c r="B135" s="62" t="s">
        <v>916</v>
      </c>
      <c r="C135" s="83" t="s">
        <v>1372</v>
      </c>
      <c r="D135" s="83" t="s">
        <v>1381</v>
      </c>
      <c r="E135" s="45" t="s">
        <v>346</v>
      </c>
      <c r="F135" s="45" t="s">
        <v>233</v>
      </c>
      <c r="G135" s="23" t="s">
        <v>808</v>
      </c>
      <c r="H135" s="14">
        <v>475.8</v>
      </c>
      <c r="I135" s="14">
        <v>60.795459999999999</v>
      </c>
      <c r="J135" s="19">
        <v>60.795459999999999</v>
      </c>
      <c r="K135" s="75">
        <f t="shared" si="37"/>
        <v>100</v>
      </c>
      <c r="L135" s="19"/>
      <c r="M135" s="50"/>
      <c r="N135" s="50"/>
    </row>
    <row r="136" spans="1:14" ht="31.2" x14ac:dyDescent="0.3">
      <c r="A136" s="64" t="s">
        <v>1380</v>
      </c>
      <c r="B136" s="62" t="s">
        <v>916</v>
      </c>
      <c r="C136" s="83" t="s">
        <v>1372</v>
      </c>
      <c r="D136" s="83" t="s">
        <v>1381</v>
      </c>
      <c r="E136" s="45" t="s">
        <v>346</v>
      </c>
      <c r="F136" s="45" t="s">
        <v>380</v>
      </c>
      <c r="G136" s="23" t="s">
        <v>809</v>
      </c>
      <c r="H136" s="19">
        <f t="shared" ref="H136:L136" si="63">H137</f>
        <v>6344.2</v>
      </c>
      <c r="I136" s="19">
        <f t="shared" si="63"/>
        <v>4788.8738400000002</v>
      </c>
      <c r="J136" s="19">
        <f t="shared" si="63"/>
        <v>4788.3533600000001</v>
      </c>
      <c r="K136" s="75">
        <f t="shared" ref="K136:K199" si="64">J136/I136*100</f>
        <v>99.989131473966737</v>
      </c>
      <c r="L136" s="19">
        <f t="shared" si="63"/>
        <v>0</v>
      </c>
      <c r="M136" s="50"/>
      <c r="N136" s="50"/>
    </row>
    <row r="137" spans="1:14" ht="31.2" x14ac:dyDescent="0.3">
      <c r="A137" s="64" t="s">
        <v>1380</v>
      </c>
      <c r="B137" s="62" t="s">
        <v>916</v>
      </c>
      <c r="C137" s="83" t="s">
        <v>1372</v>
      </c>
      <c r="D137" s="83" t="s">
        <v>1381</v>
      </c>
      <c r="E137" s="45" t="s">
        <v>346</v>
      </c>
      <c r="F137" s="8" t="s">
        <v>247</v>
      </c>
      <c r="G137" s="23" t="s">
        <v>810</v>
      </c>
      <c r="H137" s="14">
        <v>6344.2</v>
      </c>
      <c r="I137" s="14">
        <v>4788.8738400000002</v>
      </c>
      <c r="J137" s="19">
        <v>4788.3533600000001</v>
      </c>
      <c r="K137" s="75">
        <f t="shared" si="64"/>
        <v>99.989131473966737</v>
      </c>
      <c r="L137" s="19"/>
      <c r="M137" s="50"/>
      <c r="N137" s="50"/>
    </row>
    <row r="138" spans="1:14" x14ac:dyDescent="0.3">
      <c r="A138" s="64" t="s">
        <v>1380</v>
      </c>
      <c r="B138" s="62" t="s">
        <v>916</v>
      </c>
      <c r="C138" s="83" t="s">
        <v>1372</v>
      </c>
      <c r="D138" s="83" t="s">
        <v>1381</v>
      </c>
      <c r="E138" s="45" t="s">
        <v>346</v>
      </c>
      <c r="F138" s="45" t="s">
        <v>464</v>
      </c>
      <c r="G138" s="23" t="s">
        <v>822</v>
      </c>
      <c r="H138" s="19">
        <f t="shared" ref="H138:L138" si="65">H139</f>
        <v>44</v>
      </c>
      <c r="I138" s="19">
        <f t="shared" si="65"/>
        <v>41.968530000000001</v>
      </c>
      <c r="J138" s="19">
        <f t="shared" si="65"/>
        <v>41.968530000000001</v>
      </c>
      <c r="K138" s="75">
        <f t="shared" si="64"/>
        <v>100</v>
      </c>
      <c r="L138" s="19">
        <f t="shared" si="65"/>
        <v>0</v>
      </c>
      <c r="M138" s="50"/>
      <c r="N138" s="50"/>
    </row>
    <row r="139" spans="1:14" x14ac:dyDescent="0.3">
      <c r="A139" s="64" t="s">
        <v>1380</v>
      </c>
      <c r="B139" s="62" t="s">
        <v>916</v>
      </c>
      <c r="C139" s="83" t="s">
        <v>1372</v>
      </c>
      <c r="D139" s="83" t="s">
        <v>1381</v>
      </c>
      <c r="E139" s="45" t="s">
        <v>346</v>
      </c>
      <c r="F139" s="45" t="s">
        <v>729</v>
      </c>
      <c r="G139" s="23" t="s">
        <v>824</v>
      </c>
      <c r="H139" s="14">
        <v>44</v>
      </c>
      <c r="I139" s="14">
        <v>41.968530000000001</v>
      </c>
      <c r="J139" s="20">
        <v>41.968530000000001</v>
      </c>
      <c r="K139" s="77">
        <f t="shared" si="64"/>
        <v>100</v>
      </c>
      <c r="L139" s="20"/>
      <c r="M139" s="50"/>
      <c r="N139" s="50"/>
    </row>
    <row r="140" spans="1:14" s="9" customFormat="1" x14ac:dyDescent="0.3">
      <c r="A140" s="6" t="s">
        <v>1380</v>
      </c>
      <c r="B140" s="48" t="s">
        <v>917</v>
      </c>
      <c r="C140" s="48" t="s">
        <v>1372</v>
      </c>
      <c r="D140" s="48" t="s">
        <v>1382</v>
      </c>
      <c r="E140" s="11"/>
      <c r="F140" s="11"/>
      <c r="G140" s="7" t="s">
        <v>1385</v>
      </c>
      <c r="H140" s="22">
        <f t="shared" ref="H140:L144" si="66">H141</f>
        <v>120230.462</v>
      </c>
      <c r="I140" s="22">
        <f t="shared" si="66"/>
        <v>76782.993820000003</v>
      </c>
      <c r="J140" s="22">
        <f t="shared" si="66"/>
        <v>0</v>
      </c>
      <c r="K140" s="74">
        <f t="shared" si="64"/>
        <v>0</v>
      </c>
      <c r="L140" s="22">
        <f t="shared" si="66"/>
        <v>0</v>
      </c>
      <c r="M140" s="65"/>
      <c r="N140" s="65"/>
    </row>
    <row r="141" spans="1:14" ht="46.8" x14ac:dyDescent="0.3">
      <c r="A141" s="64" t="s">
        <v>1380</v>
      </c>
      <c r="B141" s="62" t="s">
        <v>917</v>
      </c>
      <c r="C141" s="83" t="s">
        <v>1372</v>
      </c>
      <c r="D141" s="83" t="s">
        <v>1382</v>
      </c>
      <c r="E141" s="45" t="s">
        <v>493</v>
      </c>
      <c r="F141" s="45"/>
      <c r="G141" s="23" t="s">
        <v>1160</v>
      </c>
      <c r="H141" s="19">
        <f t="shared" si="66"/>
        <v>120230.462</v>
      </c>
      <c r="I141" s="19">
        <f t="shared" si="66"/>
        <v>76782.993820000003</v>
      </c>
      <c r="J141" s="19">
        <f t="shared" si="66"/>
        <v>0</v>
      </c>
      <c r="K141" s="75">
        <f t="shared" si="64"/>
        <v>0</v>
      </c>
      <c r="L141" s="19">
        <f t="shared" si="66"/>
        <v>0</v>
      </c>
      <c r="M141" s="50"/>
      <c r="N141" s="50"/>
    </row>
    <row r="142" spans="1:14" x14ac:dyDescent="0.3">
      <c r="A142" s="64" t="s">
        <v>1380</v>
      </c>
      <c r="B142" s="62" t="s">
        <v>917</v>
      </c>
      <c r="C142" s="83" t="s">
        <v>1372</v>
      </c>
      <c r="D142" s="83" t="s">
        <v>1382</v>
      </c>
      <c r="E142" s="45" t="s">
        <v>533</v>
      </c>
      <c r="F142" s="45"/>
      <c r="G142" s="23" t="s">
        <v>1162</v>
      </c>
      <c r="H142" s="19">
        <f t="shared" si="66"/>
        <v>120230.462</v>
      </c>
      <c r="I142" s="19">
        <f t="shared" si="66"/>
        <v>76782.993820000003</v>
      </c>
      <c r="J142" s="19">
        <f t="shared" si="66"/>
        <v>0</v>
      </c>
      <c r="K142" s="75">
        <f t="shared" si="64"/>
        <v>0</v>
      </c>
      <c r="L142" s="19">
        <f t="shared" si="66"/>
        <v>0</v>
      </c>
      <c r="M142" s="50"/>
      <c r="N142" s="50"/>
    </row>
    <row r="143" spans="1:14" x14ac:dyDescent="0.3">
      <c r="A143" s="64" t="s">
        <v>1380</v>
      </c>
      <c r="B143" s="62" t="s">
        <v>917</v>
      </c>
      <c r="C143" s="83" t="s">
        <v>1372</v>
      </c>
      <c r="D143" s="83" t="s">
        <v>1382</v>
      </c>
      <c r="E143" s="45" t="s">
        <v>534</v>
      </c>
      <c r="F143" s="45"/>
      <c r="G143" s="23" t="s">
        <v>1163</v>
      </c>
      <c r="H143" s="19">
        <f t="shared" si="66"/>
        <v>120230.462</v>
      </c>
      <c r="I143" s="19">
        <f t="shared" si="66"/>
        <v>76782.993820000003</v>
      </c>
      <c r="J143" s="19">
        <f t="shared" si="66"/>
        <v>0</v>
      </c>
      <c r="K143" s="75">
        <f t="shared" si="64"/>
        <v>0</v>
      </c>
      <c r="L143" s="19">
        <f t="shared" si="66"/>
        <v>0</v>
      </c>
      <c r="M143" s="50"/>
      <c r="N143" s="50"/>
    </row>
    <row r="144" spans="1:14" x14ac:dyDescent="0.3">
      <c r="A144" s="64" t="s">
        <v>1380</v>
      </c>
      <c r="B144" s="62" t="s">
        <v>917</v>
      </c>
      <c r="C144" s="83" t="s">
        <v>1372</v>
      </c>
      <c r="D144" s="83" t="s">
        <v>1382</v>
      </c>
      <c r="E144" s="45" t="s">
        <v>534</v>
      </c>
      <c r="F144" s="45" t="s">
        <v>464</v>
      </c>
      <c r="G144" s="23" t="s">
        <v>822</v>
      </c>
      <c r="H144" s="19">
        <f t="shared" si="66"/>
        <v>120230.462</v>
      </c>
      <c r="I144" s="19">
        <f t="shared" si="66"/>
        <v>76782.993820000003</v>
      </c>
      <c r="J144" s="19">
        <f t="shared" si="66"/>
        <v>0</v>
      </c>
      <c r="K144" s="75">
        <f t="shared" si="64"/>
        <v>0</v>
      </c>
      <c r="L144" s="19">
        <f t="shared" si="66"/>
        <v>0</v>
      </c>
      <c r="M144" s="50"/>
      <c r="N144" s="50"/>
    </row>
    <row r="145" spans="1:14" x14ac:dyDescent="0.3">
      <c r="A145" s="64" t="s">
        <v>1380</v>
      </c>
      <c r="B145" s="62" t="s">
        <v>917</v>
      </c>
      <c r="C145" s="83" t="s">
        <v>1372</v>
      </c>
      <c r="D145" s="83" t="s">
        <v>1382</v>
      </c>
      <c r="E145" s="45" t="s">
        <v>534</v>
      </c>
      <c r="F145" s="45" t="s">
        <v>731</v>
      </c>
      <c r="G145" s="23" t="s">
        <v>826</v>
      </c>
      <c r="H145" s="14">
        <f>78600+41630.462</f>
        <v>120230.462</v>
      </c>
      <c r="I145" s="14">
        <v>76782.993820000003</v>
      </c>
      <c r="J145" s="19">
        <v>0</v>
      </c>
      <c r="K145" s="75">
        <f t="shared" si="64"/>
        <v>0</v>
      </c>
      <c r="L145" s="20"/>
      <c r="M145" s="50"/>
      <c r="N145" s="50"/>
    </row>
    <row r="146" spans="1:14" s="9" customFormat="1" x14ac:dyDescent="0.3">
      <c r="A146" s="6" t="s">
        <v>1380</v>
      </c>
      <c r="B146" s="48" t="s">
        <v>912</v>
      </c>
      <c r="C146" s="48" t="s">
        <v>1372</v>
      </c>
      <c r="D146" s="48" t="s">
        <v>1477</v>
      </c>
      <c r="E146" s="11"/>
      <c r="F146" s="11"/>
      <c r="G146" s="7" t="s">
        <v>1377</v>
      </c>
      <c r="H146" s="22">
        <f>H147+H155</f>
        <v>69209.7</v>
      </c>
      <c r="I146" s="22">
        <f>I147+I155</f>
        <v>27682.121709999999</v>
      </c>
      <c r="J146" s="22">
        <f t="shared" ref="J146" si="67">J147+J155</f>
        <v>20500.837609999999</v>
      </c>
      <c r="K146" s="74">
        <f t="shared" si="64"/>
        <v>74.058043038638161</v>
      </c>
      <c r="L146" s="22">
        <f>L147+L155</f>
        <v>0</v>
      </c>
      <c r="M146" s="65"/>
      <c r="N146" s="65"/>
    </row>
    <row r="147" spans="1:14" ht="31.2" x14ac:dyDescent="0.3">
      <c r="A147" s="64" t="s">
        <v>1380</v>
      </c>
      <c r="B147" s="62" t="s">
        <v>912</v>
      </c>
      <c r="C147" s="83" t="s">
        <v>1372</v>
      </c>
      <c r="D147" s="83" t="s">
        <v>1477</v>
      </c>
      <c r="E147" s="45" t="s">
        <v>429</v>
      </c>
      <c r="F147" s="45"/>
      <c r="G147" s="23" t="s">
        <v>1140</v>
      </c>
      <c r="H147" s="19">
        <f t="shared" ref="H147:L147" si="68">H148</f>
        <v>15471</v>
      </c>
      <c r="I147" s="19">
        <f t="shared" si="68"/>
        <v>22543.640670000001</v>
      </c>
      <c r="J147" s="19">
        <f t="shared" si="68"/>
        <v>15470.974099999999</v>
      </c>
      <c r="K147" s="75">
        <f t="shared" si="64"/>
        <v>68.626777397973854</v>
      </c>
      <c r="L147" s="19">
        <f t="shared" si="68"/>
        <v>0</v>
      </c>
      <c r="M147" s="50"/>
      <c r="N147" s="50"/>
    </row>
    <row r="148" spans="1:14" x14ac:dyDescent="0.3">
      <c r="A148" s="64" t="s">
        <v>1380</v>
      </c>
      <c r="B148" s="62" t="s">
        <v>912</v>
      </c>
      <c r="C148" s="83" t="s">
        <v>1372</v>
      </c>
      <c r="D148" s="83" t="s">
        <v>1477</v>
      </c>
      <c r="E148" s="45" t="s">
        <v>430</v>
      </c>
      <c r="F148" s="45"/>
      <c r="G148" s="23" t="s">
        <v>1141</v>
      </c>
      <c r="H148" s="19">
        <f>H149+H152</f>
        <v>15471</v>
      </c>
      <c r="I148" s="19">
        <f t="shared" ref="I148:L148" si="69">I149+I152</f>
        <v>22543.640670000001</v>
      </c>
      <c r="J148" s="19">
        <f t="shared" si="69"/>
        <v>15470.974099999999</v>
      </c>
      <c r="K148" s="75">
        <f t="shared" si="64"/>
        <v>68.626777397973854</v>
      </c>
      <c r="L148" s="19">
        <f t="shared" si="69"/>
        <v>0</v>
      </c>
      <c r="M148" s="50"/>
      <c r="N148" s="50"/>
    </row>
    <row r="149" spans="1:14" ht="31.2" x14ac:dyDescent="0.3">
      <c r="A149" s="64" t="s">
        <v>1380</v>
      </c>
      <c r="B149" s="62" t="s">
        <v>912</v>
      </c>
      <c r="C149" s="83" t="s">
        <v>1372</v>
      </c>
      <c r="D149" s="83" t="s">
        <v>1477</v>
      </c>
      <c r="E149" s="45" t="s">
        <v>56</v>
      </c>
      <c r="F149" s="45"/>
      <c r="G149" s="31" t="s">
        <v>1182</v>
      </c>
      <c r="H149" s="19">
        <f t="shared" ref="H149:L150" si="70">H150</f>
        <v>15471</v>
      </c>
      <c r="I149" s="19">
        <f t="shared" si="70"/>
        <v>15471</v>
      </c>
      <c r="J149" s="19">
        <f t="shared" si="70"/>
        <v>15470.974099999999</v>
      </c>
      <c r="K149" s="75">
        <f t="shared" si="64"/>
        <v>99.999832590007117</v>
      </c>
      <c r="L149" s="19">
        <f t="shared" si="70"/>
        <v>0</v>
      </c>
      <c r="M149" s="50"/>
      <c r="N149" s="50"/>
    </row>
    <row r="150" spans="1:14" ht="31.2" x14ac:dyDescent="0.3">
      <c r="A150" s="64" t="s">
        <v>1380</v>
      </c>
      <c r="B150" s="62" t="s">
        <v>912</v>
      </c>
      <c r="C150" s="83" t="s">
        <v>1372</v>
      </c>
      <c r="D150" s="83" t="s">
        <v>1477</v>
      </c>
      <c r="E150" s="45" t="s">
        <v>56</v>
      </c>
      <c r="F150" s="45" t="s">
        <v>380</v>
      </c>
      <c r="G150" s="23" t="s">
        <v>809</v>
      </c>
      <c r="H150" s="19">
        <f t="shared" si="70"/>
        <v>15471</v>
      </c>
      <c r="I150" s="19">
        <f t="shared" si="70"/>
        <v>15471</v>
      </c>
      <c r="J150" s="19">
        <f t="shared" si="70"/>
        <v>15470.974099999999</v>
      </c>
      <c r="K150" s="75">
        <f t="shared" si="64"/>
        <v>99.999832590007117</v>
      </c>
      <c r="L150" s="19">
        <f t="shared" si="70"/>
        <v>0</v>
      </c>
      <c r="M150" s="50"/>
      <c r="N150" s="50"/>
    </row>
    <row r="151" spans="1:14" ht="31.2" x14ac:dyDescent="0.3">
      <c r="A151" s="64" t="s">
        <v>1380</v>
      </c>
      <c r="B151" s="62" t="s">
        <v>912</v>
      </c>
      <c r="C151" s="83" t="s">
        <v>1372</v>
      </c>
      <c r="D151" s="83" t="s">
        <v>1477</v>
      </c>
      <c r="E151" s="45" t="s">
        <v>56</v>
      </c>
      <c r="F151" s="8" t="s">
        <v>247</v>
      </c>
      <c r="G151" s="23" t="s">
        <v>810</v>
      </c>
      <c r="H151" s="14">
        <f>17835.3-2364.3</f>
        <v>15471</v>
      </c>
      <c r="I151" s="14">
        <v>15471</v>
      </c>
      <c r="J151" s="19">
        <v>15470.974099999999</v>
      </c>
      <c r="K151" s="75">
        <f t="shared" si="64"/>
        <v>99.999832590007117</v>
      </c>
      <c r="L151" s="19"/>
      <c r="M151" s="50"/>
      <c r="N151" s="50"/>
    </row>
    <row r="152" spans="1:14" ht="62.4" x14ac:dyDescent="0.3">
      <c r="A152" s="64" t="s">
        <v>1380</v>
      </c>
      <c r="B152" s="62" t="s">
        <v>912</v>
      </c>
      <c r="C152" s="83" t="s">
        <v>1372</v>
      </c>
      <c r="D152" s="83" t="s">
        <v>1477</v>
      </c>
      <c r="E152" s="45" t="s">
        <v>17</v>
      </c>
      <c r="F152" s="38"/>
      <c r="G152" s="23" t="s">
        <v>1045</v>
      </c>
      <c r="H152" s="14">
        <f>H153</f>
        <v>0</v>
      </c>
      <c r="I152" s="14">
        <f t="shared" ref="I152:L153" si="71">I153</f>
        <v>7072.6406699999998</v>
      </c>
      <c r="J152" s="14">
        <f t="shared" si="71"/>
        <v>0</v>
      </c>
      <c r="K152" s="78">
        <f t="shared" si="64"/>
        <v>0</v>
      </c>
      <c r="L152" s="14">
        <f t="shared" si="71"/>
        <v>0</v>
      </c>
      <c r="M152" s="50"/>
      <c r="N152" s="50"/>
    </row>
    <row r="153" spans="1:14" ht="31.2" x14ac:dyDescent="0.3">
      <c r="A153" s="64" t="s">
        <v>1380</v>
      </c>
      <c r="B153" s="62" t="s">
        <v>912</v>
      </c>
      <c r="C153" s="83" t="s">
        <v>1372</v>
      </c>
      <c r="D153" s="83" t="s">
        <v>1477</v>
      </c>
      <c r="E153" s="45" t="s">
        <v>17</v>
      </c>
      <c r="F153" s="45" t="s">
        <v>380</v>
      </c>
      <c r="G153" s="23" t="s">
        <v>809</v>
      </c>
      <c r="H153" s="14">
        <f>H154</f>
        <v>0</v>
      </c>
      <c r="I153" s="14">
        <f t="shared" si="71"/>
        <v>7072.6406699999998</v>
      </c>
      <c r="J153" s="14">
        <f t="shared" si="71"/>
        <v>0</v>
      </c>
      <c r="K153" s="78">
        <f t="shared" si="64"/>
        <v>0</v>
      </c>
      <c r="L153" s="14">
        <f t="shared" si="71"/>
        <v>0</v>
      </c>
      <c r="M153" s="50"/>
      <c r="N153" s="50"/>
    </row>
    <row r="154" spans="1:14" ht="31.2" x14ac:dyDescent="0.3">
      <c r="A154" s="64" t="s">
        <v>1380</v>
      </c>
      <c r="B154" s="62" t="s">
        <v>912</v>
      </c>
      <c r="C154" s="83" t="s">
        <v>1372</v>
      </c>
      <c r="D154" s="83" t="s">
        <v>1477</v>
      </c>
      <c r="E154" s="45" t="s">
        <v>17</v>
      </c>
      <c r="F154" s="8" t="s">
        <v>247</v>
      </c>
      <c r="G154" s="23" t="s">
        <v>810</v>
      </c>
      <c r="H154" s="20">
        <v>0</v>
      </c>
      <c r="I154" s="14">
        <v>7072.6406699999998</v>
      </c>
      <c r="J154" s="19">
        <v>0</v>
      </c>
      <c r="K154" s="75">
        <f t="shared" si="64"/>
        <v>0</v>
      </c>
      <c r="L154" s="19"/>
      <c r="M154" s="50"/>
      <c r="N154" s="50"/>
    </row>
    <row r="155" spans="1:14" ht="46.8" x14ac:dyDescent="0.3">
      <c r="A155" s="64" t="s">
        <v>1380</v>
      </c>
      <c r="B155" s="62" t="s">
        <v>912</v>
      </c>
      <c r="C155" s="83" t="s">
        <v>1372</v>
      </c>
      <c r="D155" s="83" t="s">
        <v>1477</v>
      </c>
      <c r="E155" s="45" t="s">
        <v>493</v>
      </c>
      <c r="F155" s="45"/>
      <c r="G155" s="23" t="s">
        <v>1160</v>
      </c>
      <c r="H155" s="19">
        <f t="shared" ref="H155:L155" si="72">H156</f>
        <v>53738.7</v>
      </c>
      <c r="I155" s="19">
        <f t="shared" si="72"/>
        <v>5138.4810399999997</v>
      </c>
      <c r="J155" s="19">
        <f t="shared" si="72"/>
        <v>5029.8635100000001</v>
      </c>
      <c r="K155" s="75">
        <f t="shared" si="64"/>
        <v>97.886193815750673</v>
      </c>
      <c r="L155" s="19">
        <f t="shared" si="72"/>
        <v>0</v>
      </c>
      <c r="M155" s="50"/>
      <c r="N155" s="50"/>
    </row>
    <row r="156" spans="1:14" ht="31.2" x14ac:dyDescent="0.3">
      <c r="A156" s="64" t="s">
        <v>1380</v>
      </c>
      <c r="B156" s="62" t="s">
        <v>912</v>
      </c>
      <c r="C156" s="83" t="s">
        <v>1372</v>
      </c>
      <c r="D156" s="83" t="s">
        <v>1477</v>
      </c>
      <c r="E156" s="45" t="s">
        <v>494</v>
      </c>
      <c r="F156" s="45"/>
      <c r="G156" s="23" t="s">
        <v>1161</v>
      </c>
      <c r="H156" s="19">
        <f t="shared" ref="H156:L158" si="73">H157</f>
        <v>53738.7</v>
      </c>
      <c r="I156" s="19">
        <f t="shared" si="73"/>
        <v>5138.4810399999997</v>
      </c>
      <c r="J156" s="19">
        <f t="shared" si="73"/>
        <v>5029.8635100000001</v>
      </c>
      <c r="K156" s="75">
        <f t="shared" si="64"/>
        <v>97.886193815750673</v>
      </c>
      <c r="L156" s="19">
        <f t="shared" si="73"/>
        <v>0</v>
      </c>
      <c r="M156" s="50"/>
      <c r="N156" s="50"/>
    </row>
    <row r="157" spans="1:14" ht="31.2" x14ac:dyDescent="0.3">
      <c r="A157" s="64" t="s">
        <v>1380</v>
      </c>
      <c r="B157" s="62" t="s">
        <v>912</v>
      </c>
      <c r="C157" s="83" t="s">
        <v>1372</v>
      </c>
      <c r="D157" s="83" t="s">
        <v>1477</v>
      </c>
      <c r="E157" s="45" t="s">
        <v>495</v>
      </c>
      <c r="F157" s="45"/>
      <c r="G157" s="23" t="s">
        <v>687</v>
      </c>
      <c r="H157" s="19">
        <f t="shared" si="73"/>
        <v>53738.7</v>
      </c>
      <c r="I157" s="19">
        <f t="shared" si="73"/>
        <v>5138.4810399999997</v>
      </c>
      <c r="J157" s="19">
        <f t="shared" si="73"/>
        <v>5029.8635100000001</v>
      </c>
      <c r="K157" s="75">
        <f t="shared" si="64"/>
        <v>97.886193815750673</v>
      </c>
      <c r="L157" s="19">
        <f t="shared" si="73"/>
        <v>0</v>
      </c>
      <c r="M157" s="50"/>
      <c r="N157" s="50"/>
    </row>
    <row r="158" spans="1:14" x14ac:dyDescent="0.3">
      <c r="A158" s="64" t="s">
        <v>1380</v>
      </c>
      <c r="B158" s="62" t="s">
        <v>912</v>
      </c>
      <c r="C158" s="83" t="s">
        <v>1372</v>
      </c>
      <c r="D158" s="83" t="s">
        <v>1477</v>
      </c>
      <c r="E158" s="45" t="s">
        <v>495</v>
      </c>
      <c r="F158" s="45" t="s">
        <v>464</v>
      </c>
      <c r="G158" s="23" t="s">
        <v>822</v>
      </c>
      <c r="H158" s="19">
        <f t="shared" si="73"/>
        <v>53738.7</v>
      </c>
      <c r="I158" s="19">
        <f t="shared" si="73"/>
        <v>5138.4810399999997</v>
      </c>
      <c r="J158" s="19">
        <f t="shared" si="73"/>
        <v>5029.8635100000001</v>
      </c>
      <c r="K158" s="75">
        <f t="shared" si="64"/>
        <v>97.886193815750673</v>
      </c>
      <c r="L158" s="19">
        <f t="shared" si="73"/>
        <v>0</v>
      </c>
      <c r="M158" s="50"/>
      <c r="N158" s="50"/>
    </row>
    <row r="159" spans="1:14" x14ac:dyDescent="0.3">
      <c r="A159" s="64" t="s">
        <v>1380</v>
      </c>
      <c r="B159" s="62" t="s">
        <v>912</v>
      </c>
      <c r="C159" s="83" t="s">
        <v>1372</v>
      </c>
      <c r="D159" s="83" t="s">
        <v>1477</v>
      </c>
      <c r="E159" s="45" t="s">
        <v>495</v>
      </c>
      <c r="F159" s="45" t="s">
        <v>728</v>
      </c>
      <c r="G159" s="23" t="s">
        <v>823</v>
      </c>
      <c r="H159" s="14">
        <f>56168.7-2430</f>
        <v>53738.7</v>
      </c>
      <c r="I159" s="14">
        <v>5138.4810399999997</v>
      </c>
      <c r="J159" s="20">
        <v>5029.8635100000001</v>
      </c>
      <c r="K159" s="77">
        <f t="shared" si="64"/>
        <v>97.886193815750673</v>
      </c>
      <c r="L159" s="20"/>
      <c r="M159" s="50"/>
      <c r="N159" s="50"/>
    </row>
    <row r="160" spans="1:14" s="3" customFormat="1" ht="31.2" x14ac:dyDescent="0.3">
      <c r="A160" s="4" t="s">
        <v>708</v>
      </c>
      <c r="B160" s="43" t="s">
        <v>915</v>
      </c>
      <c r="C160" s="43" t="s">
        <v>915</v>
      </c>
      <c r="D160" s="43" t="s">
        <v>915</v>
      </c>
      <c r="E160" s="10"/>
      <c r="F160" s="10"/>
      <c r="G160" s="5" t="s">
        <v>1387</v>
      </c>
      <c r="H160" s="15">
        <f>H161+H175</f>
        <v>129190.808</v>
      </c>
      <c r="I160" s="15">
        <f>I161+I175</f>
        <v>140497.93826999998</v>
      </c>
      <c r="J160" s="15">
        <f t="shared" ref="J160" si="74">J161+J175</f>
        <v>139803.20725000001</v>
      </c>
      <c r="K160" s="81">
        <f t="shared" si="64"/>
        <v>99.505522267049301</v>
      </c>
      <c r="L160" s="15">
        <f>L161+L175</f>
        <v>0</v>
      </c>
      <c r="M160" s="65"/>
      <c r="N160" s="65"/>
    </row>
    <row r="161" spans="1:14" s="3" customFormat="1" x14ac:dyDescent="0.3">
      <c r="A161" s="4" t="s">
        <v>708</v>
      </c>
      <c r="B161" s="43" t="s">
        <v>1372</v>
      </c>
      <c r="C161" s="43" t="s">
        <v>1372</v>
      </c>
      <c r="D161" s="43" t="s">
        <v>915</v>
      </c>
      <c r="E161" s="10"/>
      <c r="F161" s="10"/>
      <c r="G161" s="5" t="s">
        <v>1376</v>
      </c>
      <c r="H161" s="15">
        <f t="shared" ref="H161:L166" si="75">H162</f>
        <v>73054.8</v>
      </c>
      <c r="I161" s="15">
        <f t="shared" si="75"/>
        <v>72900.5</v>
      </c>
      <c r="J161" s="15">
        <f t="shared" si="75"/>
        <v>72640.05085</v>
      </c>
      <c r="K161" s="81">
        <f t="shared" si="64"/>
        <v>99.642733383172953</v>
      </c>
      <c r="L161" s="15">
        <f t="shared" si="75"/>
        <v>0</v>
      </c>
      <c r="M161" s="65"/>
      <c r="N161" s="65"/>
    </row>
    <row r="162" spans="1:14" s="9" customFormat="1" x14ac:dyDescent="0.3">
      <c r="A162" s="6" t="s">
        <v>708</v>
      </c>
      <c r="B162" s="48" t="s">
        <v>912</v>
      </c>
      <c r="C162" s="48" t="s">
        <v>1372</v>
      </c>
      <c r="D162" s="48" t="s">
        <v>1477</v>
      </c>
      <c r="E162" s="11"/>
      <c r="F162" s="11"/>
      <c r="G162" s="7" t="s">
        <v>1377</v>
      </c>
      <c r="H162" s="16">
        <f t="shared" si="75"/>
        <v>73054.8</v>
      </c>
      <c r="I162" s="16">
        <f t="shared" si="75"/>
        <v>72900.5</v>
      </c>
      <c r="J162" s="16">
        <f t="shared" si="75"/>
        <v>72640.05085</v>
      </c>
      <c r="K162" s="82">
        <f t="shared" si="64"/>
        <v>99.642733383172953</v>
      </c>
      <c r="L162" s="16">
        <f t="shared" si="75"/>
        <v>0</v>
      </c>
      <c r="M162" s="65"/>
      <c r="N162" s="65"/>
    </row>
    <row r="163" spans="1:14" ht="31.2" x14ac:dyDescent="0.3">
      <c r="A163" s="64" t="s">
        <v>708</v>
      </c>
      <c r="B163" s="62" t="s">
        <v>912</v>
      </c>
      <c r="C163" s="68" t="s">
        <v>1372</v>
      </c>
      <c r="D163" s="68" t="s">
        <v>1477</v>
      </c>
      <c r="E163" s="8">
        <v>9500000000</v>
      </c>
      <c r="F163" s="8"/>
      <c r="G163" s="23" t="s">
        <v>1157</v>
      </c>
      <c r="H163" s="14">
        <f t="shared" si="75"/>
        <v>73054.8</v>
      </c>
      <c r="I163" s="14">
        <f t="shared" si="75"/>
        <v>72900.5</v>
      </c>
      <c r="J163" s="14">
        <f t="shared" si="75"/>
        <v>72640.05085</v>
      </c>
      <c r="K163" s="78">
        <f t="shared" si="64"/>
        <v>99.642733383172953</v>
      </c>
      <c r="L163" s="14">
        <f t="shared" si="75"/>
        <v>0</v>
      </c>
      <c r="M163" s="50"/>
      <c r="N163" s="50"/>
    </row>
    <row r="164" spans="1:14" x14ac:dyDescent="0.3">
      <c r="A164" s="64" t="s">
        <v>708</v>
      </c>
      <c r="B164" s="62" t="s">
        <v>912</v>
      </c>
      <c r="C164" s="68" t="s">
        <v>1372</v>
      </c>
      <c r="D164" s="68" t="s">
        <v>1477</v>
      </c>
      <c r="E164" s="8">
        <v>9580000000</v>
      </c>
      <c r="F164" s="8"/>
      <c r="G164" s="23" t="s">
        <v>1159</v>
      </c>
      <c r="H164" s="14">
        <f>H165+H168</f>
        <v>73054.8</v>
      </c>
      <c r="I164" s="14">
        <f>I165+I168</f>
        <v>72900.5</v>
      </c>
      <c r="J164" s="14">
        <f t="shared" ref="J164" si="76">J165+J168</f>
        <v>72640.05085</v>
      </c>
      <c r="K164" s="78">
        <f t="shared" si="64"/>
        <v>99.642733383172953</v>
      </c>
      <c r="L164" s="14">
        <f>L165+L168</f>
        <v>0</v>
      </c>
      <c r="M164" s="50"/>
      <c r="N164" s="50"/>
    </row>
    <row r="165" spans="1:14" ht="31.2" x14ac:dyDescent="0.3">
      <c r="A165" s="64" t="s">
        <v>708</v>
      </c>
      <c r="B165" s="62" t="s">
        <v>912</v>
      </c>
      <c r="C165" s="83" t="s">
        <v>1372</v>
      </c>
      <c r="D165" s="83" t="s">
        <v>1477</v>
      </c>
      <c r="E165" s="45" t="s">
        <v>345</v>
      </c>
      <c r="F165" s="8"/>
      <c r="G165" s="23" t="s">
        <v>1152</v>
      </c>
      <c r="H165" s="14">
        <f t="shared" si="75"/>
        <v>68490</v>
      </c>
      <c r="I165" s="14">
        <f t="shared" si="75"/>
        <v>69169.160099999994</v>
      </c>
      <c r="J165" s="14">
        <f t="shared" si="75"/>
        <v>69094.119699999996</v>
      </c>
      <c r="K165" s="78">
        <f t="shared" si="64"/>
        <v>99.891511766383303</v>
      </c>
      <c r="L165" s="14">
        <f t="shared" si="75"/>
        <v>0</v>
      </c>
      <c r="M165" s="50"/>
      <c r="N165" s="50"/>
    </row>
    <row r="166" spans="1:14" ht="78" x14ac:dyDescent="0.3">
      <c r="A166" s="64" t="s">
        <v>708</v>
      </c>
      <c r="B166" s="62" t="s">
        <v>912</v>
      </c>
      <c r="C166" s="83" t="s">
        <v>1372</v>
      </c>
      <c r="D166" s="83" t="s">
        <v>1477</v>
      </c>
      <c r="E166" s="45" t="s">
        <v>345</v>
      </c>
      <c r="F166" s="45" t="s">
        <v>431</v>
      </c>
      <c r="G166" s="23" t="s">
        <v>806</v>
      </c>
      <c r="H166" s="14">
        <f t="shared" si="75"/>
        <v>68490</v>
      </c>
      <c r="I166" s="14">
        <f t="shared" si="75"/>
        <v>69169.160099999994</v>
      </c>
      <c r="J166" s="14">
        <f t="shared" si="75"/>
        <v>69094.119699999996</v>
      </c>
      <c r="K166" s="78">
        <f t="shared" si="64"/>
        <v>99.891511766383303</v>
      </c>
      <c r="L166" s="14">
        <f t="shared" si="75"/>
        <v>0</v>
      </c>
      <c r="M166" s="50"/>
      <c r="N166" s="50"/>
    </row>
    <row r="167" spans="1:14" ht="31.2" x14ac:dyDescent="0.3">
      <c r="A167" s="64" t="s">
        <v>708</v>
      </c>
      <c r="B167" s="62" t="s">
        <v>912</v>
      </c>
      <c r="C167" s="83" t="s">
        <v>1372</v>
      </c>
      <c r="D167" s="83" t="s">
        <v>1477</v>
      </c>
      <c r="E167" s="45" t="s">
        <v>345</v>
      </c>
      <c r="F167" s="45" t="s">
        <v>233</v>
      </c>
      <c r="G167" s="23" t="s">
        <v>808</v>
      </c>
      <c r="H167" s="14">
        <v>68490</v>
      </c>
      <c r="I167" s="14">
        <v>69169.160099999994</v>
      </c>
      <c r="J167" s="14">
        <v>69094.119699999996</v>
      </c>
      <c r="K167" s="78">
        <f t="shared" si="64"/>
        <v>99.891511766383303</v>
      </c>
      <c r="L167" s="14"/>
      <c r="M167" s="50"/>
      <c r="N167" s="50"/>
    </row>
    <row r="168" spans="1:14" ht="31.2" x14ac:dyDescent="0.3">
      <c r="A168" s="64" t="s">
        <v>708</v>
      </c>
      <c r="B168" s="62" t="s">
        <v>912</v>
      </c>
      <c r="C168" s="83" t="s">
        <v>1372</v>
      </c>
      <c r="D168" s="83" t="s">
        <v>1477</v>
      </c>
      <c r="E168" s="45" t="s">
        <v>346</v>
      </c>
      <c r="F168" s="8"/>
      <c r="G168" s="23" t="s">
        <v>1154</v>
      </c>
      <c r="H168" s="14">
        <f>H169+H171+H173</f>
        <v>4564.8</v>
      </c>
      <c r="I168" s="14">
        <f>I169+I171+I173</f>
        <v>3731.3398999999999</v>
      </c>
      <c r="J168" s="14">
        <f t="shared" ref="J168" si="77">J169+J171+J173</f>
        <v>3545.9311499999994</v>
      </c>
      <c r="K168" s="78">
        <f t="shared" si="64"/>
        <v>95.031040994147958</v>
      </c>
      <c r="L168" s="14">
        <f>L169+L171+L173</f>
        <v>0</v>
      </c>
      <c r="M168" s="50"/>
      <c r="N168" s="50"/>
    </row>
    <row r="169" spans="1:14" ht="78" x14ac:dyDescent="0.3">
      <c r="A169" s="64" t="s">
        <v>708</v>
      </c>
      <c r="B169" s="62" t="s">
        <v>912</v>
      </c>
      <c r="C169" s="83" t="s">
        <v>1372</v>
      </c>
      <c r="D169" s="83" t="s">
        <v>1477</v>
      </c>
      <c r="E169" s="45" t="s">
        <v>346</v>
      </c>
      <c r="F169" s="45" t="s">
        <v>431</v>
      </c>
      <c r="G169" s="23" t="s">
        <v>806</v>
      </c>
      <c r="H169" s="14">
        <f t="shared" ref="H169:L169" si="78">H170</f>
        <v>576</v>
      </c>
      <c r="I169" s="14">
        <f t="shared" si="78"/>
        <v>168.15852000000001</v>
      </c>
      <c r="J169" s="14">
        <f t="shared" si="78"/>
        <v>168.15831</v>
      </c>
      <c r="K169" s="78">
        <f t="shared" si="64"/>
        <v>99.999875117835231</v>
      </c>
      <c r="L169" s="14">
        <f t="shared" si="78"/>
        <v>0</v>
      </c>
      <c r="M169" s="50"/>
      <c r="N169" s="50"/>
    </row>
    <row r="170" spans="1:14" ht="31.2" x14ac:dyDescent="0.3">
      <c r="A170" s="64" t="s">
        <v>708</v>
      </c>
      <c r="B170" s="62" t="s">
        <v>912</v>
      </c>
      <c r="C170" s="83" t="s">
        <v>1372</v>
      </c>
      <c r="D170" s="83" t="s">
        <v>1477</v>
      </c>
      <c r="E170" s="45" t="s">
        <v>346</v>
      </c>
      <c r="F170" s="45" t="s">
        <v>233</v>
      </c>
      <c r="G170" s="23" t="s">
        <v>808</v>
      </c>
      <c r="H170" s="14">
        <v>576</v>
      </c>
      <c r="I170" s="14">
        <v>168.15852000000001</v>
      </c>
      <c r="J170" s="14">
        <v>168.15831</v>
      </c>
      <c r="K170" s="78">
        <f t="shared" si="64"/>
        <v>99.999875117835231</v>
      </c>
      <c r="L170" s="14"/>
      <c r="M170" s="50"/>
      <c r="N170" s="50"/>
    </row>
    <row r="171" spans="1:14" ht="31.2" x14ac:dyDescent="0.3">
      <c r="A171" s="64" t="s">
        <v>708</v>
      </c>
      <c r="B171" s="62" t="s">
        <v>912</v>
      </c>
      <c r="C171" s="83" t="s">
        <v>1372</v>
      </c>
      <c r="D171" s="83" t="s">
        <v>1477</v>
      </c>
      <c r="E171" s="45" t="s">
        <v>346</v>
      </c>
      <c r="F171" s="45" t="s">
        <v>380</v>
      </c>
      <c r="G171" s="23" t="s">
        <v>809</v>
      </c>
      <c r="H171" s="14">
        <f t="shared" ref="H171:L171" si="79">H172</f>
        <v>3983.5</v>
      </c>
      <c r="I171" s="14">
        <f t="shared" si="79"/>
        <v>3502.5393800000002</v>
      </c>
      <c r="J171" s="14">
        <f t="shared" si="79"/>
        <v>3317.1308399999998</v>
      </c>
      <c r="K171" s="78">
        <f t="shared" si="64"/>
        <v>94.706453807237409</v>
      </c>
      <c r="L171" s="14">
        <f t="shared" si="79"/>
        <v>0</v>
      </c>
      <c r="M171" s="50"/>
      <c r="N171" s="50"/>
    </row>
    <row r="172" spans="1:14" ht="31.2" x14ac:dyDescent="0.3">
      <c r="A172" s="64" t="s">
        <v>708</v>
      </c>
      <c r="B172" s="62" t="s">
        <v>912</v>
      </c>
      <c r="C172" s="83" t="s">
        <v>1372</v>
      </c>
      <c r="D172" s="83" t="s">
        <v>1477</v>
      </c>
      <c r="E172" s="45" t="s">
        <v>346</v>
      </c>
      <c r="F172" s="8" t="s">
        <v>247</v>
      </c>
      <c r="G172" s="23" t="s">
        <v>810</v>
      </c>
      <c r="H172" s="14">
        <v>3983.5</v>
      </c>
      <c r="I172" s="14">
        <v>3502.5393800000002</v>
      </c>
      <c r="J172" s="14">
        <v>3317.1308399999998</v>
      </c>
      <c r="K172" s="78">
        <f t="shared" si="64"/>
        <v>94.706453807237409</v>
      </c>
      <c r="L172" s="14"/>
      <c r="M172" s="50"/>
      <c r="N172" s="50"/>
    </row>
    <row r="173" spans="1:14" x14ac:dyDescent="0.3">
      <c r="A173" s="64" t="s">
        <v>708</v>
      </c>
      <c r="B173" s="62" t="s">
        <v>912</v>
      </c>
      <c r="C173" s="83" t="s">
        <v>1372</v>
      </c>
      <c r="D173" s="83" t="s">
        <v>1477</v>
      </c>
      <c r="E173" s="45" t="s">
        <v>346</v>
      </c>
      <c r="F173" s="45" t="s">
        <v>464</v>
      </c>
      <c r="G173" s="23" t="s">
        <v>822</v>
      </c>
      <c r="H173" s="14">
        <f t="shared" ref="H173:L173" si="80">H174</f>
        <v>5.3</v>
      </c>
      <c r="I173" s="14">
        <f t="shared" si="80"/>
        <v>60.642000000000003</v>
      </c>
      <c r="J173" s="14">
        <f t="shared" si="80"/>
        <v>60.642000000000003</v>
      </c>
      <c r="K173" s="78">
        <f t="shared" si="64"/>
        <v>100</v>
      </c>
      <c r="L173" s="14">
        <f t="shared" si="80"/>
        <v>0</v>
      </c>
      <c r="M173" s="50"/>
      <c r="N173" s="50"/>
    </row>
    <row r="174" spans="1:14" x14ac:dyDescent="0.3">
      <c r="A174" s="64" t="s">
        <v>708</v>
      </c>
      <c r="B174" s="62" t="s">
        <v>912</v>
      </c>
      <c r="C174" s="83" t="s">
        <v>1372</v>
      </c>
      <c r="D174" s="83" t="s">
        <v>1477</v>
      </c>
      <c r="E174" s="45" t="s">
        <v>346</v>
      </c>
      <c r="F174" s="45" t="s">
        <v>729</v>
      </c>
      <c r="G174" s="23" t="s">
        <v>824</v>
      </c>
      <c r="H174" s="14">
        <v>5.3</v>
      </c>
      <c r="I174" s="14">
        <v>60.642000000000003</v>
      </c>
      <c r="J174" s="14">
        <v>60.642000000000003</v>
      </c>
      <c r="K174" s="78">
        <f t="shared" si="64"/>
        <v>100</v>
      </c>
      <c r="L174" s="14"/>
      <c r="M174" s="50"/>
      <c r="N174" s="50"/>
    </row>
    <row r="175" spans="1:14" s="3" customFormat="1" x14ac:dyDescent="0.3">
      <c r="A175" s="4" t="s">
        <v>708</v>
      </c>
      <c r="B175" s="43" t="s">
        <v>1386</v>
      </c>
      <c r="C175" s="43" t="s">
        <v>1386</v>
      </c>
      <c r="D175" s="43" t="s">
        <v>915</v>
      </c>
      <c r="E175" s="4"/>
      <c r="F175" s="4"/>
      <c r="G175" s="5" t="s">
        <v>1388</v>
      </c>
      <c r="H175" s="15">
        <f t="shared" ref="H175:L175" si="81">H176</f>
        <v>56136.008000000002</v>
      </c>
      <c r="I175" s="15">
        <f t="shared" si="81"/>
        <v>67597.438269999984</v>
      </c>
      <c r="J175" s="15">
        <f t="shared" si="81"/>
        <v>67163.156400000007</v>
      </c>
      <c r="K175" s="81">
        <f t="shared" si="64"/>
        <v>99.357546852196748</v>
      </c>
      <c r="L175" s="15">
        <f t="shared" si="81"/>
        <v>0</v>
      </c>
      <c r="M175" s="65"/>
      <c r="N175" s="65"/>
    </row>
    <row r="176" spans="1:14" s="9" customFormat="1" x14ac:dyDescent="0.3">
      <c r="A176" s="6" t="s">
        <v>708</v>
      </c>
      <c r="B176" s="48" t="s">
        <v>918</v>
      </c>
      <c r="C176" s="48" t="s">
        <v>1386</v>
      </c>
      <c r="D176" s="48" t="s">
        <v>1479</v>
      </c>
      <c r="E176" s="6"/>
      <c r="F176" s="6"/>
      <c r="G176" s="7" t="s">
        <v>1389</v>
      </c>
      <c r="H176" s="16">
        <f>H183+H177</f>
        <v>56136.008000000002</v>
      </c>
      <c r="I176" s="16">
        <f>I183+I177+I233</f>
        <v>67597.438269999984</v>
      </c>
      <c r="J176" s="16">
        <f t="shared" ref="J176:L176" si="82">J183+J177+J233</f>
        <v>67163.156400000007</v>
      </c>
      <c r="K176" s="82">
        <f t="shared" si="64"/>
        <v>99.357546852196748</v>
      </c>
      <c r="L176" s="16">
        <f t="shared" si="82"/>
        <v>0</v>
      </c>
      <c r="M176" s="65"/>
      <c r="N176" s="65"/>
    </row>
    <row r="177" spans="1:14" ht="46.8" x14ac:dyDescent="0.3">
      <c r="A177" s="64" t="s">
        <v>708</v>
      </c>
      <c r="B177" s="62" t="s">
        <v>918</v>
      </c>
      <c r="C177" s="68" t="s">
        <v>1386</v>
      </c>
      <c r="D177" s="68" t="s">
        <v>1479</v>
      </c>
      <c r="E177" s="64" t="s">
        <v>381</v>
      </c>
      <c r="F177" s="64"/>
      <c r="G177" s="18" t="s">
        <v>1061</v>
      </c>
      <c r="H177" s="14">
        <f t="shared" ref="H177:L177" si="83">H178</f>
        <v>200</v>
      </c>
      <c r="I177" s="14">
        <f t="shared" si="83"/>
        <v>200</v>
      </c>
      <c r="J177" s="14">
        <f t="shared" si="83"/>
        <v>200</v>
      </c>
      <c r="K177" s="78">
        <f t="shared" si="64"/>
        <v>100</v>
      </c>
      <c r="L177" s="14">
        <f t="shared" si="83"/>
        <v>0</v>
      </c>
      <c r="M177" s="50"/>
      <c r="N177" s="50"/>
    </row>
    <row r="178" spans="1:14" ht="62.4" x14ac:dyDescent="0.3">
      <c r="A178" s="64" t="s">
        <v>708</v>
      </c>
      <c r="B178" s="62" t="s">
        <v>918</v>
      </c>
      <c r="C178" s="68" t="s">
        <v>1386</v>
      </c>
      <c r="D178" s="68" t="s">
        <v>1479</v>
      </c>
      <c r="E178" s="64" t="s">
        <v>382</v>
      </c>
      <c r="F178" s="64"/>
      <c r="G178" s="18" t="s">
        <v>1062</v>
      </c>
      <c r="H178" s="14">
        <f t="shared" ref="H178:L181" si="84">H179</f>
        <v>200</v>
      </c>
      <c r="I178" s="14">
        <f t="shared" si="84"/>
        <v>200</v>
      </c>
      <c r="J178" s="14">
        <f t="shared" si="84"/>
        <v>200</v>
      </c>
      <c r="K178" s="78">
        <f t="shared" si="64"/>
        <v>100</v>
      </c>
      <c r="L178" s="14">
        <f t="shared" si="84"/>
        <v>0</v>
      </c>
      <c r="M178" s="50"/>
      <c r="N178" s="50"/>
    </row>
    <row r="179" spans="1:14" ht="31.2" x14ac:dyDescent="0.3">
      <c r="A179" s="64" t="s">
        <v>708</v>
      </c>
      <c r="B179" s="62" t="s">
        <v>918</v>
      </c>
      <c r="C179" s="68" t="s">
        <v>1386</v>
      </c>
      <c r="D179" s="68" t="s">
        <v>1479</v>
      </c>
      <c r="E179" s="64" t="s">
        <v>765</v>
      </c>
      <c r="F179" s="64"/>
      <c r="G179" s="18" t="s">
        <v>800</v>
      </c>
      <c r="H179" s="14">
        <f t="shared" si="84"/>
        <v>200</v>
      </c>
      <c r="I179" s="14">
        <f t="shared" si="84"/>
        <v>200</v>
      </c>
      <c r="J179" s="14">
        <f t="shared" si="84"/>
        <v>200</v>
      </c>
      <c r="K179" s="78">
        <f t="shared" si="64"/>
        <v>100</v>
      </c>
      <c r="L179" s="14">
        <f t="shared" si="84"/>
        <v>0</v>
      </c>
      <c r="M179" s="50"/>
      <c r="N179" s="50"/>
    </row>
    <row r="180" spans="1:14" x14ac:dyDescent="0.3">
      <c r="A180" s="64" t="s">
        <v>708</v>
      </c>
      <c r="B180" s="62" t="s">
        <v>918</v>
      </c>
      <c r="C180" s="68" t="s">
        <v>1386</v>
      </c>
      <c r="D180" s="68" t="s">
        <v>1479</v>
      </c>
      <c r="E180" s="64" t="s">
        <v>766</v>
      </c>
      <c r="F180" s="64"/>
      <c r="G180" s="18" t="s">
        <v>801</v>
      </c>
      <c r="H180" s="14">
        <f t="shared" si="84"/>
        <v>200</v>
      </c>
      <c r="I180" s="14">
        <f t="shared" si="84"/>
        <v>200</v>
      </c>
      <c r="J180" s="14">
        <f t="shared" si="84"/>
        <v>200</v>
      </c>
      <c r="K180" s="78">
        <f t="shared" si="64"/>
        <v>100</v>
      </c>
      <c r="L180" s="14">
        <f t="shared" si="84"/>
        <v>0</v>
      </c>
      <c r="M180" s="50"/>
      <c r="N180" s="50"/>
    </row>
    <row r="181" spans="1:14" ht="31.2" x14ac:dyDescent="0.3">
      <c r="A181" s="64" t="s">
        <v>708</v>
      </c>
      <c r="B181" s="62" t="s">
        <v>918</v>
      </c>
      <c r="C181" s="68" t="s">
        <v>1386</v>
      </c>
      <c r="D181" s="68" t="s">
        <v>1479</v>
      </c>
      <c r="E181" s="64" t="s">
        <v>766</v>
      </c>
      <c r="F181" s="45" t="s">
        <v>380</v>
      </c>
      <c r="G181" s="23" t="s">
        <v>809</v>
      </c>
      <c r="H181" s="14">
        <f t="shared" si="84"/>
        <v>200</v>
      </c>
      <c r="I181" s="14">
        <f t="shared" si="84"/>
        <v>200</v>
      </c>
      <c r="J181" s="14">
        <f t="shared" si="84"/>
        <v>200</v>
      </c>
      <c r="K181" s="78">
        <f t="shared" si="64"/>
        <v>100</v>
      </c>
      <c r="L181" s="14">
        <f t="shared" si="84"/>
        <v>0</v>
      </c>
      <c r="M181" s="50"/>
      <c r="N181" s="50"/>
    </row>
    <row r="182" spans="1:14" ht="31.2" x14ac:dyDescent="0.3">
      <c r="A182" s="64" t="s">
        <v>708</v>
      </c>
      <c r="B182" s="62" t="s">
        <v>918</v>
      </c>
      <c r="C182" s="68" t="s">
        <v>1386</v>
      </c>
      <c r="D182" s="68" t="s">
        <v>1479</v>
      </c>
      <c r="E182" s="64" t="s">
        <v>766</v>
      </c>
      <c r="F182" s="8" t="s">
        <v>247</v>
      </c>
      <c r="G182" s="23" t="s">
        <v>810</v>
      </c>
      <c r="H182" s="14">
        <v>200</v>
      </c>
      <c r="I182" s="14">
        <v>200</v>
      </c>
      <c r="J182" s="19">
        <v>200</v>
      </c>
      <c r="K182" s="75">
        <f t="shared" si="64"/>
        <v>100</v>
      </c>
      <c r="L182" s="14"/>
      <c r="M182" s="50"/>
      <c r="N182" s="50"/>
    </row>
    <row r="183" spans="1:14" ht="31.2" x14ac:dyDescent="0.3">
      <c r="A183" s="64" t="s">
        <v>708</v>
      </c>
      <c r="B183" s="62" t="s">
        <v>918</v>
      </c>
      <c r="C183" s="68" t="s">
        <v>1386</v>
      </c>
      <c r="D183" s="68" t="s">
        <v>1479</v>
      </c>
      <c r="E183" s="8" t="s">
        <v>365</v>
      </c>
      <c r="F183" s="8"/>
      <c r="G183" s="13" t="s">
        <v>831</v>
      </c>
      <c r="H183" s="14">
        <f>H184+H210+H214+H225</f>
        <v>55936.008000000002</v>
      </c>
      <c r="I183" s="14">
        <f>I184+I210+I214+I225</f>
        <v>55936.007999999987</v>
      </c>
      <c r="J183" s="14">
        <f t="shared" ref="J183" si="85">J184+J210+J214+J225</f>
        <v>55501.72613000001</v>
      </c>
      <c r="K183" s="78">
        <f t="shared" si="64"/>
        <v>99.223609468162294</v>
      </c>
      <c r="L183" s="14">
        <f>L184+L210+L214+L225</f>
        <v>0</v>
      </c>
      <c r="M183" s="50"/>
      <c r="N183" s="50"/>
    </row>
    <row r="184" spans="1:14" ht="46.8" x14ac:dyDescent="0.3">
      <c r="A184" s="64" t="s">
        <v>708</v>
      </c>
      <c r="B184" s="62" t="s">
        <v>918</v>
      </c>
      <c r="C184" s="68" t="s">
        <v>1386</v>
      </c>
      <c r="D184" s="68" t="s">
        <v>1479</v>
      </c>
      <c r="E184" s="8" t="s">
        <v>1278</v>
      </c>
      <c r="F184" s="8"/>
      <c r="G184" s="13" t="s">
        <v>1319</v>
      </c>
      <c r="H184" s="14">
        <f>H185+H193+H197</f>
        <v>33431.736000000004</v>
      </c>
      <c r="I184" s="14">
        <f>I185+I193+I197</f>
        <v>33431.735999999997</v>
      </c>
      <c r="J184" s="14">
        <f t="shared" ref="J184" si="86">J185+J193+J197</f>
        <v>33194.280920000005</v>
      </c>
      <c r="K184" s="78">
        <f t="shared" si="64"/>
        <v>99.289731529346867</v>
      </c>
      <c r="L184" s="14">
        <f>L185+L193+L197</f>
        <v>0</v>
      </c>
      <c r="M184" s="50"/>
      <c r="N184" s="50"/>
    </row>
    <row r="185" spans="1:14" ht="31.2" x14ac:dyDescent="0.3">
      <c r="A185" s="64" t="s">
        <v>708</v>
      </c>
      <c r="B185" s="62" t="s">
        <v>918</v>
      </c>
      <c r="C185" s="68" t="s">
        <v>1386</v>
      </c>
      <c r="D185" s="68" t="s">
        <v>1479</v>
      </c>
      <c r="E185" s="8" t="s">
        <v>1279</v>
      </c>
      <c r="F185" s="8"/>
      <c r="G185" s="18" t="s">
        <v>137</v>
      </c>
      <c r="H185" s="14">
        <f t="shared" ref="H185:L185" si="87">H186</f>
        <v>25411.399000000001</v>
      </c>
      <c r="I185" s="14">
        <f t="shared" si="87"/>
        <v>25411.398999999998</v>
      </c>
      <c r="J185" s="14">
        <f t="shared" si="87"/>
        <v>25302.672839999999</v>
      </c>
      <c r="K185" s="78">
        <f t="shared" si="64"/>
        <v>99.572136268451814</v>
      </c>
      <c r="L185" s="14">
        <f t="shared" si="87"/>
        <v>0</v>
      </c>
      <c r="M185" s="50"/>
      <c r="N185" s="50"/>
    </row>
    <row r="186" spans="1:14" ht="62.4" x14ac:dyDescent="0.3">
      <c r="A186" s="64" t="s">
        <v>708</v>
      </c>
      <c r="B186" s="62" t="s">
        <v>918</v>
      </c>
      <c r="C186" s="68" t="s">
        <v>1386</v>
      </c>
      <c r="D186" s="68" t="s">
        <v>1479</v>
      </c>
      <c r="E186" s="8" t="s">
        <v>57</v>
      </c>
      <c r="F186" s="8"/>
      <c r="G186" s="23" t="s">
        <v>1291</v>
      </c>
      <c r="H186" s="14">
        <f>H187+H189+H191</f>
        <v>25411.399000000001</v>
      </c>
      <c r="I186" s="14">
        <f>I187+I189+I191</f>
        <v>25411.398999999998</v>
      </c>
      <c r="J186" s="14">
        <f t="shared" ref="J186" si="88">J187+J189+J191</f>
        <v>25302.672839999999</v>
      </c>
      <c r="K186" s="78">
        <f t="shared" si="64"/>
        <v>99.572136268451814</v>
      </c>
      <c r="L186" s="14">
        <f>L187+L189+L191</f>
        <v>0</v>
      </c>
      <c r="M186" s="50"/>
      <c r="N186" s="50"/>
    </row>
    <row r="187" spans="1:14" ht="78" x14ac:dyDescent="0.3">
      <c r="A187" s="64" t="s">
        <v>708</v>
      </c>
      <c r="B187" s="62" t="s">
        <v>918</v>
      </c>
      <c r="C187" s="68" t="s">
        <v>1386</v>
      </c>
      <c r="D187" s="68" t="s">
        <v>1479</v>
      </c>
      <c r="E187" s="8" t="s">
        <v>57</v>
      </c>
      <c r="F187" s="45" t="s">
        <v>431</v>
      </c>
      <c r="G187" s="23" t="s">
        <v>806</v>
      </c>
      <c r="H187" s="14">
        <f t="shared" ref="H187:L187" si="89">H188</f>
        <v>19940.952000000001</v>
      </c>
      <c r="I187" s="14">
        <f t="shared" si="89"/>
        <v>20108.99568</v>
      </c>
      <c r="J187" s="14">
        <f t="shared" si="89"/>
        <v>20042.52462</v>
      </c>
      <c r="K187" s="78">
        <f t="shared" si="64"/>
        <v>99.669446147098682</v>
      </c>
      <c r="L187" s="14">
        <f t="shared" si="89"/>
        <v>0</v>
      </c>
      <c r="M187" s="50"/>
      <c r="N187" s="50"/>
    </row>
    <row r="188" spans="1:14" x14ac:dyDescent="0.3">
      <c r="A188" s="64" t="s">
        <v>708</v>
      </c>
      <c r="B188" s="62" t="s">
        <v>918</v>
      </c>
      <c r="C188" s="68" t="s">
        <v>1386</v>
      </c>
      <c r="D188" s="68" t="s">
        <v>1479</v>
      </c>
      <c r="E188" s="8" t="s">
        <v>57</v>
      </c>
      <c r="F188" s="8" t="s">
        <v>719</v>
      </c>
      <c r="G188" s="23" t="s">
        <v>807</v>
      </c>
      <c r="H188" s="14">
        <f>16632.9+3780.54-472.488</f>
        <v>19940.952000000001</v>
      </c>
      <c r="I188" s="14">
        <v>20108.99568</v>
      </c>
      <c r="J188" s="14">
        <v>20042.52462</v>
      </c>
      <c r="K188" s="78">
        <f t="shared" si="64"/>
        <v>99.669446147098682</v>
      </c>
      <c r="L188" s="14"/>
      <c r="M188" s="50"/>
      <c r="N188" s="50"/>
    </row>
    <row r="189" spans="1:14" ht="31.2" x14ac:dyDescent="0.3">
      <c r="A189" s="64" t="s">
        <v>708</v>
      </c>
      <c r="B189" s="62" t="s">
        <v>918</v>
      </c>
      <c r="C189" s="68" t="s">
        <v>1386</v>
      </c>
      <c r="D189" s="68" t="s">
        <v>1479</v>
      </c>
      <c r="E189" s="8" t="s">
        <v>57</v>
      </c>
      <c r="F189" s="45" t="s">
        <v>380</v>
      </c>
      <c r="G189" s="23" t="s">
        <v>809</v>
      </c>
      <c r="H189" s="14">
        <f t="shared" ref="H189:L189" si="90">H190</f>
        <v>5350.2470000000003</v>
      </c>
      <c r="I189" s="14">
        <f t="shared" si="90"/>
        <v>5228.4237199999998</v>
      </c>
      <c r="J189" s="14">
        <f t="shared" si="90"/>
        <v>5186.1686200000004</v>
      </c>
      <c r="K189" s="78">
        <f t="shared" si="64"/>
        <v>99.191819518407371</v>
      </c>
      <c r="L189" s="14">
        <f t="shared" si="90"/>
        <v>0</v>
      </c>
      <c r="M189" s="50"/>
      <c r="N189" s="50"/>
    </row>
    <row r="190" spans="1:14" ht="31.2" x14ac:dyDescent="0.3">
      <c r="A190" s="64" t="s">
        <v>708</v>
      </c>
      <c r="B190" s="62" t="s">
        <v>918</v>
      </c>
      <c r="C190" s="68" t="s">
        <v>1386</v>
      </c>
      <c r="D190" s="68" t="s">
        <v>1479</v>
      </c>
      <c r="E190" s="8" t="s">
        <v>57</v>
      </c>
      <c r="F190" s="8" t="s">
        <v>247</v>
      </c>
      <c r="G190" s="23" t="s">
        <v>810</v>
      </c>
      <c r="H190" s="14">
        <f>4251.5+949.349+499.813-55.622-224.897-69.896</f>
        <v>5350.2470000000003</v>
      </c>
      <c r="I190" s="14">
        <v>5228.4237199999998</v>
      </c>
      <c r="J190" s="14">
        <v>5186.1686200000004</v>
      </c>
      <c r="K190" s="78">
        <f t="shared" si="64"/>
        <v>99.191819518407371</v>
      </c>
      <c r="L190" s="14"/>
      <c r="M190" s="50"/>
      <c r="N190" s="50"/>
    </row>
    <row r="191" spans="1:14" x14ac:dyDescent="0.3">
      <c r="A191" s="64" t="s">
        <v>708</v>
      </c>
      <c r="B191" s="62" t="s">
        <v>918</v>
      </c>
      <c r="C191" s="68" t="s">
        <v>1386</v>
      </c>
      <c r="D191" s="68" t="s">
        <v>1479</v>
      </c>
      <c r="E191" s="8" t="s">
        <v>57</v>
      </c>
      <c r="F191" s="45" t="s">
        <v>464</v>
      </c>
      <c r="G191" s="23" t="s">
        <v>822</v>
      </c>
      <c r="H191" s="14">
        <f t="shared" ref="H191:L191" si="91">H192</f>
        <v>120.2</v>
      </c>
      <c r="I191" s="14">
        <f t="shared" si="91"/>
        <v>73.979600000000005</v>
      </c>
      <c r="J191" s="14">
        <f t="shared" si="91"/>
        <v>73.979600000000005</v>
      </c>
      <c r="K191" s="78">
        <f t="shared" si="64"/>
        <v>100</v>
      </c>
      <c r="L191" s="14">
        <f t="shared" si="91"/>
        <v>0</v>
      </c>
      <c r="M191" s="50"/>
      <c r="N191" s="50"/>
    </row>
    <row r="192" spans="1:14" x14ac:dyDescent="0.3">
      <c r="A192" s="64" t="s">
        <v>708</v>
      </c>
      <c r="B192" s="62" t="s">
        <v>918</v>
      </c>
      <c r="C192" s="68" t="s">
        <v>1386</v>
      </c>
      <c r="D192" s="68" t="s">
        <v>1479</v>
      </c>
      <c r="E192" s="8" t="s">
        <v>57</v>
      </c>
      <c r="F192" s="45" t="s">
        <v>729</v>
      </c>
      <c r="G192" s="23" t="s">
        <v>824</v>
      </c>
      <c r="H192" s="14">
        <v>120.2</v>
      </c>
      <c r="I192" s="14">
        <v>73.979600000000005</v>
      </c>
      <c r="J192" s="14">
        <v>73.979600000000005</v>
      </c>
      <c r="K192" s="78">
        <f t="shared" si="64"/>
        <v>100</v>
      </c>
      <c r="L192" s="14"/>
      <c r="M192" s="50"/>
      <c r="N192" s="50"/>
    </row>
    <row r="193" spans="1:14" ht="62.4" x14ac:dyDescent="0.3">
      <c r="A193" s="64" t="s">
        <v>708</v>
      </c>
      <c r="B193" s="62" t="s">
        <v>918</v>
      </c>
      <c r="C193" s="68" t="s">
        <v>1386</v>
      </c>
      <c r="D193" s="68" t="s">
        <v>1479</v>
      </c>
      <c r="E193" s="8" t="s">
        <v>1280</v>
      </c>
      <c r="F193" s="8"/>
      <c r="G193" s="13" t="s">
        <v>832</v>
      </c>
      <c r="H193" s="14">
        <f t="shared" ref="H193:L193" si="92">H194</f>
        <v>7279.0519999999997</v>
      </c>
      <c r="I193" s="14">
        <f t="shared" si="92"/>
        <v>7279.0519999999997</v>
      </c>
      <c r="J193" s="14">
        <f t="shared" si="92"/>
        <v>7279.0513300000002</v>
      </c>
      <c r="K193" s="78">
        <f t="shared" si="64"/>
        <v>99.999990795504701</v>
      </c>
      <c r="L193" s="14">
        <f t="shared" si="92"/>
        <v>0</v>
      </c>
      <c r="M193" s="50"/>
      <c r="N193" s="50"/>
    </row>
    <row r="194" spans="1:14" ht="31.2" x14ac:dyDescent="0.3">
      <c r="A194" s="64" t="s">
        <v>708</v>
      </c>
      <c r="B194" s="62" t="s">
        <v>918</v>
      </c>
      <c r="C194" s="68" t="s">
        <v>1386</v>
      </c>
      <c r="D194" s="68" t="s">
        <v>1479</v>
      </c>
      <c r="E194" s="8" t="s">
        <v>1281</v>
      </c>
      <c r="F194" s="8"/>
      <c r="G194" s="18" t="s">
        <v>138</v>
      </c>
      <c r="H194" s="14">
        <f t="shared" ref="H194:L195" si="93">H195</f>
        <v>7279.0519999999997</v>
      </c>
      <c r="I194" s="14">
        <f t="shared" si="93"/>
        <v>7279.0519999999997</v>
      </c>
      <c r="J194" s="14">
        <f t="shared" si="93"/>
        <v>7279.0513300000002</v>
      </c>
      <c r="K194" s="78">
        <f t="shared" si="64"/>
        <v>99.999990795504701</v>
      </c>
      <c r="L194" s="14">
        <f t="shared" si="93"/>
        <v>0</v>
      </c>
      <c r="M194" s="50"/>
      <c r="N194" s="50"/>
    </row>
    <row r="195" spans="1:14" ht="31.2" x14ac:dyDescent="0.3">
      <c r="A195" s="64" t="s">
        <v>708</v>
      </c>
      <c r="B195" s="62" t="s">
        <v>918</v>
      </c>
      <c r="C195" s="68" t="s">
        <v>1386</v>
      </c>
      <c r="D195" s="68" t="s">
        <v>1479</v>
      </c>
      <c r="E195" s="8" t="s">
        <v>1281</v>
      </c>
      <c r="F195" s="45" t="s">
        <v>380</v>
      </c>
      <c r="G195" s="23" t="s">
        <v>809</v>
      </c>
      <c r="H195" s="14">
        <f t="shared" si="93"/>
        <v>7279.0519999999997</v>
      </c>
      <c r="I195" s="14">
        <f t="shared" si="93"/>
        <v>7279.0519999999997</v>
      </c>
      <c r="J195" s="14">
        <f t="shared" si="93"/>
        <v>7279.0513300000002</v>
      </c>
      <c r="K195" s="78">
        <f t="shared" si="64"/>
        <v>99.999990795504701</v>
      </c>
      <c r="L195" s="14">
        <f t="shared" si="93"/>
        <v>0</v>
      </c>
      <c r="M195" s="50"/>
      <c r="N195" s="50"/>
    </row>
    <row r="196" spans="1:14" ht="31.2" x14ac:dyDescent="0.3">
      <c r="A196" s="64" t="s">
        <v>708</v>
      </c>
      <c r="B196" s="62" t="s">
        <v>918</v>
      </c>
      <c r="C196" s="68" t="s">
        <v>1386</v>
      </c>
      <c r="D196" s="68" t="s">
        <v>1479</v>
      </c>
      <c r="E196" s="8" t="s">
        <v>1281</v>
      </c>
      <c r="F196" s="8" t="s">
        <v>247</v>
      </c>
      <c r="G196" s="23" t="s">
        <v>810</v>
      </c>
      <c r="H196" s="14">
        <f>10631.3-3339.156-13.092</f>
        <v>7279.0519999999997</v>
      </c>
      <c r="I196" s="14">
        <v>7279.0519999999997</v>
      </c>
      <c r="J196" s="19">
        <v>7279.0513300000002</v>
      </c>
      <c r="K196" s="75">
        <f t="shared" si="64"/>
        <v>99.999990795504701</v>
      </c>
      <c r="L196" s="14"/>
      <c r="M196" s="50"/>
      <c r="N196" s="50"/>
    </row>
    <row r="197" spans="1:14" ht="46.8" x14ac:dyDescent="0.3">
      <c r="A197" s="64" t="s">
        <v>708</v>
      </c>
      <c r="B197" s="62" t="s">
        <v>918</v>
      </c>
      <c r="C197" s="68" t="s">
        <v>1386</v>
      </c>
      <c r="D197" s="68" t="s">
        <v>1479</v>
      </c>
      <c r="E197" s="8" t="s">
        <v>1282</v>
      </c>
      <c r="F197" s="8"/>
      <c r="G197" s="13" t="s">
        <v>833</v>
      </c>
      <c r="H197" s="14">
        <f>H198+H201+H207</f>
        <v>741.28500000000008</v>
      </c>
      <c r="I197" s="14">
        <f>I198+I201+I207</f>
        <v>741.28499999999997</v>
      </c>
      <c r="J197" s="14">
        <f t="shared" ref="J197" si="94">J198+J201+J207</f>
        <v>612.55674999999997</v>
      </c>
      <c r="K197" s="78">
        <f t="shared" si="64"/>
        <v>82.634445591101937</v>
      </c>
      <c r="L197" s="14">
        <f>L198+L201+L207</f>
        <v>0</v>
      </c>
      <c r="M197" s="50"/>
      <c r="N197" s="50"/>
    </row>
    <row r="198" spans="1:14" ht="31.2" x14ac:dyDescent="0.3">
      <c r="A198" s="64" t="s">
        <v>708</v>
      </c>
      <c r="B198" s="62" t="s">
        <v>918</v>
      </c>
      <c r="C198" s="68" t="s">
        <v>1386</v>
      </c>
      <c r="D198" s="68" t="s">
        <v>1479</v>
      </c>
      <c r="E198" s="8" t="s">
        <v>220</v>
      </c>
      <c r="F198" s="8"/>
      <c r="G198" s="23" t="s">
        <v>1320</v>
      </c>
      <c r="H198" s="14">
        <f t="shared" ref="H198:L198" si="95">H199</f>
        <v>253.28499999999997</v>
      </c>
      <c r="I198" s="14">
        <f t="shared" si="95"/>
        <v>253.285</v>
      </c>
      <c r="J198" s="14">
        <f t="shared" si="95"/>
        <v>124.55674999999999</v>
      </c>
      <c r="K198" s="78">
        <f t="shared" si="64"/>
        <v>49.176520520362438</v>
      </c>
      <c r="L198" s="14">
        <f t="shared" si="95"/>
        <v>0</v>
      </c>
      <c r="M198" s="50"/>
      <c r="N198" s="50"/>
    </row>
    <row r="199" spans="1:14" ht="31.2" x14ac:dyDescent="0.3">
      <c r="A199" s="64" t="s">
        <v>708</v>
      </c>
      <c r="B199" s="62" t="s">
        <v>918</v>
      </c>
      <c r="C199" s="68" t="s">
        <v>1386</v>
      </c>
      <c r="D199" s="68" t="s">
        <v>1479</v>
      </c>
      <c r="E199" s="8" t="s">
        <v>220</v>
      </c>
      <c r="F199" s="45" t="s">
        <v>380</v>
      </c>
      <c r="G199" s="23" t="s">
        <v>809</v>
      </c>
      <c r="H199" s="14">
        <f t="shared" ref="H199:L199" si="96">H200</f>
        <v>253.28499999999997</v>
      </c>
      <c r="I199" s="14">
        <f t="shared" si="96"/>
        <v>253.285</v>
      </c>
      <c r="J199" s="14">
        <f t="shared" si="96"/>
        <v>124.55674999999999</v>
      </c>
      <c r="K199" s="78">
        <f t="shared" si="64"/>
        <v>49.176520520362438</v>
      </c>
      <c r="L199" s="14">
        <f t="shared" si="96"/>
        <v>0</v>
      </c>
      <c r="M199" s="50"/>
      <c r="N199" s="50"/>
    </row>
    <row r="200" spans="1:14" ht="31.2" x14ac:dyDescent="0.3">
      <c r="A200" s="64" t="s">
        <v>708</v>
      </c>
      <c r="B200" s="62" t="s">
        <v>918</v>
      </c>
      <c r="C200" s="68" t="s">
        <v>1386</v>
      </c>
      <c r="D200" s="68" t="s">
        <v>1479</v>
      </c>
      <c r="E200" s="8" t="s">
        <v>220</v>
      </c>
      <c r="F200" s="8" t="s">
        <v>247</v>
      </c>
      <c r="G200" s="23" t="s">
        <v>810</v>
      </c>
      <c r="H200" s="14">
        <f>365.3-79.626-32.389</f>
        <v>253.28499999999997</v>
      </c>
      <c r="I200" s="14">
        <v>253.285</v>
      </c>
      <c r="J200" s="14">
        <v>124.55674999999999</v>
      </c>
      <c r="K200" s="78">
        <f t="shared" ref="K200:K263" si="97">J200/I200*100</f>
        <v>49.176520520362438</v>
      </c>
      <c r="L200" s="14"/>
      <c r="M200" s="50"/>
      <c r="N200" s="50"/>
    </row>
    <row r="201" spans="1:14" ht="31.2" x14ac:dyDescent="0.3">
      <c r="A201" s="64" t="s">
        <v>708</v>
      </c>
      <c r="B201" s="62" t="s">
        <v>918</v>
      </c>
      <c r="C201" s="68" t="s">
        <v>1386</v>
      </c>
      <c r="D201" s="68" t="s">
        <v>1479</v>
      </c>
      <c r="E201" s="8" t="s">
        <v>221</v>
      </c>
      <c r="F201" s="8"/>
      <c r="G201" s="23" t="s">
        <v>1321</v>
      </c>
      <c r="H201" s="14">
        <f>H202+H204</f>
        <v>488.00000000000011</v>
      </c>
      <c r="I201" s="14">
        <f>I202+I204</f>
        <v>488</v>
      </c>
      <c r="J201" s="14">
        <f t="shared" ref="J201" si="98">J202+J204</f>
        <v>488</v>
      </c>
      <c r="K201" s="78">
        <f t="shared" si="97"/>
        <v>100</v>
      </c>
      <c r="L201" s="14">
        <f>L202+L204</f>
        <v>0</v>
      </c>
      <c r="M201" s="50"/>
      <c r="N201" s="50"/>
    </row>
    <row r="202" spans="1:14" ht="31.2" x14ac:dyDescent="0.3">
      <c r="A202" s="64" t="s">
        <v>708</v>
      </c>
      <c r="B202" s="62" t="s">
        <v>918</v>
      </c>
      <c r="C202" s="68" t="s">
        <v>1386</v>
      </c>
      <c r="D202" s="68" t="s">
        <v>1479</v>
      </c>
      <c r="E202" s="8" t="s">
        <v>221</v>
      </c>
      <c r="F202" s="45" t="s">
        <v>380</v>
      </c>
      <c r="G202" s="23" t="s">
        <v>809</v>
      </c>
      <c r="H202" s="14">
        <f t="shared" ref="H202:L202" si="99">H203</f>
        <v>397.00000000000011</v>
      </c>
      <c r="I202" s="14">
        <f t="shared" si="99"/>
        <v>397</v>
      </c>
      <c r="J202" s="14">
        <f t="shared" si="99"/>
        <v>397</v>
      </c>
      <c r="K202" s="78">
        <f t="shared" si="97"/>
        <v>100</v>
      </c>
      <c r="L202" s="14">
        <f t="shared" si="99"/>
        <v>0</v>
      </c>
      <c r="M202" s="50"/>
      <c r="N202" s="50"/>
    </row>
    <row r="203" spans="1:14" ht="31.2" x14ac:dyDescent="0.3">
      <c r="A203" s="64" t="s">
        <v>708</v>
      </c>
      <c r="B203" s="62" t="s">
        <v>918</v>
      </c>
      <c r="C203" s="68" t="s">
        <v>1386</v>
      </c>
      <c r="D203" s="68" t="s">
        <v>1479</v>
      </c>
      <c r="E203" s="8" t="s">
        <v>221</v>
      </c>
      <c r="F203" s="8" t="s">
        <v>247</v>
      </c>
      <c r="G203" s="23" t="s">
        <v>810</v>
      </c>
      <c r="H203" s="14">
        <f>821.6-294.2-130.4</f>
        <v>397.00000000000011</v>
      </c>
      <c r="I203" s="14">
        <v>397</v>
      </c>
      <c r="J203" s="14">
        <v>397</v>
      </c>
      <c r="K203" s="78">
        <f t="shared" si="97"/>
        <v>100</v>
      </c>
      <c r="L203" s="14"/>
      <c r="M203" s="50"/>
      <c r="N203" s="50"/>
    </row>
    <row r="204" spans="1:14" x14ac:dyDescent="0.3">
      <c r="A204" s="64" t="s">
        <v>708</v>
      </c>
      <c r="B204" s="62" t="s">
        <v>918</v>
      </c>
      <c r="C204" s="68" t="s">
        <v>1386</v>
      </c>
      <c r="D204" s="68" t="s">
        <v>1479</v>
      </c>
      <c r="E204" s="8" t="s">
        <v>221</v>
      </c>
      <c r="F204" s="45" t="s">
        <v>464</v>
      </c>
      <c r="G204" s="23" t="s">
        <v>822</v>
      </c>
      <c r="H204" s="14">
        <f>H205+H206</f>
        <v>91</v>
      </c>
      <c r="I204" s="14">
        <f>I205+I206</f>
        <v>91</v>
      </c>
      <c r="J204" s="14">
        <f t="shared" ref="J204" si="100">J205+J206</f>
        <v>91</v>
      </c>
      <c r="K204" s="78">
        <f t="shared" si="97"/>
        <v>100</v>
      </c>
      <c r="L204" s="14">
        <f>L205+L206</f>
        <v>0</v>
      </c>
      <c r="M204" s="50"/>
      <c r="N204" s="50"/>
    </row>
    <row r="205" spans="1:14" x14ac:dyDescent="0.3">
      <c r="A205" s="64" t="s">
        <v>708</v>
      </c>
      <c r="B205" s="62" t="s">
        <v>918</v>
      </c>
      <c r="C205" s="68" t="s">
        <v>1386</v>
      </c>
      <c r="D205" s="68" t="s">
        <v>1479</v>
      </c>
      <c r="E205" s="8" t="s">
        <v>221</v>
      </c>
      <c r="F205" s="45" t="s">
        <v>728</v>
      </c>
      <c r="G205" s="23" t="s">
        <v>823</v>
      </c>
      <c r="H205" s="14">
        <f>101.6-10.6</f>
        <v>91</v>
      </c>
      <c r="I205" s="14">
        <v>91</v>
      </c>
      <c r="J205" s="14">
        <v>91</v>
      </c>
      <c r="K205" s="78">
        <f t="shared" si="97"/>
        <v>100</v>
      </c>
      <c r="L205" s="14"/>
      <c r="M205" s="50"/>
      <c r="N205" s="50"/>
    </row>
    <row r="206" spans="1:14" hidden="1" x14ac:dyDescent="0.3">
      <c r="A206" s="64" t="s">
        <v>708</v>
      </c>
      <c r="B206" s="62" t="s">
        <v>918</v>
      </c>
      <c r="C206" s="68" t="s">
        <v>1386</v>
      </c>
      <c r="D206" s="68" t="s">
        <v>1479</v>
      </c>
      <c r="E206" s="8" t="s">
        <v>221</v>
      </c>
      <c r="F206" s="45" t="s">
        <v>729</v>
      </c>
      <c r="G206" s="23" t="s">
        <v>824</v>
      </c>
      <c r="H206" s="14">
        <v>0</v>
      </c>
      <c r="I206" s="14">
        <v>0</v>
      </c>
      <c r="J206" s="19">
        <v>0</v>
      </c>
      <c r="K206" s="75" t="e">
        <f t="shared" si="97"/>
        <v>#DIV/0!</v>
      </c>
      <c r="L206" s="14"/>
      <c r="M206" s="50">
        <v>111</v>
      </c>
      <c r="N206" s="50"/>
    </row>
    <row r="207" spans="1:14" ht="31.2" hidden="1" x14ac:dyDescent="0.3">
      <c r="A207" s="64" t="s">
        <v>708</v>
      </c>
      <c r="B207" s="62" t="s">
        <v>918</v>
      </c>
      <c r="C207" s="68" t="s">
        <v>1386</v>
      </c>
      <c r="D207" s="68" t="s">
        <v>1479</v>
      </c>
      <c r="E207" s="8" t="s">
        <v>222</v>
      </c>
      <c r="F207" s="8"/>
      <c r="G207" s="23" t="s">
        <v>1322</v>
      </c>
      <c r="H207" s="14">
        <f t="shared" ref="H207:L208" si="101">H208</f>
        <v>0</v>
      </c>
      <c r="I207" s="14">
        <f t="shared" si="101"/>
        <v>0</v>
      </c>
      <c r="J207" s="14">
        <f t="shared" si="101"/>
        <v>0</v>
      </c>
      <c r="K207" s="78" t="e">
        <f t="shared" si="97"/>
        <v>#DIV/0!</v>
      </c>
      <c r="L207" s="14">
        <f t="shared" si="101"/>
        <v>0</v>
      </c>
      <c r="M207" s="50">
        <v>111</v>
      </c>
      <c r="N207" s="50"/>
    </row>
    <row r="208" spans="1:14" ht="31.2" hidden="1" x14ac:dyDescent="0.3">
      <c r="A208" s="64" t="s">
        <v>708</v>
      </c>
      <c r="B208" s="62" t="s">
        <v>918</v>
      </c>
      <c r="C208" s="68" t="s">
        <v>1386</v>
      </c>
      <c r="D208" s="68" t="s">
        <v>1479</v>
      </c>
      <c r="E208" s="8" t="s">
        <v>222</v>
      </c>
      <c r="F208" s="45" t="s">
        <v>380</v>
      </c>
      <c r="G208" s="23" t="s">
        <v>809</v>
      </c>
      <c r="H208" s="14">
        <f t="shared" si="101"/>
        <v>0</v>
      </c>
      <c r="I208" s="14">
        <f t="shared" si="101"/>
        <v>0</v>
      </c>
      <c r="J208" s="14">
        <f t="shared" si="101"/>
        <v>0</v>
      </c>
      <c r="K208" s="78" t="e">
        <f t="shared" si="97"/>
        <v>#DIV/0!</v>
      </c>
      <c r="L208" s="14">
        <f t="shared" si="101"/>
        <v>0</v>
      </c>
      <c r="M208" s="50">
        <v>111</v>
      </c>
      <c r="N208" s="50"/>
    </row>
    <row r="209" spans="1:14" ht="31.2" hidden="1" x14ac:dyDescent="0.3">
      <c r="A209" s="64" t="s">
        <v>708</v>
      </c>
      <c r="B209" s="62" t="s">
        <v>918</v>
      </c>
      <c r="C209" s="68" t="s">
        <v>1386</v>
      </c>
      <c r="D209" s="68" t="s">
        <v>1479</v>
      </c>
      <c r="E209" s="8" t="s">
        <v>222</v>
      </c>
      <c r="F209" s="8" t="s">
        <v>247</v>
      </c>
      <c r="G209" s="23" t="s">
        <v>810</v>
      </c>
      <c r="H209" s="14">
        <v>0</v>
      </c>
      <c r="I209" s="14">
        <v>0</v>
      </c>
      <c r="J209" s="19">
        <v>0</v>
      </c>
      <c r="K209" s="75" t="e">
        <f t="shared" si="97"/>
        <v>#DIV/0!</v>
      </c>
      <c r="L209" s="14"/>
      <c r="M209" s="50">
        <v>111</v>
      </c>
      <c r="N209" s="50"/>
    </row>
    <row r="210" spans="1:14" ht="31.2" x14ac:dyDescent="0.3">
      <c r="A210" s="64" t="s">
        <v>708</v>
      </c>
      <c r="B210" s="62" t="s">
        <v>918</v>
      </c>
      <c r="C210" s="68" t="s">
        <v>1386</v>
      </c>
      <c r="D210" s="68" t="s">
        <v>1479</v>
      </c>
      <c r="E210" s="8" t="s">
        <v>366</v>
      </c>
      <c r="F210" s="8"/>
      <c r="G210" s="13" t="s">
        <v>834</v>
      </c>
      <c r="H210" s="14">
        <f t="shared" ref="H210:L211" si="102">H211</f>
        <v>641.42399999999998</v>
      </c>
      <c r="I210" s="14">
        <f t="shared" si="102"/>
        <v>641.42399999999998</v>
      </c>
      <c r="J210" s="14">
        <f t="shared" si="102"/>
        <v>641.42399999999998</v>
      </c>
      <c r="K210" s="78">
        <f t="shared" si="97"/>
        <v>100</v>
      </c>
      <c r="L210" s="14">
        <f t="shared" si="102"/>
        <v>0</v>
      </c>
      <c r="M210" s="50"/>
      <c r="N210" s="50"/>
    </row>
    <row r="211" spans="1:14" ht="46.8" x14ac:dyDescent="0.3">
      <c r="A211" s="64" t="s">
        <v>708</v>
      </c>
      <c r="B211" s="62" t="s">
        <v>918</v>
      </c>
      <c r="C211" s="68" t="s">
        <v>1386</v>
      </c>
      <c r="D211" s="68" t="s">
        <v>1479</v>
      </c>
      <c r="E211" s="8" t="s">
        <v>1283</v>
      </c>
      <c r="F211" s="8"/>
      <c r="G211" s="13" t="s">
        <v>835</v>
      </c>
      <c r="H211" s="14">
        <f t="shared" si="102"/>
        <v>641.42399999999998</v>
      </c>
      <c r="I211" s="14">
        <f t="shared" si="102"/>
        <v>641.42399999999998</v>
      </c>
      <c r="J211" s="14">
        <f t="shared" si="102"/>
        <v>641.42399999999998</v>
      </c>
      <c r="K211" s="78">
        <f t="shared" si="97"/>
        <v>100</v>
      </c>
      <c r="L211" s="14">
        <f t="shared" si="102"/>
        <v>0</v>
      </c>
      <c r="M211" s="50"/>
      <c r="N211" s="50"/>
    </row>
    <row r="212" spans="1:14" ht="31.2" x14ac:dyDescent="0.3">
      <c r="A212" s="64" t="s">
        <v>708</v>
      </c>
      <c r="B212" s="62" t="s">
        <v>918</v>
      </c>
      <c r="C212" s="68" t="s">
        <v>1386</v>
      </c>
      <c r="D212" s="68" t="s">
        <v>1479</v>
      </c>
      <c r="E212" s="8" t="s">
        <v>1283</v>
      </c>
      <c r="F212" s="45" t="s">
        <v>380</v>
      </c>
      <c r="G212" s="23" t="s">
        <v>809</v>
      </c>
      <c r="H212" s="14">
        <f t="shared" ref="H212:L212" si="103">H213</f>
        <v>641.42399999999998</v>
      </c>
      <c r="I212" s="14">
        <f t="shared" si="103"/>
        <v>641.42399999999998</v>
      </c>
      <c r="J212" s="14">
        <f t="shared" si="103"/>
        <v>641.42399999999998</v>
      </c>
      <c r="K212" s="78">
        <f t="shared" si="97"/>
        <v>100</v>
      </c>
      <c r="L212" s="14">
        <f t="shared" si="103"/>
        <v>0</v>
      </c>
      <c r="M212" s="50"/>
      <c r="N212" s="50"/>
    </row>
    <row r="213" spans="1:14" ht="31.2" x14ac:dyDescent="0.3">
      <c r="A213" s="64" t="s">
        <v>708</v>
      </c>
      <c r="B213" s="62" t="s">
        <v>918</v>
      </c>
      <c r="C213" s="68" t="s">
        <v>1386</v>
      </c>
      <c r="D213" s="68" t="s">
        <v>1479</v>
      </c>
      <c r="E213" s="8" t="s">
        <v>1283</v>
      </c>
      <c r="F213" s="8" t="s">
        <v>247</v>
      </c>
      <c r="G213" s="23" t="s">
        <v>810</v>
      </c>
      <c r="H213" s="14">
        <f>796.8-155.376</f>
        <v>641.42399999999998</v>
      </c>
      <c r="I213" s="14">
        <v>641.42399999999998</v>
      </c>
      <c r="J213" s="19">
        <v>641.42399999999998</v>
      </c>
      <c r="K213" s="75">
        <f t="shared" si="97"/>
        <v>100</v>
      </c>
      <c r="L213" s="14"/>
      <c r="M213" s="50"/>
      <c r="N213" s="50"/>
    </row>
    <row r="214" spans="1:14" ht="31.2" x14ac:dyDescent="0.3">
      <c r="A214" s="64" t="s">
        <v>708</v>
      </c>
      <c r="B214" s="62" t="s">
        <v>918</v>
      </c>
      <c r="C214" s="68" t="s">
        <v>1386</v>
      </c>
      <c r="D214" s="68" t="s">
        <v>1479</v>
      </c>
      <c r="E214" s="8" t="s">
        <v>1284</v>
      </c>
      <c r="F214" s="8"/>
      <c r="G214" s="13" t="s">
        <v>836</v>
      </c>
      <c r="H214" s="14">
        <f>H215+H219+H222</f>
        <v>442.30600000000015</v>
      </c>
      <c r="I214" s="14">
        <f>I215+I219+I222</f>
        <v>442.30599999999998</v>
      </c>
      <c r="J214" s="14">
        <f t="shared" ref="J214" si="104">J215+J219+J222</f>
        <v>245.48077000000001</v>
      </c>
      <c r="K214" s="78">
        <f t="shared" si="97"/>
        <v>55.50021252255226</v>
      </c>
      <c r="L214" s="14">
        <f>L215+L219+L222</f>
        <v>0</v>
      </c>
      <c r="M214" s="50"/>
      <c r="N214" s="50"/>
    </row>
    <row r="215" spans="1:14" ht="46.8" x14ac:dyDescent="0.3">
      <c r="A215" s="64" t="s">
        <v>708</v>
      </c>
      <c r="B215" s="62" t="s">
        <v>918</v>
      </c>
      <c r="C215" s="68" t="s">
        <v>1386</v>
      </c>
      <c r="D215" s="68" t="s">
        <v>1479</v>
      </c>
      <c r="E215" s="8" t="s">
        <v>1285</v>
      </c>
      <c r="F215" s="8"/>
      <c r="G215" s="13" t="s">
        <v>837</v>
      </c>
      <c r="H215" s="14">
        <f t="shared" ref="H215:L215" si="105">H216</f>
        <v>49.446999999999989</v>
      </c>
      <c r="I215" s="14">
        <f t="shared" si="105"/>
        <v>49.447000000000003</v>
      </c>
      <c r="J215" s="14">
        <f t="shared" si="105"/>
        <v>49.446260000000002</v>
      </c>
      <c r="K215" s="78">
        <f t="shared" si="97"/>
        <v>99.99850344813639</v>
      </c>
      <c r="L215" s="14">
        <f t="shared" si="105"/>
        <v>0</v>
      </c>
      <c r="M215" s="50"/>
      <c r="N215" s="50"/>
    </row>
    <row r="216" spans="1:14" ht="31.2" x14ac:dyDescent="0.3">
      <c r="A216" s="64" t="s">
        <v>708</v>
      </c>
      <c r="B216" s="62" t="s">
        <v>918</v>
      </c>
      <c r="C216" s="68" t="s">
        <v>1386</v>
      </c>
      <c r="D216" s="68" t="s">
        <v>1479</v>
      </c>
      <c r="E216" s="8" t="s">
        <v>47</v>
      </c>
      <c r="F216" s="8"/>
      <c r="G216" s="13" t="s">
        <v>48</v>
      </c>
      <c r="H216" s="14">
        <f t="shared" ref="H216:L217" si="106">H217</f>
        <v>49.446999999999989</v>
      </c>
      <c r="I216" s="14">
        <f t="shared" si="106"/>
        <v>49.447000000000003</v>
      </c>
      <c r="J216" s="14">
        <f t="shared" si="106"/>
        <v>49.446260000000002</v>
      </c>
      <c r="K216" s="78">
        <f t="shared" si="97"/>
        <v>99.99850344813639</v>
      </c>
      <c r="L216" s="14">
        <f t="shared" si="106"/>
        <v>0</v>
      </c>
      <c r="M216" s="50"/>
      <c r="N216" s="50"/>
    </row>
    <row r="217" spans="1:14" ht="31.2" x14ac:dyDescent="0.3">
      <c r="A217" s="64" t="s">
        <v>708</v>
      </c>
      <c r="B217" s="62" t="s">
        <v>918</v>
      </c>
      <c r="C217" s="68" t="s">
        <v>1386</v>
      </c>
      <c r="D217" s="68" t="s">
        <v>1479</v>
      </c>
      <c r="E217" s="8" t="s">
        <v>47</v>
      </c>
      <c r="F217" s="45" t="s">
        <v>380</v>
      </c>
      <c r="G217" s="23" t="s">
        <v>809</v>
      </c>
      <c r="H217" s="14">
        <f t="shared" si="106"/>
        <v>49.446999999999989</v>
      </c>
      <c r="I217" s="14">
        <f t="shared" si="106"/>
        <v>49.447000000000003</v>
      </c>
      <c r="J217" s="14">
        <f t="shared" si="106"/>
        <v>49.446260000000002</v>
      </c>
      <c r="K217" s="78">
        <f t="shared" si="97"/>
        <v>99.99850344813639</v>
      </c>
      <c r="L217" s="14">
        <f t="shared" si="106"/>
        <v>0</v>
      </c>
      <c r="M217" s="50"/>
      <c r="N217" s="50"/>
    </row>
    <row r="218" spans="1:14" ht="31.2" x14ac:dyDescent="0.3">
      <c r="A218" s="64" t="s">
        <v>708</v>
      </c>
      <c r="B218" s="62" t="s">
        <v>918</v>
      </c>
      <c r="C218" s="68" t="s">
        <v>1386</v>
      </c>
      <c r="D218" s="68" t="s">
        <v>1479</v>
      </c>
      <c r="E218" s="8" t="s">
        <v>47</v>
      </c>
      <c r="F218" s="8" t="s">
        <v>247</v>
      </c>
      <c r="G218" s="23" t="s">
        <v>810</v>
      </c>
      <c r="H218" s="14">
        <f>62.4+107.73-114.983-5.7</f>
        <v>49.446999999999989</v>
      </c>
      <c r="I218" s="14">
        <v>49.447000000000003</v>
      </c>
      <c r="J218" s="19">
        <v>49.446260000000002</v>
      </c>
      <c r="K218" s="75">
        <f t="shared" si="97"/>
        <v>99.99850344813639</v>
      </c>
      <c r="L218" s="14"/>
      <c r="M218" s="50"/>
      <c r="N218" s="50"/>
    </row>
    <row r="219" spans="1:14" ht="31.2" x14ac:dyDescent="0.3">
      <c r="A219" s="64" t="s">
        <v>708</v>
      </c>
      <c r="B219" s="62" t="s">
        <v>918</v>
      </c>
      <c r="C219" s="68" t="s">
        <v>1386</v>
      </c>
      <c r="D219" s="68" t="s">
        <v>1479</v>
      </c>
      <c r="E219" s="8" t="s">
        <v>1286</v>
      </c>
      <c r="F219" s="8"/>
      <c r="G219" s="13" t="s">
        <v>838</v>
      </c>
      <c r="H219" s="14">
        <f t="shared" ref="H219:L220" si="107">H220</f>
        <v>392.85900000000015</v>
      </c>
      <c r="I219" s="14">
        <f t="shared" si="107"/>
        <v>392.85899999999998</v>
      </c>
      <c r="J219" s="14">
        <f t="shared" si="107"/>
        <v>196.03451000000001</v>
      </c>
      <c r="K219" s="78">
        <f t="shared" si="97"/>
        <v>49.899457566200603</v>
      </c>
      <c r="L219" s="14">
        <f t="shared" si="107"/>
        <v>0</v>
      </c>
      <c r="M219" s="50"/>
      <c r="N219" s="50"/>
    </row>
    <row r="220" spans="1:14" ht="31.2" x14ac:dyDescent="0.3">
      <c r="A220" s="64" t="s">
        <v>708</v>
      </c>
      <c r="B220" s="62" t="s">
        <v>918</v>
      </c>
      <c r="C220" s="68" t="s">
        <v>1386</v>
      </c>
      <c r="D220" s="68" t="s">
        <v>1479</v>
      </c>
      <c r="E220" s="8" t="s">
        <v>1286</v>
      </c>
      <c r="F220" s="45" t="s">
        <v>380</v>
      </c>
      <c r="G220" s="23" t="s">
        <v>809</v>
      </c>
      <c r="H220" s="14">
        <f t="shared" si="107"/>
        <v>392.85900000000015</v>
      </c>
      <c r="I220" s="14">
        <f t="shared" si="107"/>
        <v>392.85899999999998</v>
      </c>
      <c r="J220" s="14">
        <f t="shared" si="107"/>
        <v>196.03451000000001</v>
      </c>
      <c r="K220" s="78">
        <f t="shared" si="97"/>
        <v>49.899457566200603</v>
      </c>
      <c r="L220" s="14">
        <f t="shared" si="107"/>
        <v>0</v>
      </c>
      <c r="M220" s="50"/>
      <c r="N220" s="50"/>
    </row>
    <row r="221" spans="1:14" ht="31.2" x14ac:dyDescent="0.3">
      <c r="A221" s="64" t="s">
        <v>708</v>
      </c>
      <c r="B221" s="62" t="s">
        <v>918</v>
      </c>
      <c r="C221" s="68" t="s">
        <v>1386</v>
      </c>
      <c r="D221" s="68" t="s">
        <v>1479</v>
      </c>
      <c r="E221" s="8" t="s">
        <v>1286</v>
      </c>
      <c r="F221" s="8" t="s">
        <v>247</v>
      </c>
      <c r="G221" s="23" t="s">
        <v>810</v>
      </c>
      <c r="H221" s="14">
        <f>1555.796-1162.937</f>
        <v>392.85900000000015</v>
      </c>
      <c r="I221" s="14">
        <v>392.85899999999998</v>
      </c>
      <c r="J221" s="19">
        <v>196.03451000000001</v>
      </c>
      <c r="K221" s="75">
        <f t="shared" si="97"/>
        <v>49.899457566200603</v>
      </c>
      <c r="L221" s="14"/>
      <c r="M221" s="50"/>
      <c r="N221" s="50"/>
    </row>
    <row r="222" spans="1:14" hidden="1" x14ac:dyDescent="0.3">
      <c r="A222" s="64" t="s">
        <v>708</v>
      </c>
      <c r="B222" s="62" t="s">
        <v>918</v>
      </c>
      <c r="C222" s="68" t="s">
        <v>1386</v>
      </c>
      <c r="D222" s="68" t="s">
        <v>1479</v>
      </c>
      <c r="E222" s="8" t="s">
        <v>1362</v>
      </c>
      <c r="F222" s="8"/>
      <c r="G222" s="23" t="s">
        <v>689</v>
      </c>
      <c r="H222" s="14">
        <f t="shared" ref="H222:L223" si="108">H223</f>
        <v>0</v>
      </c>
      <c r="I222" s="14">
        <f t="shared" si="108"/>
        <v>0</v>
      </c>
      <c r="J222" s="14">
        <f t="shared" si="108"/>
        <v>0</v>
      </c>
      <c r="K222" s="78" t="e">
        <f t="shared" si="97"/>
        <v>#DIV/0!</v>
      </c>
      <c r="L222" s="14">
        <f t="shared" si="108"/>
        <v>0</v>
      </c>
      <c r="M222" s="50">
        <v>111</v>
      </c>
      <c r="N222" s="50"/>
    </row>
    <row r="223" spans="1:14" ht="31.2" hidden="1" x14ac:dyDescent="0.3">
      <c r="A223" s="64" t="s">
        <v>708</v>
      </c>
      <c r="B223" s="62" t="s">
        <v>918</v>
      </c>
      <c r="C223" s="68" t="s">
        <v>1386</v>
      </c>
      <c r="D223" s="68" t="s">
        <v>1479</v>
      </c>
      <c r="E223" s="8" t="s">
        <v>1362</v>
      </c>
      <c r="F223" s="45" t="s">
        <v>380</v>
      </c>
      <c r="G223" s="23" t="s">
        <v>809</v>
      </c>
      <c r="H223" s="14">
        <f t="shared" si="108"/>
        <v>0</v>
      </c>
      <c r="I223" s="14">
        <f t="shared" si="108"/>
        <v>0</v>
      </c>
      <c r="J223" s="14">
        <f t="shared" si="108"/>
        <v>0</v>
      </c>
      <c r="K223" s="78" t="e">
        <f t="shared" si="97"/>
        <v>#DIV/0!</v>
      </c>
      <c r="L223" s="14">
        <f t="shared" si="108"/>
        <v>0</v>
      </c>
      <c r="M223" s="50">
        <v>111</v>
      </c>
      <c r="N223" s="50"/>
    </row>
    <row r="224" spans="1:14" ht="31.2" hidden="1" x14ac:dyDescent="0.3">
      <c r="A224" s="64" t="s">
        <v>708</v>
      </c>
      <c r="B224" s="62" t="s">
        <v>918</v>
      </c>
      <c r="C224" s="68" t="s">
        <v>1386</v>
      </c>
      <c r="D224" s="68" t="s">
        <v>1479</v>
      </c>
      <c r="E224" s="8" t="s">
        <v>1362</v>
      </c>
      <c r="F224" s="8" t="s">
        <v>247</v>
      </c>
      <c r="G224" s="23" t="s">
        <v>810</v>
      </c>
      <c r="H224" s="14">
        <v>0</v>
      </c>
      <c r="I224" s="14">
        <v>0</v>
      </c>
      <c r="J224" s="19">
        <v>0</v>
      </c>
      <c r="K224" s="75" t="e">
        <f t="shared" si="97"/>
        <v>#DIV/0!</v>
      </c>
      <c r="L224" s="14"/>
      <c r="M224" s="50">
        <v>111</v>
      </c>
      <c r="N224" s="50"/>
    </row>
    <row r="225" spans="1:14" ht="62.4" x14ac:dyDescent="0.3">
      <c r="A225" s="64" t="s">
        <v>708</v>
      </c>
      <c r="B225" s="62" t="s">
        <v>918</v>
      </c>
      <c r="C225" s="68" t="s">
        <v>1386</v>
      </c>
      <c r="D225" s="68" t="s">
        <v>1479</v>
      </c>
      <c r="E225" s="8" t="s">
        <v>1287</v>
      </c>
      <c r="F225" s="8"/>
      <c r="G225" s="13" t="s">
        <v>839</v>
      </c>
      <c r="H225" s="14">
        <f t="shared" ref="H225:L228" si="109">H226</f>
        <v>21420.542000000001</v>
      </c>
      <c r="I225" s="14">
        <f t="shared" si="109"/>
        <v>21420.541999999998</v>
      </c>
      <c r="J225" s="14">
        <f t="shared" si="109"/>
        <v>21420.540440000001</v>
      </c>
      <c r="K225" s="78">
        <f t="shared" si="97"/>
        <v>99.999992717271127</v>
      </c>
      <c r="L225" s="14">
        <f t="shared" si="109"/>
        <v>0</v>
      </c>
      <c r="M225" s="50"/>
      <c r="N225" s="50"/>
    </row>
    <row r="226" spans="1:14" ht="46.8" x14ac:dyDescent="0.3">
      <c r="A226" s="64" t="s">
        <v>708</v>
      </c>
      <c r="B226" s="62" t="s">
        <v>918</v>
      </c>
      <c r="C226" s="68" t="s">
        <v>1386</v>
      </c>
      <c r="D226" s="68" t="s">
        <v>1479</v>
      </c>
      <c r="E226" s="8" t="s">
        <v>1288</v>
      </c>
      <c r="F226" s="8"/>
      <c r="G226" s="13" t="s">
        <v>840</v>
      </c>
      <c r="H226" s="14">
        <f>H227+H230</f>
        <v>21420.542000000001</v>
      </c>
      <c r="I226" s="14">
        <f>I227+I230</f>
        <v>21420.541999999998</v>
      </c>
      <c r="J226" s="14">
        <f t="shared" ref="J226" si="110">J227+J230</f>
        <v>21420.540440000001</v>
      </c>
      <c r="K226" s="78">
        <f t="shared" si="97"/>
        <v>99.999992717271127</v>
      </c>
      <c r="L226" s="14">
        <f>L227+L230</f>
        <v>0</v>
      </c>
      <c r="M226" s="50"/>
      <c r="N226" s="50"/>
    </row>
    <row r="227" spans="1:14" ht="31.2" x14ac:dyDescent="0.3">
      <c r="A227" s="64" t="s">
        <v>708</v>
      </c>
      <c r="B227" s="62" t="s">
        <v>918</v>
      </c>
      <c r="C227" s="68" t="s">
        <v>1386</v>
      </c>
      <c r="D227" s="68" t="s">
        <v>1479</v>
      </c>
      <c r="E227" s="8" t="s">
        <v>1289</v>
      </c>
      <c r="F227" s="8"/>
      <c r="G227" s="13" t="s">
        <v>841</v>
      </c>
      <c r="H227" s="14">
        <f t="shared" si="109"/>
        <v>3084.2460000000005</v>
      </c>
      <c r="I227" s="14">
        <f t="shared" si="109"/>
        <v>3084.2460000000001</v>
      </c>
      <c r="J227" s="14">
        <f t="shared" si="109"/>
        <v>3084.24494</v>
      </c>
      <c r="K227" s="78">
        <f t="shared" si="97"/>
        <v>99.999965631794609</v>
      </c>
      <c r="L227" s="14">
        <f t="shared" si="109"/>
        <v>0</v>
      </c>
      <c r="M227" s="50"/>
      <c r="N227" s="50"/>
    </row>
    <row r="228" spans="1:14" ht="31.2" x14ac:dyDescent="0.3">
      <c r="A228" s="64" t="s">
        <v>708</v>
      </c>
      <c r="B228" s="62" t="s">
        <v>918</v>
      </c>
      <c r="C228" s="68" t="s">
        <v>1386</v>
      </c>
      <c r="D228" s="68" t="s">
        <v>1479</v>
      </c>
      <c r="E228" s="8" t="s">
        <v>1289</v>
      </c>
      <c r="F228" s="45" t="s">
        <v>380</v>
      </c>
      <c r="G228" s="23" t="s">
        <v>809</v>
      </c>
      <c r="H228" s="14">
        <f t="shared" si="109"/>
        <v>3084.2460000000005</v>
      </c>
      <c r="I228" s="14">
        <f t="shared" si="109"/>
        <v>3084.2460000000001</v>
      </c>
      <c r="J228" s="14">
        <f t="shared" si="109"/>
        <v>3084.24494</v>
      </c>
      <c r="K228" s="78">
        <f t="shared" si="97"/>
        <v>99.999965631794609</v>
      </c>
      <c r="L228" s="14">
        <f t="shared" si="109"/>
        <v>0</v>
      </c>
      <c r="M228" s="50"/>
      <c r="N228" s="50"/>
    </row>
    <row r="229" spans="1:14" ht="31.2" x14ac:dyDescent="0.3">
      <c r="A229" s="64" t="s">
        <v>708</v>
      </c>
      <c r="B229" s="62" t="s">
        <v>918</v>
      </c>
      <c r="C229" s="68" t="s">
        <v>1386</v>
      </c>
      <c r="D229" s="68" t="s">
        <v>1479</v>
      </c>
      <c r="E229" s="8" t="s">
        <v>1289</v>
      </c>
      <c r="F229" s="8" t="s">
        <v>247</v>
      </c>
      <c r="G229" s="23" t="s">
        <v>810</v>
      </c>
      <c r="H229" s="14">
        <f>4382.6-739.511-558.843</f>
        <v>3084.2460000000005</v>
      </c>
      <c r="I229" s="14">
        <v>3084.2460000000001</v>
      </c>
      <c r="J229" s="19">
        <v>3084.24494</v>
      </c>
      <c r="K229" s="75">
        <f t="shared" si="97"/>
        <v>99.999965631794609</v>
      </c>
      <c r="L229" s="14"/>
      <c r="M229" s="50"/>
      <c r="N229" s="50"/>
    </row>
    <row r="230" spans="1:14" ht="31.2" x14ac:dyDescent="0.3">
      <c r="A230" s="64" t="s">
        <v>708</v>
      </c>
      <c r="B230" s="62" t="s">
        <v>918</v>
      </c>
      <c r="C230" s="68" t="s">
        <v>1386</v>
      </c>
      <c r="D230" s="68" t="s">
        <v>1479</v>
      </c>
      <c r="E230" s="8" t="s">
        <v>1290</v>
      </c>
      <c r="F230" s="8"/>
      <c r="G230" s="13" t="s">
        <v>842</v>
      </c>
      <c r="H230" s="14">
        <f t="shared" ref="H230:L231" si="111">H231</f>
        <v>18336.296000000002</v>
      </c>
      <c r="I230" s="14">
        <f t="shared" si="111"/>
        <v>18336.295999999998</v>
      </c>
      <c r="J230" s="14">
        <f t="shared" si="111"/>
        <v>18336.2955</v>
      </c>
      <c r="K230" s="78">
        <f t="shared" si="97"/>
        <v>99.999997273167935</v>
      </c>
      <c r="L230" s="14">
        <f t="shared" si="111"/>
        <v>0</v>
      </c>
      <c r="M230" s="50"/>
      <c r="N230" s="50"/>
    </row>
    <row r="231" spans="1:14" ht="31.2" x14ac:dyDescent="0.3">
      <c r="A231" s="64" t="s">
        <v>708</v>
      </c>
      <c r="B231" s="62" t="s">
        <v>918</v>
      </c>
      <c r="C231" s="68" t="s">
        <v>1386</v>
      </c>
      <c r="D231" s="68" t="s">
        <v>1479</v>
      </c>
      <c r="E231" s="8" t="s">
        <v>1290</v>
      </c>
      <c r="F231" s="45" t="s">
        <v>380</v>
      </c>
      <c r="G231" s="23" t="s">
        <v>809</v>
      </c>
      <c r="H231" s="14">
        <f t="shared" si="111"/>
        <v>18336.296000000002</v>
      </c>
      <c r="I231" s="14">
        <f t="shared" si="111"/>
        <v>18336.295999999998</v>
      </c>
      <c r="J231" s="14">
        <f t="shared" si="111"/>
        <v>18336.2955</v>
      </c>
      <c r="K231" s="78">
        <f t="shared" si="97"/>
        <v>99.999997273167935</v>
      </c>
      <c r="L231" s="14">
        <f t="shared" si="111"/>
        <v>0</v>
      </c>
      <c r="M231" s="50"/>
      <c r="N231" s="50"/>
    </row>
    <row r="232" spans="1:14" ht="31.2" x14ac:dyDescent="0.3">
      <c r="A232" s="64" t="s">
        <v>708</v>
      </c>
      <c r="B232" s="62" t="s">
        <v>918</v>
      </c>
      <c r="C232" s="68" t="s">
        <v>1386</v>
      </c>
      <c r="D232" s="68" t="s">
        <v>1479</v>
      </c>
      <c r="E232" s="8" t="s">
        <v>1290</v>
      </c>
      <c r="F232" s="45" t="s">
        <v>247</v>
      </c>
      <c r="G232" s="23" t="s">
        <v>810</v>
      </c>
      <c r="H232" s="14">
        <f>18868.4-483.404-48.7</f>
        <v>18336.296000000002</v>
      </c>
      <c r="I232" s="14">
        <v>18336.295999999998</v>
      </c>
      <c r="J232" s="14">
        <v>18336.2955</v>
      </c>
      <c r="K232" s="78">
        <f t="shared" si="97"/>
        <v>99.999997273167935</v>
      </c>
      <c r="L232" s="14"/>
      <c r="M232" s="50"/>
      <c r="N232" s="50"/>
    </row>
    <row r="233" spans="1:14" ht="46.8" x14ac:dyDescent="0.3">
      <c r="A233" s="64" t="s">
        <v>708</v>
      </c>
      <c r="B233" s="62" t="s">
        <v>918</v>
      </c>
      <c r="C233" s="68" t="s">
        <v>1386</v>
      </c>
      <c r="D233" s="68" t="s">
        <v>1479</v>
      </c>
      <c r="E233" s="8" t="s">
        <v>493</v>
      </c>
      <c r="F233" s="45"/>
      <c r="G233" s="23" t="s">
        <v>1160</v>
      </c>
      <c r="H233" s="20">
        <v>0</v>
      </c>
      <c r="I233" s="14">
        <f>I234</f>
        <v>11461.430270000001</v>
      </c>
      <c r="J233" s="14">
        <f t="shared" ref="J233:L236" si="112">J234</f>
        <v>11461.430270000001</v>
      </c>
      <c r="K233" s="78">
        <f t="shared" si="97"/>
        <v>100</v>
      </c>
      <c r="L233" s="14">
        <f t="shared" si="112"/>
        <v>0</v>
      </c>
      <c r="M233" s="50"/>
      <c r="N233" s="50"/>
    </row>
    <row r="234" spans="1:14" ht="31.2" x14ac:dyDescent="0.3">
      <c r="A234" s="64" t="s">
        <v>708</v>
      </c>
      <c r="B234" s="62" t="s">
        <v>918</v>
      </c>
      <c r="C234" s="68" t="s">
        <v>1386</v>
      </c>
      <c r="D234" s="68" t="s">
        <v>1479</v>
      </c>
      <c r="E234" s="8" t="s">
        <v>494</v>
      </c>
      <c r="F234" s="45"/>
      <c r="G234" s="23" t="s">
        <v>1161</v>
      </c>
      <c r="H234" s="20">
        <v>0</v>
      </c>
      <c r="I234" s="14">
        <f>I235</f>
        <v>11461.430270000001</v>
      </c>
      <c r="J234" s="14">
        <f t="shared" si="112"/>
        <v>11461.430270000001</v>
      </c>
      <c r="K234" s="78">
        <f t="shared" si="97"/>
        <v>100</v>
      </c>
      <c r="L234" s="14">
        <f t="shared" si="112"/>
        <v>0</v>
      </c>
      <c r="M234" s="50"/>
      <c r="N234" s="50"/>
    </row>
    <row r="235" spans="1:14" ht="31.2" x14ac:dyDescent="0.3">
      <c r="A235" s="64" t="s">
        <v>708</v>
      </c>
      <c r="B235" s="62" t="s">
        <v>918</v>
      </c>
      <c r="C235" s="68" t="s">
        <v>1386</v>
      </c>
      <c r="D235" s="68" t="s">
        <v>1479</v>
      </c>
      <c r="E235" s="8" t="s">
        <v>495</v>
      </c>
      <c r="F235" s="45"/>
      <c r="G235" s="23" t="s">
        <v>687</v>
      </c>
      <c r="H235" s="20">
        <v>0</v>
      </c>
      <c r="I235" s="14">
        <f>I236</f>
        <v>11461.430270000001</v>
      </c>
      <c r="J235" s="14">
        <f t="shared" si="112"/>
        <v>11461.430270000001</v>
      </c>
      <c r="K235" s="78">
        <f t="shared" si="97"/>
        <v>100</v>
      </c>
      <c r="L235" s="14">
        <f t="shared" si="112"/>
        <v>0</v>
      </c>
      <c r="M235" s="50"/>
      <c r="N235" s="50"/>
    </row>
    <row r="236" spans="1:14" x14ac:dyDescent="0.3">
      <c r="A236" s="64" t="s">
        <v>708</v>
      </c>
      <c r="B236" s="62" t="s">
        <v>918</v>
      </c>
      <c r="C236" s="68" t="s">
        <v>1386</v>
      </c>
      <c r="D236" s="68" t="s">
        <v>1479</v>
      </c>
      <c r="E236" s="8" t="s">
        <v>495</v>
      </c>
      <c r="F236" s="45" t="s">
        <v>464</v>
      </c>
      <c r="G236" s="23" t="s">
        <v>822</v>
      </c>
      <c r="H236" s="20">
        <v>0</v>
      </c>
      <c r="I236" s="14">
        <f>I237</f>
        <v>11461.430270000001</v>
      </c>
      <c r="J236" s="14">
        <f t="shared" si="112"/>
        <v>11461.430270000001</v>
      </c>
      <c r="K236" s="78">
        <f t="shared" si="97"/>
        <v>100</v>
      </c>
      <c r="L236" s="14">
        <f t="shared" si="112"/>
        <v>0</v>
      </c>
      <c r="M236" s="50"/>
      <c r="N236" s="50"/>
    </row>
    <row r="237" spans="1:14" x14ac:dyDescent="0.3">
      <c r="A237" s="64" t="s">
        <v>708</v>
      </c>
      <c r="B237" s="62" t="s">
        <v>918</v>
      </c>
      <c r="C237" s="68" t="s">
        <v>1386</v>
      </c>
      <c r="D237" s="68" t="s">
        <v>1479</v>
      </c>
      <c r="E237" s="8" t="s">
        <v>495</v>
      </c>
      <c r="F237" s="45" t="s">
        <v>728</v>
      </c>
      <c r="G237" s="23" t="s">
        <v>823</v>
      </c>
      <c r="H237" s="20">
        <v>0</v>
      </c>
      <c r="I237" s="14">
        <v>11461.430270000001</v>
      </c>
      <c r="J237" s="14">
        <v>11461.430270000001</v>
      </c>
      <c r="K237" s="78">
        <f t="shared" si="97"/>
        <v>100</v>
      </c>
      <c r="L237" s="14"/>
      <c r="M237" s="50"/>
      <c r="N237" s="50"/>
    </row>
    <row r="238" spans="1:14" s="3" customFormat="1" ht="31.2" x14ac:dyDescent="0.3">
      <c r="A238" s="4" t="s">
        <v>1243</v>
      </c>
      <c r="B238" s="43" t="s">
        <v>915</v>
      </c>
      <c r="C238" s="43" t="s">
        <v>915</v>
      </c>
      <c r="D238" s="43" t="s">
        <v>915</v>
      </c>
      <c r="E238" s="10"/>
      <c r="F238" s="10"/>
      <c r="G238" s="27" t="s">
        <v>1246</v>
      </c>
      <c r="H238" s="15">
        <f t="shared" ref="H238:L242" si="113">H239</f>
        <v>38758.5</v>
      </c>
      <c r="I238" s="15">
        <f t="shared" si="113"/>
        <v>40771.9</v>
      </c>
      <c r="J238" s="15">
        <f t="shared" si="113"/>
        <v>40747.542459999997</v>
      </c>
      <c r="K238" s="81">
        <f t="shared" si="97"/>
        <v>99.940259001910619</v>
      </c>
      <c r="L238" s="15">
        <f t="shared" si="113"/>
        <v>0</v>
      </c>
      <c r="M238" s="65"/>
      <c r="N238" s="65"/>
    </row>
    <row r="239" spans="1:14" s="3" customFormat="1" x14ac:dyDescent="0.3">
      <c r="A239" s="4" t="s">
        <v>1243</v>
      </c>
      <c r="B239" s="43" t="s">
        <v>1372</v>
      </c>
      <c r="C239" s="43" t="s">
        <v>1372</v>
      </c>
      <c r="D239" s="43" t="s">
        <v>915</v>
      </c>
      <c r="E239" s="10"/>
      <c r="F239" s="10"/>
      <c r="G239" s="5" t="s">
        <v>1376</v>
      </c>
      <c r="H239" s="15">
        <f t="shared" si="113"/>
        <v>38758.5</v>
      </c>
      <c r="I239" s="15">
        <f t="shared" si="113"/>
        <v>40771.9</v>
      </c>
      <c r="J239" s="15">
        <f t="shared" si="113"/>
        <v>40747.542459999997</v>
      </c>
      <c r="K239" s="81">
        <f t="shared" si="97"/>
        <v>99.940259001910619</v>
      </c>
      <c r="L239" s="15">
        <f t="shared" si="113"/>
        <v>0</v>
      </c>
      <c r="M239" s="65"/>
      <c r="N239" s="65"/>
    </row>
    <row r="240" spans="1:14" s="9" customFormat="1" x14ac:dyDescent="0.3">
      <c r="A240" s="6" t="s">
        <v>1243</v>
      </c>
      <c r="B240" s="48" t="s">
        <v>912</v>
      </c>
      <c r="C240" s="48" t="s">
        <v>1372</v>
      </c>
      <c r="D240" s="48" t="s">
        <v>1477</v>
      </c>
      <c r="E240" s="11"/>
      <c r="F240" s="11"/>
      <c r="G240" s="7" t="s">
        <v>1377</v>
      </c>
      <c r="H240" s="16">
        <f t="shared" si="113"/>
        <v>38758.5</v>
      </c>
      <c r="I240" s="16">
        <f t="shared" si="113"/>
        <v>40771.9</v>
      </c>
      <c r="J240" s="16">
        <f t="shared" si="113"/>
        <v>40747.542459999997</v>
      </c>
      <c r="K240" s="82">
        <f t="shared" si="97"/>
        <v>99.940259001910619</v>
      </c>
      <c r="L240" s="16">
        <f t="shared" si="113"/>
        <v>0</v>
      </c>
      <c r="M240" s="65"/>
      <c r="N240" s="65"/>
    </row>
    <row r="241" spans="1:14" ht="31.2" x14ac:dyDescent="0.3">
      <c r="A241" s="64" t="s">
        <v>1243</v>
      </c>
      <c r="B241" s="62" t="s">
        <v>912</v>
      </c>
      <c r="C241" s="68" t="s">
        <v>1372</v>
      </c>
      <c r="D241" s="68" t="s">
        <v>1477</v>
      </c>
      <c r="E241" s="8" t="s">
        <v>429</v>
      </c>
      <c r="F241" s="8"/>
      <c r="G241" s="23" t="s">
        <v>1140</v>
      </c>
      <c r="H241" s="14">
        <f t="shared" si="113"/>
        <v>38758.5</v>
      </c>
      <c r="I241" s="14">
        <f t="shared" si="113"/>
        <v>40771.9</v>
      </c>
      <c r="J241" s="14">
        <f t="shared" si="113"/>
        <v>40747.542459999997</v>
      </c>
      <c r="K241" s="78">
        <f t="shared" si="97"/>
        <v>99.940259001910619</v>
      </c>
      <c r="L241" s="14">
        <f t="shared" si="113"/>
        <v>0</v>
      </c>
      <c r="M241" s="50"/>
      <c r="N241" s="50"/>
    </row>
    <row r="242" spans="1:14" x14ac:dyDescent="0.3">
      <c r="A242" s="64" t="s">
        <v>1243</v>
      </c>
      <c r="B242" s="62" t="s">
        <v>912</v>
      </c>
      <c r="C242" s="68" t="s">
        <v>1372</v>
      </c>
      <c r="D242" s="68" t="s">
        <v>1477</v>
      </c>
      <c r="E242" s="8" t="s">
        <v>430</v>
      </c>
      <c r="F242" s="8"/>
      <c r="G242" s="23" t="s">
        <v>1141</v>
      </c>
      <c r="H242" s="14">
        <f t="shared" si="113"/>
        <v>38758.5</v>
      </c>
      <c r="I242" s="14">
        <f t="shared" si="113"/>
        <v>40771.9</v>
      </c>
      <c r="J242" s="14">
        <f t="shared" si="113"/>
        <v>40747.542459999997</v>
      </c>
      <c r="K242" s="78">
        <f t="shared" si="97"/>
        <v>99.940259001910619</v>
      </c>
      <c r="L242" s="14">
        <f t="shared" si="113"/>
        <v>0</v>
      </c>
      <c r="M242" s="50"/>
      <c r="N242" s="50"/>
    </row>
    <row r="243" spans="1:14" ht="31.2" x14ac:dyDescent="0.3">
      <c r="A243" s="64" t="s">
        <v>1243</v>
      </c>
      <c r="B243" s="62" t="s">
        <v>912</v>
      </c>
      <c r="C243" s="68" t="s">
        <v>1372</v>
      </c>
      <c r="D243" s="68" t="s">
        <v>1477</v>
      </c>
      <c r="E243" s="8" t="s">
        <v>1244</v>
      </c>
      <c r="F243" s="8"/>
      <c r="G243" s="23" t="s">
        <v>1251</v>
      </c>
      <c r="H243" s="14">
        <f>H244+H246+H248</f>
        <v>38758.5</v>
      </c>
      <c r="I243" s="14">
        <f>I244+I246+I248</f>
        <v>40771.9</v>
      </c>
      <c r="J243" s="14">
        <f t="shared" ref="J243" si="114">J244+J246+J248</f>
        <v>40747.542459999997</v>
      </c>
      <c r="K243" s="78">
        <f t="shared" si="97"/>
        <v>99.940259001910619</v>
      </c>
      <c r="L243" s="14">
        <f>L244+L246+L248</f>
        <v>0</v>
      </c>
      <c r="M243" s="50"/>
      <c r="N243" s="50"/>
    </row>
    <row r="244" spans="1:14" ht="78" x14ac:dyDescent="0.3">
      <c r="A244" s="64" t="s">
        <v>1243</v>
      </c>
      <c r="B244" s="62" t="s">
        <v>912</v>
      </c>
      <c r="C244" s="68" t="s">
        <v>1372</v>
      </c>
      <c r="D244" s="68" t="s">
        <v>1477</v>
      </c>
      <c r="E244" s="8" t="s">
        <v>1244</v>
      </c>
      <c r="F244" s="45" t="s">
        <v>431</v>
      </c>
      <c r="G244" s="23" t="s">
        <v>806</v>
      </c>
      <c r="H244" s="14">
        <f t="shared" ref="H244:L244" si="115">H245</f>
        <v>31350.1</v>
      </c>
      <c r="I244" s="14">
        <f t="shared" si="115"/>
        <v>32577.422740000002</v>
      </c>
      <c r="J244" s="14">
        <f t="shared" si="115"/>
        <v>32553.065200000001</v>
      </c>
      <c r="K244" s="78">
        <f t="shared" si="97"/>
        <v>99.925231838643597</v>
      </c>
      <c r="L244" s="14">
        <f t="shared" si="115"/>
        <v>0</v>
      </c>
      <c r="M244" s="50"/>
      <c r="N244" s="50"/>
    </row>
    <row r="245" spans="1:14" ht="31.2" x14ac:dyDescent="0.3">
      <c r="A245" s="64" t="s">
        <v>1243</v>
      </c>
      <c r="B245" s="62" t="s">
        <v>912</v>
      </c>
      <c r="C245" s="68" t="s">
        <v>1372</v>
      </c>
      <c r="D245" s="68" t="s">
        <v>1477</v>
      </c>
      <c r="E245" s="8" t="s">
        <v>1244</v>
      </c>
      <c r="F245" s="45" t="s">
        <v>233</v>
      </c>
      <c r="G245" s="23" t="s">
        <v>808</v>
      </c>
      <c r="H245" s="14">
        <v>31350.1</v>
      </c>
      <c r="I245" s="14">
        <v>32577.422740000002</v>
      </c>
      <c r="J245" s="14">
        <v>32553.065200000001</v>
      </c>
      <c r="K245" s="78">
        <f t="shared" si="97"/>
        <v>99.925231838643597</v>
      </c>
      <c r="L245" s="14"/>
      <c r="M245" s="50"/>
      <c r="N245" s="50"/>
    </row>
    <row r="246" spans="1:14" ht="31.2" x14ac:dyDescent="0.3">
      <c r="A246" s="64" t="s">
        <v>1243</v>
      </c>
      <c r="B246" s="62" t="s">
        <v>912</v>
      </c>
      <c r="C246" s="68" t="s">
        <v>1372</v>
      </c>
      <c r="D246" s="68" t="s">
        <v>1477</v>
      </c>
      <c r="E246" s="8" t="s">
        <v>1244</v>
      </c>
      <c r="F246" s="45" t="s">
        <v>380</v>
      </c>
      <c r="G246" s="23" t="s">
        <v>809</v>
      </c>
      <c r="H246" s="14">
        <f t="shared" ref="H246:L246" si="116">H247</f>
        <v>7333.4</v>
      </c>
      <c r="I246" s="14">
        <f t="shared" si="116"/>
        <v>8151.0042599999997</v>
      </c>
      <c r="J246" s="14">
        <f t="shared" si="116"/>
        <v>8151.0042599999997</v>
      </c>
      <c r="K246" s="78">
        <f t="shared" si="97"/>
        <v>100</v>
      </c>
      <c r="L246" s="14">
        <f t="shared" si="116"/>
        <v>0</v>
      </c>
      <c r="M246" s="50"/>
      <c r="N246" s="50"/>
    </row>
    <row r="247" spans="1:14" ht="31.2" x14ac:dyDescent="0.3">
      <c r="A247" s="64" t="s">
        <v>1243</v>
      </c>
      <c r="B247" s="62" t="s">
        <v>912</v>
      </c>
      <c r="C247" s="68" t="s">
        <v>1372</v>
      </c>
      <c r="D247" s="68" t="s">
        <v>1477</v>
      </c>
      <c r="E247" s="8" t="s">
        <v>1244</v>
      </c>
      <c r="F247" s="8" t="s">
        <v>247</v>
      </c>
      <c r="G247" s="23" t="s">
        <v>810</v>
      </c>
      <c r="H247" s="14">
        <v>7333.4</v>
      </c>
      <c r="I247" s="14">
        <v>8151.0042599999997</v>
      </c>
      <c r="J247" s="14">
        <v>8151.0042599999997</v>
      </c>
      <c r="K247" s="78">
        <f t="shared" si="97"/>
        <v>100</v>
      </c>
      <c r="L247" s="14"/>
      <c r="M247" s="50"/>
      <c r="N247" s="50"/>
    </row>
    <row r="248" spans="1:14" x14ac:dyDescent="0.3">
      <c r="A248" s="64" t="s">
        <v>1243</v>
      </c>
      <c r="B248" s="62" t="s">
        <v>912</v>
      </c>
      <c r="C248" s="68" t="s">
        <v>1372</v>
      </c>
      <c r="D248" s="68" t="s">
        <v>1477</v>
      </c>
      <c r="E248" s="8" t="s">
        <v>1244</v>
      </c>
      <c r="F248" s="45" t="s">
        <v>464</v>
      </c>
      <c r="G248" s="23" t="s">
        <v>822</v>
      </c>
      <c r="H248" s="14">
        <f t="shared" ref="H248:L248" si="117">H249</f>
        <v>75</v>
      </c>
      <c r="I248" s="14">
        <f t="shared" si="117"/>
        <v>43.472999999999999</v>
      </c>
      <c r="J248" s="14">
        <f t="shared" si="117"/>
        <v>43.472999999999999</v>
      </c>
      <c r="K248" s="78">
        <f t="shared" si="97"/>
        <v>100</v>
      </c>
      <c r="L248" s="14">
        <f t="shared" si="117"/>
        <v>0</v>
      </c>
      <c r="M248" s="50"/>
      <c r="N248" s="50"/>
    </row>
    <row r="249" spans="1:14" x14ac:dyDescent="0.3">
      <c r="A249" s="64" t="s">
        <v>1243</v>
      </c>
      <c r="B249" s="62" t="s">
        <v>912</v>
      </c>
      <c r="C249" s="68" t="s">
        <v>1372</v>
      </c>
      <c r="D249" s="68" t="s">
        <v>1477</v>
      </c>
      <c r="E249" s="8" t="s">
        <v>1244</v>
      </c>
      <c r="F249" s="45" t="s">
        <v>729</v>
      </c>
      <c r="G249" s="23" t="s">
        <v>824</v>
      </c>
      <c r="H249" s="14">
        <v>75</v>
      </c>
      <c r="I249" s="14">
        <v>43.472999999999999</v>
      </c>
      <c r="J249" s="14">
        <v>43.472999999999999</v>
      </c>
      <c r="K249" s="78">
        <f t="shared" si="97"/>
        <v>100</v>
      </c>
      <c r="L249" s="14"/>
      <c r="M249" s="50"/>
      <c r="N249" s="50"/>
    </row>
    <row r="250" spans="1:14" s="3" customFormat="1" ht="31.2" x14ac:dyDescent="0.3">
      <c r="A250" s="10" t="s">
        <v>1390</v>
      </c>
      <c r="B250" s="43" t="s">
        <v>915</v>
      </c>
      <c r="C250" s="43" t="s">
        <v>915</v>
      </c>
      <c r="D250" s="43" t="s">
        <v>915</v>
      </c>
      <c r="E250" s="4"/>
      <c r="F250" s="4"/>
      <c r="G250" s="5" t="s">
        <v>1393</v>
      </c>
      <c r="H250" s="21">
        <f>H251+H285+H326</f>
        <v>87525.554999999993</v>
      </c>
      <c r="I250" s="21">
        <f>I251+I285+I326</f>
        <v>88024.904999999984</v>
      </c>
      <c r="J250" s="21">
        <f t="shared" ref="J250" si="118">J251+J285+J326</f>
        <v>87078.768329999992</v>
      </c>
      <c r="K250" s="73">
        <f t="shared" si="97"/>
        <v>98.925148888260665</v>
      </c>
      <c r="L250" s="21">
        <f>L251+L285+L326</f>
        <v>0</v>
      </c>
      <c r="M250" s="65"/>
      <c r="N250" s="65"/>
    </row>
    <row r="251" spans="1:14" s="3" customFormat="1" x14ac:dyDescent="0.3">
      <c r="A251" s="10" t="s">
        <v>1390</v>
      </c>
      <c r="B251" s="43" t="s">
        <v>1386</v>
      </c>
      <c r="C251" s="43" t="s">
        <v>1386</v>
      </c>
      <c r="D251" s="43" t="s">
        <v>915</v>
      </c>
      <c r="E251" s="4"/>
      <c r="F251" s="4"/>
      <c r="G251" s="5" t="s">
        <v>1388</v>
      </c>
      <c r="H251" s="21">
        <f t="shared" ref="H251:L252" si="119">H252</f>
        <v>39832.795999999995</v>
      </c>
      <c r="I251" s="21">
        <f t="shared" si="119"/>
        <v>40332.145999999993</v>
      </c>
      <c r="J251" s="21">
        <f t="shared" si="119"/>
        <v>39832.794909999997</v>
      </c>
      <c r="K251" s="73">
        <f t="shared" si="97"/>
        <v>98.761902999161023</v>
      </c>
      <c r="L251" s="21">
        <f t="shared" si="119"/>
        <v>0</v>
      </c>
      <c r="M251" s="65"/>
      <c r="N251" s="65"/>
    </row>
    <row r="252" spans="1:14" s="9" customFormat="1" x14ac:dyDescent="0.3">
      <c r="A252" s="11" t="s">
        <v>1390</v>
      </c>
      <c r="B252" s="48" t="s">
        <v>919</v>
      </c>
      <c r="C252" s="48" t="s">
        <v>1386</v>
      </c>
      <c r="D252" s="48" t="s">
        <v>1374</v>
      </c>
      <c r="E252" s="6"/>
      <c r="F252" s="6"/>
      <c r="G252" s="7" t="s">
        <v>1394</v>
      </c>
      <c r="H252" s="22">
        <f t="shared" si="119"/>
        <v>39832.795999999995</v>
      </c>
      <c r="I252" s="22">
        <f>I253+I280</f>
        <v>40332.145999999993</v>
      </c>
      <c r="J252" s="22">
        <f t="shared" ref="J252:L252" si="120">J253+J280</f>
        <v>39832.794909999997</v>
      </c>
      <c r="K252" s="74">
        <f t="shared" si="97"/>
        <v>98.761902999161023</v>
      </c>
      <c r="L252" s="22">
        <f t="shared" si="120"/>
        <v>0</v>
      </c>
      <c r="M252" s="65"/>
      <c r="N252" s="65"/>
    </row>
    <row r="253" spans="1:14" ht="31.2" x14ac:dyDescent="0.3">
      <c r="A253" s="8" t="s">
        <v>1390</v>
      </c>
      <c r="B253" s="62" t="s">
        <v>919</v>
      </c>
      <c r="C253" s="83" t="s">
        <v>1386</v>
      </c>
      <c r="D253" s="83" t="s">
        <v>1374</v>
      </c>
      <c r="E253" s="45" t="s">
        <v>376</v>
      </c>
      <c r="F253" s="45"/>
      <c r="G253" s="23" t="s">
        <v>1101</v>
      </c>
      <c r="H253" s="19">
        <f>H254+H259</f>
        <v>39832.795999999995</v>
      </c>
      <c r="I253" s="19">
        <f>I254+I259</f>
        <v>39832.795999999995</v>
      </c>
      <c r="J253" s="19">
        <f t="shared" ref="J253" si="121">J254+J259</f>
        <v>39832.794909999997</v>
      </c>
      <c r="K253" s="75">
        <f t="shared" si="97"/>
        <v>99.999997263561411</v>
      </c>
      <c r="L253" s="19">
        <f>L254+L259</f>
        <v>0</v>
      </c>
      <c r="M253" s="50"/>
      <c r="N253" s="50"/>
    </row>
    <row r="254" spans="1:14" ht="31.2" x14ac:dyDescent="0.3">
      <c r="A254" s="8" t="s">
        <v>1390</v>
      </c>
      <c r="B254" s="62" t="s">
        <v>919</v>
      </c>
      <c r="C254" s="83" t="s">
        <v>1386</v>
      </c>
      <c r="D254" s="83" t="s">
        <v>1374</v>
      </c>
      <c r="E254" s="45" t="s">
        <v>379</v>
      </c>
      <c r="F254" s="45"/>
      <c r="G254" s="23" t="s">
        <v>1200</v>
      </c>
      <c r="H254" s="19">
        <f t="shared" ref="H254:L257" si="122">H255</f>
        <v>856.6</v>
      </c>
      <c r="I254" s="19">
        <f t="shared" si="122"/>
        <v>856.6</v>
      </c>
      <c r="J254" s="19">
        <f t="shared" si="122"/>
        <v>856.6</v>
      </c>
      <c r="K254" s="75">
        <f t="shared" si="97"/>
        <v>100</v>
      </c>
      <c r="L254" s="19">
        <f t="shared" si="122"/>
        <v>0</v>
      </c>
      <c r="M254" s="50"/>
      <c r="N254" s="50"/>
    </row>
    <row r="255" spans="1:14" ht="31.2" x14ac:dyDescent="0.3">
      <c r="A255" s="8" t="s">
        <v>1390</v>
      </c>
      <c r="B255" s="62" t="s">
        <v>919</v>
      </c>
      <c r="C255" s="83" t="s">
        <v>1386</v>
      </c>
      <c r="D255" s="83" t="s">
        <v>1374</v>
      </c>
      <c r="E255" s="45" t="s">
        <v>377</v>
      </c>
      <c r="F255" s="45"/>
      <c r="G255" s="23" t="s">
        <v>1102</v>
      </c>
      <c r="H255" s="19">
        <f t="shared" si="122"/>
        <v>856.6</v>
      </c>
      <c r="I255" s="19">
        <f t="shared" si="122"/>
        <v>856.6</v>
      </c>
      <c r="J255" s="19">
        <f t="shared" si="122"/>
        <v>856.6</v>
      </c>
      <c r="K255" s="75">
        <f t="shared" si="97"/>
        <v>100</v>
      </c>
      <c r="L255" s="19">
        <f t="shared" si="122"/>
        <v>0</v>
      </c>
      <c r="M255" s="50"/>
      <c r="N255" s="50"/>
    </row>
    <row r="256" spans="1:14" ht="31.2" x14ac:dyDescent="0.3">
      <c r="A256" s="8" t="s">
        <v>1390</v>
      </c>
      <c r="B256" s="62" t="s">
        <v>919</v>
      </c>
      <c r="C256" s="83" t="s">
        <v>1386</v>
      </c>
      <c r="D256" s="83" t="s">
        <v>1374</v>
      </c>
      <c r="E256" s="45" t="s">
        <v>536</v>
      </c>
      <c r="F256" s="45"/>
      <c r="G256" s="23" t="s">
        <v>1103</v>
      </c>
      <c r="H256" s="19">
        <f t="shared" si="122"/>
        <v>856.6</v>
      </c>
      <c r="I256" s="19">
        <f t="shared" si="122"/>
        <v>856.6</v>
      </c>
      <c r="J256" s="19">
        <f t="shared" si="122"/>
        <v>856.6</v>
      </c>
      <c r="K256" s="75">
        <f t="shared" si="97"/>
        <v>100</v>
      </c>
      <c r="L256" s="19">
        <f t="shared" si="122"/>
        <v>0</v>
      </c>
      <c r="M256" s="50"/>
      <c r="N256" s="50"/>
    </row>
    <row r="257" spans="1:14" ht="31.2" x14ac:dyDescent="0.3">
      <c r="A257" s="8" t="s">
        <v>1390</v>
      </c>
      <c r="B257" s="62" t="s">
        <v>919</v>
      </c>
      <c r="C257" s="83" t="s">
        <v>1386</v>
      </c>
      <c r="D257" s="83" t="s">
        <v>1374</v>
      </c>
      <c r="E257" s="45" t="s">
        <v>536</v>
      </c>
      <c r="F257" s="45" t="s">
        <v>380</v>
      </c>
      <c r="G257" s="23" t="s">
        <v>809</v>
      </c>
      <c r="H257" s="19">
        <f t="shared" si="122"/>
        <v>856.6</v>
      </c>
      <c r="I257" s="19">
        <f t="shared" si="122"/>
        <v>856.6</v>
      </c>
      <c r="J257" s="19">
        <f t="shared" si="122"/>
        <v>856.6</v>
      </c>
      <c r="K257" s="75">
        <f t="shared" si="97"/>
        <v>100</v>
      </c>
      <c r="L257" s="19">
        <f t="shared" si="122"/>
        <v>0</v>
      </c>
      <c r="M257" s="50"/>
      <c r="N257" s="50"/>
    </row>
    <row r="258" spans="1:14" ht="31.2" x14ac:dyDescent="0.3">
      <c r="A258" s="8" t="s">
        <v>1390</v>
      </c>
      <c r="B258" s="62" t="s">
        <v>919</v>
      </c>
      <c r="C258" s="83" t="s">
        <v>1386</v>
      </c>
      <c r="D258" s="83" t="s">
        <v>1374</v>
      </c>
      <c r="E258" s="45" t="s">
        <v>536</v>
      </c>
      <c r="F258" s="8" t="s">
        <v>247</v>
      </c>
      <c r="G258" s="23" t="s">
        <v>810</v>
      </c>
      <c r="H258" s="14">
        <f>970-30-83.4</f>
        <v>856.6</v>
      </c>
      <c r="I258" s="14">
        <v>856.6</v>
      </c>
      <c r="J258" s="19">
        <v>856.6</v>
      </c>
      <c r="K258" s="75">
        <f t="shared" si="97"/>
        <v>100</v>
      </c>
      <c r="L258" s="20"/>
      <c r="M258" s="50"/>
      <c r="N258" s="50"/>
    </row>
    <row r="259" spans="1:14" ht="31.2" x14ac:dyDescent="0.3">
      <c r="A259" s="8" t="s">
        <v>1390</v>
      </c>
      <c r="B259" s="62" t="s">
        <v>919</v>
      </c>
      <c r="C259" s="83" t="s">
        <v>1386</v>
      </c>
      <c r="D259" s="83" t="s">
        <v>1374</v>
      </c>
      <c r="E259" s="45" t="s">
        <v>537</v>
      </c>
      <c r="F259" s="45"/>
      <c r="G259" s="23" t="s">
        <v>1177</v>
      </c>
      <c r="H259" s="19">
        <f>H260+H264+H276</f>
        <v>38976.195999999996</v>
      </c>
      <c r="I259" s="19">
        <f>I260+I264+I276</f>
        <v>38976.195999999996</v>
      </c>
      <c r="J259" s="19">
        <f t="shared" ref="J259" si="123">J260+J264+J276</f>
        <v>38976.194909999998</v>
      </c>
      <c r="K259" s="75">
        <f t="shared" si="97"/>
        <v>99.999997203421302</v>
      </c>
      <c r="L259" s="19">
        <f>L260+L264+L276</f>
        <v>0</v>
      </c>
      <c r="M259" s="50"/>
      <c r="N259" s="50"/>
    </row>
    <row r="260" spans="1:14" ht="46.8" x14ac:dyDescent="0.3">
      <c r="A260" s="8" t="s">
        <v>1390</v>
      </c>
      <c r="B260" s="62" t="s">
        <v>919</v>
      </c>
      <c r="C260" s="83" t="s">
        <v>1386</v>
      </c>
      <c r="D260" s="83" t="s">
        <v>1374</v>
      </c>
      <c r="E260" s="45" t="s">
        <v>538</v>
      </c>
      <c r="F260" s="45"/>
      <c r="G260" s="23" t="s">
        <v>1109</v>
      </c>
      <c r="H260" s="19">
        <f t="shared" ref="H260:L262" si="124">H261</f>
        <v>359.78600000000006</v>
      </c>
      <c r="I260" s="19">
        <f t="shared" si="124"/>
        <v>359.786</v>
      </c>
      <c r="J260" s="19">
        <f t="shared" si="124"/>
        <v>359.78597000000002</v>
      </c>
      <c r="K260" s="75">
        <f t="shared" si="97"/>
        <v>99.999991661710013</v>
      </c>
      <c r="L260" s="19">
        <f t="shared" si="124"/>
        <v>0</v>
      </c>
      <c r="M260" s="50"/>
      <c r="N260" s="50"/>
    </row>
    <row r="261" spans="1:14" ht="31.2" x14ac:dyDescent="0.3">
      <c r="A261" s="8" t="s">
        <v>1390</v>
      </c>
      <c r="B261" s="62" t="s">
        <v>919</v>
      </c>
      <c r="C261" s="83" t="s">
        <v>1386</v>
      </c>
      <c r="D261" s="83" t="s">
        <v>1374</v>
      </c>
      <c r="E261" s="45" t="s">
        <v>539</v>
      </c>
      <c r="F261" s="45"/>
      <c r="G261" s="23" t="s">
        <v>1110</v>
      </c>
      <c r="H261" s="19">
        <f t="shared" si="124"/>
        <v>359.78600000000006</v>
      </c>
      <c r="I261" s="19">
        <f t="shared" si="124"/>
        <v>359.786</v>
      </c>
      <c r="J261" s="19">
        <f t="shared" si="124"/>
        <v>359.78597000000002</v>
      </c>
      <c r="K261" s="75">
        <f t="shared" si="97"/>
        <v>99.999991661710013</v>
      </c>
      <c r="L261" s="19">
        <f t="shared" si="124"/>
        <v>0</v>
      </c>
      <c r="M261" s="50"/>
      <c r="N261" s="50"/>
    </row>
    <row r="262" spans="1:14" ht="31.2" x14ac:dyDescent="0.3">
      <c r="A262" s="8" t="s">
        <v>1390</v>
      </c>
      <c r="B262" s="62" t="s">
        <v>919</v>
      </c>
      <c r="C262" s="83" t="s">
        <v>1386</v>
      </c>
      <c r="D262" s="83" t="s">
        <v>1374</v>
      </c>
      <c r="E262" s="45" t="s">
        <v>539</v>
      </c>
      <c r="F262" s="45" t="s">
        <v>380</v>
      </c>
      <c r="G262" s="23" t="s">
        <v>809</v>
      </c>
      <c r="H262" s="19">
        <f t="shared" si="124"/>
        <v>359.78600000000006</v>
      </c>
      <c r="I262" s="19">
        <f t="shared" si="124"/>
        <v>359.786</v>
      </c>
      <c r="J262" s="19">
        <f t="shared" si="124"/>
        <v>359.78597000000002</v>
      </c>
      <c r="K262" s="75">
        <f t="shared" si="97"/>
        <v>99.999991661710013</v>
      </c>
      <c r="L262" s="19">
        <f t="shared" si="124"/>
        <v>0</v>
      </c>
      <c r="M262" s="50"/>
      <c r="N262" s="50"/>
    </row>
    <row r="263" spans="1:14" ht="31.2" x14ac:dyDescent="0.3">
      <c r="A263" s="8" t="s">
        <v>1390</v>
      </c>
      <c r="B263" s="62" t="s">
        <v>919</v>
      </c>
      <c r="C263" s="83" t="s">
        <v>1386</v>
      </c>
      <c r="D263" s="83" t="s">
        <v>1374</v>
      </c>
      <c r="E263" s="45" t="s">
        <v>539</v>
      </c>
      <c r="F263" s="8" t="s">
        <v>247</v>
      </c>
      <c r="G263" s="23" t="s">
        <v>810</v>
      </c>
      <c r="H263" s="14">
        <f>2349-1989.214</f>
        <v>359.78600000000006</v>
      </c>
      <c r="I263" s="14">
        <v>359.786</v>
      </c>
      <c r="J263" s="19">
        <v>359.78597000000002</v>
      </c>
      <c r="K263" s="75">
        <f t="shared" si="97"/>
        <v>99.999991661710013</v>
      </c>
      <c r="L263" s="20"/>
      <c r="M263" s="50"/>
      <c r="N263" s="50"/>
    </row>
    <row r="264" spans="1:14" ht="31.2" x14ac:dyDescent="0.3">
      <c r="A264" s="8" t="s">
        <v>1390</v>
      </c>
      <c r="B264" s="62" t="s">
        <v>919</v>
      </c>
      <c r="C264" s="83" t="s">
        <v>1386</v>
      </c>
      <c r="D264" s="83" t="s">
        <v>1374</v>
      </c>
      <c r="E264" s="45" t="s">
        <v>540</v>
      </c>
      <c r="F264" s="45"/>
      <c r="G264" s="23" t="s">
        <v>1111</v>
      </c>
      <c r="H264" s="19">
        <f>H265+H273</f>
        <v>31492.610999999997</v>
      </c>
      <c r="I264" s="19">
        <f>I265+I273</f>
        <v>31686.227659999997</v>
      </c>
      <c r="J264" s="19">
        <f t="shared" ref="J264" si="125">J265+J273</f>
        <v>31686.227659999997</v>
      </c>
      <c r="K264" s="75">
        <f t="shared" ref="K264:K327" si="126">J264/I264*100</f>
        <v>100</v>
      </c>
      <c r="L264" s="19">
        <f>L265+L273</f>
        <v>0</v>
      </c>
      <c r="M264" s="50"/>
      <c r="N264" s="50"/>
    </row>
    <row r="265" spans="1:14" ht="62.4" x14ac:dyDescent="0.3">
      <c r="A265" s="8" t="s">
        <v>1390</v>
      </c>
      <c r="B265" s="62" t="s">
        <v>919</v>
      </c>
      <c r="C265" s="83" t="s">
        <v>1386</v>
      </c>
      <c r="D265" s="83" t="s">
        <v>1374</v>
      </c>
      <c r="E265" s="45" t="s">
        <v>541</v>
      </c>
      <c r="F265" s="45"/>
      <c r="G265" s="23" t="s">
        <v>1291</v>
      </c>
      <c r="H265" s="19">
        <f>H266+H268+H270</f>
        <v>30044.487999999998</v>
      </c>
      <c r="I265" s="19">
        <f>I266+I268+I270</f>
        <v>30238.104659999997</v>
      </c>
      <c r="J265" s="19">
        <f t="shared" ref="J265" si="127">J266+J268+J270</f>
        <v>30238.104659999997</v>
      </c>
      <c r="K265" s="75">
        <f t="shared" si="126"/>
        <v>100</v>
      </c>
      <c r="L265" s="19">
        <f>L266+L268+L270</f>
        <v>0</v>
      </c>
      <c r="M265" s="50"/>
      <c r="N265" s="50"/>
    </row>
    <row r="266" spans="1:14" ht="78" x14ac:dyDescent="0.3">
      <c r="A266" s="8" t="s">
        <v>1390</v>
      </c>
      <c r="B266" s="62" t="s">
        <v>919</v>
      </c>
      <c r="C266" s="83" t="s">
        <v>1386</v>
      </c>
      <c r="D266" s="83" t="s">
        <v>1374</v>
      </c>
      <c r="E266" s="45" t="s">
        <v>541</v>
      </c>
      <c r="F266" s="45" t="s">
        <v>431</v>
      </c>
      <c r="G266" s="23" t="s">
        <v>806</v>
      </c>
      <c r="H266" s="19">
        <f t="shared" ref="H266:L266" si="128">H267</f>
        <v>23798.042999999998</v>
      </c>
      <c r="I266" s="19">
        <f t="shared" si="128"/>
        <v>23855.921969999999</v>
      </c>
      <c r="J266" s="19">
        <f t="shared" si="128"/>
        <v>23855.921969999999</v>
      </c>
      <c r="K266" s="75">
        <f t="shared" si="126"/>
        <v>100</v>
      </c>
      <c r="L266" s="19">
        <f t="shared" si="128"/>
        <v>0</v>
      </c>
      <c r="M266" s="50"/>
      <c r="N266" s="50"/>
    </row>
    <row r="267" spans="1:14" x14ac:dyDescent="0.3">
      <c r="A267" s="8" t="s">
        <v>1390</v>
      </c>
      <c r="B267" s="62" t="s">
        <v>919</v>
      </c>
      <c r="C267" s="83" t="s">
        <v>1386</v>
      </c>
      <c r="D267" s="83" t="s">
        <v>1374</v>
      </c>
      <c r="E267" s="45" t="s">
        <v>541</v>
      </c>
      <c r="F267" s="8" t="s">
        <v>719</v>
      </c>
      <c r="G267" s="23" t="s">
        <v>807</v>
      </c>
      <c r="H267" s="14">
        <f>23548.6+249.443</f>
        <v>23798.042999999998</v>
      </c>
      <c r="I267" s="14">
        <v>23855.921969999999</v>
      </c>
      <c r="J267" s="19">
        <v>23855.921969999999</v>
      </c>
      <c r="K267" s="75">
        <f t="shared" si="126"/>
        <v>100</v>
      </c>
      <c r="L267" s="19"/>
      <c r="M267" s="50"/>
      <c r="N267" s="50"/>
    </row>
    <row r="268" spans="1:14" ht="31.2" x14ac:dyDescent="0.3">
      <c r="A268" s="8" t="s">
        <v>1390</v>
      </c>
      <c r="B268" s="62" t="s">
        <v>919</v>
      </c>
      <c r="C268" s="83" t="s">
        <v>1386</v>
      </c>
      <c r="D268" s="83" t="s">
        <v>1374</v>
      </c>
      <c r="E268" s="45" t="s">
        <v>541</v>
      </c>
      <c r="F268" s="45" t="s">
        <v>380</v>
      </c>
      <c r="G268" s="23" t="s">
        <v>809</v>
      </c>
      <c r="H268" s="19">
        <f t="shared" ref="H268:L268" si="129">H269</f>
        <v>6177.0450000000001</v>
      </c>
      <c r="I268" s="19">
        <f t="shared" si="129"/>
        <v>5902.6619199999996</v>
      </c>
      <c r="J268" s="19">
        <f t="shared" si="129"/>
        <v>5902.6619199999996</v>
      </c>
      <c r="K268" s="75">
        <f t="shared" si="126"/>
        <v>100</v>
      </c>
      <c r="L268" s="19">
        <f t="shared" si="129"/>
        <v>0</v>
      </c>
      <c r="M268" s="50"/>
      <c r="N268" s="50"/>
    </row>
    <row r="269" spans="1:14" ht="31.2" x14ac:dyDescent="0.3">
      <c r="A269" s="8" t="s">
        <v>1390</v>
      </c>
      <c r="B269" s="62" t="s">
        <v>919</v>
      </c>
      <c r="C269" s="83" t="s">
        <v>1386</v>
      </c>
      <c r="D269" s="83" t="s">
        <v>1374</v>
      </c>
      <c r="E269" s="45" t="s">
        <v>541</v>
      </c>
      <c r="F269" s="8" t="s">
        <v>247</v>
      </c>
      <c r="G269" s="23" t="s">
        <v>810</v>
      </c>
      <c r="H269" s="14">
        <f>4218.8+1971.825-13.58</f>
        <v>6177.0450000000001</v>
      </c>
      <c r="I269" s="14">
        <v>5902.6619199999996</v>
      </c>
      <c r="J269" s="19">
        <v>5902.6619199999996</v>
      </c>
      <c r="K269" s="75">
        <f t="shared" si="126"/>
        <v>100</v>
      </c>
      <c r="L269" s="19"/>
      <c r="M269" s="50"/>
      <c r="N269" s="50"/>
    </row>
    <row r="270" spans="1:14" x14ac:dyDescent="0.3">
      <c r="A270" s="8" t="s">
        <v>1390</v>
      </c>
      <c r="B270" s="62" t="s">
        <v>919</v>
      </c>
      <c r="C270" s="83" t="s">
        <v>1386</v>
      </c>
      <c r="D270" s="83" t="s">
        <v>1374</v>
      </c>
      <c r="E270" s="45" t="s">
        <v>541</v>
      </c>
      <c r="F270" s="45" t="s">
        <v>464</v>
      </c>
      <c r="G270" s="23" t="s">
        <v>822</v>
      </c>
      <c r="H270" s="19">
        <f>H272</f>
        <v>69.400000000000006</v>
      </c>
      <c r="I270" s="19">
        <f>I272+I271</f>
        <v>479.52076999999997</v>
      </c>
      <c r="J270" s="19">
        <f t="shared" ref="J270:L270" si="130">J272+J271</f>
        <v>479.52076999999997</v>
      </c>
      <c r="K270" s="75">
        <f t="shared" si="126"/>
        <v>100</v>
      </c>
      <c r="L270" s="19">
        <f t="shared" si="130"/>
        <v>0</v>
      </c>
      <c r="M270" s="50"/>
      <c r="N270" s="50"/>
    </row>
    <row r="271" spans="1:14" x14ac:dyDescent="0.3">
      <c r="A271" s="8" t="s">
        <v>1390</v>
      </c>
      <c r="B271" s="62" t="s">
        <v>919</v>
      </c>
      <c r="C271" s="83" t="s">
        <v>1386</v>
      </c>
      <c r="D271" s="83" t="s">
        <v>1374</v>
      </c>
      <c r="E271" s="45" t="s">
        <v>541</v>
      </c>
      <c r="F271" s="45" t="s">
        <v>728</v>
      </c>
      <c r="G271" s="23" t="s">
        <v>823</v>
      </c>
      <c r="H271" s="20">
        <v>0</v>
      </c>
      <c r="I271" s="19">
        <v>249.44238999999999</v>
      </c>
      <c r="J271" s="19">
        <v>249.44238999999999</v>
      </c>
      <c r="K271" s="75">
        <f t="shared" si="126"/>
        <v>100</v>
      </c>
      <c r="L271" s="19"/>
      <c r="M271" s="50"/>
      <c r="N271" s="50"/>
    </row>
    <row r="272" spans="1:14" x14ac:dyDescent="0.3">
      <c r="A272" s="8" t="s">
        <v>1390</v>
      </c>
      <c r="B272" s="62" t="s">
        <v>919</v>
      </c>
      <c r="C272" s="83" t="s">
        <v>1386</v>
      </c>
      <c r="D272" s="83" t="s">
        <v>1374</v>
      </c>
      <c r="E272" s="45" t="s">
        <v>541</v>
      </c>
      <c r="F272" s="45" t="s">
        <v>729</v>
      </c>
      <c r="G272" s="23" t="s">
        <v>824</v>
      </c>
      <c r="H272" s="14">
        <v>69.400000000000006</v>
      </c>
      <c r="I272" s="14">
        <v>230.07838000000001</v>
      </c>
      <c r="J272" s="19">
        <v>230.07838000000001</v>
      </c>
      <c r="K272" s="75">
        <f t="shared" si="126"/>
        <v>100</v>
      </c>
      <c r="L272" s="19"/>
      <c r="M272" s="50"/>
      <c r="N272" s="50"/>
    </row>
    <row r="273" spans="1:14" ht="46.8" x14ac:dyDescent="0.3">
      <c r="A273" s="8" t="s">
        <v>1390</v>
      </c>
      <c r="B273" s="62" t="s">
        <v>919</v>
      </c>
      <c r="C273" s="83" t="s">
        <v>1386</v>
      </c>
      <c r="D273" s="83" t="s">
        <v>1374</v>
      </c>
      <c r="E273" s="45" t="s">
        <v>542</v>
      </c>
      <c r="F273" s="45"/>
      <c r="G273" s="23" t="s">
        <v>1112</v>
      </c>
      <c r="H273" s="19">
        <f t="shared" ref="H273:L274" si="131">H274</f>
        <v>1448.123</v>
      </c>
      <c r="I273" s="19">
        <f t="shared" si="131"/>
        <v>1448.123</v>
      </c>
      <c r="J273" s="19">
        <f t="shared" si="131"/>
        <v>1448.123</v>
      </c>
      <c r="K273" s="75">
        <f t="shared" si="126"/>
        <v>100</v>
      </c>
      <c r="L273" s="19">
        <f t="shared" si="131"/>
        <v>0</v>
      </c>
      <c r="M273" s="50"/>
      <c r="N273" s="50"/>
    </row>
    <row r="274" spans="1:14" ht="31.2" x14ac:dyDescent="0.3">
      <c r="A274" s="8" t="s">
        <v>1390</v>
      </c>
      <c r="B274" s="62" t="s">
        <v>919</v>
      </c>
      <c r="C274" s="83" t="s">
        <v>1386</v>
      </c>
      <c r="D274" s="83" t="s">
        <v>1374</v>
      </c>
      <c r="E274" s="45" t="s">
        <v>542</v>
      </c>
      <c r="F274" s="45" t="s">
        <v>380</v>
      </c>
      <c r="G274" s="23" t="s">
        <v>809</v>
      </c>
      <c r="H274" s="19">
        <f t="shared" si="131"/>
        <v>1448.123</v>
      </c>
      <c r="I274" s="19">
        <f t="shared" si="131"/>
        <v>1448.123</v>
      </c>
      <c r="J274" s="19">
        <f t="shared" si="131"/>
        <v>1448.123</v>
      </c>
      <c r="K274" s="75">
        <f t="shared" si="126"/>
        <v>100</v>
      </c>
      <c r="L274" s="19">
        <f t="shared" si="131"/>
        <v>0</v>
      </c>
      <c r="M274" s="50"/>
      <c r="N274" s="50"/>
    </row>
    <row r="275" spans="1:14" ht="31.2" x14ac:dyDescent="0.3">
      <c r="A275" s="8" t="s">
        <v>1390</v>
      </c>
      <c r="B275" s="62" t="s">
        <v>919</v>
      </c>
      <c r="C275" s="83" t="s">
        <v>1386</v>
      </c>
      <c r="D275" s="83" t="s">
        <v>1374</v>
      </c>
      <c r="E275" s="45" t="s">
        <v>542</v>
      </c>
      <c r="F275" s="8" t="s">
        <v>247</v>
      </c>
      <c r="G275" s="23" t="s">
        <v>810</v>
      </c>
      <c r="H275" s="14">
        <f>1455.4-7.277</f>
        <v>1448.123</v>
      </c>
      <c r="I275" s="14">
        <v>1448.123</v>
      </c>
      <c r="J275" s="19">
        <v>1448.123</v>
      </c>
      <c r="K275" s="75">
        <f t="shared" si="126"/>
        <v>100</v>
      </c>
      <c r="L275" s="20"/>
      <c r="M275" s="50"/>
      <c r="N275" s="50"/>
    </row>
    <row r="276" spans="1:14" ht="46.8" x14ac:dyDescent="0.3">
      <c r="A276" s="8" t="s">
        <v>1390</v>
      </c>
      <c r="B276" s="62" t="s">
        <v>919</v>
      </c>
      <c r="C276" s="83" t="s">
        <v>1386</v>
      </c>
      <c r="D276" s="83" t="s">
        <v>1374</v>
      </c>
      <c r="E276" s="45" t="s">
        <v>543</v>
      </c>
      <c r="F276" s="45"/>
      <c r="G276" s="23" t="s">
        <v>1201</v>
      </c>
      <c r="H276" s="19">
        <f t="shared" ref="H276:L278" si="132">H277</f>
        <v>7123.799</v>
      </c>
      <c r="I276" s="19">
        <f t="shared" si="132"/>
        <v>6930.1823400000003</v>
      </c>
      <c r="J276" s="19">
        <f t="shared" si="132"/>
        <v>6930.1812799999998</v>
      </c>
      <c r="K276" s="75">
        <f t="shared" si="126"/>
        <v>99.999984704587135</v>
      </c>
      <c r="L276" s="19">
        <f t="shared" si="132"/>
        <v>0</v>
      </c>
      <c r="M276" s="50"/>
      <c r="N276" s="50"/>
    </row>
    <row r="277" spans="1:14" ht="31.2" x14ac:dyDescent="0.3">
      <c r="A277" s="8" t="s">
        <v>1390</v>
      </c>
      <c r="B277" s="62" t="s">
        <v>919</v>
      </c>
      <c r="C277" s="83" t="s">
        <v>1386</v>
      </c>
      <c r="D277" s="83" t="s">
        <v>1374</v>
      </c>
      <c r="E277" s="45" t="s">
        <v>544</v>
      </c>
      <c r="F277" s="45"/>
      <c r="G277" s="23" t="s">
        <v>1113</v>
      </c>
      <c r="H277" s="19">
        <f t="shared" si="132"/>
        <v>7123.799</v>
      </c>
      <c r="I277" s="19">
        <f t="shared" si="132"/>
        <v>6930.1823400000003</v>
      </c>
      <c r="J277" s="19">
        <f t="shared" si="132"/>
        <v>6930.1812799999998</v>
      </c>
      <c r="K277" s="75">
        <f t="shared" si="126"/>
        <v>99.999984704587135</v>
      </c>
      <c r="L277" s="19">
        <f t="shared" si="132"/>
        <v>0</v>
      </c>
      <c r="M277" s="50"/>
      <c r="N277" s="50"/>
    </row>
    <row r="278" spans="1:14" ht="31.2" x14ac:dyDescent="0.3">
      <c r="A278" s="8" t="s">
        <v>1390</v>
      </c>
      <c r="B278" s="62" t="s">
        <v>919</v>
      </c>
      <c r="C278" s="83" t="s">
        <v>1386</v>
      </c>
      <c r="D278" s="83" t="s">
        <v>1374</v>
      </c>
      <c r="E278" s="45" t="s">
        <v>544</v>
      </c>
      <c r="F278" s="45" t="s">
        <v>380</v>
      </c>
      <c r="G278" s="23" t="s">
        <v>809</v>
      </c>
      <c r="H278" s="19">
        <f t="shared" si="132"/>
        <v>7123.799</v>
      </c>
      <c r="I278" s="19">
        <f t="shared" si="132"/>
        <v>6930.1823400000003</v>
      </c>
      <c r="J278" s="19">
        <f t="shared" si="132"/>
        <v>6930.1812799999998</v>
      </c>
      <c r="K278" s="75">
        <f t="shared" si="126"/>
        <v>99.999984704587135</v>
      </c>
      <c r="L278" s="19">
        <f t="shared" si="132"/>
        <v>0</v>
      </c>
      <c r="M278" s="50"/>
      <c r="N278" s="50"/>
    </row>
    <row r="279" spans="1:14" ht="31.2" x14ac:dyDescent="0.3">
      <c r="A279" s="8" t="s">
        <v>1390</v>
      </c>
      <c r="B279" s="62" t="s">
        <v>919</v>
      </c>
      <c r="C279" s="83" t="s">
        <v>1386</v>
      </c>
      <c r="D279" s="83" t="s">
        <v>1374</v>
      </c>
      <c r="E279" s="45" t="s">
        <v>544</v>
      </c>
      <c r="F279" s="8" t="s">
        <v>247</v>
      </c>
      <c r="G279" s="23" t="s">
        <v>810</v>
      </c>
      <c r="H279" s="14">
        <f>7666-249.443-177.771-114.987</f>
        <v>7123.799</v>
      </c>
      <c r="I279" s="14">
        <v>6930.1823400000003</v>
      </c>
      <c r="J279" s="20">
        <v>6930.1812799999998</v>
      </c>
      <c r="K279" s="77">
        <f t="shared" si="126"/>
        <v>99.999984704587135</v>
      </c>
      <c r="L279" s="20"/>
      <c r="M279" s="50"/>
      <c r="N279" s="50"/>
    </row>
    <row r="280" spans="1:14" ht="31.2" x14ac:dyDescent="0.3">
      <c r="A280" s="8" t="s">
        <v>1390</v>
      </c>
      <c r="B280" s="62" t="s">
        <v>919</v>
      </c>
      <c r="C280" s="68" t="s">
        <v>1386</v>
      </c>
      <c r="D280" s="68" t="s">
        <v>1374</v>
      </c>
      <c r="E280" s="8" t="s">
        <v>429</v>
      </c>
      <c r="F280" s="8"/>
      <c r="G280" s="13" t="s">
        <v>1140</v>
      </c>
      <c r="H280" s="14">
        <f>H281</f>
        <v>0</v>
      </c>
      <c r="I280" s="14">
        <f t="shared" ref="I280:L283" si="133">I281</f>
        <v>499.35</v>
      </c>
      <c r="J280" s="14">
        <f t="shared" si="133"/>
        <v>0</v>
      </c>
      <c r="K280" s="78">
        <f t="shared" si="126"/>
        <v>0</v>
      </c>
      <c r="L280" s="14">
        <f t="shared" si="133"/>
        <v>0</v>
      </c>
      <c r="M280" s="50"/>
      <c r="N280" s="50"/>
    </row>
    <row r="281" spans="1:14" x14ac:dyDescent="0.3">
      <c r="A281" s="8" t="s">
        <v>1390</v>
      </c>
      <c r="B281" s="62" t="s">
        <v>919</v>
      </c>
      <c r="C281" s="68" t="s">
        <v>1386</v>
      </c>
      <c r="D281" s="68" t="s">
        <v>1374</v>
      </c>
      <c r="E281" s="8" t="s">
        <v>430</v>
      </c>
      <c r="F281" s="8"/>
      <c r="G281" s="13" t="s">
        <v>1141</v>
      </c>
      <c r="H281" s="14">
        <f>H282</f>
        <v>0</v>
      </c>
      <c r="I281" s="14">
        <f t="shared" si="133"/>
        <v>499.35</v>
      </c>
      <c r="J281" s="14">
        <f t="shared" si="133"/>
        <v>0</v>
      </c>
      <c r="K281" s="78">
        <f t="shared" si="126"/>
        <v>0</v>
      </c>
      <c r="L281" s="14">
        <f t="shared" si="133"/>
        <v>0</v>
      </c>
      <c r="M281" s="50"/>
      <c r="N281" s="50"/>
    </row>
    <row r="282" spans="1:14" ht="31.2" x14ac:dyDescent="0.3">
      <c r="A282" s="8" t="s">
        <v>1390</v>
      </c>
      <c r="B282" s="62" t="s">
        <v>919</v>
      </c>
      <c r="C282" s="68" t="s">
        <v>1386</v>
      </c>
      <c r="D282" s="68" t="s">
        <v>1374</v>
      </c>
      <c r="E282" s="8" t="s">
        <v>37</v>
      </c>
      <c r="F282" s="8"/>
      <c r="G282" s="13" t="s">
        <v>38</v>
      </c>
      <c r="H282" s="14">
        <f>H283</f>
        <v>0</v>
      </c>
      <c r="I282" s="14">
        <f t="shared" si="133"/>
        <v>499.35</v>
      </c>
      <c r="J282" s="14">
        <f t="shared" si="133"/>
        <v>0</v>
      </c>
      <c r="K282" s="78">
        <f t="shared" si="126"/>
        <v>0</v>
      </c>
      <c r="L282" s="14">
        <f t="shared" si="133"/>
        <v>0</v>
      </c>
      <c r="M282" s="50"/>
      <c r="N282" s="50"/>
    </row>
    <row r="283" spans="1:14" ht="31.2" x14ac:dyDescent="0.3">
      <c r="A283" s="8" t="s">
        <v>1390</v>
      </c>
      <c r="B283" s="62" t="s">
        <v>919</v>
      </c>
      <c r="C283" s="68" t="s">
        <v>1386</v>
      </c>
      <c r="D283" s="68" t="s">
        <v>1374</v>
      </c>
      <c r="E283" s="8" t="s">
        <v>37</v>
      </c>
      <c r="F283" s="45" t="s">
        <v>380</v>
      </c>
      <c r="G283" s="23" t="s">
        <v>809</v>
      </c>
      <c r="H283" s="14">
        <f>H284</f>
        <v>0</v>
      </c>
      <c r="I283" s="14">
        <f t="shared" si="133"/>
        <v>499.35</v>
      </c>
      <c r="J283" s="14">
        <f t="shared" si="133"/>
        <v>0</v>
      </c>
      <c r="K283" s="78">
        <f t="shared" si="126"/>
        <v>0</v>
      </c>
      <c r="L283" s="14">
        <f t="shared" si="133"/>
        <v>0</v>
      </c>
      <c r="M283" s="50"/>
      <c r="N283" s="50"/>
    </row>
    <row r="284" spans="1:14" ht="31.2" x14ac:dyDescent="0.3">
      <c r="A284" s="8" t="s">
        <v>1390</v>
      </c>
      <c r="B284" s="62" t="s">
        <v>919</v>
      </c>
      <c r="C284" s="68" t="s">
        <v>1386</v>
      </c>
      <c r="D284" s="68" t="s">
        <v>1374</v>
      </c>
      <c r="E284" s="8" t="s">
        <v>37</v>
      </c>
      <c r="F284" s="8" t="s">
        <v>247</v>
      </c>
      <c r="G284" s="23" t="s">
        <v>810</v>
      </c>
      <c r="H284" s="14">
        <v>0</v>
      </c>
      <c r="I284" s="14">
        <v>499.35</v>
      </c>
      <c r="J284" s="20">
        <v>0</v>
      </c>
      <c r="K284" s="77">
        <f t="shared" si="126"/>
        <v>0</v>
      </c>
      <c r="L284" s="20"/>
      <c r="M284" s="50"/>
      <c r="N284" s="50"/>
    </row>
    <row r="285" spans="1:14" s="3" customFormat="1" ht="18.75" customHeight="1" x14ac:dyDescent="0.3">
      <c r="A285" s="10" t="s">
        <v>1390</v>
      </c>
      <c r="B285" s="43" t="s">
        <v>1381</v>
      </c>
      <c r="C285" s="43" t="s">
        <v>1381</v>
      </c>
      <c r="D285" s="43" t="s">
        <v>915</v>
      </c>
      <c r="E285" s="10"/>
      <c r="F285" s="10"/>
      <c r="G285" s="5" t="s">
        <v>1395</v>
      </c>
      <c r="H285" s="21">
        <f>H286+H306</f>
        <v>18786.683000000001</v>
      </c>
      <c r="I285" s="21">
        <f>I286+I306</f>
        <v>19053.982999999997</v>
      </c>
      <c r="J285" s="21">
        <f t="shared" ref="J285" si="134">J286+J306</f>
        <v>19053.87141</v>
      </c>
      <c r="K285" s="73">
        <f t="shared" si="126"/>
        <v>99.999414348170689</v>
      </c>
      <c r="L285" s="21">
        <f>L286+L306</f>
        <v>0</v>
      </c>
      <c r="M285" s="65"/>
      <c r="N285" s="65"/>
    </row>
    <row r="286" spans="1:14" s="9" customFormat="1" ht="31.2" x14ac:dyDescent="0.3">
      <c r="A286" s="11" t="s">
        <v>1390</v>
      </c>
      <c r="B286" s="48" t="s">
        <v>920</v>
      </c>
      <c r="C286" s="48" t="s">
        <v>1381</v>
      </c>
      <c r="D286" s="48" t="s">
        <v>1391</v>
      </c>
      <c r="E286" s="11"/>
      <c r="F286" s="11"/>
      <c r="G286" s="7" t="s">
        <v>1396</v>
      </c>
      <c r="H286" s="22">
        <f t="shared" ref="H286:L286" si="135">H287</f>
        <v>4143.0829999999996</v>
      </c>
      <c r="I286" s="22">
        <f t="shared" si="135"/>
        <v>4143.0829999999996</v>
      </c>
      <c r="J286" s="22">
        <f t="shared" si="135"/>
        <v>4142.9714100000001</v>
      </c>
      <c r="K286" s="74">
        <f t="shared" si="126"/>
        <v>99.997306595112875</v>
      </c>
      <c r="L286" s="22">
        <f t="shared" si="135"/>
        <v>0</v>
      </c>
      <c r="M286" s="65"/>
      <c r="N286" s="65"/>
    </row>
    <row r="287" spans="1:14" ht="31.2" x14ac:dyDescent="0.3">
      <c r="A287" s="8" t="s">
        <v>1390</v>
      </c>
      <c r="B287" s="62" t="s">
        <v>920</v>
      </c>
      <c r="C287" s="83" t="s">
        <v>1381</v>
      </c>
      <c r="D287" s="83" t="s">
        <v>1391</v>
      </c>
      <c r="E287" s="45" t="s">
        <v>376</v>
      </c>
      <c r="F287" s="45"/>
      <c r="G287" s="23" t="s">
        <v>1101</v>
      </c>
      <c r="H287" s="19">
        <f t="shared" ref="H287:L287" si="136">H288</f>
        <v>4143.0829999999996</v>
      </c>
      <c r="I287" s="19">
        <f t="shared" si="136"/>
        <v>4143.0829999999996</v>
      </c>
      <c r="J287" s="19">
        <f t="shared" si="136"/>
        <v>4142.9714100000001</v>
      </c>
      <c r="K287" s="75">
        <f t="shared" si="126"/>
        <v>99.997306595112875</v>
      </c>
      <c r="L287" s="19">
        <f t="shared" si="136"/>
        <v>0</v>
      </c>
      <c r="M287" s="50"/>
      <c r="N287" s="50"/>
    </row>
    <row r="288" spans="1:14" ht="31.2" x14ac:dyDescent="0.3">
      <c r="A288" s="8" t="s">
        <v>1390</v>
      </c>
      <c r="B288" s="62" t="s">
        <v>920</v>
      </c>
      <c r="C288" s="83" t="s">
        <v>1381</v>
      </c>
      <c r="D288" s="83" t="s">
        <v>1391</v>
      </c>
      <c r="E288" s="45" t="s">
        <v>379</v>
      </c>
      <c r="F288" s="45"/>
      <c r="G288" s="23" t="s">
        <v>1200</v>
      </c>
      <c r="H288" s="19">
        <f>H289+H293+H298+H302</f>
        <v>4143.0829999999996</v>
      </c>
      <c r="I288" s="19">
        <f>I289+I293+I298+I302</f>
        <v>4143.0829999999996</v>
      </c>
      <c r="J288" s="19">
        <f t="shared" ref="J288" si="137">J289+J293+J298+J302</f>
        <v>4142.9714100000001</v>
      </c>
      <c r="K288" s="75">
        <f t="shared" si="126"/>
        <v>99.997306595112875</v>
      </c>
      <c r="L288" s="19">
        <f>L289+L293+L298+L302</f>
        <v>0</v>
      </c>
      <c r="M288" s="50"/>
      <c r="N288" s="50"/>
    </row>
    <row r="289" spans="1:14" ht="31.2" x14ac:dyDescent="0.3">
      <c r="A289" s="8" t="s">
        <v>1390</v>
      </c>
      <c r="B289" s="62" t="s">
        <v>920</v>
      </c>
      <c r="C289" s="83" t="s">
        <v>1381</v>
      </c>
      <c r="D289" s="83" t="s">
        <v>1391</v>
      </c>
      <c r="E289" s="45" t="s">
        <v>377</v>
      </c>
      <c r="F289" s="45"/>
      <c r="G289" s="23" t="s">
        <v>1102</v>
      </c>
      <c r="H289" s="19">
        <f t="shared" ref="H289:L291" si="138">H290</f>
        <v>721.17399999999998</v>
      </c>
      <c r="I289" s="19">
        <f t="shared" si="138"/>
        <v>721.17399999999998</v>
      </c>
      <c r="J289" s="19">
        <f t="shared" si="138"/>
        <v>721.17305999999996</v>
      </c>
      <c r="K289" s="75">
        <f t="shared" si="126"/>
        <v>99.999869656975989</v>
      </c>
      <c r="L289" s="19">
        <f t="shared" si="138"/>
        <v>0</v>
      </c>
      <c r="M289" s="50"/>
      <c r="N289" s="50"/>
    </row>
    <row r="290" spans="1:14" ht="31.2" x14ac:dyDescent="0.3">
      <c r="A290" s="8" t="s">
        <v>1390</v>
      </c>
      <c r="B290" s="62" t="s">
        <v>920</v>
      </c>
      <c r="C290" s="83" t="s">
        <v>1381</v>
      </c>
      <c r="D290" s="83" t="s">
        <v>1391</v>
      </c>
      <c r="E290" s="45" t="s">
        <v>378</v>
      </c>
      <c r="F290" s="45"/>
      <c r="G290" s="23" t="s">
        <v>1178</v>
      </c>
      <c r="H290" s="19">
        <f t="shared" si="138"/>
        <v>721.17399999999998</v>
      </c>
      <c r="I290" s="19">
        <f t="shared" si="138"/>
        <v>721.17399999999998</v>
      </c>
      <c r="J290" s="19">
        <f t="shared" si="138"/>
        <v>721.17305999999996</v>
      </c>
      <c r="K290" s="75">
        <f t="shared" si="126"/>
        <v>99.999869656975989</v>
      </c>
      <c r="L290" s="19">
        <f t="shared" si="138"/>
        <v>0</v>
      </c>
      <c r="M290" s="50"/>
      <c r="N290" s="50"/>
    </row>
    <row r="291" spans="1:14" ht="31.2" x14ac:dyDescent="0.3">
      <c r="A291" s="8" t="s">
        <v>1390</v>
      </c>
      <c r="B291" s="62" t="s">
        <v>920</v>
      </c>
      <c r="C291" s="83" t="s">
        <v>1381</v>
      </c>
      <c r="D291" s="83" t="s">
        <v>1391</v>
      </c>
      <c r="E291" s="45" t="s">
        <v>378</v>
      </c>
      <c r="F291" s="45" t="s">
        <v>380</v>
      </c>
      <c r="G291" s="23" t="s">
        <v>809</v>
      </c>
      <c r="H291" s="19">
        <f t="shared" si="138"/>
        <v>721.17399999999998</v>
      </c>
      <c r="I291" s="19">
        <f t="shared" si="138"/>
        <v>721.17399999999998</v>
      </c>
      <c r="J291" s="19">
        <f t="shared" si="138"/>
        <v>721.17305999999996</v>
      </c>
      <c r="K291" s="75">
        <f t="shared" si="126"/>
        <v>99.999869656975989</v>
      </c>
      <c r="L291" s="19">
        <f t="shared" si="138"/>
        <v>0</v>
      </c>
      <c r="M291" s="50"/>
      <c r="N291" s="50"/>
    </row>
    <row r="292" spans="1:14" ht="31.2" x14ac:dyDescent="0.3">
      <c r="A292" s="8" t="s">
        <v>1390</v>
      </c>
      <c r="B292" s="62" t="s">
        <v>920</v>
      </c>
      <c r="C292" s="83" t="s">
        <v>1381</v>
      </c>
      <c r="D292" s="83" t="s">
        <v>1391</v>
      </c>
      <c r="E292" s="45" t="s">
        <v>378</v>
      </c>
      <c r="F292" s="8" t="s">
        <v>247</v>
      </c>
      <c r="G292" s="23" t="s">
        <v>810</v>
      </c>
      <c r="H292" s="14">
        <f>867.5-146.326</f>
        <v>721.17399999999998</v>
      </c>
      <c r="I292" s="14">
        <v>721.17399999999998</v>
      </c>
      <c r="J292" s="19">
        <v>721.17305999999996</v>
      </c>
      <c r="K292" s="75">
        <f t="shared" si="126"/>
        <v>99.999869656975989</v>
      </c>
      <c r="L292" s="19"/>
      <c r="M292" s="50"/>
      <c r="N292" s="50"/>
    </row>
    <row r="293" spans="1:14" ht="46.8" x14ac:dyDescent="0.3">
      <c r="A293" s="8" t="s">
        <v>1390</v>
      </c>
      <c r="B293" s="62" t="s">
        <v>920</v>
      </c>
      <c r="C293" s="83" t="s">
        <v>1381</v>
      </c>
      <c r="D293" s="83" t="s">
        <v>1391</v>
      </c>
      <c r="E293" s="45" t="s">
        <v>545</v>
      </c>
      <c r="F293" s="45"/>
      <c r="G293" s="23" t="s">
        <v>1104</v>
      </c>
      <c r="H293" s="19">
        <f t="shared" ref="H293:L293" si="139">H294</f>
        <v>708.08199999999999</v>
      </c>
      <c r="I293" s="19">
        <f t="shared" si="139"/>
        <v>708.08199999999999</v>
      </c>
      <c r="J293" s="19">
        <f t="shared" si="139"/>
        <v>708.08199999999999</v>
      </c>
      <c r="K293" s="75">
        <f t="shared" si="126"/>
        <v>100</v>
      </c>
      <c r="L293" s="19">
        <f t="shared" si="139"/>
        <v>0</v>
      </c>
      <c r="M293" s="50"/>
      <c r="N293" s="50"/>
    </row>
    <row r="294" spans="1:14" x14ac:dyDescent="0.3">
      <c r="A294" s="8" t="s">
        <v>1390</v>
      </c>
      <c r="B294" s="62" t="s">
        <v>920</v>
      </c>
      <c r="C294" s="83" t="s">
        <v>1381</v>
      </c>
      <c r="D294" s="83" t="s">
        <v>1391</v>
      </c>
      <c r="E294" s="45" t="s">
        <v>58</v>
      </c>
      <c r="F294" s="45"/>
      <c r="G294" s="23" t="s">
        <v>170</v>
      </c>
      <c r="H294" s="19">
        <f t="shared" ref="H294:L294" si="140">H295</f>
        <v>708.08199999999999</v>
      </c>
      <c r="I294" s="19">
        <f t="shared" si="140"/>
        <v>708.08199999999999</v>
      </c>
      <c r="J294" s="19">
        <f t="shared" si="140"/>
        <v>708.08199999999999</v>
      </c>
      <c r="K294" s="75">
        <f t="shared" si="126"/>
        <v>100</v>
      </c>
      <c r="L294" s="19">
        <f t="shared" si="140"/>
        <v>0</v>
      </c>
      <c r="M294" s="50"/>
      <c r="N294" s="50"/>
    </row>
    <row r="295" spans="1:14" ht="31.2" x14ac:dyDescent="0.3">
      <c r="A295" s="8" t="s">
        <v>1390</v>
      </c>
      <c r="B295" s="62" t="s">
        <v>920</v>
      </c>
      <c r="C295" s="83" t="s">
        <v>1381</v>
      </c>
      <c r="D295" s="83" t="s">
        <v>1391</v>
      </c>
      <c r="E295" s="45" t="s">
        <v>58</v>
      </c>
      <c r="F295" s="45" t="s">
        <v>402</v>
      </c>
      <c r="G295" s="23" t="s">
        <v>819</v>
      </c>
      <c r="H295" s="19">
        <f>H297+H296</f>
        <v>708.08199999999999</v>
      </c>
      <c r="I295" s="19">
        <f t="shared" ref="I295:L295" si="141">I297+I296</f>
        <v>708.08199999999999</v>
      </c>
      <c r="J295" s="19">
        <f t="shared" si="141"/>
        <v>708.08199999999999</v>
      </c>
      <c r="K295" s="75">
        <f t="shared" si="126"/>
        <v>100</v>
      </c>
      <c r="L295" s="19">
        <f t="shared" si="141"/>
        <v>0</v>
      </c>
      <c r="M295" s="50"/>
      <c r="N295" s="50"/>
    </row>
    <row r="296" spans="1:14" x14ac:dyDescent="0.3">
      <c r="A296" s="8" t="s">
        <v>1390</v>
      </c>
      <c r="B296" s="62" t="s">
        <v>920</v>
      </c>
      <c r="C296" s="83" t="s">
        <v>1381</v>
      </c>
      <c r="D296" s="83" t="s">
        <v>1391</v>
      </c>
      <c r="E296" s="45" t="s">
        <v>58</v>
      </c>
      <c r="F296" s="64" t="s">
        <v>223</v>
      </c>
      <c r="G296" s="18" t="s">
        <v>829</v>
      </c>
      <c r="H296" s="19">
        <v>0</v>
      </c>
      <c r="I296" s="19">
        <v>150</v>
      </c>
      <c r="J296" s="19">
        <v>150</v>
      </c>
      <c r="K296" s="75">
        <f t="shared" si="126"/>
        <v>100</v>
      </c>
      <c r="L296" s="19"/>
      <c r="M296" s="50"/>
      <c r="N296" s="50"/>
    </row>
    <row r="297" spans="1:14" ht="46.8" x14ac:dyDescent="0.3">
      <c r="A297" s="8" t="s">
        <v>1390</v>
      </c>
      <c r="B297" s="62" t="s">
        <v>920</v>
      </c>
      <c r="C297" s="83" t="s">
        <v>1381</v>
      </c>
      <c r="D297" s="83" t="s">
        <v>1391</v>
      </c>
      <c r="E297" s="45" t="s">
        <v>58</v>
      </c>
      <c r="F297" s="45" t="s">
        <v>280</v>
      </c>
      <c r="G297" s="23" t="s">
        <v>821</v>
      </c>
      <c r="H297" s="14">
        <f>709.1-1.018</f>
        <v>708.08199999999999</v>
      </c>
      <c r="I297" s="14">
        <v>558.08199999999999</v>
      </c>
      <c r="J297" s="19">
        <v>558.08199999999999</v>
      </c>
      <c r="K297" s="75">
        <f t="shared" si="126"/>
        <v>100</v>
      </c>
      <c r="L297" s="19"/>
      <c r="M297" s="50"/>
      <c r="N297" s="50"/>
    </row>
    <row r="298" spans="1:14" ht="31.2" x14ac:dyDescent="0.3">
      <c r="A298" s="8" t="s">
        <v>1390</v>
      </c>
      <c r="B298" s="62" t="s">
        <v>920</v>
      </c>
      <c r="C298" s="83" t="s">
        <v>1381</v>
      </c>
      <c r="D298" s="83" t="s">
        <v>1391</v>
      </c>
      <c r="E298" s="45" t="s">
        <v>546</v>
      </c>
      <c r="F298" s="45"/>
      <c r="G298" s="23" t="s">
        <v>1105</v>
      </c>
      <c r="H298" s="19">
        <f t="shared" ref="H298:L300" si="142">H299</f>
        <v>1017.0999999999999</v>
      </c>
      <c r="I298" s="19">
        <f t="shared" si="142"/>
        <v>1017.1</v>
      </c>
      <c r="J298" s="19">
        <f t="shared" si="142"/>
        <v>1017.1</v>
      </c>
      <c r="K298" s="75">
        <f t="shared" si="126"/>
        <v>100</v>
      </c>
      <c r="L298" s="19">
        <f t="shared" si="142"/>
        <v>0</v>
      </c>
      <c r="M298" s="50"/>
      <c r="N298" s="50"/>
    </row>
    <row r="299" spans="1:14" ht="31.2" x14ac:dyDescent="0.3">
      <c r="A299" s="8" t="s">
        <v>1390</v>
      </c>
      <c r="B299" s="62" t="s">
        <v>920</v>
      </c>
      <c r="C299" s="83" t="s">
        <v>1381</v>
      </c>
      <c r="D299" s="83" t="s">
        <v>1391</v>
      </c>
      <c r="E299" s="45" t="s">
        <v>547</v>
      </c>
      <c r="F299" s="45"/>
      <c r="G299" s="23" t="s">
        <v>1106</v>
      </c>
      <c r="H299" s="19">
        <f t="shared" si="142"/>
        <v>1017.0999999999999</v>
      </c>
      <c r="I299" s="19">
        <f t="shared" si="142"/>
        <v>1017.1</v>
      </c>
      <c r="J299" s="19">
        <f t="shared" si="142"/>
        <v>1017.1</v>
      </c>
      <c r="K299" s="75">
        <f t="shared" si="126"/>
        <v>100</v>
      </c>
      <c r="L299" s="19">
        <f t="shared" si="142"/>
        <v>0</v>
      </c>
      <c r="M299" s="50"/>
      <c r="N299" s="50"/>
    </row>
    <row r="300" spans="1:14" ht="31.2" x14ac:dyDescent="0.3">
      <c r="A300" s="8" t="s">
        <v>1390</v>
      </c>
      <c r="B300" s="62" t="s">
        <v>920</v>
      </c>
      <c r="C300" s="83" t="s">
        <v>1381</v>
      </c>
      <c r="D300" s="83" t="s">
        <v>1391</v>
      </c>
      <c r="E300" s="45" t="s">
        <v>547</v>
      </c>
      <c r="F300" s="45" t="s">
        <v>380</v>
      </c>
      <c r="G300" s="23" t="s">
        <v>809</v>
      </c>
      <c r="H300" s="19">
        <f t="shared" si="142"/>
        <v>1017.0999999999999</v>
      </c>
      <c r="I300" s="19">
        <f t="shared" si="142"/>
        <v>1017.1</v>
      </c>
      <c r="J300" s="19">
        <f t="shared" si="142"/>
        <v>1017.1</v>
      </c>
      <c r="K300" s="75">
        <f t="shared" si="126"/>
        <v>100</v>
      </c>
      <c r="L300" s="19">
        <f t="shared" si="142"/>
        <v>0</v>
      </c>
      <c r="M300" s="50"/>
      <c r="N300" s="50"/>
    </row>
    <row r="301" spans="1:14" ht="31.2" x14ac:dyDescent="0.3">
      <c r="A301" s="8" t="s">
        <v>1390</v>
      </c>
      <c r="B301" s="62" t="s">
        <v>920</v>
      </c>
      <c r="C301" s="83" t="s">
        <v>1381</v>
      </c>
      <c r="D301" s="83" t="s">
        <v>1391</v>
      </c>
      <c r="E301" s="45" t="s">
        <v>547</v>
      </c>
      <c r="F301" s="8" t="s">
        <v>247</v>
      </c>
      <c r="G301" s="23" t="s">
        <v>810</v>
      </c>
      <c r="H301" s="14">
        <f>1047.8-30.7</f>
        <v>1017.0999999999999</v>
      </c>
      <c r="I301" s="14">
        <v>1017.1</v>
      </c>
      <c r="J301" s="19">
        <v>1017.1</v>
      </c>
      <c r="K301" s="75">
        <f t="shared" si="126"/>
        <v>100</v>
      </c>
      <c r="L301" s="19"/>
      <c r="M301" s="50"/>
      <c r="N301" s="50"/>
    </row>
    <row r="302" spans="1:14" ht="31.2" x14ac:dyDescent="0.3">
      <c r="A302" s="8" t="s">
        <v>1390</v>
      </c>
      <c r="B302" s="62" t="s">
        <v>920</v>
      </c>
      <c r="C302" s="83" t="s">
        <v>1381</v>
      </c>
      <c r="D302" s="83" t="s">
        <v>1391</v>
      </c>
      <c r="E302" s="45" t="s">
        <v>548</v>
      </c>
      <c r="F302" s="45"/>
      <c r="G302" s="23" t="s">
        <v>1107</v>
      </c>
      <c r="H302" s="19">
        <f t="shared" ref="H302:L304" si="143">H303</f>
        <v>1696.7270000000001</v>
      </c>
      <c r="I302" s="19">
        <f t="shared" si="143"/>
        <v>1696.7270000000001</v>
      </c>
      <c r="J302" s="19">
        <f t="shared" si="143"/>
        <v>1696.61635</v>
      </c>
      <c r="K302" s="75">
        <f t="shared" si="126"/>
        <v>99.993478620897761</v>
      </c>
      <c r="L302" s="19">
        <f t="shared" si="143"/>
        <v>0</v>
      </c>
      <c r="M302" s="50"/>
      <c r="N302" s="50"/>
    </row>
    <row r="303" spans="1:14" ht="31.2" x14ac:dyDescent="0.3">
      <c r="A303" s="8" t="s">
        <v>1390</v>
      </c>
      <c r="B303" s="62" t="s">
        <v>920</v>
      </c>
      <c r="C303" s="83" t="s">
        <v>1381</v>
      </c>
      <c r="D303" s="83" t="s">
        <v>1391</v>
      </c>
      <c r="E303" s="45" t="s">
        <v>549</v>
      </c>
      <c r="F303" s="45"/>
      <c r="G303" s="23" t="s">
        <v>1108</v>
      </c>
      <c r="H303" s="19">
        <f t="shared" si="143"/>
        <v>1696.7270000000001</v>
      </c>
      <c r="I303" s="19">
        <f t="shared" si="143"/>
        <v>1696.7270000000001</v>
      </c>
      <c r="J303" s="19">
        <f t="shared" si="143"/>
        <v>1696.61635</v>
      </c>
      <c r="K303" s="75">
        <f t="shared" si="126"/>
        <v>99.993478620897761</v>
      </c>
      <c r="L303" s="19">
        <f t="shared" si="143"/>
        <v>0</v>
      </c>
      <c r="M303" s="50"/>
      <c r="N303" s="50"/>
    </row>
    <row r="304" spans="1:14" ht="31.2" x14ac:dyDescent="0.3">
      <c r="A304" s="8" t="s">
        <v>1390</v>
      </c>
      <c r="B304" s="62" t="s">
        <v>920</v>
      </c>
      <c r="C304" s="83" t="s">
        <v>1381</v>
      </c>
      <c r="D304" s="83" t="s">
        <v>1391</v>
      </c>
      <c r="E304" s="45" t="s">
        <v>549</v>
      </c>
      <c r="F304" s="45" t="s">
        <v>380</v>
      </c>
      <c r="G304" s="23" t="s">
        <v>809</v>
      </c>
      <c r="H304" s="19">
        <f t="shared" si="143"/>
        <v>1696.7270000000001</v>
      </c>
      <c r="I304" s="19">
        <f t="shared" si="143"/>
        <v>1696.7270000000001</v>
      </c>
      <c r="J304" s="19">
        <f t="shared" si="143"/>
        <v>1696.61635</v>
      </c>
      <c r="K304" s="75">
        <f t="shared" si="126"/>
        <v>99.993478620897761</v>
      </c>
      <c r="L304" s="19">
        <f t="shared" si="143"/>
        <v>0</v>
      </c>
      <c r="M304" s="50"/>
      <c r="N304" s="50"/>
    </row>
    <row r="305" spans="1:14" ht="31.2" x14ac:dyDescent="0.3">
      <c r="A305" s="8" t="s">
        <v>1390</v>
      </c>
      <c r="B305" s="62" t="s">
        <v>920</v>
      </c>
      <c r="C305" s="83" t="s">
        <v>1381</v>
      </c>
      <c r="D305" s="83" t="s">
        <v>1391</v>
      </c>
      <c r="E305" s="45" t="s">
        <v>549</v>
      </c>
      <c r="F305" s="8" t="s">
        <v>247</v>
      </c>
      <c r="G305" s="23" t="s">
        <v>810</v>
      </c>
      <c r="H305" s="14">
        <f>1894-197.173-0.1</f>
        <v>1696.7270000000001</v>
      </c>
      <c r="I305" s="14">
        <v>1696.7270000000001</v>
      </c>
      <c r="J305" s="20">
        <v>1696.61635</v>
      </c>
      <c r="K305" s="77">
        <f t="shared" si="126"/>
        <v>99.993478620897761</v>
      </c>
      <c r="L305" s="20"/>
      <c r="M305" s="50"/>
      <c r="N305" s="50"/>
    </row>
    <row r="306" spans="1:14" s="9" customFormat="1" x14ac:dyDescent="0.3">
      <c r="A306" s="11" t="s">
        <v>1390</v>
      </c>
      <c r="B306" s="48" t="s">
        <v>921</v>
      </c>
      <c r="C306" s="85" t="s">
        <v>1381</v>
      </c>
      <c r="D306" s="85" t="s">
        <v>1392</v>
      </c>
      <c r="E306" s="29"/>
      <c r="F306" s="29"/>
      <c r="G306" s="25" t="s">
        <v>1397</v>
      </c>
      <c r="H306" s="22">
        <f>H314</f>
        <v>14643.6</v>
      </c>
      <c r="I306" s="22">
        <f>I314+I307</f>
        <v>14910.899999999998</v>
      </c>
      <c r="J306" s="22">
        <f t="shared" ref="J306:L306" si="144">J314+J307</f>
        <v>14910.899999999998</v>
      </c>
      <c r="K306" s="74">
        <f t="shared" si="126"/>
        <v>100</v>
      </c>
      <c r="L306" s="22">
        <f t="shared" si="144"/>
        <v>0</v>
      </c>
      <c r="M306" s="65"/>
      <c r="N306" s="65"/>
    </row>
    <row r="307" spans="1:14" ht="31.2" x14ac:dyDescent="0.3">
      <c r="A307" s="8" t="s">
        <v>1390</v>
      </c>
      <c r="B307" s="62" t="s">
        <v>921</v>
      </c>
      <c r="C307" s="83" t="s">
        <v>1381</v>
      </c>
      <c r="D307" s="83" t="s">
        <v>1392</v>
      </c>
      <c r="E307" s="45" t="s">
        <v>429</v>
      </c>
      <c r="F307" s="49"/>
      <c r="G307" s="23" t="s">
        <v>1140</v>
      </c>
      <c r="H307" s="20">
        <v>0</v>
      </c>
      <c r="I307" s="19">
        <f>I308</f>
        <v>267.3</v>
      </c>
      <c r="J307" s="19">
        <f t="shared" ref="J307:L308" si="145">J308</f>
        <v>267.3</v>
      </c>
      <c r="K307" s="75">
        <f t="shared" si="126"/>
        <v>100</v>
      </c>
      <c r="L307" s="19">
        <f t="shared" si="145"/>
        <v>0</v>
      </c>
      <c r="M307" s="50"/>
      <c r="N307" s="50"/>
    </row>
    <row r="308" spans="1:14" ht="17.25" customHeight="1" x14ac:dyDescent="0.3">
      <c r="A308" s="8" t="s">
        <v>1390</v>
      </c>
      <c r="B308" s="62" t="s">
        <v>921</v>
      </c>
      <c r="C308" s="83" t="s">
        <v>1381</v>
      </c>
      <c r="D308" s="83" t="s">
        <v>1392</v>
      </c>
      <c r="E308" s="45" t="s">
        <v>430</v>
      </c>
      <c r="F308" s="49"/>
      <c r="G308" s="23" t="s">
        <v>1141</v>
      </c>
      <c r="H308" s="20">
        <v>0</v>
      </c>
      <c r="I308" s="19">
        <f>I309</f>
        <v>267.3</v>
      </c>
      <c r="J308" s="19">
        <f t="shared" si="145"/>
        <v>267.3</v>
      </c>
      <c r="K308" s="75">
        <f t="shared" si="126"/>
        <v>100</v>
      </c>
      <c r="L308" s="19">
        <f t="shared" si="145"/>
        <v>0</v>
      </c>
      <c r="M308" s="50"/>
      <c r="N308" s="50"/>
    </row>
    <row r="309" spans="1:14" ht="78" x14ac:dyDescent="0.3">
      <c r="A309" s="8" t="s">
        <v>1390</v>
      </c>
      <c r="B309" s="62" t="s">
        <v>921</v>
      </c>
      <c r="C309" s="83" t="s">
        <v>1381</v>
      </c>
      <c r="D309" s="83" t="s">
        <v>1392</v>
      </c>
      <c r="E309" s="45" t="s">
        <v>214</v>
      </c>
      <c r="F309" s="49"/>
      <c r="G309" s="23" t="s">
        <v>1332</v>
      </c>
      <c r="H309" s="20">
        <v>0</v>
      </c>
      <c r="I309" s="19">
        <f>I310+I312</f>
        <v>267.3</v>
      </c>
      <c r="J309" s="19">
        <f t="shared" ref="J309:L309" si="146">J310+J312</f>
        <v>267.3</v>
      </c>
      <c r="K309" s="75">
        <f t="shared" si="126"/>
        <v>100</v>
      </c>
      <c r="L309" s="19">
        <f t="shared" si="146"/>
        <v>0</v>
      </c>
      <c r="M309" s="50"/>
      <c r="N309" s="50"/>
    </row>
    <row r="310" spans="1:14" ht="78" x14ac:dyDescent="0.3">
      <c r="A310" s="8" t="s">
        <v>1390</v>
      </c>
      <c r="B310" s="62" t="s">
        <v>921</v>
      </c>
      <c r="C310" s="83" t="s">
        <v>1381</v>
      </c>
      <c r="D310" s="83" t="s">
        <v>1392</v>
      </c>
      <c r="E310" s="45" t="s">
        <v>214</v>
      </c>
      <c r="F310" s="45" t="s">
        <v>431</v>
      </c>
      <c r="G310" s="23" t="s">
        <v>806</v>
      </c>
      <c r="H310" s="20">
        <v>0</v>
      </c>
      <c r="I310" s="19">
        <f>I311</f>
        <v>243.1</v>
      </c>
      <c r="J310" s="19">
        <f t="shared" ref="J310:L310" si="147">J311</f>
        <v>243.1</v>
      </c>
      <c r="K310" s="75">
        <f t="shared" si="126"/>
        <v>100</v>
      </c>
      <c r="L310" s="19">
        <f t="shared" si="147"/>
        <v>0</v>
      </c>
      <c r="M310" s="50"/>
      <c r="N310" s="50"/>
    </row>
    <row r="311" spans="1:14" ht="31.2" x14ac:dyDescent="0.3">
      <c r="A311" s="8" t="s">
        <v>1390</v>
      </c>
      <c r="B311" s="62" t="s">
        <v>921</v>
      </c>
      <c r="C311" s="83" t="s">
        <v>1381</v>
      </c>
      <c r="D311" s="83" t="s">
        <v>1392</v>
      </c>
      <c r="E311" s="45" t="s">
        <v>214</v>
      </c>
      <c r="F311" s="45" t="s">
        <v>233</v>
      </c>
      <c r="G311" s="23" t="s">
        <v>808</v>
      </c>
      <c r="H311" s="20">
        <v>0</v>
      </c>
      <c r="I311" s="19">
        <v>243.1</v>
      </c>
      <c r="J311" s="19">
        <v>243.1</v>
      </c>
      <c r="K311" s="75">
        <f t="shared" si="126"/>
        <v>100</v>
      </c>
      <c r="L311" s="19"/>
      <c r="M311" s="50"/>
      <c r="N311" s="50"/>
    </row>
    <row r="312" spans="1:14" ht="31.2" x14ac:dyDescent="0.3">
      <c r="A312" s="8" t="s">
        <v>1390</v>
      </c>
      <c r="B312" s="62" t="s">
        <v>921</v>
      </c>
      <c r="C312" s="83" t="s">
        <v>1381</v>
      </c>
      <c r="D312" s="83" t="s">
        <v>1392</v>
      </c>
      <c r="E312" s="45" t="s">
        <v>214</v>
      </c>
      <c r="F312" s="45" t="s">
        <v>380</v>
      </c>
      <c r="G312" s="23" t="s">
        <v>809</v>
      </c>
      <c r="H312" s="20">
        <v>0</v>
      </c>
      <c r="I312" s="19">
        <f>I313</f>
        <v>24.2</v>
      </c>
      <c r="J312" s="19">
        <f t="shared" ref="J312:L312" si="148">J313</f>
        <v>24.2</v>
      </c>
      <c r="K312" s="75">
        <f t="shared" si="126"/>
        <v>100</v>
      </c>
      <c r="L312" s="19">
        <f t="shared" si="148"/>
        <v>0</v>
      </c>
      <c r="M312" s="50"/>
      <c r="N312" s="50"/>
    </row>
    <row r="313" spans="1:14" ht="31.2" x14ac:dyDescent="0.3">
      <c r="A313" s="8" t="s">
        <v>1390</v>
      </c>
      <c r="B313" s="62" t="s">
        <v>921</v>
      </c>
      <c r="C313" s="83" t="s">
        <v>1381</v>
      </c>
      <c r="D313" s="83" t="s">
        <v>1392</v>
      </c>
      <c r="E313" s="45" t="s">
        <v>214</v>
      </c>
      <c r="F313" s="8" t="s">
        <v>247</v>
      </c>
      <c r="G313" s="23" t="s">
        <v>810</v>
      </c>
      <c r="H313" s="20">
        <v>0</v>
      </c>
      <c r="I313" s="19">
        <v>24.2</v>
      </c>
      <c r="J313" s="19">
        <v>24.2</v>
      </c>
      <c r="K313" s="75">
        <f t="shared" si="126"/>
        <v>100</v>
      </c>
      <c r="L313" s="19"/>
      <c r="M313" s="50"/>
      <c r="N313" s="50"/>
    </row>
    <row r="314" spans="1:14" ht="31.2" x14ac:dyDescent="0.3">
      <c r="A314" s="8" t="s">
        <v>1390</v>
      </c>
      <c r="B314" s="62" t="s">
        <v>921</v>
      </c>
      <c r="C314" s="83" t="s">
        <v>1381</v>
      </c>
      <c r="D314" s="83" t="s">
        <v>1392</v>
      </c>
      <c r="E314" s="45" t="s">
        <v>343</v>
      </c>
      <c r="F314" s="45"/>
      <c r="G314" s="23" t="s">
        <v>1157</v>
      </c>
      <c r="H314" s="19">
        <f t="shared" ref="H314:L314" si="149">H315</f>
        <v>14643.6</v>
      </c>
      <c r="I314" s="19">
        <f t="shared" si="149"/>
        <v>14643.599999999999</v>
      </c>
      <c r="J314" s="19">
        <f t="shared" si="149"/>
        <v>14643.599999999999</v>
      </c>
      <c r="K314" s="75">
        <f t="shared" si="126"/>
        <v>100</v>
      </c>
      <c r="L314" s="19">
        <f t="shared" si="149"/>
        <v>0</v>
      </c>
      <c r="M314" s="50"/>
      <c r="N314" s="50"/>
    </row>
    <row r="315" spans="1:14" x14ac:dyDescent="0.3">
      <c r="A315" s="8" t="s">
        <v>1390</v>
      </c>
      <c r="B315" s="62" t="s">
        <v>921</v>
      </c>
      <c r="C315" s="83" t="s">
        <v>1381</v>
      </c>
      <c r="D315" s="83" t="s">
        <v>1392</v>
      </c>
      <c r="E315" s="45" t="s">
        <v>344</v>
      </c>
      <c r="F315" s="45"/>
      <c r="G315" s="23" t="s">
        <v>1159</v>
      </c>
      <c r="H315" s="19">
        <f>H316+H319</f>
        <v>14643.6</v>
      </c>
      <c r="I315" s="19">
        <f>I316+I319</f>
        <v>14643.599999999999</v>
      </c>
      <c r="J315" s="19">
        <f t="shared" ref="J315" si="150">J316+J319</f>
        <v>14643.599999999999</v>
      </c>
      <c r="K315" s="75">
        <f t="shared" si="126"/>
        <v>100</v>
      </c>
      <c r="L315" s="19">
        <f>L316+L319</f>
        <v>0</v>
      </c>
      <c r="M315" s="50"/>
      <c r="N315" s="50"/>
    </row>
    <row r="316" spans="1:14" ht="31.2" x14ac:dyDescent="0.3">
      <c r="A316" s="8" t="s">
        <v>1390</v>
      </c>
      <c r="B316" s="62" t="s">
        <v>921</v>
      </c>
      <c r="C316" s="83" t="s">
        <v>1381</v>
      </c>
      <c r="D316" s="83" t="s">
        <v>1392</v>
      </c>
      <c r="E316" s="45" t="s">
        <v>345</v>
      </c>
      <c r="F316" s="45"/>
      <c r="G316" s="23" t="s">
        <v>1152</v>
      </c>
      <c r="H316" s="19">
        <f t="shared" ref="H316:L317" si="151">H317</f>
        <v>13482.5</v>
      </c>
      <c r="I316" s="19">
        <f t="shared" si="151"/>
        <v>13581.984619999999</v>
      </c>
      <c r="J316" s="19">
        <f t="shared" si="151"/>
        <v>13581.984619999999</v>
      </c>
      <c r="K316" s="75">
        <f t="shared" si="126"/>
        <v>100</v>
      </c>
      <c r="L316" s="19">
        <f t="shared" si="151"/>
        <v>0</v>
      </c>
      <c r="M316" s="50"/>
      <c r="N316" s="50"/>
    </row>
    <row r="317" spans="1:14" ht="78" x14ac:dyDescent="0.3">
      <c r="A317" s="8" t="s">
        <v>1390</v>
      </c>
      <c r="B317" s="62" t="s">
        <v>921</v>
      </c>
      <c r="C317" s="83" t="s">
        <v>1381</v>
      </c>
      <c r="D317" s="83" t="s">
        <v>1392</v>
      </c>
      <c r="E317" s="45" t="s">
        <v>345</v>
      </c>
      <c r="F317" s="45" t="s">
        <v>431</v>
      </c>
      <c r="G317" s="23" t="s">
        <v>806</v>
      </c>
      <c r="H317" s="19">
        <f t="shared" si="151"/>
        <v>13482.5</v>
      </c>
      <c r="I317" s="19">
        <f t="shared" si="151"/>
        <v>13581.984619999999</v>
      </c>
      <c r="J317" s="19">
        <f t="shared" si="151"/>
        <v>13581.984619999999</v>
      </c>
      <c r="K317" s="75">
        <f t="shared" si="126"/>
        <v>100</v>
      </c>
      <c r="L317" s="19">
        <f t="shared" si="151"/>
        <v>0</v>
      </c>
      <c r="M317" s="50"/>
      <c r="N317" s="50"/>
    </row>
    <row r="318" spans="1:14" ht="31.2" x14ac:dyDescent="0.3">
      <c r="A318" s="8" t="s">
        <v>1390</v>
      </c>
      <c r="B318" s="62" t="s">
        <v>921</v>
      </c>
      <c r="C318" s="83" t="s">
        <v>1381</v>
      </c>
      <c r="D318" s="83" t="s">
        <v>1392</v>
      </c>
      <c r="E318" s="45" t="s">
        <v>345</v>
      </c>
      <c r="F318" s="45" t="s">
        <v>233</v>
      </c>
      <c r="G318" s="23" t="s">
        <v>808</v>
      </c>
      <c r="H318" s="14">
        <v>13482.5</v>
      </c>
      <c r="I318" s="14">
        <v>13581.984619999999</v>
      </c>
      <c r="J318" s="19">
        <v>13581.984619999999</v>
      </c>
      <c r="K318" s="75">
        <f t="shared" si="126"/>
        <v>100</v>
      </c>
      <c r="L318" s="19"/>
      <c r="M318" s="50"/>
      <c r="N318" s="50"/>
    </row>
    <row r="319" spans="1:14" ht="31.2" x14ac:dyDescent="0.3">
      <c r="A319" s="8" t="s">
        <v>1390</v>
      </c>
      <c r="B319" s="62" t="s">
        <v>921</v>
      </c>
      <c r="C319" s="83" t="s">
        <v>1381</v>
      </c>
      <c r="D319" s="83" t="s">
        <v>1392</v>
      </c>
      <c r="E319" s="45" t="s">
        <v>346</v>
      </c>
      <c r="F319" s="45"/>
      <c r="G319" s="23" t="s">
        <v>1154</v>
      </c>
      <c r="H319" s="19">
        <f>H320+H322+H324</f>
        <v>1161.0999999999999</v>
      </c>
      <c r="I319" s="19">
        <f>I320+I322+I324</f>
        <v>1061.61538</v>
      </c>
      <c r="J319" s="19">
        <f t="shared" ref="J319" si="152">J320+J322+J324</f>
        <v>1061.61538</v>
      </c>
      <c r="K319" s="75">
        <f t="shared" si="126"/>
        <v>100</v>
      </c>
      <c r="L319" s="19">
        <f>L320+L322+L324</f>
        <v>0</v>
      </c>
      <c r="M319" s="50"/>
      <c r="N319" s="50"/>
    </row>
    <row r="320" spans="1:14" ht="78" x14ac:dyDescent="0.3">
      <c r="A320" s="8" t="s">
        <v>1390</v>
      </c>
      <c r="B320" s="62" t="s">
        <v>921</v>
      </c>
      <c r="C320" s="83" t="s">
        <v>1381</v>
      </c>
      <c r="D320" s="83" t="s">
        <v>1392</v>
      </c>
      <c r="E320" s="45" t="s">
        <v>346</v>
      </c>
      <c r="F320" s="45" t="s">
        <v>431</v>
      </c>
      <c r="G320" s="23" t="s">
        <v>806</v>
      </c>
      <c r="H320" s="19">
        <f t="shared" ref="H320:L320" si="153">H321</f>
        <v>47.2</v>
      </c>
      <c r="I320" s="19">
        <f t="shared" si="153"/>
        <v>31.646000000000001</v>
      </c>
      <c r="J320" s="19">
        <f t="shared" si="153"/>
        <v>31.646000000000001</v>
      </c>
      <c r="K320" s="75">
        <f t="shared" si="126"/>
        <v>100</v>
      </c>
      <c r="L320" s="19">
        <f t="shared" si="153"/>
        <v>0</v>
      </c>
      <c r="M320" s="50"/>
      <c r="N320" s="50"/>
    </row>
    <row r="321" spans="1:14" ht="31.2" x14ac:dyDescent="0.3">
      <c r="A321" s="8" t="s">
        <v>1390</v>
      </c>
      <c r="B321" s="62" t="s">
        <v>921</v>
      </c>
      <c r="C321" s="83" t="s">
        <v>1381</v>
      </c>
      <c r="D321" s="83" t="s">
        <v>1392</v>
      </c>
      <c r="E321" s="45" t="s">
        <v>346</v>
      </c>
      <c r="F321" s="45" t="s">
        <v>233</v>
      </c>
      <c r="G321" s="23" t="s">
        <v>808</v>
      </c>
      <c r="H321" s="14">
        <v>47.2</v>
      </c>
      <c r="I321" s="14">
        <v>31.646000000000001</v>
      </c>
      <c r="J321" s="19">
        <v>31.646000000000001</v>
      </c>
      <c r="K321" s="75">
        <f t="shared" si="126"/>
        <v>100</v>
      </c>
      <c r="L321" s="19"/>
      <c r="M321" s="50"/>
      <c r="N321" s="50"/>
    </row>
    <row r="322" spans="1:14" ht="31.2" x14ac:dyDescent="0.3">
      <c r="A322" s="8" t="s">
        <v>1390</v>
      </c>
      <c r="B322" s="62" t="s">
        <v>921</v>
      </c>
      <c r="C322" s="83" t="s">
        <v>1381</v>
      </c>
      <c r="D322" s="83" t="s">
        <v>1392</v>
      </c>
      <c r="E322" s="45" t="s">
        <v>346</v>
      </c>
      <c r="F322" s="45" t="s">
        <v>380</v>
      </c>
      <c r="G322" s="23" t="s">
        <v>809</v>
      </c>
      <c r="H322" s="19">
        <f t="shared" ref="H322:L322" si="154">H323</f>
        <v>1113.8</v>
      </c>
      <c r="I322" s="19">
        <f t="shared" si="154"/>
        <v>1029.83638</v>
      </c>
      <c r="J322" s="19">
        <f t="shared" si="154"/>
        <v>1029.83638</v>
      </c>
      <c r="K322" s="75">
        <f t="shared" si="126"/>
        <v>100</v>
      </c>
      <c r="L322" s="19">
        <f t="shared" si="154"/>
        <v>0</v>
      </c>
      <c r="M322" s="50"/>
      <c r="N322" s="50"/>
    </row>
    <row r="323" spans="1:14" ht="31.2" x14ac:dyDescent="0.3">
      <c r="A323" s="8" t="s">
        <v>1390</v>
      </c>
      <c r="B323" s="62" t="s">
        <v>921</v>
      </c>
      <c r="C323" s="83" t="s">
        <v>1381</v>
      </c>
      <c r="D323" s="83" t="s">
        <v>1392</v>
      </c>
      <c r="E323" s="45" t="s">
        <v>346</v>
      </c>
      <c r="F323" s="8" t="s">
        <v>247</v>
      </c>
      <c r="G323" s="23" t="s">
        <v>810</v>
      </c>
      <c r="H323" s="14">
        <v>1113.8</v>
      </c>
      <c r="I323" s="14">
        <v>1029.83638</v>
      </c>
      <c r="J323" s="19">
        <v>1029.83638</v>
      </c>
      <c r="K323" s="75">
        <f t="shared" si="126"/>
        <v>100</v>
      </c>
      <c r="L323" s="19"/>
      <c r="M323" s="50"/>
      <c r="N323" s="50"/>
    </row>
    <row r="324" spans="1:14" x14ac:dyDescent="0.3">
      <c r="A324" s="8" t="s">
        <v>1390</v>
      </c>
      <c r="B324" s="62" t="s">
        <v>921</v>
      </c>
      <c r="C324" s="83" t="s">
        <v>1381</v>
      </c>
      <c r="D324" s="83" t="s">
        <v>1392</v>
      </c>
      <c r="E324" s="45" t="s">
        <v>346</v>
      </c>
      <c r="F324" s="45" t="s">
        <v>464</v>
      </c>
      <c r="G324" s="23" t="s">
        <v>822</v>
      </c>
      <c r="H324" s="19">
        <f t="shared" ref="H324:L324" si="155">H325</f>
        <v>0.1</v>
      </c>
      <c r="I324" s="19">
        <f t="shared" si="155"/>
        <v>0.13300000000000001</v>
      </c>
      <c r="J324" s="19">
        <f t="shared" si="155"/>
        <v>0.13300000000000001</v>
      </c>
      <c r="K324" s="75">
        <f t="shared" si="126"/>
        <v>100</v>
      </c>
      <c r="L324" s="19">
        <f t="shared" si="155"/>
        <v>0</v>
      </c>
      <c r="M324" s="50"/>
      <c r="N324" s="50"/>
    </row>
    <row r="325" spans="1:14" x14ac:dyDescent="0.3">
      <c r="A325" s="8" t="s">
        <v>1390</v>
      </c>
      <c r="B325" s="62" t="s">
        <v>921</v>
      </c>
      <c r="C325" s="83" t="s">
        <v>1381</v>
      </c>
      <c r="D325" s="83" t="s">
        <v>1392</v>
      </c>
      <c r="E325" s="45" t="s">
        <v>346</v>
      </c>
      <c r="F325" s="45" t="s">
        <v>729</v>
      </c>
      <c r="G325" s="23" t="s">
        <v>824</v>
      </c>
      <c r="H325" s="14">
        <v>0.1</v>
      </c>
      <c r="I325" s="14">
        <v>0.13300000000000001</v>
      </c>
      <c r="J325" s="20">
        <v>0.13300000000000001</v>
      </c>
      <c r="K325" s="77">
        <f t="shared" si="126"/>
        <v>100</v>
      </c>
      <c r="L325" s="20"/>
      <c r="M325" s="50"/>
      <c r="N325" s="50"/>
    </row>
    <row r="326" spans="1:14" s="3" customFormat="1" ht="16.5" customHeight="1" x14ac:dyDescent="0.3">
      <c r="A326" s="10" t="s">
        <v>1390</v>
      </c>
      <c r="B326" s="43" t="s">
        <v>1398</v>
      </c>
      <c r="C326" s="86" t="s">
        <v>1398</v>
      </c>
      <c r="D326" s="86" t="s">
        <v>915</v>
      </c>
      <c r="E326" s="26"/>
      <c r="F326" s="26"/>
      <c r="G326" s="27" t="s">
        <v>1233</v>
      </c>
      <c r="H326" s="28">
        <f t="shared" ref="H326:L327" si="156">H327</f>
        <v>28906.076000000001</v>
      </c>
      <c r="I326" s="28">
        <f t="shared" si="156"/>
        <v>28638.776000000002</v>
      </c>
      <c r="J326" s="28">
        <f t="shared" si="156"/>
        <v>28192.102010000002</v>
      </c>
      <c r="K326" s="79">
        <f t="shared" si="126"/>
        <v>98.440317456304712</v>
      </c>
      <c r="L326" s="28">
        <f t="shared" si="156"/>
        <v>0</v>
      </c>
      <c r="M326" s="65"/>
      <c r="N326" s="65"/>
    </row>
    <row r="327" spans="1:14" s="9" customFormat="1" x14ac:dyDescent="0.3">
      <c r="A327" s="11" t="s">
        <v>1390</v>
      </c>
      <c r="B327" s="48" t="s">
        <v>922</v>
      </c>
      <c r="C327" s="85" t="s">
        <v>1398</v>
      </c>
      <c r="D327" s="85" t="s">
        <v>1374</v>
      </c>
      <c r="E327" s="29"/>
      <c r="F327" s="29"/>
      <c r="G327" s="25" t="s">
        <v>1234</v>
      </c>
      <c r="H327" s="30">
        <f t="shared" si="156"/>
        <v>28906.076000000001</v>
      </c>
      <c r="I327" s="30">
        <f t="shared" si="156"/>
        <v>28638.776000000002</v>
      </c>
      <c r="J327" s="30">
        <f t="shared" si="156"/>
        <v>28192.102010000002</v>
      </c>
      <c r="K327" s="80">
        <f t="shared" si="126"/>
        <v>98.440317456304712</v>
      </c>
      <c r="L327" s="30">
        <f t="shared" si="156"/>
        <v>0</v>
      </c>
      <c r="M327" s="65"/>
      <c r="N327" s="65"/>
    </row>
    <row r="328" spans="1:14" ht="31.2" x14ac:dyDescent="0.3">
      <c r="A328" s="8" t="s">
        <v>1390</v>
      </c>
      <c r="B328" s="62" t="s">
        <v>922</v>
      </c>
      <c r="C328" s="83" t="s">
        <v>1398</v>
      </c>
      <c r="D328" s="83" t="s">
        <v>1374</v>
      </c>
      <c r="E328" s="45" t="s">
        <v>429</v>
      </c>
      <c r="F328" s="45"/>
      <c r="G328" s="23" t="s">
        <v>1140</v>
      </c>
      <c r="H328" s="20">
        <f>H329+H348</f>
        <v>28906.076000000001</v>
      </c>
      <c r="I328" s="20">
        <f>I329+I348</f>
        <v>28638.776000000002</v>
      </c>
      <c r="J328" s="20">
        <f t="shared" ref="J328" si="157">J329+J348</f>
        <v>28192.102010000002</v>
      </c>
      <c r="K328" s="77">
        <f t="shared" ref="K328:K391" si="158">J328/I328*100</f>
        <v>98.440317456304712</v>
      </c>
      <c r="L328" s="20">
        <f>L329+L348</f>
        <v>0</v>
      </c>
      <c r="M328" s="50"/>
      <c r="N328" s="50"/>
    </row>
    <row r="329" spans="1:14" ht="46.8" x14ac:dyDescent="0.3">
      <c r="A329" s="8" t="s">
        <v>1390</v>
      </c>
      <c r="B329" s="62" t="s">
        <v>922</v>
      </c>
      <c r="C329" s="83" t="s">
        <v>1398</v>
      </c>
      <c r="D329" s="83" t="s">
        <v>1374</v>
      </c>
      <c r="E329" s="45" t="s">
        <v>550</v>
      </c>
      <c r="F329" s="45"/>
      <c r="G329" s="23" t="s">
        <v>1179</v>
      </c>
      <c r="H329" s="20">
        <f>H330+H337+H342+H345</f>
        <v>28638.776000000002</v>
      </c>
      <c r="I329" s="20">
        <f>I330+I337+I342+I345</f>
        <v>28638.776000000002</v>
      </c>
      <c r="J329" s="20">
        <f t="shared" ref="J329" si="159">J330+J337+J342+J345</f>
        <v>28192.102010000002</v>
      </c>
      <c r="K329" s="77">
        <f t="shared" si="158"/>
        <v>98.440317456304712</v>
      </c>
      <c r="L329" s="20">
        <f>L330+L337+L342+L345</f>
        <v>0</v>
      </c>
      <c r="M329" s="50"/>
      <c r="N329" s="50"/>
    </row>
    <row r="330" spans="1:14" ht="62.4" x14ac:dyDescent="0.3">
      <c r="A330" s="8" t="s">
        <v>1390</v>
      </c>
      <c r="B330" s="62" t="s">
        <v>922</v>
      </c>
      <c r="C330" s="83" t="s">
        <v>1398</v>
      </c>
      <c r="D330" s="83" t="s">
        <v>1374</v>
      </c>
      <c r="E330" s="45" t="s">
        <v>551</v>
      </c>
      <c r="F330" s="45"/>
      <c r="G330" s="23" t="s">
        <v>1291</v>
      </c>
      <c r="H330" s="20">
        <f>H331+H333+H335</f>
        <v>18702.876</v>
      </c>
      <c r="I330" s="20">
        <f>I331+I333+I335</f>
        <v>18702.876</v>
      </c>
      <c r="J330" s="20">
        <f t="shared" ref="J330" si="160">J331+J333+J335</f>
        <v>18256.202010000001</v>
      </c>
      <c r="K330" s="77">
        <f t="shared" si="158"/>
        <v>97.61173634472047</v>
      </c>
      <c r="L330" s="20">
        <f>L331+L333+L335</f>
        <v>0</v>
      </c>
      <c r="M330" s="50"/>
      <c r="N330" s="50"/>
    </row>
    <row r="331" spans="1:14" ht="78" x14ac:dyDescent="0.3">
      <c r="A331" s="8" t="s">
        <v>1390</v>
      </c>
      <c r="B331" s="62" t="s">
        <v>922</v>
      </c>
      <c r="C331" s="83" t="s">
        <v>1398</v>
      </c>
      <c r="D331" s="83" t="s">
        <v>1374</v>
      </c>
      <c r="E331" s="45" t="s">
        <v>551</v>
      </c>
      <c r="F331" s="45" t="s">
        <v>431</v>
      </c>
      <c r="G331" s="23" t="s">
        <v>806</v>
      </c>
      <c r="H331" s="20">
        <f t="shared" ref="H331:L331" si="161">H332</f>
        <v>12153.1</v>
      </c>
      <c r="I331" s="20">
        <f t="shared" si="161"/>
        <v>13028.898450000001</v>
      </c>
      <c r="J331" s="20">
        <f t="shared" si="161"/>
        <v>13028.84232</v>
      </c>
      <c r="K331" s="77">
        <f t="shared" si="158"/>
        <v>99.999569188445079</v>
      </c>
      <c r="L331" s="20">
        <f t="shared" si="161"/>
        <v>0</v>
      </c>
      <c r="M331" s="50"/>
      <c r="N331" s="50"/>
    </row>
    <row r="332" spans="1:14" x14ac:dyDescent="0.3">
      <c r="A332" s="8" t="s">
        <v>1390</v>
      </c>
      <c r="B332" s="62" t="s">
        <v>922</v>
      </c>
      <c r="C332" s="83" t="s">
        <v>1398</v>
      </c>
      <c r="D332" s="83" t="s">
        <v>1374</v>
      </c>
      <c r="E332" s="45" t="s">
        <v>551</v>
      </c>
      <c r="F332" s="8" t="s">
        <v>719</v>
      </c>
      <c r="G332" s="23" t="s">
        <v>807</v>
      </c>
      <c r="H332" s="14">
        <v>12153.1</v>
      </c>
      <c r="I332" s="14">
        <v>13028.898450000001</v>
      </c>
      <c r="J332" s="20">
        <v>13028.84232</v>
      </c>
      <c r="K332" s="77">
        <f t="shared" si="158"/>
        <v>99.999569188445079</v>
      </c>
      <c r="L332" s="20"/>
      <c r="M332" s="50"/>
      <c r="N332" s="50"/>
    </row>
    <row r="333" spans="1:14" ht="31.2" x14ac:dyDescent="0.3">
      <c r="A333" s="8" t="s">
        <v>1390</v>
      </c>
      <c r="B333" s="62" t="s">
        <v>922</v>
      </c>
      <c r="C333" s="83" t="s">
        <v>1398</v>
      </c>
      <c r="D333" s="83" t="s">
        <v>1374</v>
      </c>
      <c r="E333" s="45" t="s">
        <v>551</v>
      </c>
      <c r="F333" s="45" t="s">
        <v>380</v>
      </c>
      <c r="G333" s="23" t="s">
        <v>809</v>
      </c>
      <c r="H333" s="20">
        <f t="shared" ref="H333:L333" si="162">H334</f>
        <v>5805.3759999999993</v>
      </c>
      <c r="I333" s="20">
        <f t="shared" si="162"/>
        <v>4991.23189</v>
      </c>
      <c r="J333" s="20">
        <f t="shared" si="162"/>
        <v>4544.6140299999997</v>
      </c>
      <c r="K333" s="77">
        <f t="shared" si="158"/>
        <v>91.051951304951288</v>
      </c>
      <c r="L333" s="20">
        <f t="shared" si="162"/>
        <v>0</v>
      </c>
      <c r="M333" s="50"/>
      <c r="N333" s="50"/>
    </row>
    <row r="334" spans="1:14" ht="31.2" x14ac:dyDescent="0.3">
      <c r="A334" s="8" t="s">
        <v>1390</v>
      </c>
      <c r="B334" s="62" t="s">
        <v>922</v>
      </c>
      <c r="C334" s="83" t="s">
        <v>1398</v>
      </c>
      <c r="D334" s="83" t="s">
        <v>1374</v>
      </c>
      <c r="E334" s="45" t="s">
        <v>551</v>
      </c>
      <c r="F334" s="8" t="s">
        <v>247</v>
      </c>
      <c r="G334" s="23" t="s">
        <v>810</v>
      </c>
      <c r="H334" s="14">
        <f>4578.3+1272.011-43.808-1.127</f>
        <v>5805.3759999999993</v>
      </c>
      <c r="I334" s="14">
        <v>4991.23189</v>
      </c>
      <c r="J334" s="20">
        <v>4544.6140299999997</v>
      </c>
      <c r="K334" s="77">
        <f t="shared" si="158"/>
        <v>91.051951304951288</v>
      </c>
      <c r="L334" s="20"/>
      <c r="M334" s="50"/>
      <c r="N334" s="50"/>
    </row>
    <row r="335" spans="1:14" x14ac:dyDescent="0.3">
      <c r="A335" s="8" t="s">
        <v>1390</v>
      </c>
      <c r="B335" s="62" t="s">
        <v>922</v>
      </c>
      <c r="C335" s="83" t="s">
        <v>1398</v>
      </c>
      <c r="D335" s="83" t="s">
        <v>1374</v>
      </c>
      <c r="E335" s="45" t="s">
        <v>551</v>
      </c>
      <c r="F335" s="45" t="s">
        <v>464</v>
      </c>
      <c r="G335" s="23" t="s">
        <v>822</v>
      </c>
      <c r="H335" s="20">
        <f t="shared" ref="H335:L335" si="163">H336</f>
        <v>744.4</v>
      </c>
      <c r="I335" s="20">
        <f t="shared" si="163"/>
        <v>682.74566000000004</v>
      </c>
      <c r="J335" s="20">
        <f t="shared" si="163"/>
        <v>682.74566000000004</v>
      </c>
      <c r="K335" s="77">
        <f t="shared" si="158"/>
        <v>100</v>
      </c>
      <c r="L335" s="20">
        <f t="shared" si="163"/>
        <v>0</v>
      </c>
      <c r="M335" s="50"/>
      <c r="N335" s="50"/>
    </row>
    <row r="336" spans="1:14" x14ac:dyDescent="0.3">
      <c r="A336" s="8" t="s">
        <v>1390</v>
      </c>
      <c r="B336" s="62" t="s">
        <v>922</v>
      </c>
      <c r="C336" s="83" t="s">
        <v>1398</v>
      </c>
      <c r="D336" s="83" t="s">
        <v>1374</v>
      </c>
      <c r="E336" s="45" t="s">
        <v>551</v>
      </c>
      <c r="F336" s="45" t="s">
        <v>729</v>
      </c>
      <c r="G336" s="23" t="s">
        <v>824</v>
      </c>
      <c r="H336" s="14">
        <v>744.4</v>
      </c>
      <c r="I336" s="14">
        <v>682.74566000000004</v>
      </c>
      <c r="J336" s="20">
        <v>682.74566000000004</v>
      </c>
      <c r="K336" s="77">
        <f t="shared" si="158"/>
        <v>100</v>
      </c>
      <c r="L336" s="20"/>
      <c r="M336" s="50"/>
      <c r="N336" s="50"/>
    </row>
    <row r="337" spans="1:14" ht="62.4" x14ac:dyDescent="0.3">
      <c r="A337" s="8" t="s">
        <v>1390</v>
      </c>
      <c r="B337" s="62" t="s">
        <v>922</v>
      </c>
      <c r="C337" s="83" t="s">
        <v>1398</v>
      </c>
      <c r="D337" s="83" t="s">
        <v>1374</v>
      </c>
      <c r="E337" s="45" t="s">
        <v>241</v>
      </c>
      <c r="F337" s="45"/>
      <c r="G337" s="18" t="s">
        <v>144</v>
      </c>
      <c r="H337" s="20">
        <f>H340</f>
        <v>9256.5</v>
      </c>
      <c r="I337" s="20">
        <f>I340+I338</f>
        <v>9256.5</v>
      </c>
      <c r="J337" s="20">
        <f t="shared" ref="J337:L337" si="164">J340+J338</f>
        <v>9256.5</v>
      </c>
      <c r="K337" s="77">
        <f t="shared" si="158"/>
        <v>100</v>
      </c>
      <c r="L337" s="20">
        <f t="shared" si="164"/>
        <v>0</v>
      </c>
      <c r="M337" s="50"/>
      <c r="N337" s="50"/>
    </row>
    <row r="338" spans="1:14" ht="78" x14ac:dyDescent="0.3">
      <c r="A338" s="8" t="s">
        <v>1390</v>
      </c>
      <c r="B338" s="62" t="s">
        <v>922</v>
      </c>
      <c r="C338" s="83" t="s">
        <v>1398</v>
      </c>
      <c r="D338" s="83" t="s">
        <v>1374</v>
      </c>
      <c r="E338" s="45" t="s">
        <v>241</v>
      </c>
      <c r="F338" s="45" t="s">
        <v>431</v>
      </c>
      <c r="G338" s="23" t="s">
        <v>806</v>
      </c>
      <c r="H338" s="20">
        <f>H339</f>
        <v>0</v>
      </c>
      <c r="I338" s="20">
        <f t="shared" ref="I338:L338" si="165">I339</f>
        <v>405.78483</v>
      </c>
      <c r="J338" s="20">
        <f t="shared" si="165"/>
        <v>405.78483</v>
      </c>
      <c r="K338" s="77">
        <f t="shared" si="158"/>
        <v>100</v>
      </c>
      <c r="L338" s="20">
        <f t="shared" si="165"/>
        <v>0</v>
      </c>
      <c r="M338" s="50"/>
      <c r="N338" s="50"/>
    </row>
    <row r="339" spans="1:14" ht="17.25" customHeight="1" x14ac:dyDescent="0.3">
      <c r="A339" s="8" t="s">
        <v>1390</v>
      </c>
      <c r="B339" s="62" t="s">
        <v>922</v>
      </c>
      <c r="C339" s="83" t="s">
        <v>1398</v>
      </c>
      <c r="D339" s="83" t="s">
        <v>1374</v>
      </c>
      <c r="E339" s="45" t="s">
        <v>241</v>
      </c>
      <c r="F339" s="8" t="s">
        <v>719</v>
      </c>
      <c r="G339" s="23" t="s">
        <v>807</v>
      </c>
      <c r="H339" s="19">
        <v>0</v>
      </c>
      <c r="I339" s="20">
        <v>405.78483</v>
      </c>
      <c r="J339" s="20">
        <v>405.78483</v>
      </c>
      <c r="K339" s="77">
        <f t="shared" si="158"/>
        <v>100</v>
      </c>
      <c r="L339" s="20"/>
      <c r="M339" s="50"/>
      <c r="N339" s="50"/>
    </row>
    <row r="340" spans="1:14" ht="31.2" x14ac:dyDescent="0.3">
      <c r="A340" s="8" t="s">
        <v>1390</v>
      </c>
      <c r="B340" s="62" t="s">
        <v>922</v>
      </c>
      <c r="C340" s="83" t="s">
        <v>1398</v>
      </c>
      <c r="D340" s="83" t="s">
        <v>1374</v>
      </c>
      <c r="E340" s="45" t="s">
        <v>241</v>
      </c>
      <c r="F340" s="45" t="s">
        <v>380</v>
      </c>
      <c r="G340" s="23" t="s">
        <v>809</v>
      </c>
      <c r="H340" s="20">
        <f t="shared" ref="H340:L340" si="166">H341</f>
        <v>9256.5</v>
      </c>
      <c r="I340" s="20">
        <f t="shared" si="166"/>
        <v>8850.7151699999995</v>
      </c>
      <c r="J340" s="20">
        <f t="shared" si="166"/>
        <v>8850.7151699999995</v>
      </c>
      <c r="K340" s="77">
        <f t="shared" si="158"/>
        <v>100</v>
      </c>
      <c r="L340" s="20">
        <f t="shared" si="166"/>
        <v>0</v>
      </c>
      <c r="M340" s="50"/>
      <c r="N340" s="50"/>
    </row>
    <row r="341" spans="1:14" ht="31.2" x14ac:dyDescent="0.3">
      <c r="A341" s="8" t="s">
        <v>1390</v>
      </c>
      <c r="B341" s="62" t="s">
        <v>922</v>
      </c>
      <c r="C341" s="83" t="s">
        <v>1398</v>
      </c>
      <c r="D341" s="83" t="s">
        <v>1374</v>
      </c>
      <c r="E341" s="45" t="s">
        <v>241</v>
      </c>
      <c r="F341" s="8" t="s">
        <v>247</v>
      </c>
      <c r="G341" s="23" t="s">
        <v>810</v>
      </c>
      <c r="H341" s="14">
        <v>9256.5</v>
      </c>
      <c r="I341" s="14">
        <v>8850.7151699999995</v>
      </c>
      <c r="J341" s="20">
        <v>8850.7151699999995</v>
      </c>
      <c r="K341" s="77">
        <f t="shared" si="158"/>
        <v>100</v>
      </c>
      <c r="L341" s="20"/>
      <c r="M341" s="50"/>
      <c r="N341" s="50"/>
    </row>
    <row r="342" spans="1:14" ht="78" x14ac:dyDescent="0.3">
      <c r="A342" s="8" t="s">
        <v>1390</v>
      </c>
      <c r="B342" s="62" t="s">
        <v>922</v>
      </c>
      <c r="C342" s="83" t="s">
        <v>1398</v>
      </c>
      <c r="D342" s="83" t="s">
        <v>1374</v>
      </c>
      <c r="E342" s="45" t="s">
        <v>242</v>
      </c>
      <c r="F342" s="45"/>
      <c r="G342" s="23" t="s">
        <v>1332</v>
      </c>
      <c r="H342" s="14">
        <f t="shared" ref="H342:L342" si="167">H343</f>
        <v>679.4</v>
      </c>
      <c r="I342" s="14">
        <f t="shared" si="167"/>
        <v>679.4</v>
      </c>
      <c r="J342" s="14">
        <f t="shared" si="167"/>
        <v>679.4</v>
      </c>
      <c r="K342" s="78">
        <f t="shared" si="158"/>
        <v>100</v>
      </c>
      <c r="L342" s="14">
        <f t="shared" si="167"/>
        <v>0</v>
      </c>
      <c r="M342" s="50"/>
      <c r="N342" s="50"/>
    </row>
    <row r="343" spans="1:14" ht="78" x14ac:dyDescent="0.3">
      <c r="A343" s="8" t="s">
        <v>1390</v>
      </c>
      <c r="B343" s="62" t="s">
        <v>922</v>
      </c>
      <c r="C343" s="83" t="s">
        <v>1398</v>
      </c>
      <c r="D343" s="83" t="s">
        <v>1374</v>
      </c>
      <c r="E343" s="45" t="s">
        <v>242</v>
      </c>
      <c r="F343" s="45" t="s">
        <v>431</v>
      </c>
      <c r="G343" s="23" t="s">
        <v>806</v>
      </c>
      <c r="H343" s="14">
        <f t="shared" ref="H343:L343" si="168">H344</f>
        <v>679.4</v>
      </c>
      <c r="I343" s="14">
        <f t="shared" si="168"/>
        <v>679.4</v>
      </c>
      <c r="J343" s="14">
        <f t="shared" si="168"/>
        <v>679.4</v>
      </c>
      <c r="K343" s="78">
        <f t="shared" si="158"/>
        <v>100</v>
      </c>
      <c r="L343" s="14">
        <f t="shared" si="168"/>
        <v>0</v>
      </c>
      <c r="M343" s="50"/>
      <c r="N343" s="50"/>
    </row>
    <row r="344" spans="1:14" x14ac:dyDescent="0.3">
      <c r="A344" s="8" t="s">
        <v>1390</v>
      </c>
      <c r="B344" s="62" t="s">
        <v>922</v>
      </c>
      <c r="C344" s="83" t="s">
        <v>1398</v>
      </c>
      <c r="D344" s="83" t="s">
        <v>1374</v>
      </c>
      <c r="E344" s="45" t="s">
        <v>242</v>
      </c>
      <c r="F344" s="8" t="s">
        <v>719</v>
      </c>
      <c r="G344" s="23" t="s">
        <v>807</v>
      </c>
      <c r="H344" s="14">
        <v>679.4</v>
      </c>
      <c r="I344" s="14">
        <v>679.4</v>
      </c>
      <c r="J344" s="20">
        <v>679.4</v>
      </c>
      <c r="K344" s="77">
        <f t="shared" si="158"/>
        <v>100</v>
      </c>
      <c r="L344" s="20"/>
      <c r="M344" s="50"/>
      <c r="N344" s="50"/>
    </row>
    <row r="345" spans="1:14" ht="31.2" hidden="1" x14ac:dyDescent="0.3">
      <c r="A345" s="8" t="s">
        <v>1390</v>
      </c>
      <c r="B345" s="62" t="s">
        <v>922</v>
      </c>
      <c r="C345" s="83" t="s">
        <v>1398</v>
      </c>
      <c r="D345" s="83" t="s">
        <v>1374</v>
      </c>
      <c r="E345" s="45" t="s">
        <v>243</v>
      </c>
      <c r="F345" s="38"/>
      <c r="G345" s="23" t="s">
        <v>21</v>
      </c>
      <c r="H345" s="20">
        <f t="shared" ref="H345:L346" si="169">H346</f>
        <v>0</v>
      </c>
      <c r="I345" s="20">
        <f t="shared" si="169"/>
        <v>0</v>
      </c>
      <c r="J345" s="20">
        <f t="shared" si="169"/>
        <v>0</v>
      </c>
      <c r="K345" s="77" t="e">
        <f t="shared" si="158"/>
        <v>#DIV/0!</v>
      </c>
      <c r="L345" s="20">
        <f t="shared" si="169"/>
        <v>0</v>
      </c>
      <c r="M345" s="50">
        <v>111</v>
      </c>
      <c r="N345" s="50"/>
    </row>
    <row r="346" spans="1:14" ht="31.2" hidden="1" x14ac:dyDescent="0.3">
      <c r="A346" s="8" t="s">
        <v>1390</v>
      </c>
      <c r="B346" s="62" t="s">
        <v>922</v>
      </c>
      <c r="C346" s="83" t="s">
        <v>1398</v>
      </c>
      <c r="D346" s="83" t="s">
        <v>1374</v>
      </c>
      <c r="E346" s="45" t="s">
        <v>243</v>
      </c>
      <c r="F346" s="45" t="s">
        <v>478</v>
      </c>
      <c r="G346" s="23" t="s">
        <v>817</v>
      </c>
      <c r="H346" s="20">
        <f t="shared" si="169"/>
        <v>0</v>
      </c>
      <c r="I346" s="20">
        <f t="shared" si="169"/>
        <v>0</v>
      </c>
      <c r="J346" s="20">
        <f t="shared" si="169"/>
        <v>0</v>
      </c>
      <c r="K346" s="77" t="e">
        <f t="shared" si="158"/>
        <v>#DIV/0!</v>
      </c>
      <c r="L346" s="20">
        <f t="shared" si="169"/>
        <v>0</v>
      </c>
      <c r="M346" s="50">
        <v>111</v>
      </c>
      <c r="N346" s="50"/>
    </row>
    <row r="347" spans="1:14" hidden="1" x14ac:dyDescent="0.3">
      <c r="A347" s="8" t="s">
        <v>1390</v>
      </c>
      <c r="B347" s="62" t="s">
        <v>922</v>
      </c>
      <c r="C347" s="83" t="s">
        <v>1398</v>
      </c>
      <c r="D347" s="83" t="s">
        <v>1374</v>
      </c>
      <c r="E347" s="45" t="s">
        <v>243</v>
      </c>
      <c r="F347" s="45" t="s">
        <v>1273</v>
      </c>
      <c r="G347" s="23" t="s">
        <v>818</v>
      </c>
      <c r="H347" s="14">
        <v>0</v>
      </c>
      <c r="I347" s="14">
        <v>0</v>
      </c>
      <c r="J347" s="19">
        <v>0</v>
      </c>
      <c r="K347" s="75" t="e">
        <f t="shared" si="158"/>
        <v>#DIV/0!</v>
      </c>
      <c r="L347" s="20"/>
      <c r="M347" s="50">
        <v>111</v>
      </c>
      <c r="N347" s="50"/>
    </row>
    <row r="348" spans="1:14" hidden="1" x14ac:dyDescent="0.3">
      <c r="A348" s="8" t="s">
        <v>1390</v>
      </c>
      <c r="B348" s="62" t="s">
        <v>922</v>
      </c>
      <c r="C348" s="83" t="s">
        <v>1398</v>
      </c>
      <c r="D348" s="83" t="s">
        <v>1374</v>
      </c>
      <c r="E348" s="45" t="s">
        <v>430</v>
      </c>
      <c r="F348" s="45"/>
      <c r="G348" s="23" t="s">
        <v>1141</v>
      </c>
      <c r="H348" s="20">
        <f t="shared" ref="H348:L348" si="170">H349</f>
        <v>267.3</v>
      </c>
      <c r="I348" s="20">
        <f t="shared" si="170"/>
        <v>0</v>
      </c>
      <c r="J348" s="20">
        <f t="shared" si="170"/>
        <v>0</v>
      </c>
      <c r="K348" s="77" t="e">
        <f t="shared" si="158"/>
        <v>#DIV/0!</v>
      </c>
      <c r="L348" s="20">
        <f t="shared" si="170"/>
        <v>0</v>
      </c>
      <c r="M348" s="50">
        <v>111</v>
      </c>
      <c r="N348" s="50"/>
    </row>
    <row r="349" spans="1:14" ht="78" hidden="1" x14ac:dyDescent="0.3">
      <c r="A349" s="8" t="s">
        <v>1390</v>
      </c>
      <c r="B349" s="62" t="s">
        <v>922</v>
      </c>
      <c r="C349" s="83" t="s">
        <v>1398</v>
      </c>
      <c r="D349" s="83" t="s">
        <v>1374</v>
      </c>
      <c r="E349" s="45" t="s">
        <v>214</v>
      </c>
      <c r="F349" s="45"/>
      <c r="G349" s="23" t="s">
        <v>756</v>
      </c>
      <c r="H349" s="20">
        <f>H350+H352</f>
        <v>267.3</v>
      </c>
      <c r="I349" s="20">
        <f>I350+I352</f>
        <v>0</v>
      </c>
      <c r="J349" s="20">
        <f t="shared" ref="J349" si="171">J350+J352</f>
        <v>0</v>
      </c>
      <c r="K349" s="77" t="e">
        <f t="shared" si="158"/>
        <v>#DIV/0!</v>
      </c>
      <c r="L349" s="20">
        <f>L350+L352</f>
        <v>0</v>
      </c>
      <c r="M349" s="50">
        <v>111</v>
      </c>
      <c r="N349" s="50"/>
    </row>
    <row r="350" spans="1:14" ht="78" hidden="1" x14ac:dyDescent="0.3">
      <c r="A350" s="8" t="s">
        <v>1390</v>
      </c>
      <c r="B350" s="62" t="s">
        <v>922</v>
      </c>
      <c r="C350" s="83" t="s">
        <v>1398</v>
      </c>
      <c r="D350" s="83" t="s">
        <v>1374</v>
      </c>
      <c r="E350" s="45" t="s">
        <v>214</v>
      </c>
      <c r="F350" s="45" t="s">
        <v>431</v>
      </c>
      <c r="G350" s="23" t="s">
        <v>806</v>
      </c>
      <c r="H350" s="20">
        <f t="shared" ref="H350:L350" si="172">H351</f>
        <v>243.1</v>
      </c>
      <c r="I350" s="20">
        <f t="shared" si="172"/>
        <v>0</v>
      </c>
      <c r="J350" s="20">
        <f t="shared" si="172"/>
        <v>0</v>
      </c>
      <c r="K350" s="77" t="e">
        <f t="shared" si="158"/>
        <v>#DIV/0!</v>
      </c>
      <c r="L350" s="20">
        <f t="shared" si="172"/>
        <v>0</v>
      </c>
      <c r="M350" s="50">
        <v>111</v>
      </c>
      <c r="N350" s="50"/>
    </row>
    <row r="351" spans="1:14" ht="31.2" hidden="1" x14ac:dyDescent="0.3">
      <c r="A351" s="8" t="s">
        <v>1390</v>
      </c>
      <c r="B351" s="62" t="s">
        <v>922</v>
      </c>
      <c r="C351" s="83" t="s">
        <v>1398</v>
      </c>
      <c r="D351" s="83" t="s">
        <v>1374</v>
      </c>
      <c r="E351" s="45" t="s">
        <v>214</v>
      </c>
      <c r="F351" s="45" t="s">
        <v>233</v>
      </c>
      <c r="G351" s="23" t="s">
        <v>808</v>
      </c>
      <c r="H351" s="14">
        <v>243.1</v>
      </c>
      <c r="I351" s="14">
        <v>0</v>
      </c>
      <c r="J351" s="19">
        <v>0</v>
      </c>
      <c r="K351" s="75" t="e">
        <f t="shared" si="158"/>
        <v>#DIV/0!</v>
      </c>
      <c r="L351" s="20"/>
      <c r="M351" s="50">
        <v>111</v>
      </c>
      <c r="N351" s="50"/>
    </row>
    <row r="352" spans="1:14" ht="31.2" hidden="1" x14ac:dyDescent="0.3">
      <c r="A352" s="8" t="s">
        <v>1390</v>
      </c>
      <c r="B352" s="62" t="s">
        <v>922</v>
      </c>
      <c r="C352" s="83" t="s">
        <v>1398</v>
      </c>
      <c r="D352" s="83" t="s">
        <v>1374</v>
      </c>
      <c r="E352" s="45" t="s">
        <v>214</v>
      </c>
      <c r="F352" s="45" t="s">
        <v>380</v>
      </c>
      <c r="G352" s="23" t="s">
        <v>809</v>
      </c>
      <c r="H352" s="20">
        <f t="shared" ref="H352:L352" si="173">H353</f>
        <v>24.2</v>
      </c>
      <c r="I352" s="20">
        <f t="shared" si="173"/>
        <v>0</v>
      </c>
      <c r="J352" s="20">
        <f t="shared" si="173"/>
        <v>0</v>
      </c>
      <c r="K352" s="77" t="e">
        <f t="shared" si="158"/>
        <v>#DIV/0!</v>
      </c>
      <c r="L352" s="20">
        <f t="shared" si="173"/>
        <v>0</v>
      </c>
      <c r="M352" s="50">
        <v>111</v>
      </c>
      <c r="N352" s="50"/>
    </row>
    <row r="353" spans="1:14" ht="31.2" hidden="1" x14ac:dyDescent="0.3">
      <c r="A353" s="8" t="s">
        <v>1390</v>
      </c>
      <c r="B353" s="62" t="s">
        <v>922</v>
      </c>
      <c r="C353" s="83" t="s">
        <v>1398</v>
      </c>
      <c r="D353" s="83" t="s">
        <v>1374</v>
      </c>
      <c r="E353" s="45" t="s">
        <v>214</v>
      </c>
      <c r="F353" s="8" t="s">
        <v>247</v>
      </c>
      <c r="G353" s="23" t="s">
        <v>810</v>
      </c>
      <c r="H353" s="14">
        <v>24.2</v>
      </c>
      <c r="I353" s="14">
        <v>0</v>
      </c>
      <c r="J353" s="19">
        <v>0</v>
      </c>
      <c r="K353" s="75" t="e">
        <f t="shared" si="158"/>
        <v>#DIV/0!</v>
      </c>
      <c r="L353" s="20"/>
      <c r="M353" s="50">
        <v>111</v>
      </c>
      <c r="N353" s="50"/>
    </row>
    <row r="354" spans="1:14" s="3" customFormat="1" ht="31.2" x14ac:dyDescent="0.3">
      <c r="A354" s="4" t="s">
        <v>709</v>
      </c>
      <c r="B354" s="43" t="s">
        <v>915</v>
      </c>
      <c r="C354" s="43" t="s">
        <v>915</v>
      </c>
      <c r="D354" s="43" t="s">
        <v>915</v>
      </c>
      <c r="E354" s="4"/>
      <c r="F354" s="4"/>
      <c r="G354" s="5" t="s">
        <v>1455</v>
      </c>
      <c r="H354" s="15">
        <f t="shared" ref="H354:L354" si="174">H355+H465+H616</f>
        <v>1254048.243</v>
      </c>
      <c r="I354" s="15">
        <f t="shared" si="174"/>
        <v>1272272.65546</v>
      </c>
      <c r="J354" s="15">
        <f t="shared" si="174"/>
        <v>1271836.3905799999</v>
      </c>
      <c r="K354" s="81">
        <f t="shared" si="158"/>
        <v>99.965709796706875</v>
      </c>
      <c r="L354" s="15">
        <f t="shared" si="174"/>
        <v>0</v>
      </c>
      <c r="M354" s="65"/>
      <c r="N354" s="65"/>
    </row>
    <row r="355" spans="1:14" s="3" customFormat="1" x14ac:dyDescent="0.3">
      <c r="A355" s="4" t="s">
        <v>709</v>
      </c>
      <c r="B355" s="43" t="s">
        <v>1374</v>
      </c>
      <c r="C355" s="43" t="s">
        <v>1374</v>
      </c>
      <c r="D355" s="43" t="s">
        <v>915</v>
      </c>
      <c r="E355" s="4"/>
      <c r="F355" s="4"/>
      <c r="G355" s="5" t="s">
        <v>1378</v>
      </c>
      <c r="H355" s="15">
        <f>H388+H439+H356</f>
        <v>375511.07100000005</v>
      </c>
      <c r="I355" s="15">
        <f>I388+I439+I356</f>
        <v>389594.09100000007</v>
      </c>
      <c r="J355" s="15">
        <f t="shared" ref="J355" si="175">J388+J439+J356</f>
        <v>389349.86280000006</v>
      </c>
      <c r="K355" s="81">
        <f t="shared" si="158"/>
        <v>99.93731213957247</v>
      </c>
      <c r="L355" s="15">
        <f>L388+L439+L356</f>
        <v>0</v>
      </c>
      <c r="M355" s="65"/>
      <c r="N355" s="65"/>
    </row>
    <row r="356" spans="1:14" s="9" customFormat="1" x14ac:dyDescent="0.3">
      <c r="A356" s="6" t="s">
        <v>709</v>
      </c>
      <c r="B356" s="48" t="s">
        <v>923</v>
      </c>
      <c r="C356" s="48" t="s">
        <v>1374</v>
      </c>
      <c r="D356" s="48" t="s">
        <v>1391</v>
      </c>
      <c r="E356" s="6"/>
      <c r="F356" s="6"/>
      <c r="G356" s="7" t="s">
        <v>1166</v>
      </c>
      <c r="H356" s="16">
        <f>H362+H357</f>
        <v>348035.50000000006</v>
      </c>
      <c r="I356" s="16">
        <f>I362+I357</f>
        <v>360142.30000000005</v>
      </c>
      <c r="J356" s="16">
        <f t="shared" ref="J356" si="176">J362+J357</f>
        <v>360142.30000000005</v>
      </c>
      <c r="K356" s="82">
        <f t="shared" si="158"/>
        <v>100</v>
      </c>
      <c r="L356" s="16">
        <f>L362+L357</f>
        <v>0</v>
      </c>
      <c r="M356" s="65"/>
      <c r="N356" s="65"/>
    </row>
    <row r="357" spans="1:14" ht="31.2" hidden="1" x14ac:dyDescent="0.3">
      <c r="A357" s="64" t="s">
        <v>709</v>
      </c>
      <c r="B357" s="62" t="s">
        <v>923</v>
      </c>
      <c r="C357" s="68" t="s">
        <v>1374</v>
      </c>
      <c r="D357" s="68" t="s">
        <v>1391</v>
      </c>
      <c r="E357" s="64" t="s">
        <v>406</v>
      </c>
      <c r="F357" s="64"/>
      <c r="G357" s="13" t="s">
        <v>848</v>
      </c>
      <c r="H357" s="14">
        <f t="shared" ref="H357:L360" si="177">H358</f>
        <v>0</v>
      </c>
      <c r="I357" s="14">
        <f t="shared" si="177"/>
        <v>0</v>
      </c>
      <c r="J357" s="14">
        <f t="shared" si="177"/>
        <v>0</v>
      </c>
      <c r="K357" s="78" t="e">
        <f t="shared" si="158"/>
        <v>#DIV/0!</v>
      </c>
      <c r="L357" s="14">
        <f t="shared" si="177"/>
        <v>0</v>
      </c>
      <c r="M357" s="50">
        <v>111</v>
      </c>
      <c r="N357" s="50"/>
    </row>
    <row r="358" spans="1:14" ht="31.2" hidden="1" x14ac:dyDescent="0.3">
      <c r="A358" s="64" t="s">
        <v>709</v>
      </c>
      <c r="B358" s="62" t="s">
        <v>923</v>
      </c>
      <c r="C358" s="68" t="s">
        <v>1374</v>
      </c>
      <c r="D358" s="68" t="s">
        <v>1391</v>
      </c>
      <c r="E358" s="64" t="s">
        <v>408</v>
      </c>
      <c r="F358" s="64"/>
      <c r="G358" s="13" t="s">
        <v>850</v>
      </c>
      <c r="H358" s="14">
        <f t="shared" si="177"/>
        <v>0</v>
      </c>
      <c r="I358" s="14">
        <f t="shared" si="177"/>
        <v>0</v>
      </c>
      <c r="J358" s="14">
        <f t="shared" si="177"/>
        <v>0</v>
      </c>
      <c r="K358" s="78" t="e">
        <f t="shared" si="158"/>
        <v>#DIV/0!</v>
      </c>
      <c r="L358" s="14">
        <f t="shared" si="177"/>
        <v>0</v>
      </c>
      <c r="M358" s="50">
        <v>111</v>
      </c>
      <c r="N358" s="50"/>
    </row>
    <row r="359" spans="1:14" ht="78" hidden="1" x14ac:dyDescent="0.3">
      <c r="A359" s="64" t="s">
        <v>709</v>
      </c>
      <c r="B359" s="62" t="s">
        <v>923</v>
      </c>
      <c r="C359" s="68" t="s">
        <v>1374</v>
      </c>
      <c r="D359" s="68" t="s">
        <v>1391</v>
      </c>
      <c r="E359" s="64" t="s">
        <v>409</v>
      </c>
      <c r="F359" s="64"/>
      <c r="G359" s="18" t="s">
        <v>1203</v>
      </c>
      <c r="H359" s="14">
        <f t="shared" si="177"/>
        <v>0</v>
      </c>
      <c r="I359" s="14">
        <f t="shared" si="177"/>
        <v>0</v>
      </c>
      <c r="J359" s="14">
        <f t="shared" si="177"/>
        <v>0</v>
      </c>
      <c r="K359" s="78" t="e">
        <f t="shared" si="158"/>
        <v>#DIV/0!</v>
      </c>
      <c r="L359" s="14">
        <f t="shared" si="177"/>
        <v>0</v>
      </c>
      <c r="M359" s="50">
        <v>111</v>
      </c>
      <c r="N359" s="50"/>
    </row>
    <row r="360" spans="1:14" ht="31.2" hidden="1" x14ac:dyDescent="0.3">
      <c r="A360" s="64" t="s">
        <v>709</v>
      </c>
      <c r="B360" s="62" t="s">
        <v>923</v>
      </c>
      <c r="C360" s="68" t="s">
        <v>1374</v>
      </c>
      <c r="D360" s="68" t="s">
        <v>1391</v>
      </c>
      <c r="E360" s="64" t="s">
        <v>409</v>
      </c>
      <c r="F360" s="45" t="s">
        <v>402</v>
      </c>
      <c r="G360" s="23" t="s">
        <v>819</v>
      </c>
      <c r="H360" s="14">
        <f t="shared" si="177"/>
        <v>0</v>
      </c>
      <c r="I360" s="14">
        <f t="shared" si="177"/>
        <v>0</v>
      </c>
      <c r="J360" s="14">
        <f t="shared" si="177"/>
        <v>0</v>
      </c>
      <c r="K360" s="78" t="e">
        <f t="shared" si="158"/>
        <v>#DIV/0!</v>
      </c>
      <c r="L360" s="14">
        <f t="shared" si="177"/>
        <v>0</v>
      </c>
      <c r="M360" s="50">
        <v>111</v>
      </c>
      <c r="N360" s="50"/>
    </row>
    <row r="361" spans="1:14" hidden="1" x14ac:dyDescent="0.3">
      <c r="A361" s="64" t="s">
        <v>709</v>
      </c>
      <c r="B361" s="62" t="s">
        <v>923</v>
      </c>
      <c r="C361" s="68" t="s">
        <v>1374</v>
      </c>
      <c r="D361" s="68" t="s">
        <v>1391</v>
      </c>
      <c r="E361" s="64" t="s">
        <v>409</v>
      </c>
      <c r="F361" s="64" t="s">
        <v>223</v>
      </c>
      <c r="G361" s="18" t="s">
        <v>829</v>
      </c>
      <c r="H361" s="14">
        <v>0</v>
      </c>
      <c r="I361" s="14">
        <v>0</v>
      </c>
      <c r="J361" s="19">
        <v>0</v>
      </c>
      <c r="K361" s="75" t="e">
        <f t="shared" si="158"/>
        <v>#DIV/0!</v>
      </c>
      <c r="L361" s="14"/>
      <c r="M361" s="50">
        <v>111</v>
      </c>
      <c r="N361" s="50"/>
    </row>
    <row r="362" spans="1:14" x14ac:dyDescent="0.3">
      <c r="A362" s="64" t="s">
        <v>709</v>
      </c>
      <c r="B362" s="62" t="s">
        <v>923</v>
      </c>
      <c r="C362" s="68" t="s">
        <v>1374</v>
      </c>
      <c r="D362" s="68" t="s">
        <v>1391</v>
      </c>
      <c r="E362" s="64" t="s">
        <v>387</v>
      </c>
      <c r="F362" s="64"/>
      <c r="G362" s="18" t="s">
        <v>851</v>
      </c>
      <c r="H362" s="14">
        <f>H363+H371</f>
        <v>348035.50000000006</v>
      </c>
      <c r="I362" s="14">
        <f>I363+I371</f>
        <v>360142.30000000005</v>
      </c>
      <c r="J362" s="14">
        <f t="shared" ref="J362" si="178">J363+J371</f>
        <v>360142.30000000005</v>
      </c>
      <c r="K362" s="78">
        <f t="shared" si="158"/>
        <v>100</v>
      </c>
      <c r="L362" s="14">
        <f>L363+L371</f>
        <v>0</v>
      </c>
      <c r="M362" s="50"/>
      <c r="N362" s="50"/>
    </row>
    <row r="363" spans="1:14" ht="46.8" x14ac:dyDescent="0.3">
      <c r="A363" s="64" t="s">
        <v>709</v>
      </c>
      <c r="B363" s="62" t="s">
        <v>923</v>
      </c>
      <c r="C363" s="68" t="s">
        <v>1374</v>
      </c>
      <c r="D363" s="68" t="s">
        <v>1391</v>
      </c>
      <c r="E363" s="64" t="s">
        <v>388</v>
      </c>
      <c r="F363" s="64"/>
      <c r="G363" s="18" t="s">
        <v>857</v>
      </c>
      <c r="H363" s="14">
        <f>H364+H367</f>
        <v>6735</v>
      </c>
      <c r="I363" s="14">
        <f>I364+I367</f>
        <v>6735</v>
      </c>
      <c r="J363" s="14">
        <f t="shared" ref="J363" si="179">J364+J367</f>
        <v>6735</v>
      </c>
      <c r="K363" s="78">
        <f t="shared" si="158"/>
        <v>100</v>
      </c>
      <c r="L363" s="14">
        <f>L364+L367</f>
        <v>0</v>
      </c>
      <c r="M363" s="50"/>
      <c r="N363" s="50"/>
    </row>
    <row r="364" spans="1:14" ht="46.8" x14ac:dyDescent="0.3">
      <c r="A364" s="64" t="s">
        <v>709</v>
      </c>
      <c r="B364" s="62" t="s">
        <v>923</v>
      </c>
      <c r="C364" s="68" t="s">
        <v>1374</v>
      </c>
      <c r="D364" s="68" t="s">
        <v>1391</v>
      </c>
      <c r="E364" s="64" t="s">
        <v>389</v>
      </c>
      <c r="F364" s="64"/>
      <c r="G364" s="18" t="s">
        <v>1188</v>
      </c>
      <c r="H364" s="14">
        <f t="shared" ref="H364:L365" si="180">H365</f>
        <v>6735</v>
      </c>
      <c r="I364" s="14">
        <f t="shared" si="180"/>
        <v>6735</v>
      </c>
      <c r="J364" s="14">
        <f t="shared" si="180"/>
        <v>6735</v>
      </c>
      <c r="K364" s="78">
        <f t="shared" si="158"/>
        <v>100</v>
      </c>
      <c r="L364" s="14">
        <f t="shared" si="180"/>
        <v>0</v>
      </c>
      <c r="M364" s="50"/>
      <c r="N364" s="50"/>
    </row>
    <row r="365" spans="1:14" ht="31.2" x14ac:dyDescent="0.3">
      <c r="A365" s="64" t="s">
        <v>709</v>
      </c>
      <c r="B365" s="62" t="s">
        <v>923</v>
      </c>
      <c r="C365" s="68" t="s">
        <v>1374</v>
      </c>
      <c r="D365" s="68" t="s">
        <v>1391</v>
      </c>
      <c r="E365" s="64" t="s">
        <v>389</v>
      </c>
      <c r="F365" s="45" t="s">
        <v>402</v>
      </c>
      <c r="G365" s="23" t="s">
        <v>819</v>
      </c>
      <c r="H365" s="14">
        <f t="shared" si="180"/>
        <v>6735</v>
      </c>
      <c r="I365" s="14">
        <f t="shared" si="180"/>
        <v>6735</v>
      </c>
      <c r="J365" s="14">
        <f t="shared" si="180"/>
        <v>6735</v>
      </c>
      <c r="K365" s="78">
        <f t="shared" si="158"/>
        <v>100</v>
      </c>
      <c r="L365" s="14">
        <f t="shared" si="180"/>
        <v>0</v>
      </c>
      <c r="M365" s="50"/>
      <c r="N365" s="50"/>
    </row>
    <row r="366" spans="1:14" x14ac:dyDescent="0.3">
      <c r="A366" s="64" t="s">
        <v>709</v>
      </c>
      <c r="B366" s="62" t="s">
        <v>923</v>
      </c>
      <c r="C366" s="68" t="s">
        <v>1374</v>
      </c>
      <c r="D366" s="68" t="s">
        <v>1391</v>
      </c>
      <c r="E366" s="64" t="s">
        <v>389</v>
      </c>
      <c r="F366" s="64" t="s">
        <v>223</v>
      </c>
      <c r="G366" s="18" t="s">
        <v>829</v>
      </c>
      <c r="H366" s="14">
        <f>3100+3635</f>
        <v>6735</v>
      </c>
      <c r="I366" s="14">
        <v>6735</v>
      </c>
      <c r="J366" s="19">
        <v>6735</v>
      </c>
      <c r="K366" s="75">
        <f t="shared" si="158"/>
        <v>100</v>
      </c>
      <c r="L366" s="14"/>
      <c r="M366" s="50"/>
      <c r="N366" s="50"/>
    </row>
    <row r="367" spans="1:14" ht="46.8" hidden="1" x14ac:dyDescent="0.3">
      <c r="A367" s="64" t="s">
        <v>709</v>
      </c>
      <c r="B367" s="62" t="s">
        <v>923</v>
      </c>
      <c r="C367" s="68" t="s">
        <v>1374</v>
      </c>
      <c r="D367" s="68" t="s">
        <v>1391</v>
      </c>
      <c r="E367" s="64" t="s">
        <v>224</v>
      </c>
      <c r="F367" s="45"/>
      <c r="G367" s="18" t="s">
        <v>293</v>
      </c>
      <c r="H367" s="14">
        <f t="shared" ref="H367:L369" si="181">H368</f>
        <v>0</v>
      </c>
      <c r="I367" s="14">
        <f t="shared" si="181"/>
        <v>0</v>
      </c>
      <c r="J367" s="14">
        <f t="shared" si="181"/>
        <v>0</v>
      </c>
      <c r="K367" s="78" t="e">
        <f t="shared" si="158"/>
        <v>#DIV/0!</v>
      </c>
      <c r="L367" s="14">
        <f t="shared" si="181"/>
        <v>0</v>
      </c>
      <c r="M367" s="50">
        <v>111</v>
      </c>
      <c r="N367" s="50"/>
    </row>
    <row r="368" spans="1:14" ht="31.2" hidden="1" x14ac:dyDescent="0.3">
      <c r="A368" s="64" t="s">
        <v>709</v>
      </c>
      <c r="B368" s="62" t="s">
        <v>923</v>
      </c>
      <c r="C368" s="68" t="s">
        <v>1374</v>
      </c>
      <c r="D368" s="68" t="s">
        <v>1391</v>
      </c>
      <c r="E368" s="64" t="s">
        <v>225</v>
      </c>
      <c r="F368" s="45"/>
      <c r="G368" s="18" t="s">
        <v>295</v>
      </c>
      <c r="H368" s="14">
        <f t="shared" si="181"/>
        <v>0</v>
      </c>
      <c r="I368" s="14">
        <f t="shared" si="181"/>
        <v>0</v>
      </c>
      <c r="J368" s="14">
        <f t="shared" si="181"/>
        <v>0</v>
      </c>
      <c r="K368" s="78" t="e">
        <f t="shared" si="158"/>
        <v>#DIV/0!</v>
      </c>
      <c r="L368" s="14">
        <f t="shared" si="181"/>
        <v>0</v>
      </c>
      <c r="M368" s="50">
        <v>111</v>
      </c>
      <c r="N368" s="50"/>
    </row>
    <row r="369" spans="1:14" ht="31.2" hidden="1" x14ac:dyDescent="0.3">
      <c r="A369" s="64" t="s">
        <v>709</v>
      </c>
      <c r="B369" s="62" t="s">
        <v>923</v>
      </c>
      <c r="C369" s="68" t="s">
        <v>1374</v>
      </c>
      <c r="D369" s="68" t="s">
        <v>1391</v>
      </c>
      <c r="E369" s="64" t="s">
        <v>225</v>
      </c>
      <c r="F369" s="45" t="s">
        <v>478</v>
      </c>
      <c r="G369" s="23" t="s">
        <v>817</v>
      </c>
      <c r="H369" s="14">
        <f t="shared" si="181"/>
        <v>0</v>
      </c>
      <c r="I369" s="14">
        <f t="shared" si="181"/>
        <v>0</v>
      </c>
      <c r="J369" s="14">
        <f t="shared" si="181"/>
        <v>0</v>
      </c>
      <c r="K369" s="78" t="e">
        <f t="shared" si="158"/>
        <v>#DIV/0!</v>
      </c>
      <c r="L369" s="14">
        <f t="shared" si="181"/>
        <v>0</v>
      </c>
      <c r="M369" s="50">
        <v>111</v>
      </c>
      <c r="N369" s="50"/>
    </row>
    <row r="370" spans="1:14" ht="109.2" hidden="1" x14ac:dyDescent="0.3">
      <c r="A370" s="64" t="s">
        <v>709</v>
      </c>
      <c r="B370" s="62" t="s">
        <v>923</v>
      </c>
      <c r="C370" s="68" t="s">
        <v>1374</v>
      </c>
      <c r="D370" s="68" t="s">
        <v>1391</v>
      </c>
      <c r="E370" s="64" t="s">
        <v>225</v>
      </c>
      <c r="F370" s="45" t="s">
        <v>725</v>
      </c>
      <c r="G370" s="60" t="s">
        <v>828</v>
      </c>
      <c r="H370" s="14">
        <v>0</v>
      </c>
      <c r="I370" s="14">
        <v>0</v>
      </c>
      <c r="J370" s="19">
        <v>0</v>
      </c>
      <c r="K370" s="75" t="e">
        <f t="shared" si="158"/>
        <v>#DIV/0!</v>
      </c>
      <c r="L370" s="14"/>
      <c r="M370" s="50">
        <v>111</v>
      </c>
      <c r="N370" s="50"/>
    </row>
    <row r="371" spans="1:14" x14ac:dyDescent="0.3">
      <c r="A371" s="64" t="s">
        <v>709</v>
      </c>
      <c r="B371" s="62" t="s">
        <v>923</v>
      </c>
      <c r="C371" s="68" t="s">
        <v>1374</v>
      </c>
      <c r="D371" s="68" t="s">
        <v>1391</v>
      </c>
      <c r="E371" s="64" t="s">
        <v>399</v>
      </c>
      <c r="F371" s="64"/>
      <c r="G371" s="18" t="s">
        <v>858</v>
      </c>
      <c r="H371" s="14">
        <f t="shared" ref="H371:L371" si="182">H372</f>
        <v>341300.50000000006</v>
      </c>
      <c r="I371" s="14">
        <f t="shared" si="182"/>
        <v>353407.30000000005</v>
      </c>
      <c r="J371" s="14">
        <f t="shared" si="182"/>
        <v>353407.30000000005</v>
      </c>
      <c r="K371" s="78">
        <f t="shared" si="158"/>
        <v>100</v>
      </c>
      <c r="L371" s="14">
        <f t="shared" si="182"/>
        <v>0</v>
      </c>
      <c r="M371" s="50"/>
      <c r="N371" s="50"/>
    </row>
    <row r="372" spans="1:14" ht="46.8" x14ac:dyDescent="0.3">
      <c r="A372" s="64" t="s">
        <v>709</v>
      </c>
      <c r="B372" s="62" t="s">
        <v>923</v>
      </c>
      <c r="C372" s="68" t="s">
        <v>1374</v>
      </c>
      <c r="D372" s="68" t="s">
        <v>1391</v>
      </c>
      <c r="E372" s="64" t="s">
        <v>400</v>
      </c>
      <c r="F372" s="64"/>
      <c r="G372" s="18" t="s">
        <v>112</v>
      </c>
      <c r="H372" s="14">
        <f>H373+H376+H382+H385+H379</f>
        <v>341300.50000000006</v>
      </c>
      <c r="I372" s="14">
        <f t="shared" ref="I372:L372" si="183">I373+I376+I382+I385+I379</f>
        <v>353407.30000000005</v>
      </c>
      <c r="J372" s="14">
        <f t="shared" si="183"/>
        <v>353407.30000000005</v>
      </c>
      <c r="K372" s="78">
        <f t="shared" si="158"/>
        <v>100</v>
      </c>
      <c r="L372" s="14">
        <f t="shared" si="183"/>
        <v>0</v>
      </c>
      <c r="M372" s="50"/>
      <c r="N372" s="50"/>
    </row>
    <row r="373" spans="1:14" ht="62.4" x14ac:dyDescent="0.3">
      <c r="A373" s="64" t="s">
        <v>709</v>
      </c>
      <c r="B373" s="62" t="s">
        <v>923</v>
      </c>
      <c r="C373" s="68" t="s">
        <v>1374</v>
      </c>
      <c r="D373" s="68" t="s">
        <v>1391</v>
      </c>
      <c r="E373" s="64" t="s">
        <v>427</v>
      </c>
      <c r="F373" s="64"/>
      <c r="G373" s="23" t="s">
        <v>1291</v>
      </c>
      <c r="H373" s="14">
        <f t="shared" ref="H373:L374" si="184">H374</f>
        <v>307203.7</v>
      </c>
      <c r="I373" s="14">
        <f t="shared" si="184"/>
        <v>307203.7</v>
      </c>
      <c r="J373" s="14">
        <f t="shared" si="184"/>
        <v>307203.7</v>
      </c>
      <c r="K373" s="78">
        <f t="shared" si="158"/>
        <v>100</v>
      </c>
      <c r="L373" s="14">
        <f t="shared" si="184"/>
        <v>0</v>
      </c>
      <c r="M373" s="50"/>
      <c r="N373" s="50"/>
    </row>
    <row r="374" spans="1:14" ht="31.2" x14ac:dyDescent="0.3">
      <c r="A374" s="64" t="s">
        <v>709</v>
      </c>
      <c r="B374" s="62" t="s">
        <v>923</v>
      </c>
      <c r="C374" s="68" t="s">
        <v>1374</v>
      </c>
      <c r="D374" s="68" t="s">
        <v>1391</v>
      </c>
      <c r="E374" s="64" t="s">
        <v>427</v>
      </c>
      <c r="F374" s="45" t="s">
        <v>402</v>
      </c>
      <c r="G374" s="23" t="s">
        <v>819</v>
      </c>
      <c r="H374" s="14">
        <f t="shared" si="184"/>
        <v>307203.7</v>
      </c>
      <c r="I374" s="14">
        <f t="shared" si="184"/>
        <v>307203.7</v>
      </c>
      <c r="J374" s="14">
        <f t="shared" si="184"/>
        <v>307203.7</v>
      </c>
      <c r="K374" s="78">
        <f t="shared" si="158"/>
        <v>100</v>
      </c>
      <c r="L374" s="14">
        <f t="shared" si="184"/>
        <v>0</v>
      </c>
      <c r="M374" s="50"/>
      <c r="N374" s="50"/>
    </row>
    <row r="375" spans="1:14" x14ac:dyDescent="0.3">
      <c r="A375" s="64" t="s">
        <v>709</v>
      </c>
      <c r="B375" s="62" t="s">
        <v>923</v>
      </c>
      <c r="C375" s="68" t="s">
        <v>1374</v>
      </c>
      <c r="D375" s="68" t="s">
        <v>1391</v>
      </c>
      <c r="E375" s="64" t="s">
        <v>427</v>
      </c>
      <c r="F375" s="64" t="s">
        <v>223</v>
      </c>
      <c r="G375" s="18" t="s">
        <v>829</v>
      </c>
      <c r="H375" s="14">
        <v>307203.7</v>
      </c>
      <c r="I375" s="14">
        <v>307203.7</v>
      </c>
      <c r="J375" s="14">
        <v>307203.7</v>
      </c>
      <c r="K375" s="78">
        <f t="shared" si="158"/>
        <v>100</v>
      </c>
      <c r="L375" s="14"/>
      <c r="M375" s="50"/>
      <c r="N375" s="50"/>
    </row>
    <row r="376" spans="1:14" ht="78" x14ac:dyDescent="0.3">
      <c r="A376" s="64" t="s">
        <v>709</v>
      </c>
      <c r="B376" s="62" t="s">
        <v>923</v>
      </c>
      <c r="C376" s="68" t="s">
        <v>1374</v>
      </c>
      <c r="D376" s="68" t="s">
        <v>1391</v>
      </c>
      <c r="E376" s="64" t="s">
        <v>401</v>
      </c>
      <c r="F376" s="64"/>
      <c r="G376" s="18" t="s">
        <v>859</v>
      </c>
      <c r="H376" s="14">
        <f t="shared" ref="H376:L377" si="185">H377</f>
        <v>560</v>
      </c>
      <c r="I376" s="14">
        <f t="shared" si="185"/>
        <v>560</v>
      </c>
      <c r="J376" s="14">
        <f t="shared" si="185"/>
        <v>560</v>
      </c>
      <c r="K376" s="78">
        <f t="shared" si="158"/>
        <v>100</v>
      </c>
      <c r="L376" s="14">
        <f t="shared" si="185"/>
        <v>0</v>
      </c>
      <c r="M376" s="50"/>
      <c r="N376" s="50"/>
    </row>
    <row r="377" spans="1:14" ht="31.2" x14ac:dyDescent="0.3">
      <c r="A377" s="64" t="s">
        <v>709</v>
      </c>
      <c r="B377" s="62" t="s">
        <v>923</v>
      </c>
      <c r="C377" s="68" t="s">
        <v>1374</v>
      </c>
      <c r="D377" s="68" t="s">
        <v>1391</v>
      </c>
      <c r="E377" s="64" t="s">
        <v>401</v>
      </c>
      <c r="F377" s="45" t="s">
        <v>402</v>
      </c>
      <c r="G377" s="23" t="s">
        <v>819</v>
      </c>
      <c r="H377" s="14">
        <f t="shared" si="185"/>
        <v>560</v>
      </c>
      <c r="I377" s="14">
        <f t="shared" si="185"/>
        <v>560</v>
      </c>
      <c r="J377" s="14">
        <f t="shared" si="185"/>
        <v>560</v>
      </c>
      <c r="K377" s="78">
        <f t="shared" si="158"/>
        <v>100</v>
      </c>
      <c r="L377" s="14">
        <f t="shared" si="185"/>
        <v>0</v>
      </c>
      <c r="M377" s="50"/>
      <c r="N377" s="50"/>
    </row>
    <row r="378" spans="1:14" x14ac:dyDescent="0.3">
      <c r="A378" s="64" t="s">
        <v>709</v>
      </c>
      <c r="B378" s="62" t="s">
        <v>923</v>
      </c>
      <c r="C378" s="68" t="s">
        <v>1374</v>
      </c>
      <c r="D378" s="68" t="s">
        <v>1391</v>
      </c>
      <c r="E378" s="64" t="s">
        <v>401</v>
      </c>
      <c r="F378" s="45" t="s">
        <v>223</v>
      </c>
      <c r="G378" s="23" t="s">
        <v>829</v>
      </c>
      <c r="H378" s="14">
        <v>560</v>
      </c>
      <c r="I378" s="14">
        <v>560</v>
      </c>
      <c r="J378" s="14">
        <v>560</v>
      </c>
      <c r="K378" s="78">
        <f t="shared" si="158"/>
        <v>100</v>
      </c>
      <c r="L378" s="14"/>
      <c r="M378" s="50"/>
      <c r="N378" s="50"/>
    </row>
    <row r="379" spans="1:14" x14ac:dyDescent="0.3">
      <c r="A379" s="64" t="s">
        <v>709</v>
      </c>
      <c r="B379" s="62" t="s">
        <v>923</v>
      </c>
      <c r="C379" s="68" t="s">
        <v>1374</v>
      </c>
      <c r="D379" s="68" t="s">
        <v>1391</v>
      </c>
      <c r="E379" s="64" t="s">
        <v>30</v>
      </c>
      <c r="F379" s="45"/>
      <c r="G379" s="23" t="s">
        <v>996</v>
      </c>
      <c r="H379" s="14">
        <f>H380</f>
        <v>33238.9</v>
      </c>
      <c r="I379" s="14">
        <f t="shared" ref="I379:L380" si="186">I380</f>
        <v>33238.9</v>
      </c>
      <c r="J379" s="14">
        <f t="shared" si="186"/>
        <v>33238.9</v>
      </c>
      <c r="K379" s="78">
        <f t="shared" si="158"/>
        <v>100</v>
      </c>
      <c r="L379" s="14">
        <f t="shared" si="186"/>
        <v>0</v>
      </c>
      <c r="M379" s="50"/>
      <c r="N379" s="50"/>
    </row>
    <row r="380" spans="1:14" ht="31.2" x14ac:dyDescent="0.3">
      <c r="A380" s="64" t="s">
        <v>709</v>
      </c>
      <c r="B380" s="62" t="s">
        <v>923</v>
      </c>
      <c r="C380" s="68" t="s">
        <v>1374</v>
      </c>
      <c r="D380" s="68" t="s">
        <v>1391</v>
      </c>
      <c r="E380" s="64" t="s">
        <v>30</v>
      </c>
      <c r="F380" s="45" t="s">
        <v>402</v>
      </c>
      <c r="G380" s="23" t="s">
        <v>819</v>
      </c>
      <c r="H380" s="14">
        <f>H381</f>
        <v>33238.9</v>
      </c>
      <c r="I380" s="14">
        <f t="shared" si="186"/>
        <v>33238.9</v>
      </c>
      <c r="J380" s="14">
        <f t="shared" si="186"/>
        <v>33238.9</v>
      </c>
      <c r="K380" s="78">
        <f t="shared" si="158"/>
        <v>100</v>
      </c>
      <c r="L380" s="14">
        <f t="shared" si="186"/>
        <v>0</v>
      </c>
      <c r="M380" s="50"/>
      <c r="N380" s="50"/>
    </row>
    <row r="381" spans="1:14" x14ac:dyDescent="0.3">
      <c r="A381" s="64" t="s">
        <v>709</v>
      </c>
      <c r="B381" s="62" t="s">
        <v>923</v>
      </c>
      <c r="C381" s="68" t="s">
        <v>1374</v>
      </c>
      <c r="D381" s="68" t="s">
        <v>1391</v>
      </c>
      <c r="E381" s="64" t="s">
        <v>30</v>
      </c>
      <c r="F381" s="64" t="s">
        <v>223</v>
      </c>
      <c r="G381" s="18" t="s">
        <v>829</v>
      </c>
      <c r="H381" s="14">
        <v>33238.9</v>
      </c>
      <c r="I381" s="14">
        <v>33238.9</v>
      </c>
      <c r="J381" s="14">
        <v>33238.9</v>
      </c>
      <c r="K381" s="78">
        <f t="shared" si="158"/>
        <v>100</v>
      </c>
      <c r="L381" s="14"/>
      <c r="M381" s="50"/>
      <c r="N381" s="50"/>
    </row>
    <row r="382" spans="1:14" ht="31.2" x14ac:dyDescent="0.3">
      <c r="A382" s="64" t="s">
        <v>709</v>
      </c>
      <c r="B382" s="62" t="s">
        <v>923</v>
      </c>
      <c r="C382" s="68" t="s">
        <v>1374</v>
      </c>
      <c r="D382" s="68" t="s">
        <v>1391</v>
      </c>
      <c r="E382" s="64" t="s">
        <v>226</v>
      </c>
      <c r="F382" s="45"/>
      <c r="G382" s="18" t="s">
        <v>1300</v>
      </c>
      <c r="H382" s="14">
        <f t="shared" ref="H382:L383" si="187">H383</f>
        <v>297.89999999999998</v>
      </c>
      <c r="I382" s="14">
        <f t="shared" si="187"/>
        <v>297.89999999999998</v>
      </c>
      <c r="J382" s="14">
        <f t="shared" si="187"/>
        <v>297.89999999999998</v>
      </c>
      <c r="K382" s="78">
        <f t="shared" si="158"/>
        <v>100</v>
      </c>
      <c r="L382" s="14">
        <f t="shared" si="187"/>
        <v>0</v>
      </c>
      <c r="M382" s="50"/>
      <c r="N382" s="50"/>
    </row>
    <row r="383" spans="1:14" ht="31.2" x14ac:dyDescent="0.3">
      <c r="A383" s="64" t="s">
        <v>709</v>
      </c>
      <c r="B383" s="62" t="s">
        <v>923</v>
      </c>
      <c r="C383" s="68" t="s">
        <v>1374</v>
      </c>
      <c r="D383" s="68" t="s">
        <v>1391</v>
      </c>
      <c r="E383" s="64" t="s">
        <v>226</v>
      </c>
      <c r="F383" s="45" t="s">
        <v>402</v>
      </c>
      <c r="G383" s="23" t="s">
        <v>819</v>
      </c>
      <c r="H383" s="14">
        <f t="shared" si="187"/>
        <v>297.89999999999998</v>
      </c>
      <c r="I383" s="14">
        <f t="shared" si="187"/>
        <v>297.89999999999998</v>
      </c>
      <c r="J383" s="14">
        <f t="shared" si="187"/>
        <v>297.89999999999998</v>
      </c>
      <c r="K383" s="78">
        <f t="shared" si="158"/>
        <v>100</v>
      </c>
      <c r="L383" s="14">
        <f t="shared" si="187"/>
        <v>0</v>
      </c>
      <c r="M383" s="50"/>
      <c r="N383" s="50"/>
    </row>
    <row r="384" spans="1:14" x14ac:dyDescent="0.3">
      <c r="A384" s="64" t="s">
        <v>709</v>
      </c>
      <c r="B384" s="62" t="s">
        <v>923</v>
      </c>
      <c r="C384" s="68" t="s">
        <v>1374</v>
      </c>
      <c r="D384" s="68" t="s">
        <v>1391</v>
      </c>
      <c r="E384" s="64" t="s">
        <v>226</v>
      </c>
      <c r="F384" s="64" t="s">
        <v>223</v>
      </c>
      <c r="G384" s="18" t="s">
        <v>829</v>
      </c>
      <c r="H384" s="14">
        <v>297.89999999999998</v>
      </c>
      <c r="I384" s="14">
        <v>297.89999999999998</v>
      </c>
      <c r="J384" s="14">
        <v>297.89999999999998</v>
      </c>
      <c r="K384" s="78">
        <f t="shared" si="158"/>
        <v>100</v>
      </c>
      <c r="L384" s="14"/>
      <c r="M384" s="50"/>
      <c r="N384" s="50"/>
    </row>
    <row r="385" spans="1:14" ht="62.4" x14ac:dyDescent="0.3">
      <c r="A385" s="64" t="s">
        <v>709</v>
      </c>
      <c r="B385" s="62" t="s">
        <v>923</v>
      </c>
      <c r="C385" s="68" t="s">
        <v>1374</v>
      </c>
      <c r="D385" s="68" t="s">
        <v>1391</v>
      </c>
      <c r="E385" s="64" t="s">
        <v>64</v>
      </c>
      <c r="F385" s="64"/>
      <c r="G385" s="23" t="s">
        <v>151</v>
      </c>
      <c r="H385" s="14">
        <f>H386</f>
        <v>0</v>
      </c>
      <c r="I385" s="14">
        <f t="shared" ref="I385:L386" si="188">I386</f>
        <v>12106.8</v>
      </c>
      <c r="J385" s="14">
        <f t="shared" si="188"/>
        <v>12106.8</v>
      </c>
      <c r="K385" s="78">
        <f t="shared" si="158"/>
        <v>100</v>
      </c>
      <c r="L385" s="14">
        <f t="shared" si="188"/>
        <v>0</v>
      </c>
      <c r="M385" s="50"/>
      <c r="N385" s="50"/>
    </row>
    <row r="386" spans="1:14" ht="31.2" x14ac:dyDescent="0.3">
      <c r="A386" s="64" t="s">
        <v>709</v>
      </c>
      <c r="B386" s="62" t="s">
        <v>923</v>
      </c>
      <c r="C386" s="68" t="s">
        <v>1374</v>
      </c>
      <c r="D386" s="68" t="s">
        <v>1391</v>
      </c>
      <c r="E386" s="64" t="s">
        <v>64</v>
      </c>
      <c r="F386" s="45" t="s">
        <v>402</v>
      </c>
      <c r="G386" s="23" t="s">
        <v>819</v>
      </c>
      <c r="H386" s="14">
        <f>H387</f>
        <v>0</v>
      </c>
      <c r="I386" s="14">
        <f t="shared" si="188"/>
        <v>12106.8</v>
      </c>
      <c r="J386" s="14">
        <f t="shared" si="188"/>
        <v>12106.8</v>
      </c>
      <c r="K386" s="78">
        <f t="shared" si="158"/>
        <v>100</v>
      </c>
      <c r="L386" s="14">
        <f t="shared" si="188"/>
        <v>0</v>
      </c>
      <c r="M386" s="50"/>
      <c r="N386" s="50"/>
    </row>
    <row r="387" spans="1:14" x14ac:dyDescent="0.3">
      <c r="A387" s="64" t="s">
        <v>709</v>
      </c>
      <c r="B387" s="62" t="s">
        <v>923</v>
      </c>
      <c r="C387" s="68" t="s">
        <v>1374</v>
      </c>
      <c r="D387" s="68" t="s">
        <v>1391</v>
      </c>
      <c r="E387" s="64" t="s">
        <v>64</v>
      </c>
      <c r="F387" s="64" t="s">
        <v>223</v>
      </c>
      <c r="G387" s="18" t="s">
        <v>829</v>
      </c>
      <c r="H387" s="19">
        <v>0</v>
      </c>
      <c r="I387" s="14">
        <v>12106.8</v>
      </c>
      <c r="J387" s="14">
        <v>12106.8</v>
      </c>
      <c r="K387" s="78">
        <f t="shared" si="158"/>
        <v>100</v>
      </c>
      <c r="L387" s="14"/>
      <c r="M387" s="50"/>
      <c r="N387" s="50"/>
    </row>
    <row r="388" spans="1:14" s="9" customFormat="1" x14ac:dyDescent="0.3">
      <c r="A388" s="6" t="s">
        <v>709</v>
      </c>
      <c r="B388" s="48" t="s">
        <v>924</v>
      </c>
      <c r="C388" s="48" t="s">
        <v>1374</v>
      </c>
      <c r="D388" s="48" t="s">
        <v>1374</v>
      </c>
      <c r="E388" s="6"/>
      <c r="F388" s="6"/>
      <c r="G388" s="7" t="s">
        <v>1221</v>
      </c>
      <c r="H388" s="16">
        <f>H389+H422+H394+H429</f>
        <v>24676.739000000001</v>
      </c>
      <c r="I388" s="16">
        <f>I389+I422+I394+I429+I435</f>
        <v>25851.739000000001</v>
      </c>
      <c r="J388" s="16">
        <f t="shared" ref="J388:L388" si="189">J389+J422+J394+J429+J435</f>
        <v>25607.510800000004</v>
      </c>
      <c r="K388" s="82">
        <f t="shared" si="158"/>
        <v>99.055273612347719</v>
      </c>
      <c r="L388" s="16">
        <f t="shared" si="189"/>
        <v>0</v>
      </c>
      <c r="M388" s="65"/>
      <c r="N388" s="65"/>
    </row>
    <row r="389" spans="1:14" ht="46.8" x14ac:dyDescent="0.3">
      <c r="A389" s="64" t="s">
        <v>709</v>
      </c>
      <c r="B389" s="62" t="s">
        <v>924</v>
      </c>
      <c r="C389" s="68" t="s">
        <v>1374</v>
      </c>
      <c r="D389" s="68" t="s">
        <v>1374</v>
      </c>
      <c r="E389" s="8" t="s">
        <v>338</v>
      </c>
      <c r="F389" s="8"/>
      <c r="G389" s="13" t="s">
        <v>843</v>
      </c>
      <c r="H389" s="14">
        <f t="shared" ref="H389:L392" si="190">H390</f>
        <v>200</v>
      </c>
      <c r="I389" s="14">
        <f t="shared" si="190"/>
        <v>400</v>
      </c>
      <c r="J389" s="14">
        <f t="shared" si="190"/>
        <v>400</v>
      </c>
      <c r="K389" s="78">
        <f t="shared" si="158"/>
        <v>100</v>
      </c>
      <c r="L389" s="14">
        <f t="shared" si="190"/>
        <v>0</v>
      </c>
      <c r="M389" s="50"/>
      <c r="N389" s="50"/>
    </row>
    <row r="390" spans="1:14" ht="46.8" x14ac:dyDescent="0.3">
      <c r="A390" s="64" t="s">
        <v>709</v>
      </c>
      <c r="B390" s="62" t="s">
        <v>924</v>
      </c>
      <c r="C390" s="68" t="s">
        <v>1374</v>
      </c>
      <c r="D390" s="68" t="s">
        <v>1374</v>
      </c>
      <c r="E390" s="8" t="s">
        <v>339</v>
      </c>
      <c r="F390" s="8"/>
      <c r="G390" s="13" t="s">
        <v>844</v>
      </c>
      <c r="H390" s="14">
        <f t="shared" si="190"/>
        <v>200</v>
      </c>
      <c r="I390" s="14">
        <f t="shared" si="190"/>
        <v>400</v>
      </c>
      <c r="J390" s="14">
        <f t="shared" si="190"/>
        <v>400</v>
      </c>
      <c r="K390" s="78">
        <f t="shared" si="158"/>
        <v>100</v>
      </c>
      <c r="L390" s="14">
        <f t="shared" si="190"/>
        <v>0</v>
      </c>
      <c r="M390" s="50"/>
      <c r="N390" s="50"/>
    </row>
    <row r="391" spans="1:14" ht="62.4" x14ac:dyDescent="0.3">
      <c r="A391" s="64" t="s">
        <v>709</v>
      </c>
      <c r="B391" s="62" t="s">
        <v>924</v>
      </c>
      <c r="C391" s="68" t="s">
        <v>1374</v>
      </c>
      <c r="D391" s="68" t="s">
        <v>1374</v>
      </c>
      <c r="E391" s="8" t="s">
        <v>340</v>
      </c>
      <c r="F391" s="8"/>
      <c r="G391" s="13" t="s">
        <v>845</v>
      </c>
      <c r="H391" s="14">
        <f t="shared" si="190"/>
        <v>200</v>
      </c>
      <c r="I391" s="14">
        <f t="shared" si="190"/>
        <v>400</v>
      </c>
      <c r="J391" s="14">
        <f t="shared" si="190"/>
        <v>400</v>
      </c>
      <c r="K391" s="78">
        <f t="shared" si="158"/>
        <v>100</v>
      </c>
      <c r="L391" s="14">
        <f t="shared" si="190"/>
        <v>0</v>
      </c>
      <c r="M391" s="50"/>
      <c r="N391" s="50"/>
    </row>
    <row r="392" spans="1:14" ht="31.2" x14ac:dyDescent="0.3">
      <c r="A392" s="64" t="s">
        <v>709</v>
      </c>
      <c r="B392" s="62" t="s">
        <v>924</v>
      </c>
      <c r="C392" s="68" t="s">
        <v>1374</v>
      </c>
      <c r="D392" s="68" t="s">
        <v>1374</v>
      </c>
      <c r="E392" s="8" t="s">
        <v>340</v>
      </c>
      <c r="F392" s="45" t="s">
        <v>402</v>
      </c>
      <c r="G392" s="23" t="s">
        <v>819</v>
      </c>
      <c r="H392" s="14">
        <f t="shared" si="190"/>
        <v>200</v>
      </c>
      <c r="I392" s="14">
        <f t="shared" si="190"/>
        <v>400</v>
      </c>
      <c r="J392" s="14">
        <f t="shared" si="190"/>
        <v>400</v>
      </c>
      <c r="K392" s="78">
        <f t="shared" ref="K392:K455" si="191">J392/I392*100</f>
        <v>100</v>
      </c>
      <c r="L392" s="14">
        <f t="shared" si="190"/>
        <v>0</v>
      </c>
      <c r="M392" s="50"/>
      <c r="N392" s="50"/>
    </row>
    <row r="393" spans="1:14" x14ac:dyDescent="0.3">
      <c r="A393" s="64" t="s">
        <v>709</v>
      </c>
      <c r="B393" s="62" t="s">
        <v>924</v>
      </c>
      <c r="C393" s="68" t="s">
        <v>1374</v>
      </c>
      <c r="D393" s="68" t="s">
        <v>1374</v>
      </c>
      <c r="E393" s="8" t="s">
        <v>340</v>
      </c>
      <c r="F393" s="64" t="s">
        <v>223</v>
      </c>
      <c r="G393" s="18" t="s">
        <v>829</v>
      </c>
      <c r="H393" s="14">
        <v>200</v>
      </c>
      <c r="I393" s="14">
        <v>400</v>
      </c>
      <c r="J393" s="19">
        <v>400</v>
      </c>
      <c r="K393" s="75">
        <f t="shared" si="191"/>
        <v>100</v>
      </c>
      <c r="L393" s="14"/>
      <c r="M393" s="50"/>
      <c r="N393" s="50"/>
    </row>
    <row r="394" spans="1:14" x14ac:dyDescent="0.3">
      <c r="A394" s="64" t="s">
        <v>709</v>
      </c>
      <c r="B394" s="62" t="s">
        <v>924</v>
      </c>
      <c r="C394" s="68" t="s">
        <v>1374</v>
      </c>
      <c r="D394" s="68" t="s">
        <v>1374</v>
      </c>
      <c r="E394" s="8" t="s">
        <v>390</v>
      </c>
      <c r="F394" s="8"/>
      <c r="G394" s="13" t="s">
        <v>862</v>
      </c>
      <c r="H394" s="14">
        <f>H395+H417</f>
        <v>21705.5</v>
      </c>
      <c r="I394" s="14">
        <f>I395+I417</f>
        <v>21705.5</v>
      </c>
      <c r="J394" s="14">
        <f t="shared" ref="J394" si="192">J395+J417</f>
        <v>21461.271800000002</v>
      </c>
      <c r="K394" s="78">
        <f t="shared" si="191"/>
        <v>98.874809610467409</v>
      </c>
      <c r="L394" s="14">
        <f>L395+L417</f>
        <v>0</v>
      </c>
      <c r="M394" s="50"/>
      <c r="N394" s="50"/>
    </row>
    <row r="395" spans="1:14" ht="31.2" x14ac:dyDescent="0.3">
      <c r="A395" s="64" t="s">
        <v>709</v>
      </c>
      <c r="B395" s="62" t="s">
        <v>924</v>
      </c>
      <c r="C395" s="68" t="s">
        <v>1374</v>
      </c>
      <c r="D395" s="68" t="s">
        <v>1374</v>
      </c>
      <c r="E395" s="8" t="s">
        <v>391</v>
      </c>
      <c r="F395" s="8"/>
      <c r="G395" s="13" t="s">
        <v>1294</v>
      </c>
      <c r="H395" s="14">
        <f>H396+H413</f>
        <v>17187.3</v>
      </c>
      <c r="I395" s="14">
        <f>I396+I413</f>
        <v>17187.3</v>
      </c>
      <c r="J395" s="14">
        <f t="shared" ref="J395" si="193">J396+J413</f>
        <v>16943.071800000002</v>
      </c>
      <c r="K395" s="78">
        <f t="shared" si="191"/>
        <v>98.579019392225661</v>
      </c>
      <c r="L395" s="14">
        <f>L396+L413</f>
        <v>0</v>
      </c>
      <c r="M395" s="50"/>
      <c r="N395" s="50"/>
    </row>
    <row r="396" spans="1:14" ht="31.2" x14ac:dyDescent="0.3">
      <c r="A396" s="64" t="s">
        <v>709</v>
      </c>
      <c r="B396" s="62" t="s">
        <v>924</v>
      </c>
      <c r="C396" s="68" t="s">
        <v>1374</v>
      </c>
      <c r="D396" s="68" t="s">
        <v>1374</v>
      </c>
      <c r="E396" s="8" t="s">
        <v>392</v>
      </c>
      <c r="F396" s="8"/>
      <c r="G396" s="13" t="s">
        <v>1171</v>
      </c>
      <c r="H396" s="14">
        <f>H397+H403+H410+H400</f>
        <v>17187.3</v>
      </c>
      <c r="I396" s="14">
        <f t="shared" ref="I396:L396" si="194">I397+I403+I410+I400</f>
        <v>17187.3</v>
      </c>
      <c r="J396" s="14">
        <f t="shared" si="194"/>
        <v>16943.071800000002</v>
      </c>
      <c r="K396" s="78">
        <f t="shared" si="191"/>
        <v>98.579019392225661</v>
      </c>
      <c r="L396" s="14">
        <f t="shared" si="194"/>
        <v>0</v>
      </c>
      <c r="M396" s="50"/>
      <c r="N396" s="50"/>
    </row>
    <row r="397" spans="1:14" ht="62.4" x14ac:dyDescent="0.3">
      <c r="A397" s="64" t="s">
        <v>709</v>
      </c>
      <c r="B397" s="62" t="s">
        <v>924</v>
      </c>
      <c r="C397" s="68" t="s">
        <v>1374</v>
      </c>
      <c r="D397" s="68" t="s">
        <v>1374</v>
      </c>
      <c r="E397" s="8" t="s">
        <v>393</v>
      </c>
      <c r="F397" s="8"/>
      <c r="G397" s="23" t="s">
        <v>1291</v>
      </c>
      <c r="H397" s="14">
        <f t="shared" ref="H397:L398" si="195">H398</f>
        <v>13113.5</v>
      </c>
      <c r="I397" s="14">
        <f t="shared" si="195"/>
        <v>13113.5</v>
      </c>
      <c r="J397" s="14">
        <f t="shared" si="195"/>
        <v>12869.2718</v>
      </c>
      <c r="K397" s="78">
        <f t="shared" si="191"/>
        <v>98.137581881267394</v>
      </c>
      <c r="L397" s="14">
        <f t="shared" si="195"/>
        <v>0</v>
      </c>
      <c r="M397" s="50"/>
      <c r="N397" s="50"/>
    </row>
    <row r="398" spans="1:14" ht="31.2" x14ac:dyDescent="0.3">
      <c r="A398" s="64" t="s">
        <v>709</v>
      </c>
      <c r="B398" s="62" t="s">
        <v>924</v>
      </c>
      <c r="C398" s="68" t="s">
        <v>1374</v>
      </c>
      <c r="D398" s="68" t="s">
        <v>1374</v>
      </c>
      <c r="E398" s="8" t="s">
        <v>393</v>
      </c>
      <c r="F398" s="45" t="s">
        <v>402</v>
      </c>
      <c r="G398" s="23" t="s">
        <v>819</v>
      </c>
      <c r="H398" s="14">
        <f t="shared" si="195"/>
        <v>13113.5</v>
      </c>
      <c r="I398" s="14">
        <f t="shared" si="195"/>
        <v>13113.5</v>
      </c>
      <c r="J398" s="14">
        <f t="shared" si="195"/>
        <v>12869.2718</v>
      </c>
      <c r="K398" s="78">
        <f t="shared" si="191"/>
        <v>98.137581881267394</v>
      </c>
      <c r="L398" s="14">
        <f t="shared" si="195"/>
        <v>0</v>
      </c>
      <c r="M398" s="50"/>
      <c r="N398" s="50"/>
    </row>
    <row r="399" spans="1:14" x14ac:dyDescent="0.3">
      <c r="A399" s="64" t="s">
        <v>709</v>
      </c>
      <c r="B399" s="62" t="s">
        <v>924</v>
      </c>
      <c r="C399" s="68" t="s">
        <v>1374</v>
      </c>
      <c r="D399" s="68" t="s">
        <v>1374</v>
      </c>
      <c r="E399" s="8" t="s">
        <v>393</v>
      </c>
      <c r="F399" s="64" t="s">
        <v>223</v>
      </c>
      <c r="G399" s="18" t="s">
        <v>829</v>
      </c>
      <c r="H399" s="14">
        <v>13113.5</v>
      </c>
      <c r="I399" s="14">
        <v>13113.5</v>
      </c>
      <c r="J399" s="14">
        <v>12869.2718</v>
      </c>
      <c r="K399" s="78">
        <f t="shared" si="191"/>
        <v>98.137581881267394</v>
      </c>
      <c r="L399" s="14"/>
      <c r="M399" s="50"/>
      <c r="N399" s="50"/>
    </row>
    <row r="400" spans="1:14" ht="31.2" x14ac:dyDescent="0.3">
      <c r="A400" s="64" t="s">
        <v>709</v>
      </c>
      <c r="B400" s="62" t="s">
        <v>924</v>
      </c>
      <c r="C400" s="68" t="s">
        <v>1374</v>
      </c>
      <c r="D400" s="68" t="s">
        <v>1374</v>
      </c>
      <c r="E400" s="8" t="s">
        <v>3</v>
      </c>
      <c r="F400" s="64"/>
      <c r="G400" s="18" t="s">
        <v>4</v>
      </c>
      <c r="H400" s="14">
        <f>H401</f>
        <v>150</v>
      </c>
      <c r="I400" s="14">
        <f t="shared" ref="I400:L401" si="196">I401</f>
        <v>150</v>
      </c>
      <c r="J400" s="14">
        <f t="shared" si="196"/>
        <v>150</v>
      </c>
      <c r="K400" s="78">
        <f t="shared" si="191"/>
        <v>100</v>
      </c>
      <c r="L400" s="14">
        <f t="shared" si="196"/>
        <v>0</v>
      </c>
      <c r="M400" s="50"/>
      <c r="N400" s="50"/>
    </row>
    <row r="401" spans="1:14" ht="31.2" x14ac:dyDescent="0.3">
      <c r="A401" s="64" t="s">
        <v>709</v>
      </c>
      <c r="B401" s="62" t="s">
        <v>924</v>
      </c>
      <c r="C401" s="68" t="s">
        <v>1374</v>
      </c>
      <c r="D401" s="68" t="s">
        <v>1374</v>
      </c>
      <c r="E401" s="8" t="s">
        <v>3</v>
      </c>
      <c r="F401" s="45" t="s">
        <v>402</v>
      </c>
      <c r="G401" s="23" t="s">
        <v>819</v>
      </c>
      <c r="H401" s="14">
        <f>H402</f>
        <v>150</v>
      </c>
      <c r="I401" s="14">
        <f t="shared" si="196"/>
        <v>150</v>
      </c>
      <c r="J401" s="14">
        <f t="shared" si="196"/>
        <v>150</v>
      </c>
      <c r="K401" s="78">
        <f t="shared" si="191"/>
        <v>100</v>
      </c>
      <c r="L401" s="14">
        <f t="shared" si="196"/>
        <v>0</v>
      </c>
      <c r="M401" s="50"/>
      <c r="N401" s="50"/>
    </row>
    <row r="402" spans="1:14" x14ac:dyDescent="0.3">
      <c r="A402" s="64" t="s">
        <v>709</v>
      </c>
      <c r="B402" s="62" t="s">
        <v>924</v>
      </c>
      <c r="C402" s="68" t="s">
        <v>1374</v>
      </c>
      <c r="D402" s="68" t="s">
        <v>1374</v>
      </c>
      <c r="E402" s="8" t="s">
        <v>3</v>
      </c>
      <c r="F402" s="64" t="s">
        <v>223</v>
      </c>
      <c r="G402" s="18" t="s">
        <v>829</v>
      </c>
      <c r="H402" s="14">
        <v>150</v>
      </c>
      <c r="I402" s="14">
        <v>150</v>
      </c>
      <c r="J402" s="14">
        <v>150</v>
      </c>
      <c r="K402" s="78">
        <f t="shared" si="191"/>
        <v>100</v>
      </c>
      <c r="L402" s="14"/>
      <c r="M402" s="50"/>
      <c r="N402" s="50"/>
    </row>
    <row r="403" spans="1:14" x14ac:dyDescent="0.3">
      <c r="A403" s="64" t="s">
        <v>709</v>
      </c>
      <c r="B403" s="62" t="s">
        <v>924</v>
      </c>
      <c r="C403" s="68" t="s">
        <v>1374</v>
      </c>
      <c r="D403" s="68" t="s">
        <v>1374</v>
      </c>
      <c r="E403" s="8" t="s">
        <v>394</v>
      </c>
      <c r="F403" s="8"/>
      <c r="G403" s="13" t="s">
        <v>863</v>
      </c>
      <c r="H403" s="14">
        <f>H404+H406+H408</f>
        <v>1539.1</v>
      </c>
      <c r="I403" s="14">
        <f>I404+I406+I408</f>
        <v>1539.1</v>
      </c>
      <c r="J403" s="14">
        <f t="shared" ref="J403" si="197">J404+J406+J408</f>
        <v>1539.1</v>
      </c>
      <c r="K403" s="78">
        <f t="shared" si="191"/>
        <v>100</v>
      </c>
      <c r="L403" s="14">
        <f>L404+L406+L408</f>
        <v>0</v>
      </c>
      <c r="M403" s="50"/>
      <c r="N403" s="50"/>
    </row>
    <row r="404" spans="1:14" ht="31.2" x14ac:dyDescent="0.3">
      <c r="A404" s="64" t="s">
        <v>709</v>
      </c>
      <c r="B404" s="62" t="s">
        <v>924</v>
      </c>
      <c r="C404" s="68" t="s">
        <v>1374</v>
      </c>
      <c r="D404" s="68" t="s">
        <v>1374</v>
      </c>
      <c r="E404" s="8" t="s">
        <v>394</v>
      </c>
      <c r="F404" s="45" t="s">
        <v>380</v>
      </c>
      <c r="G404" s="23" t="s">
        <v>809</v>
      </c>
      <c r="H404" s="14">
        <f t="shared" ref="H404:L404" si="198">H405</f>
        <v>639.1</v>
      </c>
      <c r="I404" s="14">
        <f t="shared" si="198"/>
        <v>789.1</v>
      </c>
      <c r="J404" s="14">
        <f t="shared" si="198"/>
        <v>789.1</v>
      </c>
      <c r="K404" s="78">
        <f t="shared" si="191"/>
        <v>100</v>
      </c>
      <c r="L404" s="14">
        <f t="shared" si="198"/>
        <v>0</v>
      </c>
      <c r="M404" s="50"/>
      <c r="N404" s="50"/>
    </row>
    <row r="405" spans="1:14" ht="31.2" x14ac:dyDescent="0.3">
      <c r="A405" s="64" t="s">
        <v>709</v>
      </c>
      <c r="B405" s="62" t="s">
        <v>924</v>
      </c>
      <c r="C405" s="68" t="s">
        <v>1374</v>
      </c>
      <c r="D405" s="68" t="s">
        <v>1374</v>
      </c>
      <c r="E405" s="8" t="s">
        <v>394</v>
      </c>
      <c r="F405" s="8" t="s">
        <v>247</v>
      </c>
      <c r="G405" s="23" t="s">
        <v>810</v>
      </c>
      <c r="H405" s="14">
        <f>789.1-150</f>
        <v>639.1</v>
      </c>
      <c r="I405" s="14">
        <v>789.1</v>
      </c>
      <c r="J405" s="14">
        <v>789.1</v>
      </c>
      <c r="K405" s="78">
        <f t="shared" si="191"/>
        <v>100</v>
      </c>
      <c r="L405" s="14"/>
      <c r="M405" s="50"/>
      <c r="N405" s="50"/>
    </row>
    <row r="406" spans="1:14" x14ac:dyDescent="0.3">
      <c r="A406" s="64" t="s">
        <v>709</v>
      </c>
      <c r="B406" s="62" t="s">
        <v>924</v>
      </c>
      <c r="C406" s="68" t="s">
        <v>1374</v>
      </c>
      <c r="D406" s="68" t="s">
        <v>1374</v>
      </c>
      <c r="E406" s="8" t="s">
        <v>394</v>
      </c>
      <c r="F406" s="8" t="s">
        <v>404</v>
      </c>
      <c r="G406" s="13" t="s">
        <v>811</v>
      </c>
      <c r="H406" s="14">
        <f t="shared" ref="H406:L406" si="199">H407</f>
        <v>400</v>
      </c>
      <c r="I406" s="14">
        <f t="shared" si="199"/>
        <v>400</v>
      </c>
      <c r="J406" s="14">
        <f t="shared" si="199"/>
        <v>400</v>
      </c>
      <c r="K406" s="78">
        <f t="shared" si="191"/>
        <v>100</v>
      </c>
      <c r="L406" s="14">
        <f t="shared" si="199"/>
        <v>0</v>
      </c>
      <c r="M406" s="50"/>
      <c r="N406" s="50"/>
    </row>
    <row r="407" spans="1:14" x14ac:dyDescent="0.3">
      <c r="A407" s="64" t="s">
        <v>709</v>
      </c>
      <c r="B407" s="62" t="s">
        <v>924</v>
      </c>
      <c r="C407" s="68" t="s">
        <v>1374</v>
      </c>
      <c r="D407" s="68" t="s">
        <v>1374</v>
      </c>
      <c r="E407" s="8" t="s">
        <v>394</v>
      </c>
      <c r="F407" s="8" t="s">
        <v>723</v>
      </c>
      <c r="G407" s="13" t="s">
        <v>815</v>
      </c>
      <c r="H407" s="14">
        <v>400</v>
      </c>
      <c r="I407" s="14">
        <v>400</v>
      </c>
      <c r="J407" s="14">
        <v>400</v>
      </c>
      <c r="K407" s="78">
        <f t="shared" si="191"/>
        <v>100</v>
      </c>
      <c r="L407" s="14"/>
      <c r="M407" s="50"/>
      <c r="N407" s="50"/>
    </row>
    <row r="408" spans="1:14" ht="31.2" x14ac:dyDescent="0.3">
      <c r="A408" s="64" t="s">
        <v>709</v>
      </c>
      <c r="B408" s="62" t="s">
        <v>924</v>
      </c>
      <c r="C408" s="68" t="s">
        <v>1374</v>
      </c>
      <c r="D408" s="68" t="s">
        <v>1374</v>
      </c>
      <c r="E408" s="8" t="s">
        <v>394</v>
      </c>
      <c r="F408" s="45" t="s">
        <v>402</v>
      </c>
      <c r="G408" s="23" t="s">
        <v>819</v>
      </c>
      <c r="H408" s="14">
        <f t="shared" ref="H408:L408" si="200">H409</f>
        <v>500</v>
      </c>
      <c r="I408" s="14">
        <f t="shared" si="200"/>
        <v>350</v>
      </c>
      <c r="J408" s="14">
        <f t="shared" si="200"/>
        <v>350</v>
      </c>
      <c r="K408" s="78">
        <f t="shared" si="191"/>
        <v>100</v>
      </c>
      <c r="L408" s="14">
        <f t="shared" si="200"/>
        <v>0</v>
      </c>
      <c r="M408" s="50"/>
      <c r="N408" s="50"/>
    </row>
    <row r="409" spans="1:14" ht="46.8" x14ac:dyDescent="0.3">
      <c r="A409" s="64" t="s">
        <v>709</v>
      </c>
      <c r="B409" s="62" t="s">
        <v>924</v>
      </c>
      <c r="C409" s="68" t="s">
        <v>1374</v>
      </c>
      <c r="D409" s="68" t="s">
        <v>1374</v>
      </c>
      <c r="E409" s="8" t="s">
        <v>394</v>
      </c>
      <c r="F409" s="45" t="s">
        <v>280</v>
      </c>
      <c r="G409" s="23" t="s">
        <v>821</v>
      </c>
      <c r="H409" s="14">
        <v>500</v>
      </c>
      <c r="I409" s="14">
        <v>350</v>
      </c>
      <c r="J409" s="14">
        <v>350</v>
      </c>
      <c r="K409" s="78">
        <f t="shared" si="191"/>
        <v>100</v>
      </c>
      <c r="L409" s="14"/>
      <c r="M409" s="50"/>
      <c r="N409" s="50"/>
    </row>
    <row r="410" spans="1:14" ht="62.4" x14ac:dyDescent="0.3">
      <c r="A410" s="64" t="s">
        <v>709</v>
      </c>
      <c r="B410" s="62" t="s">
        <v>924</v>
      </c>
      <c r="C410" s="68" t="s">
        <v>1374</v>
      </c>
      <c r="D410" s="68" t="s">
        <v>1374</v>
      </c>
      <c r="E410" s="8" t="s">
        <v>395</v>
      </c>
      <c r="F410" s="8"/>
      <c r="G410" s="13" t="s">
        <v>757</v>
      </c>
      <c r="H410" s="14">
        <f t="shared" ref="H410:L411" si="201">H411</f>
        <v>2384.6999999999998</v>
      </c>
      <c r="I410" s="14">
        <f t="shared" si="201"/>
        <v>2384.6999999999998</v>
      </c>
      <c r="J410" s="14">
        <f t="shared" si="201"/>
        <v>2384.6999999999998</v>
      </c>
      <c r="K410" s="78">
        <f t="shared" si="191"/>
        <v>100</v>
      </c>
      <c r="L410" s="14">
        <f t="shared" si="201"/>
        <v>0</v>
      </c>
      <c r="M410" s="50"/>
      <c r="N410" s="50"/>
    </row>
    <row r="411" spans="1:14" ht="31.2" x14ac:dyDescent="0.3">
      <c r="A411" s="64" t="s">
        <v>709</v>
      </c>
      <c r="B411" s="62" t="s">
        <v>924</v>
      </c>
      <c r="C411" s="68" t="s">
        <v>1374</v>
      </c>
      <c r="D411" s="68" t="s">
        <v>1374</v>
      </c>
      <c r="E411" s="8" t="s">
        <v>395</v>
      </c>
      <c r="F411" s="45" t="s">
        <v>402</v>
      </c>
      <c r="G411" s="23" t="s">
        <v>819</v>
      </c>
      <c r="H411" s="14">
        <f t="shared" si="201"/>
        <v>2384.6999999999998</v>
      </c>
      <c r="I411" s="14">
        <f t="shared" si="201"/>
        <v>2384.6999999999998</v>
      </c>
      <c r="J411" s="14">
        <f t="shared" si="201"/>
        <v>2384.6999999999998</v>
      </c>
      <c r="K411" s="78">
        <f t="shared" si="191"/>
        <v>100</v>
      </c>
      <c r="L411" s="14">
        <f t="shared" si="201"/>
        <v>0</v>
      </c>
      <c r="M411" s="50"/>
      <c r="N411" s="50"/>
    </row>
    <row r="412" spans="1:14" ht="46.8" x14ac:dyDescent="0.3">
      <c r="A412" s="64" t="s">
        <v>709</v>
      </c>
      <c r="B412" s="62" t="s">
        <v>924</v>
      </c>
      <c r="C412" s="68" t="s">
        <v>1374</v>
      </c>
      <c r="D412" s="68" t="s">
        <v>1374</v>
      </c>
      <c r="E412" s="8" t="s">
        <v>395</v>
      </c>
      <c r="F412" s="45" t="s">
        <v>280</v>
      </c>
      <c r="G412" s="23" t="s">
        <v>821</v>
      </c>
      <c r="H412" s="14">
        <v>2384.6999999999998</v>
      </c>
      <c r="I412" s="14">
        <v>2384.6999999999998</v>
      </c>
      <c r="J412" s="14">
        <v>2384.6999999999998</v>
      </c>
      <c r="K412" s="78">
        <f t="shared" si="191"/>
        <v>100</v>
      </c>
      <c r="L412" s="14"/>
      <c r="M412" s="50"/>
      <c r="N412" s="50"/>
    </row>
    <row r="413" spans="1:14" ht="46.8" hidden="1" x14ac:dyDescent="0.3">
      <c r="A413" s="64" t="s">
        <v>709</v>
      </c>
      <c r="B413" s="62" t="s">
        <v>924</v>
      </c>
      <c r="C413" s="68" t="s">
        <v>1374</v>
      </c>
      <c r="D413" s="68" t="s">
        <v>1374</v>
      </c>
      <c r="E413" s="8" t="s">
        <v>227</v>
      </c>
      <c r="F413" s="45"/>
      <c r="G413" s="23" t="s">
        <v>296</v>
      </c>
      <c r="H413" s="14">
        <f t="shared" ref="H413:L415" si="202">H414</f>
        <v>0</v>
      </c>
      <c r="I413" s="14">
        <f t="shared" si="202"/>
        <v>0</v>
      </c>
      <c r="J413" s="14">
        <f t="shared" si="202"/>
        <v>0</v>
      </c>
      <c r="K413" s="78" t="e">
        <f t="shared" si="191"/>
        <v>#DIV/0!</v>
      </c>
      <c r="L413" s="14">
        <f t="shared" si="202"/>
        <v>0</v>
      </c>
      <c r="M413" s="50">
        <v>111</v>
      </c>
      <c r="N413" s="50"/>
    </row>
    <row r="414" spans="1:14" ht="31.2" hidden="1" x14ac:dyDescent="0.3">
      <c r="A414" s="64" t="s">
        <v>709</v>
      </c>
      <c r="B414" s="62" t="s">
        <v>924</v>
      </c>
      <c r="C414" s="68" t="s">
        <v>1374</v>
      </c>
      <c r="D414" s="68" t="s">
        <v>1374</v>
      </c>
      <c r="E414" s="8" t="s">
        <v>228</v>
      </c>
      <c r="F414" s="45"/>
      <c r="G414" s="23" t="s">
        <v>297</v>
      </c>
      <c r="H414" s="14">
        <f t="shared" si="202"/>
        <v>0</v>
      </c>
      <c r="I414" s="14">
        <f t="shared" si="202"/>
        <v>0</v>
      </c>
      <c r="J414" s="14">
        <f t="shared" si="202"/>
        <v>0</v>
      </c>
      <c r="K414" s="78" t="e">
        <f t="shared" si="191"/>
        <v>#DIV/0!</v>
      </c>
      <c r="L414" s="14">
        <f t="shared" si="202"/>
        <v>0</v>
      </c>
      <c r="M414" s="50">
        <v>111</v>
      </c>
      <c r="N414" s="50"/>
    </row>
    <row r="415" spans="1:14" ht="31.2" hidden="1" x14ac:dyDescent="0.3">
      <c r="A415" s="64" t="s">
        <v>709</v>
      </c>
      <c r="B415" s="62" t="s">
        <v>924</v>
      </c>
      <c r="C415" s="68" t="s">
        <v>1374</v>
      </c>
      <c r="D415" s="68" t="s">
        <v>1374</v>
      </c>
      <c r="E415" s="8" t="s">
        <v>228</v>
      </c>
      <c r="F415" s="45" t="s">
        <v>478</v>
      </c>
      <c r="G415" s="23" t="s">
        <v>817</v>
      </c>
      <c r="H415" s="14">
        <f t="shared" si="202"/>
        <v>0</v>
      </c>
      <c r="I415" s="14">
        <f t="shared" si="202"/>
        <v>0</v>
      </c>
      <c r="J415" s="14">
        <f t="shared" si="202"/>
        <v>0</v>
      </c>
      <c r="K415" s="78" t="e">
        <f t="shared" si="191"/>
        <v>#DIV/0!</v>
      </c>
      <c r="L415" s="14">
        <f t="shared" si="202"/>
        <v>0</v>
      </c>
      <c r="M415" s="50">
        <v>111</v>
      </c>
      <c r="N415" s="50"/>
    </row>
    <row r="416" spans="1:14" ht="109.2" hidden="1" x14ac:dyDescent="0.3">
      <c r="A416" s="64" t="s">
        <v>709</v>
      </c>
      <c r="B416" s="62" t="s">
        <v>924</v>
      </c>
      <c r="C416" s="68" t="s">
        <v>1374</v>
      </c>
      <c r="D416" s="68" t="s">
        <v>1374</v>
      </c>
      <c r="E416" s="8" t="s">
        <v>228</v>
      </c>
      <c r="F416" s="45" t="s">
        <v>725</v>
      </c>
      <c r="G416" s="60" t="s">
        <v>828</v>
      </c>
      <c r="H416" s="14">
        <v>0</v>
      </c>
      <c r="I416" s="14">
        <v>0</v>
      </c>
      <c r="J416" s="19">
        <v>0</v>
      </c>
      <c r="K416" s="75" t="e">
        <f t="shared" si="191"/>
        <v>#DIV/0!</v>
      </c>
      <c r="L416" s="14"/>
      <c r="M416" s="50">
        <v>111</v>
      </c>
      <c r="N416" s="50"/>
    </row>
    <row r="417" spans="1:14" ht="46.8" x14ac:dyDescent="0.3">
      <c r="A417" s="64" t="s">
        <v>709</v>
      </c>
      <c r="B417" s="62" t="s">
        <v>924</v>
      </c>
      <c r="C417" s="68" t="s">
        <v>1374</v>
      </c>
      <c r="D417" s="68" t="s">
        <v>1374</v>
      </c>
      <c r="E417" s="8" t="s">
        <v>59</v>
      </c>
      <c r="F417" s="8"/>
      <c r="G417" s="23" t="s">
        <v>1295</v>
      </c>
      <c r="H417" s="14">
        <f t="shared" ref="H417:L420" si="203">H418</f>
        <v>4518.2</v>
      </c>
      <c r="I417" s="14">
        <f t="shared" si="203"/>
        <v>4518.2</v>
      </c>
      <c r="J417" s="14">
        <f t="shared" si="203"/>
        <v>4518.2</v>
      </c>
      <c r="K417" s="78">
        <f t="shared" si="191"/>
        <v>100</v>
      </c>
      <c r="L417" s="14">
        <f t="shared" si="203"/>
        <v>0</v>
      </c>
      <c r="M417" s="50"/>
      <c r="N417" s="50"/>
    </row>
    <row r="418" spans="1:14" ht="31.2" x14ac:dyDescent="0.3">
      <c r="A418" s="64" t="s">
        <v>709</v>
      </c>
      <c r="B418" s="62" t="s">
        <v>924</v>
      </c>
      <c r="C418" s="68" t="s">
        <v>1374</v>
      </c>
      <c r="D418" s="68" t="s">
        <v>1374</v>
      </c>
      <c r="E418" s="8" t="s">
        <v>60</v>
      </c>
      <c r="F418" s="8"/>
      <c r="G418" s="23" t="s">
        <v>1296</v>
      </c>
      <c r="H418" s="14">
        <f t="shared" si="203"/>
        <v>4518.2</v>
      </c>
      <c r="I418" s="14">
        <f t="shared" si="203"/>
        <v>4518.2</v>
      </c>
      <c r="J418" s="14">
        <f t="shared" si="203"/>
        <v>4518.2</v>
      </c>
      <c r="K418" s="78">
        <f t="shared" si="191"/>
        <v>100</v>
      </c>
      <c r="L418" s="14">
        <f t="shared" si="203"/>
        <v>0</v>
      </c>
      <c r="M418" s="50"/>
      <c r="N418" s="50"/>
    </row>
    <row r="419" spans="1:14" x14ac:dyDescent="0.3">
      <c r="A419" s="64" t="s">
        <v>709</v>
      </c>
      <c r="B419" s="62" t="s">
        <v>924</v>
      </c>
      <c r="C419" s="68" t="s">
        <v>1374</v>
      </c>
      <c r="D419" s="68" t="s">
        <v>1374</v>
      </c>
      <c r="E419" s="8" t="s">
        <v>61</v>
      </c>
      <c r="F419" s="8"/>
      <c r="G419" s="23" t="s">
        <v>1297</v>
      </c>
      <c r="H419" s="14">
        <f t="shared" si="203"/>
        <v>4518.2</v>
      </c>
      <c r="I419" s="14">
        <f t="shared" si="203"/>
        <v>4518.2</v>
      </c>
      <c r="J419" s="14">
        <f t="shared" si="203"/>
        <v>4518.2</v>
      </c>
      <c r="K419" s="78">
        <f t="shared" si="191"/>
        <v>100</v>
      </c>
      <c r="L419" s="14">
        <f t="shared" si="203"/>
        <v>0</v>
      </c>
      <c r="M419" s="50"/>
      <c r="N419" s="50"/>
    </row>
    <row r="420" spans="1:14" ht="31.2" x14ac:dyDescent="0.3">
      <c r="A420" s="64" t="s">
        <v>709</v>
      </c>
      <c r="B420" s="62" t="s">
        <v>924</v>
      </c>
      <c r="C420" s="68" t="s">
        <v>1374</v>
      </c>
      <c r="D420" s="68" t="s">
        <v>1374</v>
      </c>
      <c r="E420" s="8" t="s">
        <v>61</v>
      </c>
      <c r="F420" s="45" t="s">
        <v>402</v>
      </c>
      <c r="G420" s="23" t="s">
        <v>819</v>
      </c>
      <c r="H420" s="14">
        <f t="shared" si="203"/>
        <v>4518.2</v>
      </c>
      <c r="I420" s="14">
        <f t="shared" si="203"/>
        <v>4518.2</v>
      </c>
      <c r="J420" s="14">
        <f t="shared" si="203"/>
        <v>4518.2</v>
      </c>
      <c r="K420" s="78">
        <f t="shared" si="191"/>
        <v>100</v>
      </c>
      <c r="L420" s="14">
        <f t="shared" si="203"/>
        <v>0</v>
      </c>
      <c r="M420" s="50"/>
      <c r="N420" s="50"/>
    </row>
    <row r="421" spans="1:14" x14ac:dyDescent="0.3">
      <c r="A421" s="64" t="s">
        <v>709</v>
      </c>
      <c r="B421" s="62" t="s">
        <v>924</v>
      </c>
      <c r="C421" s="68" t="s">
        <v>1374</v>
      </c>
      <c r="D421" s="68" t="s">
        <v>1374</v>
      </c>
      <c r="E421" s="8" t="s">
        <v>61</v>
      </c>
      <c r="F421" s="64" t="s">
        <v>223</v>
      </c>
      <c r="G421" s="18" t="s">
        <v>829</v>
      </c>
      <c r="H421" s="14">
        <v>4518.2</v>
      </c>
      <c r="I421" s="14">
        <v>4518.2</v>
      </c>
      <c r="J421" s="14">
        <v>4518.2</v>
      </c>
      <c r="K421" s="78">
        <f t="shared" si="191"/>
        <v>100</v>
      </c>
      <c r="L421" s="14"/>
      <c r="M421" s="50"/>
      <c r="N421" s="50"/>
    </row>
    <row r="422" spans="1:14" ht="31.2" x14ac:dyDescent="0.3">
      <c r="A422" s="64" t="s">
        <v>709</v>
      </c>
      <c r="B422" s="62" t="s">
        <v>924</v>
      </c>
      <c r="C422" s="68" t="s">
        <v>1374</v>
      </c>
      <c r="D422" s="68" t="s">
        <v>1374</v>
      </c>
      <c r="E422" s="8" t="s">
        <v>396</v>
      </c>
      <c r="F422" s="8"/>
      <c r="G422" s="13" t="s">
        <v>876</v>
      </c>
      <c r="H422" s="14">
        <f t="shared" ref="H422:L425" si="204">H423</f>
        <v>1108.239</v>
      </c>
      <c r="I422" s="14">
        <f t="shared" si="204"/>
        <v>1108.239</v>
      </c>
      <c r="J422" s="14">
        <f t="shared" si="204"/>
        <v>1108.239</v>
      </c>
      <c r="K422" s="78">
        <f t="shared" si="191"/>
        <v>100</v>
      </c>
      <c r="L422" s="14">
        <f t="shared" si="204"/>
        <v>0</v>
      </c>
      <c r="M422" s="50"/>
      <c r="N422" s="50"/>
    </row>
    <row r="423" spans="1:14" ht="31.2" x14ac:dyDescent="0.3">
      <c r="A423" s="64" t="s">
        <v>709</v>
      </c>
      <c r="B423" s="62" t="s">
        <v>924</v>
      </c>
      <c r="C423" s="68" t="s">
        <v>1374</v>
      </c>
      <c r="D423" s="68" t="s">
        <v>1374</v>
      </c>
      <c r="E423" s="8" t="s">
        <v>397</v>
      </c>
      <c r="F423" s="8"/>
      <c r="G423" s="13" t="s">
        <v>1316</v>
      </c>
      <c r="H423" s="14">
        <f t="shared" si="204"/>
        <v>1108.239</v>
      </c>
      <c r="I423" s="14">
        <f t="shared" si="204"/>
        <v>1108.239</v>
      </c>
      <c r="J423" s="14">
        <f t="shared" si="204"/>
        <v>1108.239</v>
      </c>
      <c r="K423" s="78">
        <f t="shared" si="191"/>
        <v>100</v>
      </c>
      <c r="L423" s="14">
        <f t="shared" si="204"/>
        <v>0</v>
      </c>
      <c r="M423" s="50"/>
      <c r="N423" s="50"/>
    </row>
    <row r="424" spans="1:14" ht="46.8" x14ac:dyDescent="0.3">
      <c r="A424" s="64" t="s">
        <v>709</v>
      </c>
      <c r="B424" s="62" t="s">
        <v>924</v>
      </c>
      <c r="C424" s="68" t="s">
        <v>1374</v>
      </c>
      <c r="D424" s="68" t="s">
        <v>1374</v>
      </c>
      <c r="E424" s="8" t="s">
        <v>398</v>
      </c>
      <c r="F424" s="8"/>
      <c r="G424" s="13" t="s">
        <v>1175</v>
      </c>
      <c r="H424" s="14">
        <f t="shared" si="204"/>
        <v>1108.239</v>
      </c>
      <c r="I424" s="14">
        <f t="shared" si="204"/>
        <v>1108.239</v>
      </c>
      <c r="J424" s="14">
        <f t="shared" si="204"/>
        <v>1108.239</v>
      </c>
      <c r="K424" s="78">
        <f t="shared" si="191"/>
        <v>100</v>
      </c>
      <c r="L424" s="14">
        <f t="shared" si="204"/>
        <v>0</v>
      </c>
      <c r="M424" s="50"/>
      <c r="N424" s="50"/>
    </row>
    <row r="425" spans="1:14" ht="62.4" x14ac:dyDescent="0.3">
      <c r="A425" s="64" t="s">
        <v>709</v>
      </c>
      <c r="B425" s="62" t="s">
        <v>924</v>
      </c>
      <c r="C425" s="68" t="s">
        <v>1374</v>
      </c>
      <c r="D425" s="68" t="s">
        <v>1374</v>
      </c>
      <c r="E425" s="8" t="s">
        <v>1337</v>
      </c>
      <c r="F425" s="8"/>
      <c r="G425" s="23" t="s">
        <v>1291</v>
      </c>
      <c r="H425" s="14">
        <f t="shared" si="204"/>
        <v>1108.239</v>
      </c>
      <c r="I425" s="14">
        <f t="shared" si="204"/>
        <v>1108.239</v>
      </c>
      <c r="J425" s="14">
        <f t="shared" si="204"/>
        <v>1108.239</v>
      </c>
      <c r="K425" s="78">
        <f t="shared" si="191"/>
        <v>100</v>
      </c>
      <c r="L425" s="14">
        <f t="shared" si="204"/>
        <v>0</v>
      </c>
      <c r="M425" s="50"/>
      <c r="N425" s="50"/>
    </row>
    <row r="426" spans="1:14" ht="31.2" x14ac:dyDescent="0.3">
      <c r="A426" s="64" t="s">
        <v>709</v>
      </c>
      <c r="B426" s="62" t="s">
        <v>924</v>
      </c>
      <c r="C426" s="68" t="s">
        <v>1374</v>
      </c>
      <c r="D426" s="68" t="s">
        <v>1374</v>
      </c>
      <c r="E426" s="8" t="s">
        <v>1337</v>
      </c>
      <c r="F426" s="45" t="s">
        <v>402</v>
      </c>
      <c r="G426" s="23" t="s">
        <v>819</v>
      </c>
      <c r="H426" s="14">
        <f>H428+H427</f>
        <v>1108.239</v>
      </c>
      <c r="I426" s="14">
        <f t="shared" ref="I426:L426" si="205">I428+I427</f>
        <v>1108.239</v>
      </c>
      <c r="J426" s="14">
        <f t="shared" si="205"/>
        <v>1108.239</v>
      </c>
      <c r="K426" s="78">
        <f t="shared" si="191"/>
        <v>100</v>
      </c>
      <c r="L426" s="14">
        <f t="shared" si="205"/>
        <v>0</v>
      </c>
      <c r="M426" s="50"/>
      <c r="N426" s="50"/>
    </row>
    <row r="427" spans="1:14" x14ac:dyDescent="0.3">
      <c r="A427" s="64" t="s">
        <v>709</v>
      </c>
      <c r="B427" s="62" t="s">
        <v>924</v>
      </c>
      <c r="C427" s="68" t="s">
        <v>1374</v>
      </c>
      <c r="D427" s="68" t="s">
        <v>1374</v>
      </c>
      <c r="E427" s="8" t="s">
        <v>1337</v>
      </c>
      <c r="F427" s="45" t="s">
        <v>726</v>
      </c>
      <c r="G427" s="13" t="s">
        <v>820</v>
      </c>
      <c r="H427" s="19">
        <v>130.07499999999999</v>
      </c>
      <c r="I427" s="14">
        <v>390.22500000000002</v>
      </c>
      <c r="J427" s="14">
        <v>390.22500000000002</v>
      </c>
      <c r="K427" s="78">
        <f t="shared" si="191"/>
        <v>100</v>
      </c>
      <c r="L427" s="14"/>
      <c r="M427" s="50"/>
      <c r="N427" s="50"/>
    </row>
    <row r="428" spans="1:14" x14ac:dyDescent="0.3">
      <c r="A428" s="64" t="s">
        <v>709</v>
      </c>
      <c r="B428" s="62" t="s">
        <v>924</v>
      </c>
      <c r="C428" s="68" t="s">
        <v>1374</v>
      </c>
      <c r="D428" s="68" t="s">
        <v>1374</v>
      </c>
      <c r="E428" s="8" t="s">
        <v>1337</v>
      </c>
      <c r="F428" s="64" t="s">
        <v>223</v>
      </c>
      <c r="G428" s="18" t="s">
        <v>829</v>
      </c>
      <c r="H428" s="14">
        <f>884.5+93.664</f>
        <v>978.16399999999999</v>
      </c>
      <c r="I428" s="14">
        <v>718.01400000000001</v>
      </c>
      <c r="J428" s="14">
        <v>718.01400000000001</v>
      </c>
      <c r="K428" s="78">
        <f t="shared" si="191"/>
        <v>100</v>
      </c>
      <c r="L428" s="14"/>
      <c r="M428" s="50"/>
      <c r="N428" s="50"/>
    </row>
    <row r="429" spans="1:14" ht="31.2" x14ac:dyDescent="0.3">
      <c r="A429" s="64" t="s">
        <v>709</v>
      </c>
      <c r="B429" s="62" t="s">
        <v>924</v>
      </c>
      <c r="C429" s="68" t="s">
        <v>1374</v>
      </c>
      <c r="D429" s="68" t="s">
        <v>1374</v>
      </c>
      <c r="E429" s="8" t="s">
        <v>383</v>
      </c>
      <c r="F429" s="45"/>
      <c r="G429" s="13" t="s">
        <v>1055</v>
      </c>
      <c r="H429" s="14">
        <f t="shared" ref="H429:L433" si="206">H430</f>
        <v>1663</v>
      </c>
      <c r="I429" s="14">
        <f t="shared" si="206"/>
        <v>1663</v>
      </c>
      <c r="J429" s="14">
        <f t="shared" si="206"/>
        <v>1663</v>
      </c>
      <c r="K429" s="78">
        <f t="shared" si="191"/>
        <v>100</v>
      </c>
      <c r="L429" s="14">
        <f t="shared" si="206"/>
        <v>0</v>
      </c>
      <c r="M429" s="50"/>
      <c r="N429" s="50"/>
    </row>
    <row r="430" spans="1:14" ht="46.8" x14ac:dyDescent="0.3">
      <c r="A430" s="64" t="s">
        <v>709</v>
      </c>
      <c r="B430" s="62" t="s">
        <v>924</v>
      </c>
      <c r="C430" s="68" t="s">
        <v>1374</v>
      </c>
      <c r="D430" s="68" t="s">
        <v>1374</v>
      </c>
      <c r="E430" s="8" t="s">
        <v>384</v>
      </c>
      <c r="F430" s="45"/>
      <c r="G430" s="18" t="s">
        <v>133</v>
      </c>
      <c r="H430" s="14">
        <f t="shared" si="206"/>
        <v>1663</v>
      </c>
      <c r="I430" s="14">
        <f t="shared" si="206"/>
        <v>1663</v>
      </c>
      <c r="J430" s="14">
        <f t="shared" si="206"/>
        <v>1663</v>
      </c>
      <c r="K430" s="78">
        <f t="shared" si="191"/>
        <v>100</v>
      </c>
      <c r="L430" s="14">
        <f t="shared" si="206"/>
        <v>0</v>
      </c>
      <c r="M430" s="50"/>
      <c r="N430" s="50"/>
    </row>
    <row r="431" spans="1:14" ht="31.2" x14ac:dyDescent="0.3">
      <c r="A431" s="64" t="s">
        <v>709</v>
      </c>
      <c r="B431" s="62" t="s">
        <v>924</v>
      </c>
      <c r="C431" s="68" t="s">
        <v>1374</v>
      </c>
      <c r="D431" s="68" t="s">
        <v>1374</v>
      </c>
      <c r="E431" s="8" t="s">
        <v>385</v>
      </c>
      <c r="F431" s="45"/>
      <c r="G431" s="13" t="s">
        <v>1059</v>
      </c>
      <c r="H431" s="14">
        <f t="shared" si="206"/>
        <v>1663</v>
      </c>
      <c r="I431" s="14">
        <f t="shared" si="206"/>
        <v>1663</v>
      </c>
      <c r="J431" s="14">
        <f t="shared" si="206"/>
        <v>1663</v>
      </c>
      <c r="K431" s="78">
        <f t="shared" si="191"/>
        <v>100</v>
      </c>
      <c r="L431" s="14">
        <f t="shared" si="206"/>
        <v>0</v>
      </c>
      <c r="M431" s="50"/>
      <c r="N431" s="50"/>
    </row>
    <row r="432" spans="1:14" ht="31.2" x14ac:dyDescent="0.3">
      <c r="A432" s="64" t="s">
        <v>709</v>
      </c>
      <c r="B432" s="62" t="s">
        <v>924</v>
      </c>
      <c r="C432" s="68" t="s">
        <v>1374</v>
      </c>
      <c r="D432" s="68" t="s">
        <v>1374</v>
      </c>
      <c r="E432" s="8" t="s">
        <v>386</v>
      </c>
      <c r="F432" s="45"/>
      <c r="G432" s="13" t="s">
        <v>1060</v>
      </c>
      <c r="H432" s="14">
        <f t="shared" si="206"/>
        <v>1663</v>
      </c>
      <c r="I432" s="14">
        <f t="shared" si="206"/>
        <v>1663</v>
      </c>
      <c r="J432" s="14">
        <f t="shared" si="206"/>
        <v>1663</v>
      </c>
      <c r="K432" s="78">
        <f t="shared" si="191"/>
        <v>100</v>
      </c>
      <c r="L432" s="14">
        <f t="shared" si="206"/>
        <v>0</v>
      </c>
      <c r="M432" s="50"/>
      <c r="N432" s="50"/>
    </row>
    <row r="433" spans="1:14" ht="31.2" x14ac:dyDescent="0.3">
      <c r="A433" s="64" t="s">
        <v>709</v>
      </c>
      <c r="B433" s="62" t="s">
        <v>924</v>
      </c>
      <c r="C433" s="68" t="s">
        <v>1374</v>
      </c>
      <c r="D433" s="68" t="s">
        <v>1374</v>
      </c>
      <c r="E433" s="8" t="s">
        <v>386</v>
      </c>
      <c r="F433" s="45" t="s">
        <v>402</v>
      </c>
      <c r="G433" s="13" t="s">
        <v>819</v>
      </c>
      <c r="H433" s="14">
        <f t="shared" si="206"/>
        <v>1663</v>
      </c>
      <c r="I433" s="14">
        <f t="shared" si="206"/>
        <v>1663</v>
      </c>
      <c r="J433" s="14">
        <f t="shared" si="206"/>
        <v>1663</v>
      </c>
      <c r="K433" s="78">
        <f t="shared" si="191"/>
        <v>100</v>
      </c>
      <c r="L433" s="66">
        <f t="shared" si="206"/>
        <v>0</v>
      </c>
      <c r="M433" s="50"/>
      <c r="N433" s="50"/>
    </row>
    <row r="434" spans="1:14" x14ac:dyDescent="0.3">
      <c r="A434" s="64" t="s">
        <v>709</v>
      </c>
      <c r="B434" s="62" t="s">
        <v>924</v>
      </c>
      <c r="C434" s="68" t="s">
        <v>1374</v>
      </c>
      <c r="D434" s="68" t="s">
        <v>1374</v>
      </c>
      <c r="E434" s="8" t="s">
        <v>386</v>
      </c>
      <c r="F434" s="64" t="s">
        <v>223</v>
      </c>
      <c r="G434" s="18" t="s">
        <v>829</v>
      </c>
      <c r="H434" s="14">
        <v>1663</v>
      </c>
      <c r="I434" s="14">
        <v>1663</v>
      </c>
      <c r="J434" s="14">
        <v>1663</v>
      </c>
      <c r="K434" s="78">
        <f t="shared" si="191"/>
        <v>100</v>
      </c>
      <c r="L434" s="14"/>
      <c r="M434" s="50"/>
      <c r="N434" s="50"/>
    </row>
    <row r="435" spans="1:14" ht="31.2" x14ac:dyDescent="0.3">
      <c r="A435" s="64" t="s">
        <v>709</v>
      </c>
      <c r="B435" s="62" t="s">
        <v>924</v>
      </c>
      <c r="C435" s="68" t="s">
        <v>1374</v>
      </c>
      <c r="D435" s="68" t="s">
        <v>1374</v>
      </c>
      <c r="E435" s="8" t="s">
        <v>429</v>
      </c>
      <c r="F435" s="64"/>
      <c r="G435" s="18" t="s">
        <v>1140</v>
      </c>
      <c r="H435" s="20">
        <v>0</v>
      </c>
      <c r="I435" s="14">
        <f>I436</f>
        <v>975</v>
      </c>
      <c r="J435" s="14">
        <f t="shared" ref="J435:L437" si="207">J436</f>
        <v>975</v>
      </c>
      <c r="K435" s="78">
        <f t="shared" si="191"/>
        <v>100</v>
      </c>
      <c r="L435" s="14">
        <f t="shared" si="207"/>
        <v>0</v>
      </c>
      <c r="M435" s="50"/>
      <c r="N435" s="50"/>
    </row>
    <row r="436" spans="1:14" ht="46.8" x14ac:dyDescent="0.3">
      <c r="A436" s="64" t="s">
        <v>709</v>
      </c>
      <c r="B436" s="62" t="s">
        <v>924</v>
      </c>
      <c r="C436" s="68" t="s">
        <v>1374</v>
      </c>
      <c r="D436" s="68" t="s">
        <v>1374</v>
      </c>
      <c r="E436" s="8" t="s">
        <v>535</v>
      </c>
      <c r="F436" s="64"/>
      <c r="G436" s="18" t="s">
        <v>176</v>
      </c>
      <c r="H436" s="20">
        <v>0</v>
      </c>
      <c r="I436" s="14">
        <f>I437</f>
        <v>975</v>
      </c>
      <c r="J436" s="14">
        <f t="shared" si="207"/>
        <v>975</v>
      </c>
      <c r="K436" s="78">
        <f t="shared" si="191"/>
        <v>100</v>
      </c>
      <c r="L436" s="14">
        <f t="shared" si="207"/>
        <v>0</v>
      </c>
      <c r="M436" s="50"/>
      <c r="N436" s="50"/>
    </row>
    <row r="437" spans="1:14" ht="31.2" x14ac:dyDescent="0.3">
      <c r="A437" s="64" t="s">
        <v>709</v>
      </c>
      <c r="B437" s="62" t="s">
        <v>924</v>
      </c>
      <c r="C437" s="68" t="s">
        <v>1374</v>
      </c>
      <c r="D437" s="68" t="s">
        <v>1374</v>
      </c>
      <c r="E437" s="8" t="s">
        <v>535</v>
      </c>
      <c r="F437" s="45" t="s">
        <v>402</v>
      </c>
      <c r="G437" s="23" t="s">
        <v>819</v>
      </c>
      <c r="H437" s="20">
        <v>0</v>
      </c>
      <c r="I437" s="14">
        <f>I438</f>
        <v>975</v>
      </c>
      <c r="J437" s="14">
        <f t="shared" si="207"/>
        <v>975</v>
      </c>
      <c r="K437" s="78">
        <f t="shared" si="191"/>
        <v>100</v>
      </c>
      <c r="L437" s="14">
        <f t="shared" si="207"/>
        <v>0</v>
      </c>
      <c r="M437" s="50"/>
      <c r="N437" s="50"/>
    </row>
    <row r="438" spans="1:14" x14ac:dyDescent="0.3">
      <c r="A438" s="64" t="s">
        <v>709</v>
      </c>
      <c r="B438" s="62" t="s">
        <v>924</v>
      </c>
      <c r="C438" s="68" t="s">
        <v>1374</v>
      </c>
      <c r="D438" s="68" t="s">
        <v>1374</v>
      </c>
      <c r="E438" s="8" t="s">
        <v>535</v>
      </c>
      <c r="F438" s="64" t="s">
        <v>223</v>
      </c>
      <c r="G438" s="18" t="s">
        <v>829</v>
      </c>
      <c r="H438" s="20">
        <v>0</v>
      </c>
      <c r="I438" s="14">
        <v>975</v>
      </c>
      <c r="J438" s="14">
        <v>975</v>
      </c>
      <c r="K438" s="78">
        <f t="shared" si="191"/>
        <v>100</v>
      </c>
      <c r="L438" s="14"/>
      <c r="M438" s="50"/>
      <c r="N438" s="50"/>
    </row>
    <row r="439" spans="1:14" s="9" customFormat="1" x14ac:dyDescent="0.3">
      <c r="A439" s="6" t="s">
        <v>709</v>
      </c>
      <c r="B439" s="48" t="s">
        <v>925</v>
      </c>
      <c r="C439" s="48" t="s">
        <v>1374</v>
      </c>
      <c r="D439" s="48" t="s">
        <v>1398</v>
      </c>
      <c r="E439" s="6"/>
      <c r="F439" s="6"/>
      <c r="G439" s="7" t="s">
        <v>1404</v>
      </c>
      <c r="H439" s="16">
        <f>H440</f>
        <v>2798.8320000000003</v>
      </c>
      <c r="I439" s="16">
        <f>I440+I457</f>
        <v>3600.0520000000006</v>
      </c>
      <c r="J439" s="16">
        <f t="shared" ref="J439:L439" si="208">J440+J457</f>
        <v>3600.0520000000006</v>
      </c>
      <c r="K439" s="82">
        <f t="shared" si="191"/>
        <v>100</v>
      </c>
      <c r="L439" s="16">
        <f t="shared" si="208"/>
        <v>0</v>
      </c>
      <c r="M439" s="65"/>
      <c r="N439" s="65"/>
    </row>
    <row r="440" spans="1:14" x14ac:dyDescent="0.3">
      <c r="A440" s="64" t="s">
        <v>709</v>
      </c>
      <c r="B440" s="62" t="s">
        <v>925</v>
      </c>
      <c r="C440" s="68" t="s">
        <v>1374</v>
      </c>
      <c r="D440" s="68" t="s">
        <v>1398</v>
      </c>
      <c r="E440" s="64" t="s">
        <v>387</v>
      </c>
      <c r="F440" s="64"/>
      <c r="G440" s="18" t="s">
        <v>851</v>
      </c>
      <c r="H440" s="14">
        <f t="shared" ref="H440:L441" si="209">H441</f>
        <v>2798.8320000000003</v>
      </c>
      <c r="I440" s="14">
        <f t="shared" si="209"/>
        <v>2798.8320000000003</v>
      </c>
      <c r="J440" s="14">
        <f t="shared" si="209"/>
        <v>2798.8320000000003</v>
      </c>
      <c r="K440" s="78">
        <f t="shared" si="191"/>
        <v>100</v>
      </c>
      <c r="L440" s="14">
        <f t="shared" si="209"/>
        <v>0</v>
      </c>
      <c r="M440" s="50"/>
      <c r="N440" s="50"/>
    </row>
    <row r="441" spans="1:14" x14ac:dyDescent="0.3">
      <c r="A441" s="64" t="s">
        <v>709</v>
      </c>
      <c r="B441" s="62" t="s">
        <v>925</v>
      </c>
      <c r="C441" s="68" t="s">
        <v>1374</v>
      </c>
      <c r="D441" s="68" t="s">
        <v>1398</v>
      </c>
      <c r="E441" s="64" t="s">
        <v>399</v>
      </c>
      <c r="F441" s="64"/>
      <c r="G441" s="18" t="s">
        <v>858</v>
      </c>
      <c r="H441" s="14">
        <f t="shared" si="209"/>
        <v>2798.8320000000003</v>
      </c>
      <c r="I441" s="14">
        <f t="shared" si="209"/>
        <v>2798.8320000000003</v>
      </c>
      <c r="J441" s="14">
        <f t="shared" si="209"/>
        <v>2798.8320000000003</v>
      </c>
      <c r="K441" s="78">
        <f t="shared" si="191"/>
        <v>100</v>
      </c>
      <c r="L441" s="14">
        <f t="shared" si="209"/>
        <v>0</v>
      </c>
      <c r="M441" s="50"/>
      <c r="N441" s="50"/>
    </row>
    <row r="442" spans="1:14" ht="46.8" x14ac:dyDescent="0.3">
      <c r="A442" s="64" t="s">
        <v>709</v>
      </c>
      <c r="B442" s="62" t="s">
        <v>925</v>
      </c>
      <c r="C442" s="68" t="s">
        <v>1374</v>
      </c>
      <c r="D442" s="68" t="s">
        <v>1398</v>
      </c>
      <c r="E442" s="64" t="s">
        <v>400</v>
      </c>
      <c r="F442" s="64"/>
      <c r="G442" s="18" t="s">
        <v>112</v>
      </c>
      <c r="H442" s="14">
        <f>H446+H449+H454+H443</f>
        <v>2798.8320000000003</v>
      </c>
      <c r="I442" s="14">
        <f>I446+I449+I454+I443</f>
        <v>2798.8320000000003</v>
      </c>
      <c r="J442" s="14">
        <f t="shared" ref="J442" si="210">J446+J449+J454+J443</f>
        <v>2798.8320000000003</v>
      </c>
      <c r="K442" s="78">
        <f t="shared" si="191"/>
        <v>100</v>
      </c>
      <c r="L442" s="14">
        <f>L446+L449+L454+L443</f>
        <v>0</v>
      </c>
      <c r="M442" s="50"/>
      <c r="N442" s="50"/>
    </row>
    <row r="443" spans="1:14" ht="31.2" x14ac:dyDescent="0.3">
      <c r="A443" s="64" t="s">
        <v>709</v>
      </c>
      <c r="B443" s="62" t="s">
        <v>925</v>
      </c>
      <c r="C443" s="68" t="s">
        <v>1374</v>
      </c>
      <c r="D443" s="68" t="s">
        <v>1398</v>
      </c>
      <c r="E443" s="64" t="s">
        <v>909</v>
      </c>
      <c r="F443" s="64"/>
      <c r="G443" s="18" t="s">
        <v>908</v>
      </c>
      <c r="H443" s="14">
        <f t="shared" ref="H443:L444" si="211">H444</f>
        <v>420</v>
      </c>
      <c r="I443" s="14">
        <f t="shared" si="211"/>
        <v>420</v>
      </c>
      <c r="J443" s="14">
        <f t="shared" si="211"/>
        <v>420</v>
      </c>
      <c r="K443" s="78">
        <f t="shared" si="191"/>
        <v>100</v>
      </c>
      <c r="L443" s="14">
        <f t="shared" si="211"/>
        <v>0</v>
      </c>
      <c r="M443" s="50"/>
      <c r="N443" s="50"/>
    </row>
    <row r="444" spans="1:14" ht="31.2" x14ac:dyDescent="0.3">
      <c r="A444" s="64" t="s">
        <v>709</v>
      </c>
      <c r="B444" s="62" t="s">
        <v>925</v>
      </c>
      <c r="C444" s="68" t="s">
        <v>1374</v>
      </c>
      <c r="D444" s="68" t="s">
        <v>1398</v>
      </c>
      <c r="E444" s="64" t="s">
        <v>909</v>
      </c>
      <c r="F444" s="45" t="s">
        <v>402</v>
      </c>
      <c r="G444" s="23" t="s">
        <v>819</v>
      </c>
      <c r="H444" s="14">
        <f t="shared" si="211"/>
        <v>420</v>
      </c>
      <c r="I444" s="14">
        <f t="shared" si="211"/>
        <v>420</v>
      </c>
      <c r="J444" s="14">
        <f t="shared" si="211"/>
        <v>420</v>
      </c>
      <c r="K444" s="78">
        <f t="shared" si="191"/>
        <v>100</v>
      </c>
      <c r="L444" s="14">
        <f t="shared" si="211"/>
        <v>0</v>
      </c>
      <c r="M444" s="50"/>
      <c r="N444" s="50"/>
    </row>
    <row r="445" spans="1:14" x14ac:dyDescent="0.3">
      <c r="A445" s="64" t="s">
        <v>709</v>
      </c>
      <c r="B445" s="62" t="s">
        <v>925</v>
      </c>
      <c r="C445" s="68" t="s">
        <v>1374</v>
      </c>
      <c r="D445" s="68" t="s">
        <v>1398</v>
      </c>
      <c r="E445" s="64" t="s">
        <v>909</v>
      </c>
      <c r="F445" s="64" t="s">
        <v>223</v>
      </c>
      <c r="G445" s="18" t="s">
        <v>829</v>
      </c>
      <c r="H445" s="14">
        <f>525.432-105.432</f>
        <v>420</v>
      </c>
      <c r="I445" s="14">
        <v>420</v>
      </c>
      <c r="J445" s="14">
        <v>420</v>
      </c>
      <c r="K445" s="78">
        <f t="shared" si="191"/>
        <v>100</v>
      </c>
      <c r="L445" s="14"/>
      <c r="M445" s="50"/>
      <c r="N445" s="50"/>
    </row>
    <row r="446" spans="1:14" ht="78" x14ac:dyDescent="0.3">
      <c r="A446" s="64" t="s">
        <v>709</v>
      </c>
      <c r="B446" s="62" t="s">
        <v>925</v>
      </c>
      <c r="C446" s="68" t="s">
        <v>1374</v>
      </c>
      <c r="D446" s="68" t="s">
        <v>1398</v>
      </c>
      <c r="E446" s="64" t="s">
        <v>401</v>
      </c>
      <c r="F446" s="64"/>
      <c r="G446" s="18" t="s">
        <v>859</v>
      </c>
      <c r="H446" s="14">
        <f t="shared" ref="H446:L447" si="212">H447</f>
        <v>1673.8320000000001</v>
      </c>
      <c r="I446" s="14">
        <f t="shared" si="212"/>
        <v>1673.8320000000001</v>
      </c>
      <c r="J446" s="14">
        <f t="shared" si="212"/>
        <v>1673.8320000000001</v>
      </c>
      <c r="K446" s="78">
        <f t="shared" si="191"/>
        <v>100</v>
      </c>
      <c r="L446" s="14">
        <f t="shared" si="212"/>
        <v>0</v>
      </c>
      <c r="M446" s="50"/>
      <c r="N446" s="50"/>
    </row>
    <row r="447" spans="1:14" ht="31.2" x14ac:dyDescent="0.3">
      <c r="A447" s="64" t="s">
        <v>709</v>
      </c>
      <c r="B447" s="62" t="s">
        <v>925</v>
      </c>
      <c r="C447" s="68" t="s">
        <v>1374</v>
      </c>
      <c r="D447" s="68" t="s">
        <v>1398</v>
      </c>
      <c r="E447" s="64" t="s">
        <v>401</v>
      </c>
      <c r="F447" s="45" t="s">
        <v>402</v>
      </c>
      <c r="G447" s="23" t="s">
        <v>819</v>
      </c>
      <c r="H447" s="14">
        <f t="shared" si="212"/>
        <v>1673.8320000000001</v>
      </c>
      <c r="I447" s="14">
        <f t="shared" si="212"/>
        <v>1673.8320000000001</v>
      </c>
      <c r="J447" s="14">
        <f t="shared" si="212"/>
        <v>1673.8320000000001</v>
      </c>
      <c r="K447" s="78">
        <f t="shared" si="191"/>
        <v>100</v>
      </c>
      <c r="L447" s="14">
        <f t="shared" si="212"/>
        <v>0</v>
      </c>
      <c r="M447" s="50"/>
      <c r="N447" s="50"/>
    </row>
    <row r="448" spans="1:14" x14ac:dyDescent="0.3">
      <c r="A448" s="64" t="s">
        <v>709</v>
      </c>
      <c r="B448" s="62" t="s">
        <v>925</v>
      </c>
      <c r="C448" s="68" t="s">
        <v>1374</v>
      </c>
      <c r="D448" s="68" t="s">
        <v>1398</v>
      </c>
      <c r="E448" s="64" t="s">
        <v>401</v>
      </c>
      <c r="F448" s="64" t="s">
        <v>223</v>
      </c>
      <c r="G448" s="18" t="s">
        <v>829</v>
      </c>
      <c r="H448" s="14">
        <f>1568.4+105.432</f>
        <v>1673.8320000000001</v>
      </c>
      <c r="I448" s="14">
        <v>1673.8320000000001</v>
      </c>
      <c r="J448" s="14">
        <v>1673.8320000000001</v>
      </c>
      <c r="K448" s="78">
        <f t="shared" si="191"/>
        <v>100</v>
      </c>
      <c r="L448" s="14"/>
      <c r="M448" s="50"/>
      <c r="N448" s="50"/>
    </row>
    <row r="449" spans="1:14" ht="31.2" x14ac:dyDescent="0.3">
      <c r="A449" s="64" t="s">
        <v>709</v>
      </c>
      <c r="B449" s="62" t="s">
        <v>925</v>
      </c>
      <c r="C449" s="68" t="s">
        <v>1374</v>
      </c>
      <c r="D449" s="68" t="s">
        <v>1398</v>
      </c>
      <c r="E449" s="64" t="s">
        <v>403</v>
      </c>
      <c r="F449" s="64"/>
      <c r="G449" s="18" t="s">
        <v>860</v>
      </c>
      <c r="H449" s="14">
        <f>H452+H450</f>
        <v>225</v>
      </c>
      <c r="I449" s="14">
        <f>I452+I450</f>
        <v>225</v>
      </c>
      <c r="J449" s="14">
        <f t="shared" ref="J449" si="213">J452+J450</f>
        <v>225</v>
      </c>
      <c r="K449" s="78">
        <f t="shared" si="191"/>
        <v>100</v>
      </c>
      <c r="L449" s="14">
        <f>L452+L450</f>
        <v>0</v>
      </c>
      <c r="M449" s="50"/>
      <c r="N449" s="50"/>
    </row>
    <row r="450" spans="1:14" ht="31.2" x14ac:dyDescent="0.3">
      <c r="A450" s="64" t="s">
        <v>709</v>
      </c>
      <c r="B450" s="62" t="s">
        <v>925</v>
      </c>
      <c r="C450" s="68" t="s">
        <v>1374</v>
      </c>
      <c r="D450" s="68" t="s">
        <v>1398</v>
      </c>
      <c r="E450" s="64" t="s">
        <v>403</v>
      </c>
      <c r="F450" s="45" t="s">
        <v>380</v>
      </c>
      <c r="G450" s="23" t="s">
        <v>809</v>
      </c>
      <c r="H450" s="14">
        <f t="shared" ref="H450:L450" si="214">H451</f>
        <v>5</v>
      </c>
      <c r="I450" s="14">
        <f t="shared" si="214"/>
        <v>5</v>
      </c>
      <c r="J450" s="14">
        <f t="shared" si="214"/>
        <v>5</v>
      </c>
      <c r="K450" s="78">
        <f t="shared" si="191"/>
        <v>100</v>
      </c>
      <c r="L450" s="14">
        <f t="shared" si="214"/>
        <v>0</v>
      </c>
      <c r="M450" s="50"/>
      <c r="N450" s="50"/>
    </row>
    <row r="451" spans="1:14" ht="31.2" x14ac:dyDescent="0.3">
      <c r="A451" s="64" t="s">
        <v>709</v>
      </c>
      <c r="B451" s="62" t="s">
        <v>925</v>
      </c>
      <c r="C451" s="68" t="s">
        <v>1374</v>
      </c>
      <c r="D451" s="68" t="s">
        <v>1398</v>
      </c>
      <c r="E451" s="64" t="s">
        <v>403</v>
      </c>
      <c r="F451" s="8" t="s">
        <v>247</v>
      </c>
      <c r="G451" s="23" t="s">
        <v>810</v>
      </c>
      <c r="H451" s="14">
        <v>5</v>
      </c>
      <c r="I451" s="14">
        <v>5</v>
      </c>
      <c r="J451" s="14">
        <v>5</v>
      </c>
      <c r="K451" s="78">
        <f t="shared" si="191"/>
        <v>100</v>
      </c>
      <c r="L451" s="14"/>
      <c r="M451" s="50"/>
      <c r="N451" s="50"/>
    </row>
    <row r="452" spans="1:14" x14ac:dyDescent="0.3">
      <c r="A452" s="64" t="s">
        <v>709</v>
      </c>
      <c r="B452" s="62" t="s">
        <v>925</v>
      </c>
      <c r="C452" s="68" t="s">
        <v>1374</v>
      </c>
      <c r="D452" s="68" t="s">
        <v>1398</v>
      </c>
      <c r="E452" s="64" t="s">
        <v>403</v>
      </c>
      <c r="F452" s="8" t="s">
        <v>404</v>
      </c>
      <c r="G452" s="13" t="s">
        <v>811</v>
      </c>
      <c r="H452" s="14">
        <f t="shared" ref="H452:L452" si="215">H453</f>
        <v>220</v>
      </c>
      <c r="I452" s="14">
        <f t="shared" si="215"/>
        <v>220</v>
      </c>
      <c r="J452" s="14">
        <f t="shared" si="215"/>
        <v>220</v>
      </c>
      <c r="K452" s="78">
        <f t="shared" si="191"/>
        <v>100</v>
      </c>
      <c r="L452" s="14">
        <f t="shared" si="215"/>
        <v>0</v>
      </c>
      <c r="M452" s="50"/>
      <c r="N452" s="50"/>
    </row>
    <row r="453" spans="1:14" x14ac:dyDescent="0.3">
      <c r="A453" s="64" t="s">
        <v>709</v>
      </c>
      <c r="B453" s="62" t="s">
        <v>925</v>
      </c>
      <c r="C453" s="68" t="s">
        <v>1374</v>
      </c>
      <c r="D453" s="68" t="s">
        <v>1398</v>
      </c>
      <c r="E453" s="64" t="s">
        <v>403</v>
      </c>
      <c r="F453" s="8" t="s">
        <v>723</v>
      </c>
      <c r="G453" s="13" t="s">
        <v>815</v>
      </c>
      <c r="H453" s="14">
        <v>220</v>
      </c>
      <c r="I453" s="14">
        <v>220</v>
      </c>
      <c r="J453" s="14">
        <v>220</v>
      </c>
      <c r="K453" s="78">
        <f t="shared" si="191"/>
        <v>100</v>
      </c>
      <c r="L453" s="14"/>
      <c r="M453" s="50"/>
      <c r="N453" s="50"/>
    </row>
    <row r="454" spans="1:14" ht="46.8" x14ac:dyDescent="0.3">
      <c r="A454" s="64" t="s">
        <v>709</v>
      </c>
      <c r="B454" s="62" t="s">
        <v>925</v>
      </c>
      <c r="C454" s="68" t="s">
        <v>1374</v>
      </c>
      <c r="D454" s="68" t="s">
        <v>1398</v>
      </c>
      <c r="E454" s="64" t="s">
        <v>405</v>
      </c>
      <c r="F454" s="64"/>
      <c r="G454" s="18" t="s">
        <v>1340</v>
      </c>
      <c r="H454" s="14">
        <f t="shared" ref="H454:L455" si="216">H455</f>
        <v>480</v>
      </c>
      <c r="I454" s="14">
        <f t="shared" si="216"/>
        <v>480</v>
      </c>
      <c r="J454" s="14">
        <f t="shared" si="216"/>
        <v>480</v>
      </c>
      <c r="K454" s="78">
        <f t="shared" si="191"/>
        <v>100</v>
      </c>
      <c r="L454" s="14">
        <f t="shared" si="216"/>
        <v>0</v>
      </c>
      <c r="M454" s="50"/>
      <c r="N454" s="50"/>
    </row>
    <row r="455" spans="1:14" x14ac:dyDescent="0.3">
      <c r="A455" s="64" t="s">
        <v>709</v>
      </c>
      <c r="B455" s="62" t="s">
        <v>925</v>
      </c>
      <c r="C455" s="68" t="s">
        <v>1374</v>
      </c>
      <c r="D455" s="68" t="s">
        <v>1398</v>
      </c>
      <c r="E455" s="64" t="s">
        <v>405</v>
      </c>
      <c r="F455" s="8" t="s">
        <v>404</v>
      </c>
      <c r="G455" s="13" t="s">
        <v>811</v>
      </c>
      <c r="H455" s="14">
        <f t="shared" si="216"/>
        <v>480</v>
      </c>
      <c r="I455" s="14">
        <f t="shared" si="216"/>
        <v>480</v>
      </c>
      <c r="J455" s="14">
        <f t="shared" si="216"/>
        <v>480</v>
      </c>
      <c r="K455" s="78">
        <f t="shared" si="191"/>
        <v>100</v>
      </c>
      <c r="L455" s="14">
        <f t="shared" si="216"/>
        <v>0</v>
      </c>
      <c r="M455" s="50"/>
      <c r="N455" s="50"/>
    </row>
    <row r="456" spans="1:14" x14ac:dyDescent="0.3">
      <c r="A456" s="64" t="s">
        <v>709</v>
      </c>
      <c r="B456" s="62" t="s">
        <v>925</v>
      </c>
      <c r="C456" s="68" t="s">
        <v>1374</v>
      </c>
      <c r="D456" s="68" t="s">
        <v>1398</v>
      </c>
      <c r="E456" s="64" t="s">
        <v>405</v>
      </c>
      <c r="F456" s="45" t="s">
        <v>722</v>
      </c>
      <c r="G456" s="18" t="s">
        <v>827</v>
      </c>
      <c r="H456" s="14">
        <v>480</v>
      </c>
      <c r="I456" s="14">
        <v>480</v>
      </c>
      <c r="J456" s="14">
        <v>480</v>
      </c>
      <c r="K456" s="78">
        <f t="shared" ref="K456:K519" si="217">J456/I456*100</f>
        <v>100</v>
      </c>
      <c r="L456" s="14"/>
      <c r="M456" s="50"/>
      <c r="N456" s="50"/>
    </row>
    <row r="457" spans="1:14" ht="31.2" x14ac:dyDescent="0.3">
      <c r="A457" s="64" t="s">
        <v>709</v>
      </c>
      <c r="B457" s="62" t="s">
        <v>925</v>
      </c>
      <c r="C457" s="68" t="s">
        <v>1374</v>
      </c>
      <c r="D457" s="68" t="s">
        <v>1398</v>
      </c>
      <c r="E457" s="8" t="s">
        <v>429</v>
      </c>
      <c r="F457" s="64"/>
      <c r="G457" s="18" t="s">
        <v>1140</v>
      </c>
      <c r="H457" s="20">
        <v>0</v>
      </c>
      <c r="I457" s="14">
        <f>I458+I461</f>
        <v>801.22</v>
      </c>
      <c r="J457" s="14">
        <f t="shared" ref="J457:L457" si="218">J458+J461</f>
        <v>801.22</v>
      </c>
      <c r="K457" s="78">
        <f t="shared" si="217"/>
        <v>100</v>
      </c>
      <c r="L457" s="14">
        <f t="shared" si="218"/>
        <v>0</v>
      </c>
      <c r="M457" s="50"/>
      <c r="N457" s="50"/>
    </row>
    <row r="458" spans="1:14" ht="46.8" x14ac:dyDescent="0.3">
      <c r="A458" s="64" t="s">
        <v>709</v>
      </c>
      <c r="B458" s="62" t="s">
        <v>925</v>
      </c>
      <c r="C458" s="68" t="s">
        <v>1374</v>
      </c>
      <c r="D458" s="68" t="s">
        <v>1398</v>
      </c>
      <c r="E458" s="8" t="s">
        <v>535</v>
      </c>
      <c r="F458" s="64"/>
      <c r="G458" s="18" t="s">
        <v>176</v>
      </c>
      <c r="H458" s="20">
        <v>0</v>
      </c>
      <c r="I458" s="14">
        <f>I459</f>
        <v>706.22</v>
      </c>
      <c r="J458" s="14">
        <f t="shared" ref="J458:L459" si="219">J459</f>
        <v>706.22</v>
      </c>
      <c r="K458" s="78">
        <f t="shared" si="217"/>
        <v>100</v>
      </c>
      <c r="L458" s="14">
        <f t="shared" si="219"/>
        <v>0</v>
      </c>
      <c r="M458" s="50"/>
      <c r="N458" s="50"/>
    </row>
    <row r="459" spans="1:14" ht="31.2" x14ac:dyDescent="0.3">
      <c r="A459" s="64" t="s">
        <v>709</v>
      </c>
      <c r="B459" s="62" t="s">
        <v>925</v>
      </c>
      <c r="C459" s="68" t="s">
        <v>1374</v>
      </c>
      <c r="D459" s="68" t="s">
        <v>1398</v>
      </c>
      <c r="E459" s="8" t="s">
        <v>535</v>
      </c>
      <c r="F459" s="45" t="s">
        <v>402</v>
      </c>
      <c r="G459" s="23" t="s">
        <v>819</v>
      </c>
      <c r="H459" s="20">
        <v>0</v>
      </c>
      <c r="I459" s="14">
        <f>I460</f>
        <v>706.22</v>
      </c>
      <c r="J459" s="14">
        <f t="shared" si="219"/>
        <v>706.22</v>
      </c>
      <c r="K459" s="78">
        <f t="shared" si="217"/>
        <v>100</v>
      </c>
      <c r="L459" s="14">
        <f t="shared" si="219"/>
        <v>0</v>
      </c>
      <c r="M459" s="50"/>
      <c r="N459" s="50"/>
    </row>
    <row r="460" spans="1:14" x14ac:dyDescent="0.3">
      <c r="A460" s="64" t="s">
        <v>709</v>
      </c>
      <c r="B460" s="62" t="s">
        <v>925</v>
      </c>
      <c r="C460" s="68" t="s">
        <v>1374</v>
      </c>
      <c r="D460" s="68" t="s">
        <v>1398</v>
      </c>
      <c r="E460" s="8" t="s">
        <v>535</v>
      </c>
      <c r="F460" s="64" t="s">
        <v>223</v>
      </c>
      <c r="G460" s="18" t="s">
        <v>829</v>
      </c>
      <c r="H460" s="20">
        <v>0</v>
      </c>
      <c r="I460" s="14">
        <v>706.22</v>
      </c>
      <c r="J460" s="14">
        <v>706.22</v>
      </c>
      <c r="K460" s="78">
        <f t="shared" si="217"/>
        <v>100</v>
      </c>
      <c r="L460" s="14"/>
      <c r="M460" s="50"/>
      <c r="N460" s="50"/>
    </row>
    <row r="461" spans="1:14" x14ac:dyDescent="0.3">
      <c r="A461" s="64" t="s">
        <v>709</v>
      </c>
      <c r="B461" s="62" t="s">
        <v>925</v>
      </c>
      <c r="C461" s="68" t="s">
        <v>1374</v>
      </c>
      <c r="D461" s="68" t="s">
        <v>1398</v>
      </c>
      <c r="E461" s="8" t="s">
        <v>430</v>
      </c>
      <c r="F461" s="8"/>
      <c r="G461" s="13" t="s">
        <v>1141</v>
      </c>
      <c r="H461" s="19">
        <v>0</v>
      </c>
      <c r="I461" s="14">
        <f>I462</f>
        <v>95</v>
      </c>
      <c r="J461" s="14">
        <f t="shared" ref="J461:L463" si="220">J462</f>
        <v>95</v>
      </c>
      <c r="K461" s="78">
        <f t="shared" si="217"/>
        <v>100</v>
      </c>
      <c r="L461" s="14">
        <f t="shared" si="220"/>
        <v>0</v>
      </c>
      <c r="M461" s="50"/>
      <c r="N461" s="50"/>
    </row>
    <row r="462" spans="1:14" ht="46.8" x14ac:dyDescent="0.3">
      <c r="A462" s="64" t="s">
        <v>709</v>
      </c>
      <c r="B462" s="62" t="s">
        <v>925</v>
      </c>
      <c r="C462" s="68" t="s">
        <v>1374</v>
      </c>
      <c r="D462" s="68" t="s">
        <v>1398</v>
      </c>
      <c r="E462" s="8" t="s">
        <v>39</v>
      </c>
      <c r="F462" s="8"/>
      <c r="G462" s="13" t="s">
        <v>40</v>
      </c>
      <c r="H462" s="19">
        <v>0</v>
      </c>
      <c r="I462" s="14">
        <f>I463</f>
        <v>95</v>
      </c>
      <c r="J462" s="14">
        <f t="shared" si="220"/>
        <v>95</v>
      </c>
      <c r="K462" s="78">
        <f t="shared" si="217"/>
        <v>100</v>
      </c>
      <c r="L462" s="14">
        <f t="shared" si="220"/>
        <v>0</v>
      </c>
      <c r="M462" s="50"/>
      <c r="N462" s="50"/>
    </row>
    <row r="463" spans="1:14" ht="31.2" x14ac:dyDescent="0.3">
      <c r="A463" s="64" t="s">
        <v>709</v>
      </c>
      <c r="B463" s="62" t="s">
        <v>925</v>
      </c>
      <c r="C463" s="68" t="s">
        <v>1374</v>
      </c>
      <c r="D463" s="68" t="s">
        <v>1398</v>
      </c>
      <c r="E463" s="8" t="s">
        <v>39</v>
      </c>
      <c r="F463" s="45" t="s">
        <v>402</v>
      </c>
      <c r="G463" s="23" t="s">
        <v>819</v>
      </c>
      <c r="H463" s="19">
        <v>0</v>
      </c>
      <c r="I463" s="14">
        <f>I464</f>
        <v>95</v>
      </c>
      <c r="J463" s="14">
        <f t="shared" si="220"/>
        <v>95</v>
      </c>
      <c r="K463" s="78">
        <f t="shared" si="217"/>
        <v>100</v>
      </c>
      <c r="L463" s="14">
        <f t="shared" si="220"/>
        <v>0</v>
      </c>
      <c r="M463" s="50"/>
      <c r="N463" s="50"/>
    </row>
    <row r="464" spans="1:14" x14ac:dyDescent="0.3">
      <c r="A464" s="64" t="s">
        <v>709</v>
      </c>
      <c r="B464" s="62" t="s">
        <v>925</v>
      </c>
      <c r="C464" s="68" t="s">
        <v>1374</v>
      </c>
      <c r="D464" s="68" t="s">
        <v>1398</v>
      </c>
      <c r="E464" s="8" t="s">
        <v>39</v>
      </c>
      <c r="F464" s="64" t="s">
        <v>223</v>
      </c>
      <c r="G464" s="18" t="s">
        <v>829</v>
      </c>
      <c r="H464" s="19">
        <v>0</v>
      </c>
      <c r="I464" s="14">
        <v>95</v>
      </c>
      <c r="J464" s="14">
        <v>95</v>
      </c>
      <c r="K464" s="78">
        <f t="shared" si="217"/>
        <v>100</v>
      </c>
      <c r="L464" s="14"/>
      <c r="M464" s="50"/>
      <c r="N464" s="50"/>
    </row>
    <row r="465" spans="1:14" s="3" customFormat="1" x14ac:dyDescent="0.3">
      <c r="A465" s="4" t="s">
        <v>709</v>
      </c>
      <c r="B465" s="43" t="s">
        <v>1402</v>
      </c>
      <c r="C465" s="43" t="s">
        <v>1402</v>
      </c>
      <c r="D465" s="43" t="s">
        <v>915</v>
      </c>
      <c r="E465" s="4"/>
      <c r="F465" s="4"/>
      <c r="G465" s="5" t="s">
        <v>1405</v>
      </c>
      <c r="H465" s="15">
        <f t="shared" ref="H465:L465" si="221">H466+H603</f>
        <v>865624.7159999999</v>
      </c>
      <c r="I465" s="15">
        <f t="shared" si="221"/>
        <v>881872.90846000006</v>
      </c>
      <c r="J465" s="15">
        <f t="shared" si="221"/>
        <v>881680.87457999983</v>
      </c>
      <c r="K465" s="81">
        <f t="shared" si="217"/>
        <v>99.978224313485768</v>
      </c>
      <c r="L465" s="15">
        <f t="shared" si="221"/>
        <v>0</v>
      </c>
      <c r="M465" s="65"/>
      <c r="N465" s="65"/>
    </row>
    <row r="466" spans="1:14" s="9" customFormat="1" x14ac:dyDescent="0.3">
      <c r="A466" s="6" t="s">
        <v>709</v>
      </c>
      <c r="B466" s="48" t="s">
        <v>926</v>
      </c>
      <c r="C466" s="48" t="s">
        <v>1402</v>
      </c>
      <c r="D466" s="48" t="s">
        <v>1372</v>
      </c>
      <c r="E466" s="6"/>
      <c r="F466" s="6"/>
      <c r="G466" s="7" t="s">
        <v>1406</v>
      </c>
      <c r="H466" s="16">
        <f>H467+H479+H490</f>
        <v>844965.61599999992</v>
      </c>
      <c r="I466" s="16">
        <f t="shared" ref="I466:L466" si="222">I467+I479+I490+I598</f>
        <v>860945.10846000002</v>
      </c>
      <c r="J466" s="16">
        <f t="shared" si="222"/>
        <v>860755.4100299998</v>
      </c>
      <c r="K466" s="82">
        <f t="shared" si="217"/>
        <v>99.977966257298391</v>
      </c>
      <c r="L466" s="16">
        <f t="shared" si="222"/>
        <v>0</v>
      </c>
      <c r="M466" s="65"/>
      <c r="N466" s="65"/>
    </row>
    <row r="467" spans="1:14" ht="46.8" x14ac:dyDescent="0.3">
      <c r="A467" s="64" t="s">
        <v>709</v>
      </c>
      <c r="B467" s="62" t="s">
        <v>926</v>
      </c>
      <c r="C467" s="68" t="s">
        <v>1402</v>
      </c>
      <c r="D467" s="68" t="s">
        <v>1372</v>
      </c>
      <c r="E467" s="8" t="s">
        <v>338</v>
      </c>
      <c r="F467" s="8"/>
      <c r="G467" s="13" t="s">
        <v>843</v>
      </c>
      <c r="H467" s="14">
        <f>H468+H475</f>
        <v>3883</v>
      </c>
      <c r="I467" s="14">
        <f>I468+I475</f>
        <v>3983</v>
      </c>
      <c r="J467" s="14">
        <f t="shared" ref="J467" si="223">J468+J475</f>
        <v>3982.9996499999997</v>
      </c>
      <c r="K467" s="78">
        <f t="shared" si="217"/>
        <v>99.999991212653768</v>
      </c>
      <c r="L467" s="14">
        <f>L468+L475</f>
        <v>0</v>
      </c>
      <c r="M467" s="50"/>
      <c r="N467" s="50"/>
    </row>
    <row r="468" spans="1:14" ht="46.8" x14ac:dyDescent="0.3">
      <c r="A468" s="64" t="s">
        <v>709</v>
      </c>
      <c r="B468" s="62" t="s">
        <v>926</v>
      </c>
      <c r="C468" s="68" t="s">
        <v>1402</v>
      </c>
      <c r="D468" s="68" t="s">
        <v>1372</v>
      </c>
      <c r="E468" s="8" t="s">
        <v>339</v>
      </c>
      <c r="F468" s="8"/>
      <c r="G468" s="13" t="s">
        <v>844</v>
      </c>
      <c r="H468" s="14">
        <f t="shared" ref="H468:L470" si="224">H469</f>
        <v>3343</v>
      </c>
      <c r="I468" s="14">
        <f t="shared" si="224"/>
        <v>3443</v>
      </c>
      <c r="J468" s="14">
        <f t="shared" si="224"/>
        <v>3442.9996499999997</v>
      </c>
      <c r="K468" s="78">
        <f t="shared" si="217"/>
        <v>99.999989834446694</v>
      </c>
      <c r="L468" s="14">
        <f t="shared" si="224"/>
        <v>0</v>
      </c>
      <c r="M468" s="50"/>
      <c r="N468" s="50"/>
    </row>
    <row r="469" spans="1:14" ht="62.4" x14ac:dyDescent="0.3">
      <c r="A469" s="64" t="s">
        <v>709</v>
      </c>
      <c r="B469" s="62" t="s">
        <v>926</v>
      </c>
      <c r="C469" s="68" t="s">
        <v>1402</v>
      </c>
      <c r="D469" s="68" t="s">
        <v>1372</v>
      </c>
      <c r="E469" s="8" t="s">
        <v>340</v>
      </c>
      <c r="F469" s="8"/>
      <c r="G469" s="13" t="s">
        <v>845</v>
      </c>
      <c r="H469" s="14">
        <f>H470+H472</f>
        <v>3343</v>
      </c>
      <c r="I469" s="14">
        <f>I470+I472</f>
        <v>3443</v>
      </c>
      <c r="J469" s="14">
        <f t="shared" ref="J469" si="225">J470+J472</f>
        <v>3442.9996499999997</v>
      </c>
      <c r="K469" s="78">
        <f t="shared" si="217"/>
        <v>99.999989834446694</v>
      </c>
      <c r="L469" s="14">
        <f>L470+L472</f>
        <v>0</v>
      </c>
      <c r="M469" s="50"/>
      <c r="N469" s="50"/>
    </row>
    <row r="470" spans="1:14" ht="31.2" x14ac:dyDescent="0.3">
      <c r="A470" s="64" t="s">
        <v>709</v>
      </c>
      <c r="B470" s="62" t="s">
        <v>926</v>
      </c>
      <c r="C470" s="68" t="s">
        <v>1402</v>
      </c>
      <c r="D470" s="68" t="s">
        <v>1372</v>
      </c>
      <c r="E470" s="8" t="s">
        <v>340</v>
      </c>
      <c r="F470" s="45" t="s">
        <v>380</v>
      </c>
      <c r="G470" s="23" t="s">
        <v>809</v>
      </c>
      <c r="H470" s="14">
        <f t="shared" si="224"/>
        <v>550</v>
      </c>
      <c r="I470" s="14">
        <f t="shared" si="224"/>
        <v>550</v>
      </c>
      <c r="J470" s="14">
        <f t="shared" si="224"/>
        <v>549.99964999999997</v>
      </c>
      <c r="K470" s="78">
        <f t="shared" si="217"/>
        <v>99.999936363636351</v>
      </c>
      <c r="L470" s="14">
        <f t="shared" si="224"/>
        <v>0</v>
      </c>
      <c r="M470" s="50"/>
      <c r="N470" s="50"/>
    </row>
    <row r="471" spans="1:14" ht="31.2" x14ac:dyDescent="0.3">
      <c r="A471" s="64" t="s">
        <v>709</v>
      </c>
      <c r="B471" s="62" t="s">
        <v>926</v>
      </c>
      <c r="C471" s="68" t="s">
        <v>1402</v>
      </c>
      <c r="D471" s="68" t="s">
        <v>1372</v>
      </c>
      <c r="E471" s="8" t="s">
        <v>340</v>
      </c>
      <c r="F471" s="8" t="s">
        <v>247</v>
      </c>
      <c r="G471" s="23" t="s">
        <v>810</v>
      </c>
      <c r="H471" s="14">
        <v>550</v>
      </c>
      <c r="I471" s="14">
        <v>550</v>
      </c>
      <c r="J471" s="14">
        <v>549.99964999999997</v>
      </c>
      <c r="K471" s="78">
        <f t="shared" si="217"/>
        <v>99.999936363636351</v>
      </c>
      <c r="L471" s="14"/>
      <c r="M471" s="50"/>
      <c r="N471" s="50"/>
    </row>
    <row r="472" spans="1:14" ht="31.2" x14ac:dyDescent="0.3">
      <c r="A472" s="64" t="s">
        <v>709</v>
      </c>
      <c r="B472" s="62" t="s">
        <v>926</v>
      </c>
      <c r="C472" s="68" t="s">
        <v>1402</v>
      </c>
      <c r="D472" s="68" t="s">
        <v>1372</v>
      </c>
      <c r="E472" s="8" t="s">
        <v>340</v>
      </c>
      <c r="F472" s="45" t="s">
        <v>402</v>
      </c>
      <c r="G472" s="23" t="s">
        <v>819</v>
      </c>
      <c r="H472" s="14">
        <f>H473+H474</f>
        <v>2793</v>
      </c>
      <c r="I472" s="14">
        <f>I473+I474</f>
        <v>2893</v>
      </c>
      <c r="J472" s="14">
        <f t="shared" ref="J472" si="226">J473+J474</f>
        <v>2893</v>
      </c>
      <c r="K472" s="78">
        <f t="shared" si="217"/>
        <v>100</v>
      </c>
      <c r="L472" s="14">
        <f>L473+L474</f>
        <v>0</v>
      </c>
      <c r="M472" s="50"/>
      <c r="N472" s="50"/>
    </row>
    <row r="473" spans="1:14" x14ac:dyDescent="0.3">
      <c r="A473" s="64" t="s">
        <v>709</v>
      </c>
      <c r="B473" s="62" t="s">
        <v>926</v>
      </c>
      <c r="C473" s="68" t="s">
        <v>1402</v>
      </c>
      <c r="D473" s="68" t="s">
        <v>1372</v>
      </c>
      <c r="E473" s="8" t="s">
        <v>340</v>
      </c>
      <c r="F473" s="8" t="s">
        <v>726</v>
      </c>
      <c r="G473" s="13" t="s">
        <v>820</v>
      </c>
      <c r="H473" s="14">
        <v>593</v>
      </c>
      <c r="I473" s="14">
        <v>593</v>
      </c>
      <c r="J473" s="14">
        <v>593</v>
      </c>
      <c r="K473" s="78">
        <f t="shared" si="217"/>
        <v>100</v>
      </c>
      <c r="L473" s="14"/>
      <c r="M473" s="50"/>
      <c r="N473" s="50"/>
    </row>
    <row r="474" spans="1:14" x14ac:dyDescent="0.3">
      <c r="A474" s="64" t="s">
        <v>709</v>
      </c>
      <c r="B474" s="62" t="s">
        <v>926</v>
      </c>
      <c r="C474" s="68" t="s">
        <v>1402</v>
      </c>
      <c r="D474" s="68" t="s">
        <v>1372</v>
      </c>
      <c r="E474" s="8" t="s">
        <v>340</v>
      </c>
      <c r="F474" s="64" t="s">
        <v>223</v>
      </c>
      <c r="G474" s="18" t="s">
        <v>829</v>
      </c>
      <c r="H474" s="14">
        <f>1000+1200</f>
        <v>2200</v>
      </c>
      <c r="I474" s="14">
        <v>2300</v>
      </c>
      <c r="J474" s="14">
        <v>2300</v>
      </c>
      <c r="K474" s="78">
        <f t="shared" si="217"/>
        <v>100</v>
      </c>
      <c r="L474" s="14"/>
      <c r="M474" s="50"/>
      <c r="N474" s="50"/>
    </row>
    <row r="475" spans="1:14" ht="46.8" x14ac:dyDescent="0.3">
      <c r="A475" s="64" t="s">
        <v>709</v>
      </c>
      <c r="B475" s="62" t="s">
        <v>926</v>
      </c>
      <c r="C475" s="68" t="s">
        <v>1402</v>
      </c>
      <c r="D475" s="68" t="s">
        <v>1372</v>
      </c>
      <c r="E475" s="8" t="s">
        <v>341</v>
      </c>
      <c r="F475" s="8"/>
      <c r="G475" s="13" t="s">
        <v>846</v>
      </c>
      <c r="H475" s="14">
        <f t="shared" ref="H475:L477" si="227">H476</f>
        <v>540</v>
      </c>
      <c r="I475" s="14">
        <f t="shared" si="227"/>
        <v>540</v>
      </c>
      <c r="J475" s="14">
        <f t="shared" si="227"/>
        <v>540</v>
      </c>
      <c r="K475" s="78">
        <f t="shared" si="217"/>
        <v>100</v>
      </c>
      <c r="L475" s="14">
        <f t="shared" si="227"/>
        <v>0</v>
      </c>
      <c r="M475" s="50"/>
      <c r="N475" s="50"/>
    </row>
    <row r="476" spans="1:14" ht="62.4" x14ac:dyDescent="0.3">
      <c r="A476" s="64" t="s">
        <v>709</v>
      </c>
      <c r="B476" s="62" t="s">
        <v>926</v>
      </c>
      <c r="C476" s="68" t="s">
        <v>1402</v>
      </c>
      <c r="D476" s="68" t="s">
        <v>1372</v>
      </c>
      <c r="E476" s="8" t="s">
        <v>342</v>
      </c>
      <c r="F476" s="8"/>
      <c r="G476" s="13" t="s">
        <v>847</v>
      </c>
      <c r="H476" s="14">
        <f t="shared" si="227"/>
        <v>540</v>
      </c>
      <c r="I476" s="14">
        <f t="shared" si="227"/>
        <v>540</v>
      </c>
      <c r="J476" s="14">
        <f t="shared" si="227"/>
        <v>540</v>
      </c>
      <c r="K476" s="78">
        <f t="shared" si="217"/>
        <v>100</v>
      </c>
      <c r="L476" s="14">
        <f t="shared" si="227"/>
        <v>0</v>
      </c>
      <c r="M476" s="50"/>
      <c r="N476" s="50"/>
    </row>
    <row r="477" spans="1:14" ht="31.2" x14ac:dyDescent="0.3">
      <c r="A477" s="64" t="s">
        <v>709</v>
      </c>
      <c r="B477" s="62" t="s">
        <v>926</v>
      </c>
      <c r="C477" s="68" t="s">
        <v>1402</v>
      </c>
      <c r="D477" s="68" t="s">
        <v>1372</v>
      </c>
      <c r="E477" s="8" t="s">
        <v>342</v>
      </c>
      <c r="F477" s="45" t="s">
        <v>402</v>
      </c>
      <c r="G477" s="23" t="s">
        <v>819</v>
      </c>
      <c r="H477" s="14">
        <f t="shared" si="227"/>
        <v>540</v>
      </c>
      <c r="I477" s="14">
        <f t="shared" si="227"/>
        <v>540</v>
      </c>
      <c r="J477" s="14">
        <f t="shared" si="227"/>
        <v>540</v>
      </c>
      <c r="K477" s="78">
        <f t="shared" si="217"/>
        <v>100</v>
      </c>
      <c r="L477" s="14">
        <f t="shared" si="227"/>
        <v>0</v>
      </c>
      <c r="M477" s="50"/>
      <c r="N477" s="50"/>
    </row>
    <row r="478" spans="1:14" x14ac:dyDescent="0.3">
      <c r="A478" s="64" t="s">
        <v>709</v>
      </c>
      <c r="B478" s="62" t="s">
        <v>926</v>
      </c>
      <c r="C478" s="68" t="s">
        <v>1402</v>
      </c>
      <c r="D478" s="68" t="s">
        <v>1372</v>
      </c>
      <c r="E478" s="8" t="s">
        <v>342</v>
      </c>
      <c r="F478" s="64" t="s">
        <v>223</v>
      </c>
      <c r="G478" s="18" t="s">
        <v>829</v>
      </c>
      <c r="H478" s="14">
        <v>540</v>
      </c>
      <c r="I478" s="14">
        <v>540</v>
      </c>
      <c r="J478" s="14">
        <v>540</v>
      </c>
      <c r="K478" s="78">
        <f t="shared" si="217"/>
        <v>100</v>
      </c>
      <c r="L478" s="14"/>
      <c r="M478" s="50"/>
      <c r="N478" s="50"/>
    </row>
    <row r="479" spans="1:14" ht="31.2" x14ac:dyDescent="0.3">
      <c r="A479" s="64" t="s">
        <v>709</v>
      </c>
      <c r="B479" s="62" t="s">
        <v>926</v>
      </c>
      <c r="C479" s="68" t="s">
        <v>1402</v>
      </c>
      <c r="D479" s="68" t="s">
        <v>1372</v>
      </c>
      <c r="E479" s="8" t="s">
        <v>406</v>
      </c>
      <c r="F479" s="8"/>
      <c r="G479" s="13" t="s">
        <v>848</v>
      </c>
      <c r="H479" s="14">
        <f>H480+H485</f>
        <v>2270.9139999999998</v>
      </c>
      <c r="I479" s="14">
        <f>I480+I485</f>
        <v>2270.9139999999998</v>
      </c>
      <c r="J479" s="14">
        <f t="shared" ref="J479" si="228">J480+J485</f>
        <v>2270.9132</v>
      </c>
      <c r="K479" s="78">
        <f t="shared" si="217"/>
        <v>99.999964771893616</v>
      </c>
      <c r="L479" s="14">
        <f>L480+L485</f>
        <v>0</v>
      </c>
      <c r="M479" s="50"/>
      <c r="N479" s="50"/>
    </row>
    <row r="480" spans="1:14" ht="62.4" x14ac:dyDescent="0.3">
      <c r="A480" s="64" t="s">
        <v>709</v>
      </c>
      <c r="B480" s="62" t="s">
        <v>926</v>
      </c>
      <c r="C480" s="68" t="s">
        <v>1402</v>
      </c>
      <c r="D480" s="68" t="s">
        <v>1372</v>
      </c>
      <c r="E480" s="8" t="s">
        <v>407</v>
      </c>
      <c r="F480" s="8"/>
      <c r="G480" s="13" t="s">
        <v>1353</v>
      </c>
      <c r="H480" s="14">
        <f t="shared" ref="H480:L480" si="229">H481</f>
        <v>1118</v>
      </c>
      <c r="I480" s="14">
        <f t="shared" si="229"/>
        <v>1118</v>
      </c>
      <c r="J480" s="14">
        <f t="shared" si="229"/>
        <v>1118</v>
      </c>
      <c r="K480" s="78">
        <f t="shared" si="217"/>
        <v>100</v>
      </c>
      <c r="L480" s="14">
        <f t="shared" si="229"/>
        <v>0</v>
      </c>
      <c r="M480" s="50"/>
      <c r="N480" s="50"/>
    </row>
    <row r="481" spans="1:14" ht="46.8" x14ac:dyDescent="0.3">
      <c r="A481" s="64" t="s">
        <v>709</v>
      </c>
      <c r="B481" s="62" t="s">
        <v>926</v>
      </c>
      <c r="C481" s="68" t="s">
        <v>1402</v>
      </c>
      <c r="D481" s="68" t="s">
        <v>1372</v>
      </c>
      <c r="E481" s="8" t="s">
        <v>611</v>
      </c>
      <c r="F481" s="8"/>
      <c r="G481" s="18" t="s">
        <v>1189</v>
      </c>
      <c r="H481" s="14">
        <f t="shared" ref="H481:L483" si="230">H482</f>
        <v>1118</v>
      </c>
      <c r="I481" s="14">
        <f t="shared" si="230"/>
        <v>1118</v>
      </c>
      <c r="J481" s="14">
        <f t="shared" si="230"/>
        <v>1118</v>
      </c>
      <c r="K481" s="78">
        <f t="shared" si="217"/>
        <v>100</v>
      </c>
      <c r="L481" s="14">
        <f t="shared" si="230"/>
        <v>0</v>
      </c>
      <c r="M481" s="50"/>
      <c r="N481" s="50"/>
    </row>
    <row r="482" spans="1:14" x14ac:dyDescent="0.3">
      <c r="A482" s="64" t="s">
        <v>709</v>
      </c>
      <c r="B482" s="62" t="s">
        <v>926</v>
      </c>
      <c r="C482" s="68" t="s">
        <v>1402</v>
      </c>
      <c r="D482" s="68" t="s">
        <v>1372</v>
      </c>
      <c r="E482" s="8" t="s">
        <v>63</v>
      </c>
      <c r="F482" s="8"/>
      <c r="G482" s="13" t="s">
        <v>148</v>
      </c>
      <c r="H482" s="14">
        <f t="shared" si="230"/>
        <v>1118</v>
      </c>
      <c r="I482" s="14">
        <f t="shared" si="230"/>
        <v>1118</v>
      </c>
      <c r="J482" s="14">
        <f t="shared" si="230"/>
        <v>1118</v>
      </c>
      <c r="K482" s="78">
        <f t="shared" si="217"/>
        <v>100</v>
      </c>
      <c r="L482" s="14">
        <f t="shared" si="230"/>
        <v>0</v>
      </c>
      <c r="M482" s="50"/>
      <c r="N482" s="50"/>
    </row>
    <row r="483" spans="1:14" ht="31.2" x14ac:dyDescent="0.3">
      <c r="A483" s="64" t="s">
        <v>709</v>
      </c>
      <c r="B483" s="62" t="s">
        <v>926</v>
      </c>
      <c r="C483" s="68" t="s">
        <v>1402</v>
      </c>
      <c r="D483" s="68" t="s">
        <v>1372</v>
      </c>
      <c r="E483" s="8" t="s">
        <v>63</v>
      </c>
      <c r="F483" s="45" t="s">
        <v>402</v>
      </c>
      <c r="G483" s="23" t="s">
        <v>819</v>
      </c>
      <c r="H483" s="14">
        <f t="shared" si="230"/>
        <v>1118</v>
      </c>
      <c r="I483" s="14">
        <f t="shared" si="230"/>
        <v>1118</v>
      </c>
      <c r="J483" s="14">
        <f t="shared" si="230"/>
        <v>1118</v>
      </c>
      <c r="K483" s="78">
        <f t="shared" si="217"/>
        <v>100</v>
      </c>
      <c r="L483" s="14">
        <f t="shared" si="230"/>
        <v>0</v>
      </c>
      <c r="M483" s="50"/>
      <c r="N483" s="50"/>
    </row>
    <row r="484" spans="1:14" x14ac:dyDescent="0.3">
      <c r="A484" s="64" t="s">
        <v>709</v>
      </c>
      <c r="B484" s="62" t="s">
        <v>926</v>
      </c>
      <c r="C484" s="68" t="s">
        <v>1402</v>
      </c>
      <c r="D484" s="68" t="s">
        <v>1372</v>
      </c>
      <c r="E484" s="8" t="s">
        <v>63</v>
      </c>
      <c r="F484" s="64" t="s">
        <v>223</v>
      </c>
      <c r="G484" s="18" t="s">
        <v>829</v>
      </c>
      <c r="H484" s="14">
        <v>1118</v>
      </c>
      <c r="I484" s="14">
        <v>1118</v>
      </c>
      <c r="J484" s="14">
        <v>1118</v>
      </c>
      <c r="K484" s="78">
        <f t="shared" si="217"/>
        <v>100</v>
      </c>
      <c r="L484" s="14"/>
      <c r="M484" s="50"/>
      <c r="N484" s="50"/>
    </row>
    <row r="485" spans="1:14" ht="31.2" x14ac:dyDescent="0.3">
      <c r="A485" s="64" t="s">
        <v>709</v>
      </c>
      <c r="B485" s="62" t="s">
        <v>926</v>
      </c>
      <c r="C485" s="68" t="s">
        <v>1402</v>
      </c>
      <c r="D485" s="68" t="s">
        <v>1372</v>
      </c>
      <c r="E485" s="8" t="s">
        <v>408</v>
      </c>
      <c r="F485" s="8"/>
      <c r="G485" s="13" t="s">
        <v>850</v>
      </c>
      <c r="H485" s="14">
        <f t="shared" ref="H485:L486" si="231">H486</f>
        <v>1152.914</v>
      </c>
      <c r="I485" s="14">
        <f t="shared" si="231"/>
        <v>1152.914</v>
      </c>
      <c r="J485" s="14">
        <f t="shared" si="231"/>
        <v>1152.9132</v>
      </c>
      <c r="K485" s="78">
        <f t="shared" si="217"/>
        <v>99.999930610609283</v>
      </c>
      <c r="L485" s="14">
        <f t="shared" si="231"/>
        <v>0</v>
      </c>
      <c r="M485" s="50"/>
      <c r="N485" s="50"/>
    </row>
    <row r="486" spans="1:14" ht="78" x14ac:dyDescent="0.3">
      <c r="A486" s="64" t="s">
        <v>709</v>
      </c>
      <c r="B486" s="62" t="s">
        <v>926</v>
      </c>
      <c r="C486" s="68" t="s">
        <v>1402</v>
      </c>
      <c r="D486" s="68" t="s">
        <v>1372</v>
      </c>
      <c r="E486" s="8" t="s">
        <v>409</v>
      </c>
      <c r="F486" s="8"/>
      <c r="G486" s="18" t="s">
        <v>1203</v>
      </c>
      <c r="H486" s="14">
        <f t="shared" si="231"/>
        <v>1152.914</v>
      </c>
      <c r="I486" s="14">
        <f t="shared" si="231"/>
        <v>1152.914</v>
      </c>
      <c r="J486" s="14">
        <f t="shared" si="231"/>
        <v>1152.9132</v>
      </c>
      <c r="K486" s="78">
        <f t="shared" si="217"/>
        <v>99.999930610609283</v>
      </c>
      <c r="L486" s="14">
        <f t="shared" si="231"/>
        <v>0</v>
      </c>
      <c r="M486" s="50"/>
      <c r="N486" s="50"/>
    </row>
    <row r="487" spans="1:14" ht="31.2" x14ac:dyDescent="0.3">
      <c r="A487" s="64" t="s">
        <v>709</v>
      </c>
      <c r="B487" s="62" t="s">
        <v>926</v>
      </c>
      <c r="C487" s="68" t="s">
        <v>1402</v>
      </c>
      <c r="D487" s="68" t="s">
        <v>1372</v>
      </c>
      <c r="E487" s="8" t="s">
        <v>409</v>
      </c>
      <c r="F487" s="45" t="s">
        <v>402</v>
      </c>
      <c r="G487" s="23" t="s">
        <v>819</v>
      </c>
      <c r="H487" s="14">
        <f>H488+H489</f>
        <v>1152.914</v>
      </c>
      <c r="I487" s="14">
        <f>I488+I489</f>
        <v>1152.914</v>
      </c>
      <c r="J487" s="14">
        <f t="shared" ref="J487" si="232">J488+J489</f>
        <v>1152.9132</v>
      </c>
      <c r="K487" s="78">
        <f t="shared" si="217"/>
        <v>99.999930610609283</v>
      </c>
      <c r="L487" s="14">
        <f>L488+L489</f>
        <v>0</v>
      </c>
      <c r="M487" s="50"/>
      <c r="N487" s="50"/>
    </row>
    <row r="488" spans="1:14" x14ac:dyDescent="0.3">
      <c r="A488" s="64" t="s">
        <v>709</v>
      </c>
      <c r="B488" s="62" t="s">
        <v>926</v>
      </c>
      <c r="C488" s="68" t="s">
        <v>1402</v>
      </c>
      <c r="D488" s="68" t="s">
        <v>1372</v>
      </c>
      <c r="E488" s="8" t="s">
        <v>409</v>
      </c>
      <c r="F488" s="8" t="s">
        <v>726</v>
      </c>
      <c r="G488" s="13" t="s">
        <v>820</v>
      </c>
      <c r="H488" s="14">
        <f>1513.3-360.386</f>
        <v>1152.914</v>
      </c>
      <c r="I488" s="14">
        <v>1152.914</v>
      </c>
      <c r="J488" s="14">
        <v>1152.9132</v>
      </c>
      <c r="K488" s="78">
        <f t="shared" si="217"/>
        <v>99.999930610609283</v>
      </c>
      <c r="L488" s="14"/>
      <c r="M488" s="50"/>
      <c r="N488" s="50"/>
    </row>
    <row r="489" spans="1:14" hidden="1" x14ac:dyDescent="0.3">
      <c r="A489" s="64" t="s">
        <v>709</v>
      </c>
      <c r="B489" s="62" t="s">
        <v>926</v>
      </c>
      <c r="C489" s="68" t="s">
        <v>1402</v>
      </c>
      <c r="D489" s="68" t="s">
        <v>1372</v>
      </c>
      <c r="E489" s="8" t="s">
        <v>409</v>
      </c>
      <c r="F489" s="64" t="s">
        <v>223</v>
      </c>
      <c r="G489" s="18" t="s">
        <v>829</v>
      </c>
      <c r="H489" s="14">
        <v>0</v>
      </c>
      <c r="I489" s="14">
        <v>0</v>
      </c>
      <c r="J489" s="20">
        <v>0</v>
      </c>
      <c r="K489" s="77" t="e">
        <f t="shared" si="217"/>
        <v>#DIV/0!</v>
      </c>
      <c r="L489" s="14"/>
      <c r="M489" s="50">
        <v>111</v>
      </c>
      <c r="N489" s="50"/>
    </row>
    <row r="490" spans="1:14" x14ac:dyDescent="0.3">
      <c r="A490" s="64" t="s">
        <v>709</v>
      </c>
      <c r="B490" s="62" t="s">
        <v>926</v>
      </c>
      <c r="C490" s="68" t="s">
        <v>1402</v>
      </c>
      <c r="D490" s="68" t="s">
        <v>1372</v>
      </c>
      <c r="E490" s="8" t="s">
        <v>387</v>
      </c>
      <c r="F490" s="8"/>
      <c r="G490" s="18" t="s">
        <v>851</v>
      </c>
      <c r="H490" s="14">
        <f t="shared" ref="H490:L490" si="233">H491+H512+H572+H581</f>
        <v>838811.70199999993</v>
      </c>
      <c r="I490" s="14">
        <f t="shared" si="233"/>
        <v>846629.51023000001</v>
      </c>
      <c r="J490" s="14">
        <f t="shared" si="233"/>
        <v>846439.81294999982</v>
      </c>
      <c r="K490" s="78">
        <f t="shared" si="217"/>
        <v>99.977593826141415</v>
      </c>
      <c r="L490" s="14">
        <f t="shared" si="233"/>
        <v>0</v>
      </c>
      <c r="M490" s="50"/>
      <c r="N490" s="50"/>
    </row>
    <row r="491" spans="1:14" ht="31.2" x14ac:dyDescent="0.3">
      <c r="A491" s="64" t="s">
        <v>709</v>
      </c>
      <c r="B491" s="62" t="s">
        <v>926</v>
      </c>
      <c r="C491" s="68" t="s">
        <v>1402</v>
      </c>
      <c r="D491" s="68" t="s">
        <v>1372</v>
      </c>
      <c r="E491" s="8" t="s">
        <v>410</v>
      </c>
      <c r="F491" s="8"/>
      <c r="G491" s="13" t="s">
        <v>852</v>
      </c>
      <c r="H491" s="14">
        <f t="shared" ref="H491:L491" si="234">H492</f>
        <v>122288.93999999999</v>
      </c>
      <c r="I491" s="14">
        <f t="shared" si="234"/>
        <v>122288.93999999999</v>
      </c>
      <c r="J491" s="14">
        <f t="shared" si="234"/>
        <v>122288.93999999999</v>
      </c>
      <c r="K491" s="78">
        <f t="shared" si="217"/>
        <v>100</v>
      </c>
      <c r="L491" s="14">
        <f t="shared" si="234"/>
        <v>0</v>
      </c>
      <c r="M491" s="50"/>
      <c r="N491" s="50"/>
    </row>
    <row r="492" spans="1:14" ht="31.2" x14ac:dyDescent="0.3">
      <c r="A492" s="64" t="s">
        <v>709</v>
      </c>
      <c r="B492" s="62" t="s">
        <v>926</v>
      </c>
      <c r="C492" s="68" t="s">
        <v>1402</v>
      </c>
      <c r="D492" s="68" t="s">
        <v>1372</v>
      </c>
      <c r="E492" s="8" t="s">
        <v>411</v>
      </c>
      <c r="F492" s="8"/>
      <c r="G492" s="13" t="s">
        <v>853</v>
      </c>
      <c r="H492" s="14">
        <f>H500+H504+H496+H493</f>
        <v>122288.93999999999</v>
      </c>
      <c r="I492" s="14">
        <f>I500+I504+I496+I493</f>
        <v>122288.93999999999</v>
      </c>
      <c r="J492" s="14">
        <f t="shared" ref="J492" si="235">J500+J504+J496+J493</f>
        <v>122288.93999999999</v>
      </c>
      <c r="K492" s="78">
        <f t="shared" si="217"/>
        <v>100</v>
      </c>
      <c r="L492" s="14">
        <f>L500+L504+L496+L493</f>
        <v>0</v>
      </c>
      <c r="M492" s="50"/>
      <c r="N492" s="50"/>
    </row>
    <row r="493" spans="1:14" ht="31.2" x14ac:dyDescent="0.3">
      <c r="A493" s="64" t="s">
        <v>709</v>
      </c>
      <c r="B493" s="62" t="s">
        <v>926</v>
      </c>
      <c r="C493" s="68" t="s">
        <v>1402</v>
      </c>
      <c r="D493" s="68" t="s">
        <v>1372</v>
      </c>
      <c r="E493" s="8" t="s">
        <v>907</v>
      </c>
      <c r="F493" s="8"/>
      <c r="G493" s="23" t="s">
        <v>908</v>
      </c>
      <c r="H493" s="14">
        <f t="shared" ref="H493:L494" si="236">H494</f>
        <v>102.572</v>
      </c>
      <c r="I493" s="14">
        <f t="shared" si="236"/>
        <v>102.572</v>
      </c>
      <c r="J493" s="14">
        <f t="shared" si="236"/>
        <v>102.572</v>
      </c>
      <c r="K493" s="78">
        <f t="shared" si="217"/>
        <v>100</v>
      </c>
      <c r="L493" s="14">
        <f t="shared" si="236"/>
        <v>0</v>
      </c>
      <c r="M493" s="50"/>
      <c r="N493" s="50"/>
    </row>
    <row r="494" spans="1:14" ht="31.2" x14ac:dyDescent="0.3">
      <c r="A494" s="64" t="s">
        <v>709</v>
      </c>
      <c r="B494" s="62" t="s">
        <v>926</v>
      </c>
      <c r="C494" s="68" t="s">
        <v>1402</v>
      </c>
      <c r="D494" s="68" t="s">
        <v>1372</v>
      </c>
      <c r="E494" s="8" t="s">
        <v>907</v>
      </c>
      <c r="F494" s="45" t="s">
        <v>402</v>
      </c>
      <c r="G494" s="23" t="s">
        <v>819</v>
      </c>
      <c r="H494" s="14">
        <f t="shared" si="236"/>
        <v>102.572</v>
      </c>
      <c r="I494" s="14">
        <f t="shared" si="236"/>
        <v>102.572</v>
      </c>
      <c r="J494" s="14">
        <f t="shared" si="236"/>
        <v>102.572</v>
      </c>
      <c r="K494" s="78">
        <f t="shared" si="217"/>
        <v>100</v>
      </c>
      <c r="L494" s="14">
        <f t="shared" si="236"/>
        <v>0</v>
      </c>
      <c r="M494" s="50"/>
      <c r="N494" s="50"/>
    </row>
    <row r="495" spans="1:14" x14ac:dyDescent="0.3">
      <c r="A495" s="64" t="s">
        <v>709</v>
      </c>
      <c r="B495" s="62" t="s">
        <v>926</v>
      </c>
      <c r="C495" s="68" t="s">
        <v>1402</v>
      </c>
      <c r="D495" s="68" t="s">
        <v>1372</v>
      </c>
      <c r="E495" s="8" t="s">
        <v>907</v>
      </c>
      <c r="F495" s="64" t="s">
        <v>223</v>
      </c>
      <c r="G495" s="18" t="s">
        <v>829</v>
      </c>
      <c r="H495" s="14">
        <v>102.572</v>
      </c>
      <c r="I495" s="14">
        <v>102.572</v>
      </c>
      <c r="J495" s="14">
        <v>102.572</v>
      </c>
      <c r="K495" s="78">
        <f t="shared" si="217"/>
        <v>100</v>
      </c>
      <c r="L495" s="14"/>
      <c r="M495" s="50"/>
      <c r="N495" s="50"/>
    </row>
    <row r="496" spans="1:14" ht="62.4" x14ac:dyDescent="0.3">
      <c r="A496" s="64" t="s">
        <v>709</v>
      </c>
      <c r="B496" s="62" t="s">
        <v>926</v>
      </c>
      <c r="C496" s="68" t="s">
        <v>1402</v>
      </c>
      <c r="D496" s="68" t="s">
        <v>1372</v>
      </c>
      <c r="E496" s="8" t="s">
        <v>792</v>
      </c>
      <c r="F496" s="8"/>
      <c r="G496" s="23" t="s">
        <v>1291</v>
      </c>
      <c r="H496" s="14">
        <f t="shared" ref="H496:L496" si="237">H497</f>
        <v>48794.831999999995</v>
      </c>
      <c r="I496" s="14">
        <f t="shared" si="237"/>
        <v>48794.831999999995</v>
      </c>
      <c r="J496" s="14">
        <f t="shared" si="237"/>
        <v>48794.831999999995</v>
      </c>
      <c r="K496" s="78">
        <f t="shared" si="217"/>
        <v>100</v>
      </c>
      <c r="L496" s="14">
        <f t="shared" si="237"/>
        <v>0</v>
      </c>
      <c r="M496" s="50"/>
      <c r="N496" s="50"/>
    </row>
    <row r="497" spans="1:14" ht="31.2" x14ac:dyDescent="0.3">
      <c r="A497" s="64" t="s">
        <v>709</v>
      </c>
      <c r="B497" s="62" t="s">
        <v>926</v>
      </c>
      <c r="C497" s="68" t="s">
        <v>1402</v>
      </c>
      <c r="D497" s="68" t="s">
        <v>1372</v>
      </c>
      <c r="E497" s="8" t="s">
        <v>792</v>
      </c>
      <c r="F497" s="45" t="s">
        <v>402</v>
      </c>
      <c r="G497" s="23" t="s">
        <v>819</v>
      </c>
      <c r="H497" s="14">
        <f>H499+H498</f>
        <v>48794.831999999995</v>
      </c>
      <c r="I497" s="14">
        <f t="shared" ref="I497:L497" si="238">I499+I498</f>
        <v>48794.831999999995</v>
      </c>
      <c r="J497" s="14">
        <f t="shared" si="238"/>
        <v>48794.831999999995</v>
      </c>
      <c r="K497" s="78">
        <f t="shared" si="217"/>
        <v>100</v>
      </c>
      <c r="L497" s="14">
        <f t="shared" si="238"/>
        <v>0</v>
      </c>
      <c r="M497" s="50"/>
      <c r="N497" s="50"/>
    </row>
    <row r="498" spans="1:14" x14ac:dyDescent="0.3">
      <c r="A498" s="64" t="s">
        <v>709</v>
      </c>
      <c r="B498" s="62" t="s">
        <v>926</v>
      </c>
      <c r="C498" s="68" t="s">
        <v>1402</v>
      </c>
      <c r="D498" s="68" t="s">
        <v>1372</v>
      </c>
      <c r="E498" s="8" t="s">
        <v>792</v>
      </c>
      <c r="F498" s="8" t="s">
        <v>726</v>
      </c>
      <c r="G498" s="13" t="s">
        <v>820</v>
      </c>
      <c r="H498" s="14">
        <v>609.18899999999996</v>
      </c>
      <c r="I498" s="14">
        <v>609.18899999999996</v>
      </c>
      <c r="J498" s="14">
        <v>609.18899999999996</v>
      </c>
      <c r="K498" s="78">
        <f t="shared" si="217"/>
        <v>100</v>
      </c>
      <c r="L498" s="14"/>
      <c r="M498" s="50"/>
      <c r="N498" s="50"/>
    </row>
    <row r="499" spans="1:14" x14ac:dyDescent="0.3">
      <c r="A499" s="64" t="s">
        <v>709</v>
      </c>
      <c r="B499" s="62" t="s">
        <v>926</v>
      </c>
      <c r="C499" s="68" t="s">
        <v>1402</v>
      </c>
      <c r="D499" s="68" t="s">
        <v>1372</v>
      </c>
      <c r="E499" s="8" t="s">
        <v>792</v>
      </c>
      <c r="F499" s="64" t="s">
        <v>223</v>
      </c>
      <c r="G499" s="18" t="s">
        <v>829</v>
      </c>
      <c r="H499" s="14">
        <v>48185.642999999996</v>
      </c>
      <c r="I499" s="14">
        <v>48185.642999999996</v>
      </c>
      <c r="J499" s="19">
        <v>48185.642999999996</v>
      </c>
      <c r="K499" s="75">
        <f t="shared" si="217"/>
        <v>100</v>
      </c>
      <c r="L499" s="14"/>
      <c r="M499" s="50"/>
      <c r="N499" s="50"/>
    </row>
    <row r="500" spans="1:14" ht="31.2" x14ac:dyDescent="0.3">
      <c r="A500" s="64" t="s">
        <v>709</v>
      </c>
      <c r="B500" s="62" t="s">
        <v>926</v>
      </c>
      <c r="C500" s="68" t="s">
        <v>1402</v>
      </c>
      <c r="D500" s="68" t="s">
        <v>1372</v>
      </c>
      <c r="E500" s="8" t="s">
        <v>412</v>
      </c>
      <c r="F500" s="8"/>
      <c r="G500" s="13" t="s">
        <v>854</v>
      </c>
      <c r="H500" s="14">
        <f t="shared" ref="H500:L500" si="239">H501</f>
        <v>68090.322</v>
      </c>
      <c r="I500" s="14">
        <f t="shared" si="239"/>
        <v>68090.322</v>
      </c>
      <c r="J500" s="14">
        <f t="shared" si="239"/>
        <v>68090.322</v>
      </c>
      <c r="K500" s="78">
        <f t="shared" si="217"/>
        <v>100</v>
      </c>
      <c r="L500" s="14">
        <f t="shared" si="239"/>
        <v>0</v>
      </c>
      <c r="M500" s="50"/>
      <c r="N500" s="50"/>
    </row>
    <row r="501" spans="1:14" ht="31.2" x14ac:dyDescent="0.3">
      <c r="A501" s="64" t="s">
        <v>709</v>
      </c>
      <c r="B501" s="62" t="s">
        <v>926</v>
      </c>
      <c r="C501" s="68" t="s">
        <v>1402</v>
      </c>
      <c r="D501" s="68" t="s">
        <v>1372</v>
      </c>
      <c r="E501" s="8" t="s">
        <v>412</v>
      </c>
      <c r="F501" s="45" t="s">
        <v>402</v>
      </c>
      <c r="G501" s="23" t="s">
        <v>819</v>
      </c>
      <c r="H501" s="14">
        <f>H502+H503</f>
        <v>68090.322</v>
      </c>
      <c r="I501" s="14">
        <f>I502+I503</f>
        <v>68090.322</v>
      </c>
      <c r="J501" s="14">
        <f t="shared" ref="J501" si="240">J502+J503</f>
        <v>68090.322</v>
      </c>
      <c r="K501" s="78">
        <f t="shared" si="217"/>
        <v>100</v>
      </c>
      <c r="L501" s="14">
        <f>L502+L503</f>
        <v>0</v>
      </c>
      <c r="M501" s="50"/>
      <c r="N501" s="50"/>
    </row>
    <row r="502" spans="1:14" x14ac:dyDescent="0.3">
      <c r="A502" s="64" t="s">
        <v>709</v>
      </c>
      <c r="B502" s="62" t="s">
        <v>926</v>
      </c>
      <c r="C502" s="68" t="s">
        <v>1402</v>
      </c>
      <c r="D502" s="68" t="s">
        <v>1372</v>
      </c>
      <c r="E502" s="8" t="s">
        <v>412</v>
      </c>
      <c r="F502" s="8" t="s">
        <v>726</v>
      </c>
      <c r="G502" s="13" t="s">
        <v>820</v>
      </c>
      <c r="H502" s="14">
        <v>325.125</v>
      </c>
      <c r="I502" s="14">
        <v>1325.125</v>
      </c>
      <c r="J502" s="14">
        <v>1325.125</v>
      </c>
      <c r="K502" s="78">
        <f t="shared" si="217"/>
        <v>100</v>
      </c>
      <c r="L502" s="14"/>
      <c r="M502" s="50"/>
      <c r="N502" s="50"/>
    </row>
    <row r="503" spans="1:14" x14ac:dyDescent="0.3">
      <c r="A503" s="64" t="s">
        <v>709</v>
      </c>
      <c r="B503" s="62" t="s">
        <v>926</v>
      </c>
      <c r="C503" s="68" t="s">
        <v>1402</v>
      </c>
      <c r="D503" s="68" t="s">
        <v>1372</v>
      </c>
      <c r="E503" s="8" t="s">
        <v>412</v>
      </c>
      <c r="F503" s="64" t="s">
        <v>223</v>
      </c>
      <c r="G503" s="18" t="s">
        <v>829</v>
      </c>
      <c r="H503" s="14">
        <f>101932.3-47694.832+8327.729+700+4500</f>
        <v>67765.197</v>
      </c>
      <c r="I503" s="14">
        <v>66765.197</v>
      </c>
      <c r="J503" s="14">
        <v>66765.197</v>
      </c>
      <c r="K503" s="78">
        <f t="shared" si="217"/>
        <v>100</v>
      </c>
      <c r="L503" s="14"/>
      <c r="M503" s="50"/>
      <c r="N503" s="50"/>
    </row>
    <row r="504" spans="1:14" ht="31.2" x14ac:dyDescent="0.3">
      <c r="A504" s="64" t="s">
        <v>709</v>
      </c>
      <c r="B504" s="62" t="s">
        <v>926</v>
      </c>
      <c r="C504" s="68" t="s">
        <v>1402</v>
      </c>
      <c r="D504" s="68" t="s">
        <v>1372</v>
      </c>
      <c r="E504" s="8" t="s">
        <v>413</v>
      </c>
      <c r="F504" s="8"/>
      <c r="G504" s="13" t="s">
        <v>855</v>
      </c>
      <c r="H504" s="14">
        <f>H505+H509+H507</f>
        <v>5301.2139999999999</v>
      </c>
      <c r="I504" s="14">
        <f t="shared" ref="I504:L504" si="241">I505+I509+I507</f>
        <v>5301.2139999999999</v>
      </c>
      <c r="J504" s="14">
        <f t="shared" si="241"/>
        <v>5301.2139999999999</v>
      </c>
      <c r="K504" s="78">
        <f t="shared" si="217"/>
        <v>100</v>
      </c>
      <c r="L504" s="14">
        <f t="shared" si="241"/>
        <v>0</v>
      </c>
      <c r="M504" s="50"/>
      <c r="N504" s="50"/>
    </row>
    <row r="505" spans="1:14" ht="31.2" x14ac:dyDescent="0.3">
      <c r="A505" s="64" t="s">
        <v>709</v>
      </c>
      <c r="B505" s="62" t="s">
        <v>926</v>
      </c>
      <c r="C505" s="68" t="s">
        <v>1402</v>
      </c>
      <c r="D505" s="68" t="s">
        <v>1372</v>
      </c>
      <c r="E505" s="8" t="s">
        <v>413</v>
      </c>
      <c r="F505" s="45" t="s">
        <v>380</v>
      </c>
      <c r="G505" s="23" t="s">
        <v>809</v>
      </c>
      <c r="H505" s="14">
        <f t="shared" ref="H505:L505" si="242">H506</f>
        <v>4107.4639999999999</v>
      </c>
      <c r="I505" s="14">
        <f t="shared" si="242"/>
        <v>982.75400000000002</v>
      </c>
      <c r="J505" s="14">
        <f t="shared" si="242"/>
        <v>982.75400000000002</v>
      </c>
      <c r="K505" s="78">
        <f t="shared" si="217"/>
        <v>100</v>
      </c>
      <c r="L505" s="14">
        <f t="shared" si="242"/>
        <v>0</v>
      </c>
      <c r="M505" s="50"/>
      <c r="N505" s="50"/>
    </row>
    <row r="506" spans="1:14" ht="31.2" x14ac:dyDescent="0.3">
      <c r="A506" s="64" t="s">
        <v>709</v>
      </c>
      <c r="B506" s="62" t="s">
        <v>926</v>
      </c>
      <c r="C506" s="68" t="s">
        <v>1402</v>
      </c>
      <c r="D506" s="68" t="s">
        <v>1372</v>
      </c>
      <c r="E506" s="8" t="s">
        <v>413</v>
      </c>
      <c r="F506" s="8" t="s">
        <v>247</v>
      </c>
      <c r="G506" s="23" t="s">
        <v>810</v>
      </c>
      <c r="H506" s="14">
        <f>4396.7-2.246-286.99</f>
        <v>4107.4639999999999</v>
      </c>
      <c r="I506" s="14">
        <v>982.75400000000002</v>
      </c>
      <c r="J506" s="14">
        <v>982.75400000000002</v>
      </c>
      <c r="K506" s="78">
        <f t="shared" si="217"/>
        <v>100</v>
      </c>
      <c r="L506" s="14"/>
      <c r="M506" s="50"/>
      <c r="N506" s="50"/>
    </row>
    <row r="507" spans="1:14" x14ac:dyDescent="0.3">
      <c r="A507" s="64" t="s">
        <v>709</v>
      </c>
      <c r="B507" s="62" t="s">
        <v>926</v>
      </c>
      <c r="C507" s="68" t="s">
        <v>1402</v>
      </c>
      <c r="D507" s="68" t="s">
        <v>1372</v>
      </c>
      <c r="E507" s="8" t="s">
        <v>413</v>
      </c>
      <c r="F507" s="8" t="s">
        <v>404</v>
      </c>
      <c r="G507" s="13" t="s">
        <v>811</v>
      </c>
      <c r="H507" s="14">
        <f>H508</f>
        <v>0</v>
      </c>
      <c r="I507" s="14">
        <f t="shared" ref="I507:L507" si="243">I508</f>
        <v>3124.71</v>
      </c>
      <c r="J507" s="14">
        <f t="shared" si="243"/>
        <v>3124.71</v>
      </c>
      <c r="K507" s="78">
        <f t="shared" si="217"/>
        <v>100</v>
      </c>
      <c r="L507" s="14">
        <f t="shared" si="243"/>
        <v>0</v>
      </c>
      <c r="M507" s="50"/>
      <c r="N507" s="50"/>
    </row>
    <row r="508" spans="1:14" x14ac:dyDescent="0.3">
      <c r="A508" s="64" t="s">
        <v>709</v>
      </c>
      <c r="B508" s="62" t="s">
        <v>926</v>
      </c>
      <c r="C508" s="68" t="s">
        <v>1402</v>
      </c>
      <c r="D508" s="68" t="s">
        <v>1372</v>
      </c>
      <c r="E508" s="8" t="s">
        <v>413</v>
      </c>
      <c r="F508" s="8" t="s">
        <v>723</v>
      </c>
      <c r="G508" s="13" t="s">
        <v>815</v>
      </c>
      <c r="H508" s="19">
        <v>0</v>
      </c>
      <c r="I508" s="14">
        <v>3124.71</v>
      </c>
      <c r="J508" s="14">
        <v>3124.71</v>
      </c>
      <c r="K508" s="78">
        <f t="shared" si="217"/>
        <v>100</v>
      </c>
      <c r="L508" s="14"/>
      <c r="M508" s="50"/>
      <c r="N508" s="50"/>
    </row>
    <row r="509" spans="1:14" ht="31.2" x14ac:dyDescent="0.3">
      <c r="A509" s="64" t="s">
        <v>709</v>
      </c>
      <c r="B509" s="62" t="s">
        <v>926</v>
      </c>
      <c r="C509" s="68" t="s">
        <v>1402</v>
      </c>
      <c r="D509" s="68" t="s">
        <v>1372</v>
      </c>
      <c r="E509" s="8" t="s">
        <v>413</v>
      </c>
      <c r="F509" s="45" t="s">
        <v>402</v>
      </c>
      <c r="G509" s="23" t="s">
        <v>819</v>
      </c>
      <c r="H509" s="14">
        <f>H511+H510</f>
        <v>1193.75</v>
      </c>
      <c r="I509" s="14">
        <f t="shared" ref="I509:L509" si="244">I511+I510</f>
        <v>1193.75</v>
      </c>
      <c r="J509" s="14">
        <f t="shared" si="244"/>
        <v>1193.75</v>
      </c>
      <c r="K509" s="78">
        <f t="shared" si="217"/>
        <v>100</v>
      </c>
      <c r="L509" s="14">
        <f t="shared" si="244"/>
        <v>0</v>
      </c>
      <c r="M509" s="50"/>
      <c r="N509" s="50"/>
    </row>
    <row r="510" spans="1:14" x14ac:dyDescent="0.3">
      <c r="A510" s="64" t="s">
        <v>709</v>
      </c>
      <c r="B510" s="62" t="s">
        <v>926</v>
      </c>
      <c r="C510" s="68" t="s">
        <v>1402</v>
      </c>
      <c r="D510" s="68" t="s">
        <v>1372</v>
      </c>
      <c r="E510" s="8" t="s">
        <v>413</v>
      </c>
      <c r="F510" s="64" t="s">
        <v>223</v>
      </c>
      <c r="G510" s="18" t="s">
        <v>829</v>
      </c>
      <c r="H510" s="19">
        <v>398.58499999999998</v>
      </c>
      <c r="I510" s="14">
        <v>798.58500000000004</v>
      </c>
      <c r="J510" s="14">
        <v>798.58500000000004</v>
      </c>
      <c r="K510" s="78">
        <f t="shared" si="217"/>
        <v>100</v>
      </c>
      <c r="L510" s="14"/>
      <c r="M510" s="50"/>
      <c r="N510" s="50"/>
    </row>
    <row r="511" spans="1:14" ht="46.8" x14ac:dyDescent="0.3">
      <c r="A511" s="64" t="s">
        <v>709</v>
      </c>
      <c r="B511" s="62" t="s">
        <v>926</v>
      </c>
      <c r="C511" s="68" t="s">
        <v>1402</v>
      </c>
      <c r="D511" s="68" t="s">
        <v>1372</v>
      </c>
      <c r="E511" s="8" t="s">
        <v>413</v>
      </c>
      <c r="F511" s="45" t="s">
        <v>280</v>
      </c>
      <c r="G511" s="23" t="s">
        <v>821</v>
      </c>
      <c r="H511" s="14">
        <f>900-104.835</f>
        <v>795.16499999999996</v>
      </c>
      <c r="I511" s="14">
        <v>395.16500000000002</v>
      </c>
      <c r="J511" s="14">
        <v>395.16500000000002</v>
      </c>
      <c r="K511" s="78">
        <f t="shared" si="217"/>
        <v>100</v>
      </c>
      <c r="L511" s="14"/>
      <c r="M511" s="50"/>
      <c r="N511" s="50"/>
    </row>
    <row r="512" spans="1:14" ht="31.2" x14ac:dyDescent="0.3">
      <c r="A512" s="64" t="s">
        <v>709</v>
      </c>
      <c r="B512" s="62" t="s">
        <v>926</v>
      </c>
      <c r="C512" s="68" t="s">
        <v>1402</v>
      </c>
      <c r="D512" s="68" t="s">
        <v>1372</v>
      </c>
      <c r="E512" s="8" t="s">
        <v>414</v>
      </c>
      <c r="F512" s="8"/>
      <c r="G512" s="13" t="s">
        <v>856</v>
      </c>
      <c r="H512" s="14">
        <f t="shared" ref="H512:L512" si="245">H513+H535+H556+H569</f>
        <v>565698.56200000003</v>
      </c>
      <c r="I512" s="14">
        <f t="shared" si="245"/>
        <v>573516.37023</v>
      </c>
      <c r="J512" s="14">
        <f t="shared" si="245"/>
        <v>573326.67294999992</v>
      </c>
      <c r="K512" s="78">
        <f t="shared" si="217"/>
        <v>99.966923824698497</v>
      </c>
      <c r="L512" s="14">
        <f t="shared" si="245"/>
        <v>0</v>
      </c>
      <c r="M512" s="50"/>
      <c r="N512" s="50"/>
    </row>
    <row r="513" spans="1:14" ht="31.2" x14ac:dyDescent="0.3">
      <c r="A513" s="64" t="s">
        <v>709</v>
      </c>
      <c r="B513" s="62" t="s">
        <v>926</v>
      </c>
      <c r="C513" s="68" t="s">
        <v>1402</v>
      </c>
      <c r="D513" s="68" t="s">
        <v>1372</v>
      </c>
      <c r="E513" s="8" t="s">
        <v>415</v>
      </c>
      <c r="F513" s="8"/>
      <c r="G513" s="18" t="s">
        <v>110</v>
      </c>
      <c r="H513" s="14">
        <f t="shared" ref="H513:L513" si="246">H517+H521+H529+H514+H4910+H532+H525</f>
        <v>209054.6</v>
      </c>
      <c r="I513" s="14">
        <f t="shared" si="246"/>
        <v>216822.40823</v>
      </c>
      <c r="J513" s="14">
        <f t="shared" si="246"/>
        <v>216788.58622999999</v>
      </c>
      <c r="K513" s="78">
        <f t="shared" si="217"/>
        <v>99.984401058785338</v>
      </c>
      <c r="L513" s="14">
        <f t="shared" si="246"/>
        <v>0</v>
      </c>
      <c r="M513" s="50"/>
      <c r="N513" s="50"/>
    </row>
    <row r="514" spans="1:14" ht="31.2" x14ac:dyDescent="0.3">
      <c r="A514" s="64" t="s">
        <v>709</v>
      </c>
      <c r="B514" s="62" t="s">
        <v>926</v>
      </c>
      <c r="C514" s="68" t="s">
        <v>1402</v>
      </c>
      <c r="D514" s="68" t="s">
        <v>1372</v>
      </c>
      <c r="E514" s="8" t="s">
        <v>790</v>
      </c>
      <c r="F514" s="8"/>
      <c r="G514" s="32" t="s">
        <v>791</v>
      </c>
      <c r="H514" s="14">
        <f t="shared" ref="H514:L515" si="247">H515</f>
        <v>7000</v>
      </c>
      <c r="I514" s="14">
        <f t="shared" si="247"/>
        <v>7000</v>
      </c>
      <c r="J514" s="14">
        <f t="shared" si="247"/>
        <v>7000</v>
      </c>
      <c r="K514" s="78">
        <f t="shared" si="217"/>
        <v>100</v>
      </c>
      <c r="L514" s="14">
        <f t="shared" si="247"/>
        <v>0</v>
      </c>
      <c r="M514" s="50"/>
      <c r="N514" s="50"/>
    </row>
    <row r="515" spans="1:14" ht="31.2" x14ac:dyDescent="0.3">
      <c r="A515" s="64" t="s">
        <v>709</v>
      </c>
      <c r="B515" s="62" t="s">
        <v>926</v>
      </c>
      <c r="C515" s="68" t="s">
        <v>1402</v>
      </c>
      <c r="D515" s="68" t="s">
        <v>1372</v>
      </c>
      <c r="E515" s="8" t="s">
        <v>790</v>
      </c>
      <c r="F515" s="45" t="s">
        <v>402</v>
      </c>
      <c r="G515" s="23" t="s">
        <v>819</v>
      </c>
      <c r="H515" s="14">
        <f t="shared" si="247"/>
        <v>7000</v>
      </c>
      <c r="I515" s="14">
        <f t="shared" si="247"/>
        <v>7000</v>
      </c>
      <c r="J515" s="14">
        <f t="shared" si="247"/>
        <v>7000</v>
      </c>
      <c r="K515" s="78">
        <f t="shared" si="217"/>
        <v>100</v>
      </c>
      <c r="L515" s="14">
        <f t="shared" si="247"/>
        <v>0</v>
      </c>
      <c r="M515" s="50"/>
      <c r="N515" s="50"/>
    </row>
    <row r="516" spans="1:14" x14ac:dyDescent="0.3">
      <c r="A516" s="64" t="s">
        <v>709</v>
      </c>
      <c r="B516" s="62" t="s">
        <v>926</v>
      </c>
      <c r="C516" s="68" t="s">
        <v>1402</v>
      </c>
      <c r="D516" s="68" t="s">
        <v>1372</v>
      </c>
      <c r="E516" s="8" t="s">
        <v>790</v>
      </c>
      <c r="F516" s="64" t="s">
        <v>223</v>
      </c>
      <c r="G516" s="18" t="s">
        <v>829</v>
      </c>
      <c r="H516" s="14">
        <v>7000</v>
      </c>
      <c r="I516" s="14">
        <v>7000</v>
      </c>
      <c r="J516" s="14">
        <v>7000</v>
      </c>
      <c r="K516" s="78">
        <f t="shared" si="217"/>
        <v>100</v>
      </c>
      <c r="L516" s="14"/>
      <c r="M516" s="50"/>
      <c r="N516" s="50"/>
    </row>
    <row r="517" spans="1:14" ht="62.4" x14ac:dyDescent="0.3">
      <c r="A517" s="64" t="s">
        <v>709</v>
      </c>
      <c r="B517" s="62" t="s">
        <v>926</v>
      </c>
      <c r="C517" s="68" t="s">
        <v>1402</v>
      </c>
      <c r="D517" s="68" t="s">
        <v>1372</v>
      </c>
      <c r="E517" s="8" t="s">
        <v>416</v>
      </c>
      <c r="F517" s="8"/>
      <c r="G517" s="23" t="s">
        <v>1291</v>
      </c>
      <c r="H517" s="14">
        <f t="shared" ref="H517:L517" si="248">H518</f>
        <v>171999</v>
      </c>
      <c r="I517" s="14">
        <f t="shared" si="248"/>
        <v>171999</v>
      </c>
      <c r="J517" s="14">
        <f t="shared" si="248"/>
        <v>171965.17799999999</v>
      </c>
      <c r="K517" s="78">
        <f t="shared" si="217"/>
        <v>99.980335932185653</v>
      </c>
      <c r="L517" s="14">
        <f t="shared" si="248"/>
        <v>0</v>
      </c>
      <c r="M517" s="50"/>
      <c r="N517" s="50"/>
    </row>
    <row r="518" spans="1:14" ht="31.2" x14ac:dyDescent="0.3">
      <c r="A518" s="64" t="s">
        <v>709</v>
      </c>
      <c r="B518" s="62" t="s">
        <v>926</v>
      </c>
      <c r="C518" s="68" t="s">
        <v>1402</v>
      </c>
      <c r="D518" s="68" t="s">
        <v>1372</v>
      </c>
      <c r="E518" s="8" t="s">
        <v>416</v>
      </c>
      <c r="F518" s="45" t="s">
        <v>402</v>
      </c>
      <c r="G518" s="23" t="s">
        <v>819</v>
      </c>
      <c r="H518" s="14">
        <f>H519+H520</f>
        <v>171999</v>
      </c>
      <c r="I518" s="14">
        <f>I519+I520</f>
        <v>171999</v>
      </c>
      <c r="J518" s="14">
        <f t="shared" ref="J518" si="249">J519+J520</f>
        <v>171965.17799999999</v>
      </c>
      <c r="K518" s="78">
        <f t="shared" si="217"/>
        <v>99.980335932185653</v>
      </c>
      <c r="L518" s="14">
        <f>L519+L520</f>
        <v>0</v>
      </c>
      <c r="M518" s="50"/>
      <c r="N518" s="50"/>
    </row>
    <row r="519" spans="1:14" x14ac:dyDescent="0.3">
      <c r="A519" s="64" t="s">
        <v>709</v>
      </c>
      <c r="B519" s="62" t="s">
        <v>926</v>
      </c>
      <c r="C519" s="68" t="s">
        <v>1402</v>
      </c>
      <c r="D519" s="68" t="s">
        <v>1372</v>
      </c>
      <c r="E519" s="8" t="s">
        <v>416</v>
      </c>
      <c r="F519" s="8" t="s">
        <v>726</v>
      </c>
      <c r="G519" s="13" t="s">
        <v>820</v>
      </c>
      <c r="H519" s="14">
        <v>36878.9</v>
      </c>
      <c r="I519" s="14">
        <v>36878.9</v>
      </c>
      <c r="J519" s="14">
        <v>36878.9</v>
      </c>
      <c r="K519" s="78">
        <f t="shared" si="217"/>
        <v>100</v>
      </c>
      <c r="L519" s="14"/>
      <c r="M519" s="50"/>
      <c r="N519" s="50"/>
    </row>
    <row r="520" spans="1:14" x14ac:dyDescent="0.3">
      <c r="A520" s="64" t="s">
        <v>709</v>
      </c>
      <c r="B520" s="62" t="s">
        <v>926</v>
      </c>
      <c r="C520" s="68" t="s">
        <v>1402</v>
      </c>
      <c r="D520" s="68" t="s">
        <v>1372</v>
      </c>
      <c r="E520" s="8" t="s">
        <v>416</v>
      </c>
      <c r="F520" s="64" t="s">
        <v>223</v>
      </c>
      <c r="G520" s="18" t="s">
        <v>829</v>
      </c>
      <c r="H520" s="14">
        <v>135120.1</v>
      </c>
      <c r="I520" s="14">
        <v>135120.1</v>
      </c>
      <c r="J520" s="14">
        <v>135086.27799999999</v>
      </c>
      <c r="K520" s="78">
        <f t="shared" ref="K520:K583" si="250">J520/I520*100</f>
        <v>99.974968935043705</v>
      </c>
      <c r="L520" s="14"/>
      <c r="M520" s="50"/>
      <c r="N520" s="50"/>
    </row>
    <row r="521" spans="1:14" x14ac:dyDescent="0.3">
      <c r="A521" s="64" t="s">
        <v>709</v>
      </c>
      <c r="B521" s="62" t="s">
        <v>926</v>
      </c>
      <c r="C521" s="68" t="s">
        <v>1402</v>
      </c>
      <c r="D521" s="68" t="s">
        <v>1372</v>
      </c>
      <c r="E521" s="8" t="s">
        <v>1180</v>
      </c>
      <c r="F521" s="8"/>
      <c r="G521" s="18" t="s">
        <v>1292</v>
      </c>
      <c r="H521" s="14">
        <f t="shared" ref="H521:L521" si="251">H522</f>
        <v>11000</v>
      </c>
      <c r="I521" s="14">
        <f t="shared" si="251"/>
        <v>11000</v>
      </c>
      <c r="J521" s="14">
        <f t="shared" si="251"/>
        <v>11000</v>
      </c>
      <c r="K521" s="78">
        <f t="shared" si="250"/>
        <v>100</v>
      </c>
      <c r="L521" s="14">
        <f t="shared" si="251"/>
        <v>0</v>
      </c>
      <c r="M521" s="50"/>
      <c r="N521" s="50"/>
    </row>
    <row r="522" spans="1:14" ht="31.2" x14ac:dyDescent="0.3">
      <c r="A522" s="64" t="s">
        <v>709</v>
      </c>
      <c r="B522" s="62" t="s">
        <v>926</v>
      </c>
      <c r="C522" s="68" t="s">
        <v>1402</v>
      </c>
      <c r="D522" s="68" t="s">
        <v>1372</v>
      </c>
      <c r="E522" s="8" t="s">
        <v>1180</v>
      </c>
      <c r="F522" s="45" t="s">
        <v>402</v>
      </c>
      <c r="G522" s="23" t="s">
        <v>819</v>
      </c>
      <c r="H522" s="14">
        <f>H523+H524</f>
        <v>11000</v>
      </c>
      <c r="I522" s="14">
        <f>I523+I524</f>
        <v>11000</v>
      </c>
      <c r="J522" s="14">
        <f t="shared" ref="J522" si="252">J523+J524</f>
        <v>11000</v>
      </c>
      <c r="K522" s="78">
        <f t="shared" si="250"/>
        <v>100</v>
      </c>
      <c r="L522" s="14">
        <f>L523+L524</f>
        <v>0</v>
      </c>
      <c r="M522" s="50"/>
      <c r="N522" s="50"/>
    </row>
    <row r="523" spans="1:14" x14ac:dyDescent="0.3">
      <c r="A523" s="64" t="s">
        <v>709</v>
      </c>
      <c r="B523" s="62" t="s">
        <v>926</v>
      </c>
      <c r="C523" s="68" t="s">
        <v>1402</v>
      </c>
      <c r="D523" s="68" t="s">
        <v>1372</v>
      </c>
      <c r="E523" s="8" t="s">
        <v>1180</v>
      </c>
      <c r="F523" s="8" t="s">
        <v>726</v>
      </c>
      <c r="G523" s="13" t="s">
        <v>820</v>
      </c>
      <c r="H523" s="14">
        <v>2400</v>
      </c>
      <c r="I523" s="14">
        <v>2400</v>
      </c>
      <c r="J523" s="14">
        <v>2400</v>
      </c>
      <c r="K523" s="78">
        <f t="shared" si="250"/>
        <v>100</v>
      </c>
      <c r="L523" s="14"/>
      <c r="M523" s="50"/>
      <c r="N523" s="50"/>
    </row>
    <row r="524" spans="1:14" x14ac:dyDescent="0.3">
      <c r="A524" s="64" t="s">
        <v>709</v>
      </c>
      <c r="B524" s="62" t="s">
        <v>926</v>
      </c>
      <c r="C524" s="68" t="s">
        <v>1402</v>
      </c>
      <c r="D524" s="68" t="s">
        <v>1372</v>
      </c>
      <c r="E524" s="8" t="s">
        <v>1180</v>
      </c>
      <c r="F524" s="64" t="s">
        <v>223</v>
      </c>
      <c r="G524" s="18" t="s">
        <v>829</v>
      </c>
      <c r="H524" s="14">
        <v>8600</v>
      </c>
      <c r="I524" s="14">
        <v>8600</v>
      </c>
      <c r="J524" s="14">
        <v>8600</v>
      </c>
      <c r="K524" s="78">
        <f t="shared" si="250"/>
        <v>100</v>
      </c>
      <c r="L524" s="14"/>
      <c r="M524" s="50"/>
      <c r="N524" s="50"/>
    </row>
    <row r="525" spans="1:14" x14ac:dyDescent="0.3">
      <c r="A525" s="64" t="s">
        <v>709</v>
      </c>
      <c r="B525" s="62" t="s">
        <v>926</v>
      </c>
      <c r="C525" s="68" t="s">
        <v>1402</v>
      </c>
      <c r="D525" s="68" t="s">
        <v>1372</v>
      </c>
      <c r="E525" s="8" t="s">
        <v>995</v>
      </c>
      <c r="F525" s="45"/>
      <c r="G525" s="18" t="s">
        <v>996</v>
      </c>
      <c r="H525" s="14">
        <f>H526</f>
        <v>19019.100000000002</v>
      </c>
      <c r="I525" s="14">
        <f t="shared" ref="I525:L525" si="253">I526</f>
        <v>19019.099999999999</v>
      </c>
      <c r="J525" s="14">
        <f t="shared" si="253"/>
        <v>19019.099999999999</v>
      </c>
      <c r="K525" s="78">
        <f t="shared" si="250"/>
        <v>100</v>
      </c>
      <c r="L525" s="14">
        <f t="shared" si="253"/>
        <v>0</v>
      </c>
      <c r="M525" s="50"/>
      <c r="N525" s="50"/>
    </row>
    <row r="526" spans="1:14" ht="31.2" x14ac:dyDescent="0.3">
      <c r="A526" s="64" t="s">
        <v>709</v>
      </c>
      <c r="B526" s="62" t="s">
        <v>926</v>
      </c>
      <c r="C526" s="68" t="s">
        <v>1402</v>
      </c>
      <c r="D526" s="68" t="s">
        <v>1372</v>
      </c>
      <c r="E526" s="8" t="s">
        <v>995</v>
      </c>
      <c r="F526" s="45" t="s">
        <v>402</v>
      </c>
      <c r="G526" s="23" t="s">
        <v>819</v>
      </c>
      <c r="H526" s="14">
        <f>H527+H528</f>
        <v>19019.100000000002</v>
      </c>
      <c r="I526" s="14">
        <f t="shared" ref="I526:L526" si="254">I527+I528</f>
        <v>19019.099999999999</v>
      </c>
      <c r="J526" s="14">
        <f t="shared" si="254"/>
        <v>19019.099999999999</v>
      </c>
      <c r="K526" s="78">
        <f t="shared" si="250"/>
        <v>100</v>
      </c>
      <c r="L526" s="14">
        <f t="shared" si="254"/>
        <v>0</v>
      </c>
      <c r="M526" s="50"/>
      <c r="N526" s="50"/>
    </row>
    <row r="527" spans="1:14" x14ac:dyDescent="0.3">
      <c r="A527" s="64" t="s">
        <v>709</v>
      </c>
      <c r="B527" s="62" t="s">
        <v>926</v>
      </c>
      <c r="C527" s="68" t="s">
        <v>1402</v>
      </c>
      <c r="D527" s="68" t="s">
        <v>1372</v>
      </c>
      <c r="E527" s="8" t="s">
        <v>995</v>
      </c>
      <c r="F527" s="8" t="s">
        <v>726</v>
      </c>
      <c r="G527" s="13" t="s">
        <v>820</v>
      </c>
      <c r="H527" s="14">
        <f>2817.9+1170.3</f>
        <v>3988.2</v>
      </c>
      <c r="I527" s="14">
        <v>3988.2</v>
      </c>
      <c r="J527" s="14">
        <v>3988.2</v>
      </c>
      <c r="K527" s="78">
        <f t="shared" si="250"/>
        <v>100</v>
      </c>
      <c r="L527" s="14"/>
      <c r="M527" s="50"/>
      <c r="N527" s="50"/>
    </row>
    <row r="528" spans="1:14" x14ac:dyDescent="0.3">
      <c r="A528" s="64" t="s">
        <v>709</v>
      </c>
      <c r="B528" s="62" t="s">
        <v>926</v>
      </c>
      <c r="C528" s="68" t="s">
        <v>1402</v>
      </c>
      <c r="D528" s="68" t="s">
        <v>1372</v>
      </c>
      <c r="E528" s="8" t="s">
        <v>995</v>
      </c>
      <c r="F528" s="64" t="s">
        <v>223</v>
      </c>
      <c r="G528" s="18" t="s">
        <v>829</v>
      </c>
      <c r="H528" s="14">
        <f>6992.1+8038.8</f>
        <v>15030.900000000001</v>
      </c>
      <c r="I528" s="14">
        <v>15030.9</v>
      </c>
      <c r="J528" s="14">
        <v>15030.9</v>
      </c>
      <c r="K528" s="78">
        <f t="shared" si="250"/>
        <v>100</v>
      </c>
      <c r="L528" s="14"/>
      <c r="M528" s="50"/>
      <c r="N528" s="50"/>
    </row>
    <row r="529" spans="1:14" ht="31.2" x14ac:dyDescent="0.3">
      <c r="A529" s="64" t="s">
        <v>709</v>
      </c>
      <c r="B529" s="62" t="s">
        <v>926</v>
      </c>
      <c r="C529" s="68" t="s">
        <v>1402</v>
      </c>
      <c r="D529" s="68" t="s">
        <v>1372</v>
      </c>
      <c r="E529" s="8" t="s">
        <v>229</v>
      </c>
      <c r="F529" s="45"/>
      <c r="G529" s="18" t="s">
        <v>1300</v>
      </c>
      <c r="H529" s="14">
        <f t="shared" ref="H529:L530" si="255">H530</f>
        <v>36.5</v>
      </c>
      <c r="I529" s="14">
        <f t="shared" si="255"/>
        <v>36.5</v>
      </c>
      <c r="J529" s="14">
        <f t="shared" si="255"/>
        <v>36.5</v>
      </c>
      <c r="K529" s="78">
        <f t="shared" si="250"/>
        <v>100</v>
      </c>
      <c r="L529" s="14">
        <f t="shared" si="255"/>
        <v>0</v>
      </c>
      <c r="M529" s="50"/>
      <c r="N529" s="50"/>
    </row>
    <row r="530" spans="1:14" ht="31.2" x14ac:dyDescent="0.3">
      <c r="A530" s="64" t="s">
        <v>709</v>
      </c>
      <c r="B530" s="62" t="s">
        <v>926</v>
      </c>
      <c r="C530" s="68" t="s">
        <v>1402</v>
      </c>
      <c r="D530" s="68" t="s">
        <v>1372</v>
      </c>
      <c r="E530" s="8" t="s">
        <v>229</v>
      </c>
      <c r="F530" s="45" t="s">
        <v>402</v>
      </c>
      <c r="G530" s="23" t="s">
        <v>819</v>
      </c>
      <c r="H530" s="14">
        <f t="shared" si="255"/>
        <v>36.5</v>
      </c>
      <c r="I530" s="14">
        <f t="shared" si="255"/>
        <v>36.5</v>
      </c>
      <c r="J530" s="14">
        <f t="shared" si="255"/>
        <v>36.5</v>
      </c>
      <c r="K530" s="78">
        <f t="shared" si="250"/>
        <v>100</v>
      </c>
      <c r="L530" s="14">
        <f t="shared" si="255"/>
        <v>0</v>
      </c>
      <c r="M530" s="50"/>
      <c r="N530" s="50"/>
    </row>
    <row r="531" spans="1:14" x14ac:dyDescent="0.3">
      <c r="A531" s="64" t="s">
        <v>709</v>
      </c>
      <c r="B531" s="62" t="s">
        <v>926</v>
      </c>
      <c r="C531" s="68" t="s">
        <v>1402</v>
      </c>
      <c r="D531" s="68" t="s">
        <v>1372</v>
      </c>
      <c r="E531" s="8" t="s">
        <v>229</v>
      </c>
      <c r="F531" s="64" t="s">
        <v>223</v>
      </c>
      <c r="G531" s="18" t="s">
        <v>829</v>
      </c>
      <c r="H531" s="14">
        <v>36.5</v>
      </c>
      <c r="I531" s="14">
        <v>36.5</v>
      </c>
      <c r="J531" s="14">
        <v>36.5</v>
      </c>
      <c r="K531" s="78">
        <f t="shared" si="250"/>
        <v>100</v>
      </c>
      <c r="L531" s="14"/>
      <c r="M531" s="50"/>
      <c r="N531" s="50"/>
    </row>
    <row r="532" spans="1:14" ht="31.2" x14ac:dyDescent="0.3">
      <c r="A532" s="64" t="s">
        <v>709</v>
      </c>
      <c r="B532" s="62" t="s">
        <v>926</v>
      </c>
      <c r="C532" s="68" t="s">
        <v>1402</v>
      </c>
      <c r="D532" s="68" t="s">
        <v>1372</v>
      </c>
      <c r="E532" s="8" t="s">
        <v>954</v>
      </c>
      <c r="F532" s="8"/>
      <c r="G532" s="13" t="s">
        <v>955</v>
      </c>
      <c r="H532" s="20">
        <v>0</v>
      </c>
      <c r="I532" s="14">
        <f>I533</f>
        <v>7767.8082299999996</v>
      </c>
      <c r="J532" s="14">
        <f t="shared" ref="J532:L533" si="256">J533</f>
        <v>7767.8082299999996</v>
      </c>
      <c r="K532" s="78">
        <f t="shared" si="250"/>
        <v>100</v>
      </c>
      <c r="L532" s="14">
        <f t="shared" si="256"/>
        <v>0</v>
      </c>
      <c r="M532" s="50"/>
      <c r="N532" s="50"/>
    </row>
    <row r="533" spans="1:14" ht="31.2" x14ac:dyDescent="0.3">
      <c r="A533" s="64" t="s">
        <v>709</v>
      </c>
      <c r="B533" s="62" t="s">
        <v>926</v>
      </c>
      <c r="C533" s="68" t="s">
        <v>1402</v>
      </c>
      <c r="D533" s="68" t="s">
        <v>1372</v>
      </c>
      <c r="E533" s="8" t="s">
        <v>954</v>
      </c>
      <c r="F533" s="45" t="s">
        <v>402</v>
      </c>
      <c r="G533" s="23" t="s">
        <v>819</v>
      </c>
      <c r="H533" s="20">
        <v>0</v>
      </c>
      <c r="I533" s="14">
        <f>I534</f>
        <v>7767.8082299999996</v>
      </c>
      <c r="J533" s="14">
        <f t="shared" si="256"/>
        <v>7767.8082299999996</v>
      </c>
      <c r="K533" s="78">
        <f t="shared" si="250"/>
        <v>100</v>
      </c>
      <c r="L533" s="14">
        <f t="shared" si="256"/>
        <v>0</v>
      </c>
      <c r="M533" s="50"/>
      <c r="N533" s="50"/>
    </row>
    <row r="534" spans="1:14" x14ac:dyDescent="0.3">
      <c r="A534" s="64" t="s">
        <v>709</v>
      </c>
      <c r="B534" s="62" t="s">
        <v>926</v>
      </c>
      <c r="C534" s="68" t="s">
        <v>1402</v>
      </c>
      <c r="D534" s="68" t="s">
        <v>1372</v>
      </c>
      <c r="E534" s="8" t="s">
        <v>954</v>
      </c>
      <c r="F534" s="64" t="s">
        <v>223</v>
      </c>
      <c r="G534" s="18" t="s">
        <v>829</v>
      </c>
      <c r="H534" s="20">
        <v>0</v>
      </c>
      <c r="I534" s="14">
        <v>7767.8082299999996</v>
      </c>
      <c r="J534" s="14">
        <v>7767.8082299999996</v>
      </c>
      <c r="K534" s="78">
        <f t="shared" si="250"/>
        <v>100</v>
      </c>
      <c r="L534" s="14"/>
      <c r="M534" s="50"/>
      <c r="N534" s="50"/>
    </row>
    <row r="535" spans="1:14" ht="46.8" x14ac:dyDescent="0.3">
      <c r="A535" s="64" t="s">
        <v>709</v>
      </c>
      <c r="B535" s="62" t="s">
        <v>926</v>
      </c>
      <c r="C535" s="68" t="s">
        <v>1402</v>
      </c>
      <c r="D535" s="68" t="s">
        <v>1372</v>
      </c>
      <c r="E535" s="8" t="s">
        <v>417</v>
      </c>
      <c r="F535" s="8"/>
      <c r="G535" s="18" t="s">
        <v>111</v>
      </c>
      <c r="H535" s="14">
        <f>H536+H540+H543+H553+H546+H549</f>
        <v>228018.19999999998</v>
      </c>
      <c r="I535" s="14">
        <f t="shared" ref="I535:L535" si="257">I536+I540+I543+I553+I546+I549</f>
        <v>228018.19999999998</v>
      </c>
      <c r="J535" s="14">
        <f t="shared" si="257"/>
        <v>227862.32471999998</v>
      </c>
      <c r="K535" s="78">
        <f t="shared" si="250"/>
        <v>99.931639106001185</v>
      </c>
      <c r="L535" s="14">
        <f t="shared" si="257"/>
        <v>0</v>
      </c>
      <c r="M535" s="50"/>
      <c r="N535" s="50"/>
    </row>
    <row r="536" spans="1:14" ht="62.4" x14ac:dyDescent="0.3">
      <c r="A536" s="64" t="s">
        <v>709</v>
      </c>
      <c r="B536" s="62" t="s">
        <v>926</v>
      </c>
      <c r="C536" s="68" t="s">
        <v>1402</v>
      </c>
      <c r="D536" s="68" t="s">
        <v>1372</v>
      </c>
      <c r="E536" s="8" t="s">
        <v>418</v>
      </c>
      <c r="F536" s="8"/>
      <c r="G536" s="23" t="s">
        <v>1291</v>
      </c>
      <c r="H536" s="14">
        <f t="shared" ref="H536:L536" si="258">H537</f>
        <v>200142.9</v>
      </c>
      <c r="I536" s="14">
        <f t="shared" si="258"/>
        <v>200142.9</v>
      </c>
      <c r="J536" s="14">
        <f t="shared" si="258"/>
        <v>199987.02471999999</v>
      </c>
      <c r="K536" s="78">
        <f t="shared" si="250"/>
        <v>99.922118006684229</v>
      </c>
      <c r="L536" s="14">
        <f t="shared" si="258"/>
        <v>0</v>
      </c>
      <c r="M536" s="50"/>
      <c r="N536" s="50"/>
    </row>
    <row r="537" spans="1:14" ht="31.2" x14ac:dyDescent="0.3">
      <c r="A537" s="64" t="s">
        <v>709</v>
      </c>
      <c r="B537" s="62" t="s">
        <v>926</v>
      </c>
      <c r="C537" s="68" t="s">
        <v>1402</v>
      </c>
      <c r="D537" s="68" t="s">
        <v>1372</v>
      </c>
      <c r="E537" s="8" t="s">
        <v>418</v>
      </c>
      <c r="F537" s="45" t="s">
        <v>402</v>
      </c>
      <c r="G537" s="23" t="s">
        <v>819</v>
      </c>
      <c r="H537" s="14">
        <f>H538+H539</f>
        <v>200142.9</v>
      </c>
      <c r="I537" s="14">
        <f>I538+I539</f>
        <v>200142.9</v>
      </c>
      <c r="J537" s="14">
        <f t="shared" ref="J537" si="259">J538+J539</f>
        <v>199987.02471999999</v>
      </c>
      <c r="K537" s="78">
        <f t="shared" si="250"/>
        <v>99.922118006684229</v>
      </c>
      <c r="L537" s="14">
        <f>L538+L539</f>
        <v>0</v>
      </c>
      <c r="M537" s="50"/>
      <c r="N537" s="50"/>
    </row>
    <row r="538" spans="1:14" x14ac:dyDescent="0.3">
      <c r="A538" s="64" t="s">
        <v>709</v>
      </c>
      <c r="B538" s="62" t="s">
        <v>926</v>
      </c>
      <c r="C538" s="68" t="s">
        <v>1402</v>
      </c>
      <c r="D538" s="68" t="s">
        <v>1372</v>
      </c>
      <c r="E538" s="8" t="s">
        <v>418</v>
      </c>
      <c r="F538" s="8" t="s">
        <v>726</v>
      </c>
      <c r="G538" s="13" t="s">
        <v>820</v>
      </c>
      <c r="H538" s="14">
        <v>11861.6</v>
      </c>
      <c r="I538" s="14">
        <v>11861.6</v>
      </c>
      <c r="J538" s="14">
        <v>11705.774719999999</v>
      </c>
      <c r="K538" s="78">
        <f t="shared" si="250"/>
        <v>98.686304714372426</v>
      </c>
      <c r="L538" s="14"/>
      <c r="M538" s="50"/>
      <c r="N538" s="50"/>
    </row>
    <row r="539" spans="1:14" x14ac:dyDescent="0.3">
      <c r="A539" s="64" t="s">
        <v>709</v>
      </c>
      <c r="B539" s="62" t="s">
        <v>926</v>
      </c>
      <c r="C539" s="68" t="s">
        <v>1402</v>
      </c>
      <c r="D539" s="68" t="s">
        <v>1372</v>
      </c>
      <c r="E539" s="8" t="s">
        <v>418</v>
      </c>
      <c r="F539" s="64" t="s">
        <v>223</v>
      </c>
      <c r="G539" s="18" t="s">
        <v>829</v>
      </c>
      <c r="H539" s="14">
        <v>188281.3</v>
      </c>
      <c r="I539" s="14">
        <v>188281.3</v>
      </c>
      <c r="J539" s="14">
        <v>188281.25</v>
      </c>
      <c r="K539" s="78">
        <f t="shared" si="250"/>
        <v>99.99997344399047</v>
      </c>
      <c r="L539" s="14"/>
      <c r="M539" s="50"/>
      <c r="N539" s="50"/>
    </row>
    <row r="540" spans="1:14" ht="31.2" x14ac:dyDescent="0.3">
      <c r="A540" s="64" t="s">
        <v>709</v>
      </c>
      <c r="B540" s="62" t="s">
        <v>926</v>
      </c>
      <c r="C540" s="68" t="s">
        <v>1402</v>
      </c>
      <c r="D540" s="68" t="s">
        <v>1372</v>
      </c>
      <c r="E540" s="8" t="s">
        <v>419</v>
      </c>
      <c r="F540" s="8"/>
      <c r="G540" s="13" t="s">
        <v>1314</v>
      </c>
      <c r="H540" s="14">
        <f t="shared" ref="H540:L541" si="260">H541</f>
        <v>283.29999999999995</v>
      </c>
      <c r="I540" s="14">
        <f t="shared" si="260"/>
        <v>283.3</v>
      </c>
      <c r="J540" s="14">
        <f t="shared" si="260"/>
        <v>283.3</v>
      </c>
      <c r="K540" s="78">
        <f t="shared" si="250"/>
        <v>100</v>
      </c>
      <c r="L540" s="14">
        <f t="shared" si="260"/>
        <v>0</v>
      </c>
      <c r="M540" s="50"/>
      <c r="N540" s="50"/>
    </row>
    <row r="541" spans="1:14" ht="31.2" x14ac:dyDescent="0.3">
      <c r="A541" s="64" t="s">
        <v>709</v>
      </c>
      <c r="B541" s="62" t="s">
        <v>926</v>
      </c>
      <c r="C541" s="68" t="s">
        <v>1402</v>
      </c>
      <c r="D541" s="68" t="s">
        <v>1372</v>
      </c>
      <c r="E541" s="8" t="s">
        <v>419</v>
      </c>
      <c r="F541" s="45" t="s">
        <v>402</v>
      </c>
      <c r="G541" s="23" t="s">
        <v>819</v>
      </c>
      <c r="H541" s="14">
        <f t="shared" si="260"/>
        <v>283.29999999999995</v>
      </c>
      <c r="I541" s="14">
        <f t="shared" si="260"/>
        <v>283.3</v>
      </c>
      <c r="J541" s="14">
        <f t="shared" si="260"/>
        <v>283.3</v>
      </c>
      <c r="K541" s="78">
        <f t="shared" si="250"/>
        <v>100</v>
      </c>
      <c r="L541" s="14">
        <f t="shared" si="260"/>
        <v>0</v>
      </c>
      <c r="M541" s="50"/>
      <c r="N541" s="50"/>
    </row>
    <row r="542" spans="1:14" x14ac:dyDescent="0.3">
      <c r="A542" s="64" t="s">
        <v>709</v>
      </c>
      <c r="B542" s="62" t="s">
        <v>926</v>
      </c>
      <c r="C542" s="68" t="s">
        <v>1402</v>
      </c>
      <c r="D542" s="68" t="s">
        <v>1372</v>
      </c>
      <c r="E542" s="8" t="s">
        <v>419</v>
      </c>
      <c r="F542" s="64" t="s">
        <v>223</v>
      </c>
      <c r="G542" s="18" t="s">
        <v>829</v>
      </c>
      <c r="H542" s="14">
        <f>341.9-58.6</f>
        <v>283.29999999999995</v>
      </c>
      <c r="I542" s="14">
        <v>283.3</v>
      </c>
      <c r="J542" s="14">
        <v>283.3</v>
      </c>
      <c r="K542" s="78">
        <f t="shared" si="250"/>
        <v>100</v>
      </c>
      <c r="L542" s="14"/>
      <c r="M542" s="50"/>
      <c r="N542" s="50"/>
    </row>
    <row r="543" spans="1:14" ht="31.2" x14ac:dyDescent="0.3">
      <c r="A543" s="64" t="s">
        <v>709</v>
      </c>
      <c r="B543" s="62" t="s">
        <v>926</v>
      </c>
      <c r="C543" s="68" t="s">
        <v>1402</v>
      </c>
      <c r="D543" s="68" t="s">
        <v>1372</v>
      </c>
      <c r="E543" s="8" t="s">
        <v>1272</v>
      </c>
      <c r="F543" s="45"/>
      <c r="G543" s="18" t="s">
        <v>703</v>
      </c>
      <c r="H543" s="14">
        <f t="shared" ref="H543:L544" si="261">H544</f>
        <v>220</v>
      </c>
      <c r="I543" s="14">
        <f t="shared" si="261"/>
        <v>220</v>
      </c>
      <c r="J543" s="14">
        <f t="shared" si="261"/>
        <v>220</v>
      </c>
      <c r="K543" s="78">
        <f t="shared" si="250"/>
        <v>100</v>
      </c>
      <c r="L543" s="14">
        <f t="shared" si="261"/>
        <v>0</v>
      </c>
      <c r="M543" s="50"/>
      <c r="N543" s="50"/>
    </row>
    <row r="544" spans="1:14" ht="31.2" x14ac:dyDescent="0.3">
      <c r="A544" s="64" t="s">
        <v>709</v>
      </c>
      <c r="B544" s="62" t="s">
        <v>926</v>
      </c>
      <c r="C544" s="68" t="s">
        <v>1402</v>
      </c>
      <c r="D544" s="68" t="s">
        <v>1372</v>
      </c>
      <c r="E544" s="8" t="s">
        <v>1272</v>
      </c>
      <c r="F544" s="45" t="s">
        <v>402</v>
      </c>
      <c r="G544" s="23" t="s">
        <v>819</v>
      </c>
      <c r="H544" s="14">
        <f t="shared" si="261"/>
        <v>220</v>
      </c>
      <c r="I544" s="14">
        <f t="shared" si="261"/>
        <v>220</v>
      </c>
      <c r="J544" s="14">
        <f t="shared" si="261"/>
        <v>220</v>
      </c>
      <c r="K544" s="78">
        <f t="shared" si="250"/>
        <v>100</v>
      </c>
      <c r="L544" s="14">
        <f t="shared" si="261"/>
        <v>0</v>
      </c>
      <c r="M544" s="50"/>
      <c r="N544" s="50"/>
    </row>
    <row r="545" spans="1:14" x14ac:dyDescent="0.3">
      <c r="A545" s="64" t="s">
        <v>709</v>
      </c>
      <c r="B545" s="62" t="s">
        <v>926</v>
      </c>
      <c r="C545" s="68" t="s">
        <v>1402</v>
      </c>
      <c r="D545" s="68" t="s">
        <v>1372</v>
      </c>
      <c r="E545" s="8" t="s">
        <v>1272</v>
      </c>
      <c r="F545" s="64" t="s">
        <v>223</v>
      </c>
      <c r="G545" s="18" t="s">
        <v>829</v>
      </c>
      <c r="H545" s="14">
        <v>220</v>
      </c>
      <c r="I545" s="14">
        <v>220</v>
      </c>
      <c r="J545" s="14">
        <v>220</v>
      </c>
      <c r="K545" s="78">
        <f t="shared" si="250"/>
        <v>100</v>
      </c>
      <c r="L545" s="14"/>
      <c r="M545" s="50"/>
      <c r="N545" s="50"/>
    </row>
    <row r="546" spans="1:14" ht="46.8" x14ac:dyDescent="0.3">
      <c r="A546" s="64" t="s">
        <v>709</v>
      </c>
      <c r="B546" s="62" t="s">
        <v>926</v>
      </c>
      <c r="C546" s="68" t="s">
        <v>1402</v>
      </c>
      <c r="D546" s="68" t="s">
        <v>1372</v>
      </c>
      <c r="E546" s="8" t="s">
        <v>981</v>
      </c>
      <c r="F546" s="45"/>
      <c r="G546" s="18" t="s">
        <v>18</v>
      </c>
      <c r="H546" s="14">
        <f>H547</f>
        <v>727.9</v>
      </c>
      <c r="I546" s="14">
        <f t="shared" ref="I546:L547" si="262">I547</f>
        <v>727.9</v>
      </c>
      <c r="J546" s="14">
        <f t="shared" si="262"/>
        <v>727.9</v>
      </c>
      <c r="K546" s="78">
        <f t="shared" si="250"/>
        <v>100</v>
      </c>
      <c r="L546" s="14">
        <f t="shared" si="262"/>
        <v>0</v>
      </c>
      <c r="M546" s="50"/>
      <c r="N546" s="50"/>
    </row>
    <row r="547" spans="1:14" ht="31.2" x14ac:dyDescent="0.3">
      <c r="A547" s="64" t="s">
        <v>709</v>
      </c>
      <c r="B547" s="62" t="s">
        <v>926</v>
      </c>
      <c r="C547" s="68" t="s">
        <v>1402</v>
      </c>
      <c r="D547" s="68" t="s">
        <v>1372</v>
      </c>
      <c r="E547" s="8" t="s">
        <v>981</v>
      </c>
      <c r="F547" s="45" t="s">
        <v>402</v>
      </c>
      <c r="G547" s="23" t="s">
        <v>819</v>
      </c>
      <c r="H547" s="14">
        <f>H548</f>
        <v>727.9</v>
      </c>
      <c r="I547" s="14">
        <f t="shared" si="262"/>
        <v>727.9</v>
      </c>
      <c r="J547" s="14">
        <f t="shared" si="262"/>
        <v>727.9</v>
      </c>
      <c r="K547" s="78">
        <f t="shared" si="250"/>
        <v>100</v>
      </c>
      <c r="L547" s="14">
        <f t="shared" si="262"/>
        <v>0</v>
      </c>
      <c r="M547" s="50"/>
      <c r="N547" s="50"/>
    </row>
    <row r="548" spans="1:14" x14ac:dyDescent="0.3">
      <c r="A548" s="64" t="s">
        <v>709</v>
      </c>
      <c r="B548" s="62" t="s">
        <v>926</v>
      </c>
      <c r="C548" s="68" t="s">
        <v>1402</v>
      </c>
      <c r="D548" s="68" t="s">
        <v>1372</v>
      </c>
      <c r="E548" s="8" t="s">
        <v>981</v>
      </c>
      <c r="F548" s="64" t="s">
        <v>223</v>
      </c>
      <c r="G548" s="18" t="s">
        <v>829</v>
      </c>
      <c r="H548" s="14">
        <v>727.9</v>
      </c>
      <c r="I548" s="14">
        <v>727.9</v>
      </c>
      <c r="J548" s="14">
        <v>727.9</v>
      </c>
      <c r="K548" s="78">
        <f t="shared" si="250"/>
        <v>100</v>
      </c>
      <c r="L548" s="14"/>
      <c r="M548" s="50"/>
      <c r="N548" s="50"/>
    </row>
    <row r="549" spans="1:14" x14ac:dyDescent="0.3">
      <c r="A549" s="64" t="s">
        <v>709</v>
      </c>
      <c r="B549" s="62" t="s">
        <v>926</v>
      </c>
      <c r="C549" s="68" t="s">
        <v>1402</v>
      </c>
      <c r="D549" s="68" t="s">
        <v>1372</v>
      </c>
      <c r="E549" s="8" t="s">
        <v>997</v>
      </c>
      <c r="F549" s="45"/>
      <c r="G549" s="18" t="s">
        <v>996</v>
      </c>
      <c r="H549" s="14">
        <f>H550</f>
        <v>26500.499999999996</v>
      </c>
      <c r="I549" s="14">
        <f t="shared" ref="I549:L549" si="263">I550</f>
        <v>26500.5</v>
      </c>
      <c r="J549" s="14">
        <f t="shared" si="263"/>
        <v>26500.5</v>
      </c>
      <c r="K549" s="78">
        <f t="shared" si="250"/>
        <v>100</v>
      </c>
      <c r="L549" s="14">
        <f t="shared" si="263"/>
        <v>0</v>
      </c>
      <c r="M549" s="50"/>
      <c r="N549" s="50"/>
    </row>
    <row r="550" spans="1:14" ht="31.2" x14ac:dyDescent="0.3">
      <c r="A550" s="64" t="s">
        <v>709</v>
      </c>
      <c r="B550" s="62" t="s">
        <v>926</v>
      </c>
      <c r="C550" s="68" t="s">
        <v>1402</v>
      </c>
      <c r="D550" s="68" t="s">
        <v>1372</v>
      </c>
      <c r="E550" s="8" t="s">
        <v>997</v>
      </c>
      <c r="F550" s="45" t="s">
        <v>402</v>
      </c>
      <c r="G550" s="23" t="s">
        <v>819</v>
      </c>
      <c r="H550" s="14">
        <f>H551+H552</f>
        <v>26500.499999999996</v>
      </c>
      <c r="I550" s="14">
        <f t="shared" ref="I550:L550" si="264">I551+I552</f>
        <v>26500.5</v>
      </c>
      <c r="J550" s="14">
        <f t="shared" si="264"/>
        <v>26500.5</v>
      </c>
      <c r="K550" s="78">
        <f t="shared" si="250"/>
        <v>100</v>
      </c>
      <c r="L550" s="14">
        <f t="shared" si="264"/>
        <v>0</v>
      </c>
      <c r="M550" s="50"/>
      <c r="N550" s="50"/>
    </row>
    <row r="551" spans="1:14" x14ac:dyDescent="0.3">
      <c r="A551" s="64" t="s">
        <v>709</v>
      </c>
      <c r="B551" s="62" t="s">
        <v>926</v>
      </c>
      <c r="C551" s="68" t="s">
        <v>1402</v>
      </c>
      <c r="D551" s="68" t="s">
        <v>1372</v>
      </c>
      <c r="E551" s="8" t="s">
        <v>997</v>
      </c>
      <c r="F551" s="8" t="s">
        <v>726</v>
      </c>
      <c r="G551" s="13" t="s">
        <v>820</v>
      </c>
      <c r="H551" s="14">
        <f>567.5+831.8</f>
        <v>1399.3</v>
      </c>
      <c r="I551" s="14">
        <v>1399.3</v>
      </c>
      <c r="J551" s="14">
        <v>1399.3</v>
      </c>
      <c r="K551" s="78">
        <f t="shared" si="250"/>
        <v>100</v>
      </c>
      <c r="L551" s="14"/>
      <c r="M551" s="50"/>
      <c r="N551" s="50"/>
    </row>
    <row r="552" spans="1:14" x14ac:dyDescent="0.3">
      <c r="A552" s="64" t="s">
        <v>709</v>
      </c>
      <c r="B552" s="62" t="s">
        <v>926</v>
      </c>
      <c r="C552" s="68" t="s">
        <v>1402</v>
      </c>
      <c r="D552" s="68" t="s">
        <v>1372</v>
      </c>
      <c r="E552" s="8" t="s">
        <v>997</v>
      </c>
      <c r="F552" s="64" t="s">
        <v>223</v>
      </c>
      <c r="G552" s="18" t="s">
        <v>829</v>
      </c>
      <c r="H552" s="14">
        <f>10769.4+14331.8</f>
        <v>25101.199999999997</v>
      </c>
      <c r="I552" s="14">
        <v>25101.200000000001</v>
      </c>
      <c r="J552" s="14">
        <v>25101.200000000001</v>
      </c>
      <c r="K552" s="78">
        <f t="shared" si="250"/>
        <v>100</v>
      </c>
      <c r="L552" s="14"/>
      <c r="M552" s="50"/>
      <c r="N552" s="50"/>
    </row>
    <row r="553" spans="1:14" ht="31.2" x14ac:dyDescent="0.3">
      <c r="A553" s="64" t="s">
        <v>709</v>
      </c>
      <c r="B553" s="62" t="s">
        <v>926</v>
      </c>
      <c r="C553" s="68" t="s">
        <v>1402</v>
      </c>
      <c r="D553" s="68" t="s">
        <v>1372</v>
      </c>
      <c r="E553" s="8" t="s">
        <v>230</v>
      </c>
      <c r="F553" s="45"/>
      <c r="G553" s="18" t="s">
        <v>1300</v>
      </c>
      <c r="H553" s="14">
        <f t="shared" ref="H553:L554" si="265">H554</f>
        <v>143.6</v>
      </c>
      <c r="I553" s="14">
        <f t="shared" si="265"/>
        <v>143.6</v>
      </c>
      <c r="J553" s="14">
        <f t="shared" si="265"/>
        <v>143.6</v>
      </c>
      <c r="K553" s="78">
        <f t="shared" si="250"/>
        <v>100</v>
      </c>
      <c r="L553" s="14">
        <f t="shared" si="265"/>
        <v>0</v>
      </c>
      <c r="M553" s="50"/>
      <c r="N553" s="50"/>
    </row>
    <row r="554" spans="1:14" ht="31.2" x14ac:dyDescent="0.3">
      <c r="A554" s="64" t="s">
        <v>709</v>
      </c>
      <c r="B554" s="62" t="s">
        <v>926</v>
      </c>
      <c r="C554" s="68" t="s">
        <v>1402</v>
      </c>
      <c r="D554" s="68" t="s">
        <v>1372</v>
      </c>
      <c r="E554" s="8" t="s">
        <v>230</v>
      </c>
      <c r="F554" s="45" t="s">
        <v>402</v>
      </c>
      <c r="G554" s="23" t="s">
        <v>819</v>
      </c>
      <c r="H554" s="14">
        <f t="shared" si="265"/>
        <v>143.6</v>
      </c>
      <c r="I554" s="14">
        <f t="shared" si="265"/>
        <v>143.6</v>
      </c>
      <c r="J554" s="14">
        <f t="shared" si="265"/>
        <v>143.6</v>
      </c>
      <c r="K554" s="78">
        <f t="shared" si="250"/>
        <v>100</v>
      </c>
      <c r="L554" s="14">
        <f t="shared" si="265"/>
        <v>0</v>
      </c>
      <c r="M554" s="50"/>
      <c r="N554" s="50"/>
    </row>
    <row r="555" spans="1:14" x14ac:dyDescent="0.3">
      <c r="A555" s="64" t="s">
        <v>709</v>
      </c>
      <c r="B555" s="62" t="s">
        <v>926</v>
      </c>
      <c r="C555" s="68" t="s">
        <v>1402</v>
      </c>
      <c r="D555" s="68" t="s">
        <v>1372</v>
      </c>
      <c r="E555" s="8" t="s">
        <v>230</v>
      </c>
      <c r="F555" s="64" t="s">
        <v>223</v>
      </c>
      <c r="G555" s="18" t="s">
        <v>829</v>
      </c>
      <c r="H555" s="14">
        <v>143.6</v>
      </c>
      <c r="I555" s="14">
        <v>143.6</v>
      </c>
      <c r="J555" s="14">
        <v>143.6</v>
      </c>
      <c r="K555" s="78">
        <f t="shared" si="250"/>
        <v>100</v>
      </c>
      <c r="L555" s="14"/>
      <c r="M555" s="50"/>
      <c r="N555" s="50"/>
    </row>
    <row r="556" spans="1:14" ht="46.8" x14ac:dyDescent="0.3">
      <c r="A556" s="64" t="s">
        <v>709</v>
      </c>
      <c r="B556" s="62" t="s">
        <v>926</v>
      </c>
      <c r="C556" s="68" t="s">
        <v>1402</v>
      </c>
      <c r="D556" s="68" t="s">
        <v>1372</v>
      </c>
      <c r="E556" s="8" t="s">
        <v>420</v>
      </c>
      <c r="F556" s="8"/>
      <c r="G556" s="18" t="s">
        <v>1190</v>
      </c>
      <c r="H556" s="14">
        <f>H557+H563+H560+H566</f>
        <v>128364.74</v>
      </c>
      <c r="I556" s="14">
        <f t="shared" ref="I556:L556" si="266">I557+I563+I560+I566</f>
        <v>128414.74</v>
      </c>
      <c r="J556" s="14">
        <f t="shared" si="266"/>
        <v>128414.74</v>
      </c>
      <c r="K556" s="78">
        <f t="shared" si="250"/>
        <v>100</v>
      </c>
      <c r="L556" s="14">
        <f t="shared" si="266"/>
        <v>0</v>
      </c>
      <c r="M556" s="50"/>
      <c r="N556" s="50"/>
    </row>
    <row r="557" spans="1:14" ht="62.4" x14ac:dyDescent="0.3">
      <c r="A557" s="64" t="s">
        <v>709</v>
      </c>
      <c r="B557" s="62" t="s">
        <v>926</v>
      </c>
      <c r="C557" s="68" t="s">
        <v>1402</v>
      </c>
      <c r="D557" s="68" t="s">
        <v>1372</v>
      </c>
      <c r="E557" s="8" t="s">
        <v>421</v>
      </c>
      <c r="F557" s="8"/>
      <c r="G557" s="23" t="s">
        <v>1291</v>
      </c>
      <c r="H557" s="14">
        <f t="shared" ref="H557:L558" si="267">H558</f>
        <v>100750</v>
      </c>
      <c r="I557" s="14">
        <f t="shared" si="267"/>
        <v>100750</v>
      </c>
      <c r="J557" s="14">
        <f t="shared" si="267"/>
        <v>100750</v>
      </c>
      <c r="K557" s="78">
        <f t="shared" si="250"/>
        <v>100</v>
      </c>
      <c r="L557" s="14">
        <f t="shared" si="267"/>
        <v>0</v>
      </c>
      <c r="M557" s="50"/>
      <c r="N557" s="50"/>
    </row>
    <row r="558" spans="1:14" ht="31.2" x14ac:dyDescent="0.3">
      <c r="A558" s="64" t="s">
        <v>709</v>
      </c>
      <c r="B558" s="62" t="s">
        <v>926</v>
      </c>
      <c r="C558" s="68" t="s">
        <v>1402</v>
      </c>
      <c r="D558" s="68" t="s">
        <v>1372</v>
      </c>
      <c r="E558" s="8" t="s">
        <v>421</v>
      </c>
      <c r="F558" s="45" t="s">
        <v>402</v>
      </c>
      <c r="G558" s="23" t="s">
        <v>819</v>
      </c>
      <c r="H558" s="14">
        <f t="shared" si="267"/>
        <v>100750</v>
      </c>
      <c r="I558" s="14">
        <f t="shared" si="267"/>
        <v>100750</v>
      </c>
      <c r="J558" s="14">
        <f t="shared" si="267"/>
        <v>100750</v>
      </c>
      <c r="K558" s="78">
        <f t="shared" si="250"/>
        <v>100</v>
      </c>
      <c r="L558" s="14">
        <f t="shared" si="267"/>
        <v>0</v>
      </c>
      <c r="M558" s="50"/>
      <c r="N558" s="50"/>
    </row>
    <row r="559" spans="1:14" x14ac:dyDescent="0.3">
      <c r="A559" s="64" t="s">
        <v>709</v>
      </c>
      <c r="B559" s="62" t="s">
        <v>926</v>
      </c>
      <c r="C559" s="68" t="s">
        <v>1402</v>
      </c>
      <c r="D559" s="68" t="s">
        <v>1372</v>
      </c>
      <c r="E559" s="8" t="s">
        <v>421</v>
      </c>
      <c r="F559" s="8" t="s">
        <v>726</v>
      </c>
      <c r="G559" s="13" t="s">
        <v>820</v>
      </c>
      <c r="H559" s="14">
        <v>100750</v>
      </c>
      <c r="I559" s="14">
        <v>100750</v>
      </c>
      <c r="J559" s="14">
        <v>100750</v>
      </c>
      <c r="K559" s="78">
        <f t="shared" si="250"/>
        <v>100</v>
      </c>
      <c r="L559" s="14"/>
      <c r="M559" s="50"/>
      <c r="N559" s="50"/>
    </row>
    <row r="560" spans="1:14" x14ac:dyDescent="0.3">
      <c r="A560" s="64" t="s">
        <v>709</v>
      </c>
      <c r="B560" s="62" t="s">
        <v>926</v>
      </c>
      <c r="C560" s="68" t="s">
        <v>1402</v>
      </c>
      <c r="D560" s="68" t="s">
        <v>1372</v>
      </c>
      <c r="E560" s="8" t="s">
        <v>998</v>
      </c>
      <c r="F560" s="8"/>
      <c r="G560" s="13" t="s">
        <v>996</v>
      </c>
      <c r="H560" s="14">
        <f>H561</f>
        <v>26928.14</v>
      </c>
      <c r="I560" s="14">
        <f t="shared" ref="I560:L561" si="268">I561</f>
        <v>26928.14</v>
      </c>
      <c r="J560" s="14">
        <f t="shared" si="268"/>
        <v>26928.14</v>
      </c>
      <c r="K560" s="78">
        <f t="shared" si="250"/>
        <v>100</v>
      </c>
      <c r="L560" s="14">
        <f t="shared" si="268"/>
        <v>0</v>
      </c>
      <c r="M560" s="50"/>
      <c r="N560" s="50"/>
    </row>
    <row r="561" spans="1:14" ht="31.2" x14ac:dyDescent="0.3">
      <c r="A561" s="64" t="s">
        <v>709</v>
      </c>
      <c r="B561" s="62" t="s">
        <v>926</v>
      </c>
      <c r="C561" s="68" t="s">
        <v>1402</v>
      </c>
      <c r="D561" s="68" t="s">
        <v>1372</v>
      </c>
      <c r="E561" s="8" t="s">
        <v>998</v>
      </c>
      <c r="F561" s="45" t="s">
        <v>402</v>
      </c>
      <c r="G561" s="23" t="s">
        <v>819</v>
      </c>
      <c r="H561" s="14">
        <f>H562</f>
        <v>26928.14</v>
      </c>
      <c r="I561" s="14">
        <f t="shared" si="268"/>
        <v>26928.14</v>
      </c>
      <c r="J561" s="14">
        <f t="shared" si="268"/>
        <v>26928.14</v>
      </c>
      <c r="K561" s="78">
        <f t="shared" si="250"/>
        <v>100</v>
      </c>
      <c r="L561" s="14">
        <f t="shared" si="268"/>
        <v>0</v>
      </c>
      <c r="M561" s="50"/>
      <c r="N561" s="50"/>
    </row>
    <row r="562" spans="1:14" x14ac:dyDescent="0.3">
      <c r="A562" s="64" t="s">
        <v>709</v>
      </c>
      <c r="B562" s="62" t="s">
        <v>926</v>
      </c>
      <c r="C562" s="68" t="s">
        <v>1402</v>
      </c>
      <c r="D562" s="68" t="s">
        <v>1372</v>
      </c>
      <c r="E562" s="8" t="s">
        <v>998</v>
      </c>
      <c r="F562" s="8" t="s">
        <v>726</v>
      </c>
      <c r="G562" s="13" t="s">
        <v>820</v>
      </c>
      <c r="H562" s="14">
        <f>6433.5+20494.64</f>
        <v>26928.14</v>
      </c>
      <c r="I562" s="14">
        <v>26928.14</v>
      </c>
      <c r="J562" s="14">
        <v>26928.14</v>
      </c>
      <c r="K562" s="78">
        <f t="shared" si="250"/>
        <v>100</v>
      </c>
      <c r="L562" s="14"/>
      <c r="M562" s="50"/>
      <c r="N562" s="50"/>
    </row>
    <row r="563" spans="1:14" ht="31.2" x14ac:dyDescent="0.3">
      <c r="A563" s="64" t="s">
        <v>709</v>
      </c>
      <c r="B563" s="62" t="s">
        <v>926</v>
      </c>
      <c r="C563" s="68" t="s">
        <v>1402</v>
      </c>
      <c r="D563" s="68" t="s">
        <v>1372</v>
      </c>
      <c r="E563" s="8" t="s">
        <v>231</v>
      </c>
      <c r="F563" s="8"/>
      <c r="G563" s="13" t="s">
        <v>1300</v>
      </c>
      <c r="H563" s="14">
        <f t="shared" ref="H563:L564" si="269">H564</f>
        <v>686.6</v>
      </c>
      <c r="I563" s="14">
        <f t="shared" si="269"/>
        <v>686.6</v>
      </c>
      <c r="J563" s="14">
        <f t="shared" si="269"/>
        <v>686.6</v>
      </c>
      <c r="K563" s="78">
        <f t="shared" si="250"/>
        <v>100</v>
      </c>
      <c r="L563" s="14">
        <f t="shared" si="269"/>
        <v>0</v>
      </c>
      <c r="M563" s="50"/>
      <c r="N563" s="50"/>
    </row>
    <row r="564" spans="1:14" ht="31.2" x14ac:dyDescent="0.3">
      <c r="A564" s="64" t="s">
        <v>709</v>
      </c>
      <c r="B564" s="62" t="s">
        <v>926</v>
      </c>
      <c r="C564" s="68" t="s">
        <v>1402</v>
      </c>
      <c r="D564" s="68" t="s">
        <v>1372</v>
      </c>
      <c r="E564" s="8" t="s">
        <v>231</v>
      </c>
      <c r="F564" s="45" t="s">
        <v>402</v>
      </c>
      <c r="G564" s="23" t="s">
        <v>819</v>
      </c>
      <c r="H564" s="14">
        <f t="shared" si="269"/>
        <v>686.6</v>
      </c>
      <c r="I564" s="14">
        <f t="shared" si="269"/>
        <v>686.6</v>
      </c>
      <c r="J564" s="14">
        <f t="shared" si="269"/>
        <v>686.6</v>
      </c>
      <c r="K564" s="78">
        <f t="shared" si="250"/>
        <v>100</v>
      </c>
      <c r="L564" s="14">
        <f t="shared" si="269"/>
        <v>0</v>
      </c>
      <c r="M564" s="50"/>
      <c r="N564" s="50"/>
    </row>
    <row r="565" spans="1:14" x14ac:dyDescent="0.3">
      <c r="A565" s="64" t="s">
        <v>709</v>
      </c>
      <c r="B565" s="62" t="s">
        <v>926</v>
      </c>
      <c r="C565" s="68" t="s">
        <v>1402</v>
      </c>
      <c r="D565" s="68" t="s">
        <v>1372</v>
      </c>
      <c r="E565" s="8" t="s">
        <v>231</v>
      </c>
      <c r="F565" s="8" t="s">
        <v>726</v>
      </c>
      <c r="G565" s="13" t="s">
        <v>820</v>
      </c>
      <c r="H565" s="14">
        <v>686.6</v>
      </c>
      <c r="I565" s="14">
        <v>686.6</v>
      </c>
      <c r="J565" s="14">
        <v>686.6</v>
      </c>
      <c r="K565" s="78">
        <f t="shared" si="250"/>
        <v>100</v>
      </c>
      <c r="L565" s="14"/>
      <c r="M565" s="50"/>
      <c r="N565" s="50"/>
    </row>
    <row r="566" spans="1:14" x14ac:dyDescent="0.3">
      <c r="A566" s="64" t="s">
        <v>709</v>
      </c>
      <c r="B566" s="62" t="s">
        <v>926</v>
      </c>
      <c r="C566" s="68" t="s">
        <v>1402</v>
      </c>
      <c r="D566" s="68" t="s">
        <v>1372</v>
      </c>
      <c r="E566" s="8" t="s">
        <v>956</v>
      </c>
      <c r="F566" s="8"/>
      <c r="G566" s="13" t="s">
        <v>957</v>
      </c>
      <c r="H566" s="20">
        <v>0</v>
      </c>
      <c r="I566" s="14">
        <f>I567</f>
        <v>50</v>
      </c>
      <c r="J566" s="14">
        <f t="shared" ref="J566:L567" si="270">J567</f>
        <v>50</v>
      </c>
      <c r="K566" s="78">
        <f t="shared" si="250"/>
        <v>100</v>
      </c>
      <c r="L566" s="14">
        <f t="shared" si="270"/>
        <v>0</v>
      </c>
      <c r="M566" s="50"/>
      <c r="N566" s="50"/>
    </row>
    <row r="567" spans="1:14" ht="31.2" x14ac:dyDescent="0.3">
      <c r="A567" s="64" t="s">
        <v>709</v>
      </c>
      <c r="B567" s="62" t="s">
        <v>926</v>
      </c>
      <c r="C567" s="68" t="s">
        <v>1402</v>
      </c>
      <c r="D567" s="68" t="s">
        <v>1372</v>
      </c>
      <c r="E567" s="8" t="s">
        <v>956</v>
      </c>
      <c r="F567" s="45" t="s">
        <v>402</v>
      </c>
      <c r="G567" s="23" t="s">
        <v>819</v>
      </c>
      <c r="H567" s="20">
        <v>0</v>
      </c>
      <c r="I567" s="14">
        <f>I568</f>
        <v>50</v>
      </c>
      <c r="J567" s="14">
        <f t="shared" si="270"/>
        <v>50</v>
      </c>
      <c r="K567" s="78">
        <f t="shared" si="250"/>
        <v>100</v>
      </c>
      <c r="L567" s="14">
        <f t="shared" si="270"/>
        <v>0</v>
      </c>
      <c r="M567" s="50"/>
      <c r="N567" s="50"/>
    </row>
    <row r="568" spans="1:14" x14ac:dyDescent="0.3">
      <c r="A568" s="64" t="s">
        <v>709</v>
      </c>
      <c r="B568" s="62" t="s">
        <v>926</v>
      </c>
      <c r="C568" s="68" t="s">
        <v>1402</v>
      </c>
      <c r="D568" s="68" t="s">
        <v>1372</v>
      </c>
      <c r="E568" s="8" t="s">
        <v>956</v>
      </c>
      <c r="F568" s="8" t="s">
        <v>726</v>
      </c>
      <c r="G568" s="13" t="s">
        <v>820</v>
      </c>
      <c r="H568" s="20">
        <v>0</v>
      </c>
      <c r="I568" s="14">
        <v>50</v>
      </c>
      <c r="J568" s="14">
        <v>50</v>
      </c>
      <c r="K568" s="78">
        <f t="shared" si="250"/>
        <v>100</v>
      </c>
      <c r="L568" s="14"/>
      <c r="M568" s="50"/>
      <c r="N568" s="50"/>
    </row>
    <row r="569" spans="1:14" ht="31.2" x14ac:dyDescent="0.3">
      <c r="A569" s="64" t="s">
        <v>709</v>
      </c>
      <c r="B569" s="62" t="s">
        <v>926</v>
      </c>
      <c r="C569" s="68" t="s">
        <v>1402</v>
      </c>
      <c r="D569" s="68" t="s">
        <v>1372</v>
      </c>
      <c r="E569" s="8" t="s">
        <v>422</v>
      </c>
      <c r="F569" s="8"/>
      <c r="G569" s="13" t="s">
        <v>292</v>
      </c>
      <c r="H569" s="14">
        <f t="shared" ref="H569:L569" si="271">H570</f>
        <v>261.02200000001176</v>
      </c>
      <c r="I569" s="14">
        <f t="shared" si="271"/>
        <v>261.02199999999999</v>
      </c>
      <c r="J569" s="14">
        <f t="shared" si="271"/>
        <v>261.02199999999999</v>
      </c>
      <c r="K569" s="78">
        <f t="shared" si="250"/>
        <v>100</v>
      </c>
      <c r="L569" s="14">
        <f t="shared" si="271"/>
        <v>0</v>
      </c>
      <c r="M569" s="50"/>
      <c r="N569" s="50"/>
    </row>
    <row r="570" spans="1:14" ht="31.2" x14ac:dyDescent="0.3">
      <c r="A570" s="64" t="s">
        <v>709</v>
      </c>
      <c r="B570" s="62" t="s">
        <v>926</v>
      </c>
      <c r="C570" s="68" t="s">
        <v>1402</v>
      </c>
      <c r="D570" s="68" t="s">
        <v>1372</v>
      </c>
      <c r="E570" s="8" t="s">
        <v>422</v>
      </c>
      <c r="F570" s="45" t="s">
        <v>402</v>
      </c>
      <c r="G570" s="23" t="s">
        <v>819</v>
      </c>
      <c r="H570" s="14">
        <f t="shared" ref="H570:L570" si="272">H571</f>
        <v>261.02200000001176</v>
      </c>
      <c r="I570" s="14">
        <f t="shared" si="272"/>
        <v>261.02199999999999</v>
      </c>
      <c r="J570" s="14">
        <f t="shared" si="272"/>
        <v>261.02199999999999</v>
      </c>
      <c r="K570" s="78">
        <f t="shared" si="250"/>
        <v>100</v>
      </c>
      <c r="L570" s="14">
        <f t="shared" si="272"/>
        <v>0</v>
      </c>
      <c r="M570" s="50"/>
      <c r="N570" s="50"/>
    </row>
    <row r="571" spans="1:14" x14ac:dyDescent="0.3">
      <c r="A571" s="64" t="s">
        <v>709</v>
      </c>
      <c r="B571" s="62" t="s">
        <v>926</v>
      </c>
      <c r="C571" s="68" t="s">
        <v>1402</v>
      </c>
      <c r="D571" s="68" t="s">
        <v>1372</v>
      </c>
      <c r="E571" s="8" t="s">
        <v>422</v>
      </c>
      <c r="F571" s="64" t="s">
        <v>223</v>
      </c>
      <c r="G571" s="18" t="s">
        <v>829</v>
      </c>
      <c r="H571" s="14">
        <f>106038.1-105777.078</f>
        <v>261.02200000001176</v>
      </c>
      <c r="I571" s="14">
        <v>261.02199999999999</v>
      </c>
      <c r="J571" s="14">
        <v>261.02199999999999</v>
      </c>
      <c r="K571" s="78">
        <f t="shared" si="250"/>
        <v>100</v>
      </c>
      <c r="L571" s="14"/>
      <c r="M571" s="50"/>
      <c r="N571" s="50"/>
    </row>
    <row r="572" spans="1:14" ht="46.8" x14ac:dyDescent="0.3">
      <c r="A572" s="64" t="s">
        <v>709</v>
      </c>
      <c r="B572" s="62" t="s">
        <v>926</v>
      </c>
      <c r="C572" s="68" t="s">
        <v>1402</v>
      </c>
      <c r="D572" s="68" t="s">
        <v>1372</v>
      </c>
      <c r="E572" s="8" t="s">
        <v>388</v>
      </c>
      <c r="F572" s="8"/>
      <c r="G572" s="18" t="s">
        <v>857</v>
      </c>
      <c r="H572" s="14">
        <f>H573+H577</f>
        <v>140181.79999999999</v>
      </c>
      <c r="I572" s="14">
        <f>I573+I577</f>
        <v>140181.79999999999</v>
      </c>
      <c r="J572" s="14">
        <f t="shared" ref="J572" si="273">J573+J577</f>
        <v>140181.79999999999</v>
      </c>
      <c r="K572" s="78">
        <f t="shared" si="250"/>
        <v>100</v>
      </c>
      <c r="L572" s="14">
        <f>L573+L577</f>
        <v>0</v>
      </c>
      <c r="M572" s="50"/>
      <c r="N572" s="50"/>
    </row>
    <row r="573" spans="1:14" ht="46.8" x14ac:dyDescent="0.3">
      <c r="A573" s="64" t="s">
        <v>709</v>
      </c>
      <c r="B573" s="62" t="s">
        <v>926</v>
      </c>
      <c r="C573" s="68" t="s">
        <v>1402</v>
      </c>
      <c r="D573" s="68" t="s">
        <v>1372</v>
      </c>
      <c r="E573" s="8" t="s">
        <v>389</v>
      </c>
      <c r="F573" s="8"/>
      <c r="G573" s="18" t="s">
        <v>1188</v>
      </c>
      <c r="H573" s="14">
        <f t="shared" ref="H573:L573" si="274">H574</f>
        <v>140181.79999999999</v>
      </c>
      <c r="I573" s="14">
        <f t="shared" si="274"/>
        <v>140181.79999999999</v>
      </c>
      <c r="J573" s="14">
        <f t="shared" si="274"/>
        <v>140181.79999999999</v>
      </c>
      <c r="K573" s="78">
        <f t="shared" si="250"/>
        <v>100</v>
      </c>
      <c r="L573" s="14">
        <f t="shared" si="274"/>
        <v>0</v>
      </c>
      <c r="M573" s="50"/>
      <c r="N573" s="50"/>
    </row>
    <row r="574" spans="1:14" ht="31.2" x14ac:dyDescent="0.3">
      <c r="A574" s="64" t="s">
        <v>709</v>
      </c>
      <c r="B574" s="62" t="s">
        <v>926</v>
      </c>
      <c r="C574" s="68" t="s">
        <v>1402</v>
      </c>
      <c r="D574" s="68" t="s">
        <v>1372</v>
      </c>
      <c r="E574" s="8" t="s">
        <v>389</v>
      </c>
      <c r="F574" s="45" t="s">
        <v>402</v>
      </c>
      <c r="G574" s="23" t="s">
        <v>819</v>
      </c>
      <c r="H574" s="14">
        <f>H575+H576</f>
        <v>140181.79999999999</v>
      </c>
      <c r="I574" s="14">
        <f>I575+I576</f>
        <v>140181.79999999999</v>
      </c>
      <c r="J574" s="14">
        <f t="shared" ref="J574" si="275">J575+J576</f>
        <v>140181.79999999999</v>
      </c>
      <c r="K574" s="78">
        <f t="shared" si="250"/>
        <v>100</v>
      </c>
      <c r="L574" s="14">
        <f>L575+L576</f>
        <v>0</v>
      </c>
      <c r="M574" s="50"/>
      <c r="N574" s="50"/>
    </row>
    <row r="575" spans="1:14" x14ac:dyDescent="0.3">
      <c r="A575" s="64" t="s">
        <v>709</v>
      </c>
      <c r="B575" s="62" t="s">
        <v>926</v>
      </c>
      <c r="C575" s="68" t="s">
        <v>1402</v>
      </c>
      <c r="D575" s="68" t="s">
        <v>1372</v>
      </c>
      <c r="E575" s="8" t="s">
        <v>389</v>
      </c>
      <c r="F575" s="8" t="s">
        <v>726</v>
      </c>
      <c r="G575" s="13" t="s">
        <v>820</v>
      </c>
      <c r="H575" s="14">
        <f>14591.8+500</f>
        <v>15091.8</v>
      </c>
      <c r="I575" s="14">
        <v>16353.972</v>
      </c>
      <c r="J575" s="14">
        <v>16353.972</v>
      </c>
      <c r="K575" s="78">
        <f t="shared" si="250"/>
        <v>100</v>
      </c>
      <c r="L575" s="14"/>
      <c r="M575" s="50"/>
      <c r="N575" s="50"/>
    </row>
    <row r="576" spans="1:14" x14ac:dyDescent="0.3">
      <c r="A576" s="64" t="s">
        <v>709</v>
      </c>
      <c r="B576" s="62" t="s">
        <v>926</v>
      </c>
      <c r="C576" s="68" t="s">
        <v>1402</v>
      </c>
      <c r="D576" s="68" t="s">
        <v>1372</v>
      </c>
      <c r="E576" s="8" t="s">
        <v>389</v>
      </c>
      <c r="F576" s="64" t="s">
        <v>223</v>
      </c>
      <c r="G576" s="18" t="s">
        <v>829</v>
      </c>
      <c r="H576" s="14">
        <f>109225+15865</f>
        <v>125090</v>
      </c>
      <c r="I576" s="14">
        <v>123827.82799999999</v>
      </c>
      <c r="J576" s="14">
        <v>123827.82799999999</v>
      </c>
      <c r="K576" s="78">
        <f t="shared" si="250"/>
        <v>100</v>
      </c>
      <c r="L576" s="14"/>
      <c r="M576" s="50"/>
      <c r="N576" s="50"/>
    </row>
    <row r="577" spans="1:14" ht="46.8" hidden="1" x14ac:dyDescent="0.3">
      <c r="A577" s="64" t="s">
        <v>709</v>
      </c>
      <c r="B577" s="62" t="s">
        <v>926</v>
      </c>
      <c r="C577" s="68" t="s">
        <v>1402</v>
      </c>
      <c r="D577" s="68" t="s">
        <v>1372</v>
      </c>
      <c r="E577" s="8" t="s">
        <v>224</v>
      </c>
      <c r="F577" s="45"/>
      <c r="G577" s="18" t="s">
        <v>293</v>
      </c>
      <c r="H577" s="14">
        <f t="shared" ref="H577:L579" si="276">H578</f>
        <v>0</v>
      </c>
      <c r="I577" s="14">
        <f t="shared" si="276"/>
        <v>0</v>
      </c>
      <c r="J577" s="14">
        <f t="shared" si="276"/>
        <v>0</v>
      </c>
      <c r="K577" s="78" t="e">
        <f t="shared" si="250"/>
        <v>#DIV/0!</v>
      </c>
      <c r="L577" s="14">
        <f t="shared" si="276"/>
        <v>0</v>
      </c>
      <c r="M577" s="50">
        <v>111</v>
      </c>
      <c r="N577" s="50"/>
    </row>
    <row r="578" spans="1:14" hidden="1" x14ac:dyDescent="0.3">
      <c r="A578" s="64" t="s">
        <v>709</v>
      </c>
      <c r="B578" s="62" t="s">
        <v>926</v>
      </c>
      <c r="C578" s="68" t="s">
        <v>1402</v>
      </c>
      <c r="D578" s="68" t="s">
        <v>1372</v>
      </c>
      <c r="E578" s="8" t="s">
        <v>232</v>
      </c>
      <c r="F578" s="45"/>
      <c r="G578" s="18" t="s">
        <v>294</v>
      </c>
      <c r="H578" s="14">
        <f t="shared" si="276"/>
        <v>0</v>
      </c>
      <c r="I578" s="14">
        <f t="shared" si="276"/>
        <v>0</v>
      </c>
      <c r="J578" s="14">
        <f t="shared" si="276"/>
        <v>0</v>
      </c>
      <c r="K578" s="78" t="e">
        <f t="shared" si="250"/>
        <v>#DIV/0!</v>
      </c>
      <c r="L578" s="14">
        <f t="shared" si="276"/>
        <v>0</v>
      </c>
      <c r="M578" s="50">
        <v>111</v>
      </c>
      <c r="N578" s="50"/>
    </row>
    <row r="579" spans="1:14" ht="31.2" hidden="1" x14ac:dyDescent="0.3">
      <c r="A579" s="64" t="s">
        <v>709</v>
      </c>
      <c r="B579" s="62" t="s">
        <v>926</v>
      </c>
      <c r="C579" s="68" t="s">
        <v>1402</v>
      </c>
      <c r="D579" s="68" t="s">
        <v>1372</v>
      </c>
      <c r="E579" s="8" t="s">
        <v>232</v>
      </c>
      <c r="F579" s="45" t="s">
        <v>478</v>
      </c>
      <c r="G579" s="23" t="s">
        <v>817</v>
      </c>
      <c r="H579" s="14">
        <f t="shared" si="276"/>
        <v>0</v>
      </c>
      <c r="I579" s="14">
        <f t="shared" si="276"/>
        <v>0</v>
      </c>
      <c r="J579" s="14">
        <f t="shared" si="276"/>
        <v>0</v>
      </c>
      <c r="K579" s="78" t="e">
        <f t="shared" si="250"/>
        <v>#DIV/0!</v>
      </c>
      <c r="L579" s="14">
        <f t="shared" si="276"/>
        <v>0</v>
      </c>
      <c r="M579" s="50">
        <v>111</v>
      </c>
      <c r="N579" s="50"/>
    </row>
    <row r="580" spans="1:14" ht="109.2" hidden="1" x14ac:dyDescent="0.3">
      <c r="A580" s="64" t="s">
        <v>709</v>
      </c>
      <c r="B580" s="62" t="s">
        <v>926</v>
      </c>
      <c r="C580" s="68" t="s">
        <v>1402</v>
      </c>
      <c r="D580" s="68" t="s">
        <v>1372</v>
      </c>
      <c r="E580" s="8" t="s">
        <v>232</v>
      </c>
      <c r="F580" s="45" t="s">
        <v>725</v>
      </c>
      <c r="G580" s="60" t="s">
        <v>828</v>
      </c>
      <c r="H580" s="14">
        <v>0</v>
      </c>
      <c r="I580" s="14">
        <v>0</v>
      </c>
      <c r="J580" s="19">
        <v>0</v>
      </c>
      <c r="K580" s="75" t="e">
        <f t="shared" si="250"/>
        <v>#DIV/0!</v>
      </c>
      <c r="L580" s="14"/>
      <c r="M580" s="50">
        <v>111</v>
      </c>
      <c r="N580" s="50"/>
    </row>
    <row r="581" spans="1:14" ht="31.2" x14ac:dyDescent="0.3">
      <c r="A581" s="64" t="s">
        <v>709</v>
      </c>
      <c r="B581" s="62" t="s">
        <v>926</v>
      </c>
      <c r="C581" s="68" t="s">
        <v>1402</v>
      </c>
      <c r="D581" s="68" t="s">
        <v>1372</v>
      </c>
      <c r="E581" s="8" t="s">
        <v>423</v>
      </c>
      <c r="F581" s="8"/>
      <c r="G581" s="13" t="s">
        <v>861</v>
      </c>
      <c r="H581" s="14">
        <f t="shared" ref="H581:L581" si="277">H582</f>
        <v>10642.4</v>
      </c>
      <c r="I581" s="14">
        <f t="shared" si="277"/>
        <v>10642.4</v>
      </c>
      <c r="J581" s="14">
        <f t="shared" si="277"/>
        <v>10642.4</v>
      </c>
      <c r="K581" s="78">
        <f t="shared" si="250"/>
        <v>100</v>
      </c>
      <c r="L581" s="14">
        <f t="shared" si="277"/>
        <v>0</v>
      </c>
      <c r="M581" s="50"/>
      <c r="N581" s="50"/>
    </row>
    <row r="582" spans="1:14" ht="46.8" x14ac:dyDescent="0.3">
      <c r="A582" s="64" t="s">
        <v>709</v>
      </c>
      <c r="B582" s="62" t="s">
        <v>926</v>
      </c>
      <c r="C582" s="68" t="s">
        <v>1402</v>
      </c>
      <c r="D582" s="68" t="s">
        <v>1372</v>
      </c>
      <c r="E582" s="8" t="s">
        <v>424</v>
      </c>
      <c r="F582" s="8"/>
      <c r="G582" s="18" t="s">
        <v>113</v>
      </c>
      <c r="H582" s="14">
        <f>H583+H586+H589+H592+H595</f>
        <v>10642.4</v>
      </c>
      <c r="I582" s="14">
        <f t="shared" ref="I582:L582" si="278">I583+I586+I589+I592+I595</f>
        <v>10642.4</v>
      </c>
      <c r="J582" s="14">
        <f t="shared" si="278"/>
        <v>10642.4</v>
      </c>
      <c r="K582" s="78">
        <f t="shared" si="250"/>
        <v>100</v>
      </c>
      <c r="L582" s="14">
        <f t="shared" si="278"/>
        <v>0</v>
      </c>
      <c r="M582" s="50"/>
      <c r="N582" s="50"/>
    </row>
    <row r="583" spans="1:14" ht="62.4" x14ac:dyDescent="0.3">
      <c r="A583" s="64" t="s">
        <v>709</v>
      </c>
      <c r="B583" s="62" t="s">
        <v>926</v>
      </c>
      <c r="C583" s="68" t="s">
        <v>1402</v>
      </c>
      <c r="D583" s="68" t="s">
        <v>1372</v>
      </c>
      <c r="E583" s="8" t="s">
        <v>425</v>
      </c>
      <c r="F583" s="8"/>
      <c r="G583" s="23" t="s">
        <v>1291</v>
      </c>
      <c r="H583" s="14">
        <f t="shared" ref="H583:L584" si="279">H584</f>
        <v>5587.8</v>
      </c>
      <c r="I583" s="14">
        <f t="shared" si="279"/>
        <v>5587.8</v>
      </c>
      <c r="J583" s="14">
        <f t="shared" si="279"/>
        <v>5587.8</v>
      </c>
      <c r="K583" s="78">
        <f t="shared" si="250"/>
        <v>100</v>
      </c>
      <c r="L583" s="14">
        <f t="shared" si="279"/>
        <v>0</v>
      </c>
      <c r="M583" s="50"/>
      <c r="N583" s="50"/>
    </row>
    <row r="584" spans="1:14" ht="31.2" x14ac:dyDescent="0.3">
      <c r="A584" s="64" t="s">
        <v>709</v>
      </c>
      <c r="B584" s="62" t="s">
        <v>926</v>
      </c>
      <c r="C584" s="68" t="s">
        <v>1402</v>
      </c>
      <c r="D584" s="68" t="s">
        <v>1372</v>
      </c>
      <c r="E584" s="8" t="s">
        <v>425</v>
      </c>
      <c r="F584" s="45" t="s">
        <v>402</v>
      </c>
      <c r="G584" s="23" t="s">
        <v>819</v>
      </c>
      <c r="H584" s="14">
        <f t="shared" si="279"/>
        <v>5587.8</v>
      </c>
      <c r="I584" s="14">
        <f t="shared" si="279"/>
        <v>5587.8</v>
      </c>
      <c r="J584" s="14">
        <f t="shared" si="279"/>
        <v>5587.8</v>
      </c>
      <c r="K584" s="78">
        <f t="shared" ref="K584:K647" si="280">J584/I584*100</f>
        <v>100</v>
      </c>
      <c r="L584" s="14">
        <f t="shared" si="279"/>
        <v>0</v>
      </c>
      <c r="M584" s="50"/>
      <c r="N584" s="50"/>
    </row>
    <row r="585" spans="1:14" x14ac:dyDescent="0.3">
      <c r="A585" s="64" t="s">
        <v>709</v>
      </c>
      <c r="B585" s="62" t="s">
        <v>926</v>
      </c>
      <c r="C585" s="68" t="s">
        <v>1402</v>
      </c>
      <c r="D585" s="68" t="s">
        <v>1372</v>
      </c>
      <c r="E585" s="8" t="s">
        <v>425</v>
      </c>
      <c r="F585" s="64" t="s">
        <v>223</v>
      </c>
      <c r="G585" s="18" t="s">
        <v>829</v>
      </c>
      <c r="H585" s="14">
        <v>5587.8</v>
      </c>
      <c r="I585" s="14">
        <v>5587.8</v>
      </c>
      <c r="J585" s="14">
        <v>5587.8</v>
      </c>
      <c r="K585" s="78">
        <f t="shared" si="280"/>
        <v>100</v>
      </c>
      <c r="L585" s="14"/>
      <c r="M585" s="50"/>
      <c r="N585" s="50"/>
    </row>
    <row r="586" spans="1:14" ht="62.4" x14ac:dyDescent="0.3">
      <c r="A586" s="64" t="s">
        <v>709</v>
      </c>
      <c r="B586" s="62" t="s">
        <v>926</v>
      </c>
      <c r="C586" s="68" t="s">
        <v>1402</v>
      </c>
      <c r="D586" s="68" t="s">
        <v>1372</v>
      </c>
      <c r="E586" s="8" t="s">
        <v>426</v>
      </c>
      <c r="F586" s="8"/>
      <c r="G586" s="18" t="s">
        <v>1293</v>
      </c>
      <c r="H586" s="14">
        <f t="shared" ref="H586:L586" si="281">H587</f>
        <v>3340.5</v>
      </c>
      <c r="I586" s="14">
        <f t="shared" si="281"/>
        <v>3340.5</v>
      </c>
      <c r="J586" s="14">
        <f t="shared" si="281"/>
        <v>3340.5</v>
      </c>
      <c r="K586" s="78">
        <f t="shared" si="280"/>
        <v>100</v>
      </c>
      <c r="L586" s="14">
        <f t="shared" si="281"/>
        <v>0</v>
      </c>
      <c r="M586" s="50"/>
      <c r="N586" s="50"/>
    </row>
    <row r="587" spans="1:14" ht="31.2" x14ac:dyDescent="0.3">
      <c r="A587" s="64" t="s">
        <v>709</v>
      </c>
      <c r="B587" s="62" t="s">
        <v>926</v>
      </c>
      <c r="C587" s="68" t="s">
        <v>1402</v>
      </c>
      <c r="D587" s="68" t="s">
        <v>1372</v>
      </c>
      <c r="E587" s="8" t="s">
        <v>426</v>
      </c>
      <c r="F587" s="45" t="s">
        <v>402</v>
      </c>
      <c r="G587" s="23" t="s">
        <v>819</v>
      </c>
      <c r="H587" s="14">
        <f t="shared" ref="H587:L587" si="282">H588</f>
        <v>3340.5</v>
      </c>
      <c r="I587" s="14">
        <f t="shared" si="282"/>
        <v>3340.5</v>
      </c>
      <c r="J587" s="14">
        <f t="shared" si="282"/>
        <v>3340.5</v>
      </c>
      <c r="K587" s="78">
        <f t="shared" si="280"/>
        <v>100</v>
      </c>
      <c r="L587" s="14">
        <f t="shared" si="282"/>
        <v>0</v>
      </c>
      <c r="M587" s="50"/>
      <c r="N587" s="50"/>
    </row>
    <row r="588" spans="1:14" x14ac:dyDescent="0.3">
      <c r="A588" s="64" t="s">
        <v>709</v>
      </c>
      <c r="B588" s="62" t="s">
        <v>926</v>
      </c>
      <c r="C588" s="68" t="s">
        <v>1402</v>
      </c>
      <c r="D588" s="68" t="s">
        <v>1372</v>
      </c>
      <c r="E588" s="8" t="s">
        <v>426</v>
      </c>
      <c r="F588" s="64" t="s">
        <v>223</v>
      </c>
      <c r="G588" s="18" t="s">
        <v>829</v>
      </c>
      <c r="H588" s="14">
        <f>2402.5+938</f>
        <v>3340.5</v>
      </c>
      <c r="I588" s="14">
        <v>3340.5</v>
      </c>
      <c r="J588" s="14">
        <v>3340.5</v>
      </c>
      <c r="K588" s="78">
        <f t="shared" si="280"/>
        <v>100</v>
      </c>
      <c r="L588" s="14"/>
      <c r="M588" s="50"/>
      <c r="N588" s="50"/>
    </row>
    <row r="589" spans="1:14" ht="31.2" x14ac:dyDescent="0.3">
      <c r="A589" s="64" t="s">
        <v>709</v>
      </c>
      <c r="B589" s="62" t="s">
        <v>926</v>
      </c>
      <c r="C589" s="68" t="s">
        <v>1402</v>
      </c>
      <c r="D589" s="68" t="s">
        <v>1372</v>
      </c>
      <c r="E589" s="8" t="s">
        <v>982</v>
      </c>
      <c r="F589" s="64"/>
      <c r="G589" s="18" t="s">
        <v>983</v>
      </c>
      <c r="H589" s="20">
        <f>H590</f>
        <v>740</v>
      </c>
      <c r="I589" s="20">
        <f t="shared" ref="I589:L590" si="283">I590</f>
        <v>740</v>
      </c>
      <c r="J589" s="20">
        <f t="shared" si="283"/>
        <v>740</v>
      </c>
      <c r="K589" s="77">
        <f t="shared" si="280"/>
        <v>100</v>
      </c>
      <c r="L589" s="20">
        <f t="shared" si="283"/>
        <v>0</v>
      </c>
      <c r="M589" s="50"/>
      <c r="N589" s="50"/>
    </row>
    <row r="590" spans="1:14" ht="31.2" x14ac:dyDescent="0.3">
      <c r="A590" s="64" t="s">
        <v>709</v>
      </c>
      <c r="B590" s="62" t="s">
        <v>926</v>
      </c>
      <c r="C590" s="68" t="s">
        <v>1402</v>
      </c>
      <c r="D590" s="68" t="s">
        <v>1372</v>
      </c>
      <c r="E590" s="8" t="s">
        <v>982</v>
      </c>
      <c r="F590" s="45" t="s">
        <v>402</v>
      </c>
      <c r="G590" s="23" t="s">
        <v>819</v>
      </c>
      <c r="H590" s="20">
        <f>H591</f>
        <v>740</v>
      </c>
      <c r="I590" s="20">
        <f t="shared" si="283"/>
        <v>740</v>
      </c>
      <c r="J590" s="20">
        <f t="shared" si="283"/>
        <v>740</v>
      </c>
      <c r="K590" s="77">
        <f t="shared" si="280"/>
        <v>100</v>
      </c>
      <c r="L590" s="20">
        <f t="shared" si="283"/>
        <v>0</v>
      </c>
      <c r="M590" s="50"/>
      <c r="N590" s="50"/>
    </row>
    <row r="591" spans="1:14" x14ac:dyDescent="0.3">
      <c r="A591" s="64" t="s">
        <v>709</v>
      </c>
      <c r="B591" s="62" t="s">
        <v>926</v>
      </c>
      <c r="C591" s="68" t="s">
        <v>1402</v>
      </c>
      <c r="D591" s="68" t="s">
        <v>1372</v>
      </c>
      <c r="E591" s="8" t="s">
        <v>982</v>
      </c>
      <c r="F591" s="64" t="s">
        <v>223</v>
      </c>
      <c r="G591" s="18" t="s">
        <v>829</v>
      </c>
      <c r="H591" s="20">
        <v>740</v>
      </c>
      <c r="I591" s="14">
        <v>740</v>
      </c>
      <c r="J591" s="20">
        <v>740</v>
      </c>
      <c r="K591" s="77">
        <f t="shared" si="280"/>
        <v>100</v>
      </c>
      <c r="L591" s="14"/>
      <c r="M591" s="50"/>
      <c r="N591" s="50"/>
    </row>
    <row r="592" spans="1:14" x14ac:dyDescent="0.3">
      <c r="A592" s="64" t="s">
        <v>709</v>
      </c>
      <c r="B592" s="62" t="s">
        <v>926</v>
      </c>
      <c r="C592" s="68" t="s">
        <v>1402</v>
      </c>
      <c r="D592" s="68" t="s">
        <v>1372</v>
      </c>
      <c r="E592" s="8" t="s">
        <v>999</v>
      </c>
      <c r="F592" s="64"/>
      <c r="G592" s="18" t="s">
        <v>996</v>
      </c>
      <c r="H592" s="20">
        <f>H593</f>
        <v>279.10000000000002</v>
      </c>
      <c r="I592" s="20">
        <f t="shared" ref="I592:L593" si="284">I593</f>
        <v>279.10000000000002</v>
      </c>
      <c r="J592" s="20">
        <f t="shared" si="284"/>
        <v>279.10000000000002</v>
      </c>
      <c r="K592" s="77">
        <f t="shared" si="280"/>
        <v>100</v>
      </c>
      <c r="L592" s="20">
        <f t="shared" si="284"/>
        <v>0</v>
      </c>
      <c r="M592" s="50"/>
      <c r="N592" s="50"/>
    </row>
    <row r="593" spans="1:14" ht="31.2" x14ac:dyDescent="0.3">
      <c r="A593" s="64" t="s">
        <v>709</v>
      </c>
      <c r="B593" s="62" t="s">
        <v>926</v>
      </c>
      <c r="C593" s="68" t="s">
        <v>1402</v>
      </c>
      <c r="D593" s="68" t="s">
        <v>1372</v>
      </c>
      <c r="E593" s="8" t="s">
        <v>999</v>
      </c>
      <c r="F593" s="45" t="s">
        <v>402</v>
      </c>
      <c r="G593" s="23" t="s">
        <v>819</v>
      </c>
      <c r="H593" s="20">
        <f>H594</f>
        <v>279.10000000000002</v>
      </c>
      <c r="I593" s="20">
        <f t="shared" si="284"/>
        <v>279.10000000000002</v>
      </c>
      <c r="J593" s="20">
        <f t="shared" si="284"/>
        <v>279.10000000000002</v>
      </c>
      <c r="K593" s="77">
        <f t="shared" si="280"/>
        <v>100</v>
      </c>
      <c r="L593" s="20">
        <f t="shared" si="284"/>
        <v>0</v>
      </c>
      <c r="M593" s="50"/>
      <c r="N593" s="50"/>
    </row>
    <row r="594" spans="1:14" x14ac:dyDescent="0.3">
      <c r="A594" s="64" t="s">
        <v>709</v>
      </c>
      <c r="B594" s="62" t="s">
        <v>926</v>
      </c>
      <c r="C594" s="68" t="s">
        <v>1402</v>
      </c>
      <c r="D594" s="68" t="s">
        <v>1372</v>
      </c>
      <c r="E594" s="8" t="s">
        <v>999</v>
      </c>
      <c r="F594" s="64" t="s">
        <v>223</v>
      </c>
      <c r="G594" s="18" t="s">
        <v>829</v>
      </c>
      <c r="H594" s="20">
        <f>192.3+86.8</f>
        <v>279.10000000000002</v>
      </c>
      <c r="I594" s="14">
        <v>279.10000000000002</v>
      </c>
      <c r="J594" s="14">
        <v>279.10000000000002</v>
      </c>
      <c r="K594" s="78">
        <f t="shared" si="280"/>
        <v>100</v>
      </c>
      <c r="L594" s="14"/>
      <c r="M594" s="50"/>
      <c r="N594" s="50"/>
    </row>
    <row r="595" spans="1:14" ht="62.4" x14ac:dyDescent="0.3">
      <c r="A595" s="64" t="s">
        <v>709</v>
      </c>
      <c r="B595" s="62" t="s">
        <v>926</v>
      </c>
      <c r="C595" s="68" t="s">
        <v>1402</v>
      </c>
      <c r="D595" s="68" t="s">
        <v>1372</v>
      </c>
      <c r="E595" s="8" t="s">
        <v>5</v>
      </c>
      <c r="F595" s="64"/>
      <c r="G595" s="18" t="s">
        <v>6</v>
      </c>
      <c r="H595" s="20">
        <f>H596</f>
        <v>695</v>
      </c>
      <c r="I595" s="20">
        <f t="shared" ref="I595:L596" si="285">I596</f>
        <v>695</v>
      </c>
      <c r="J595" s="20">
        <f t="shared" si="285"/>
        <v>695</v>
      </c>
      <c r="K595" s="77">
        <f t="shared" si="280"/>
        <v>100</v>
      </c>
      <c r="L595" s="20">
        <f t="shared" si="285"/>
        <v>0</v>
      </c>
      <c r="M595" s="50"/>
      <c r="N595" s="50"/>
    </row>
    <row r="596" spans="1:14" ht="31.2" x14ac:dyDescent="0.3">
      <c r="A596" s="64" t="s">
        <v>709</v>
      </c>
      <c r="B596" s="62" t="s">
        <v>926</v>
      </c>
      <c r="C596" s="68" t="s">
        <v>1402</v>
      </c>
      <c r="D596" s="68" t="s">
        <v>1372</v>
      </c>
      <c r="E596" s="8" t="s">
        <v>5</v>
      </c>
      <c r="F596" s="45" t="s">
        <v>402</v>
      </c>
      <c r="G596" s="23" t="s">
        <v>819</v>
      </c>
      <c r="H596" s="20">
        <f>H597</f>
        <v>695</v>
      </c>
      <c r="I596" s="20">
        <f t="shared" si="285"/>
        <v>695</v>
      </c>
      <c r="J596" s="20">
        <f t="shared" si="285"/>
        <v>695</v>
      </c>
      <c r="K596" s="77">
        <f t="shared" si="280"/>
        <v>100</v>
      </c>
      <c r="L596" s="20">
        <f t="shared" si="285"/>
        <v>0</v>
      </c>
      <c r="M596" s="50"/>
      <c r="N596" s="50"/>
    </row>
    <row r="597" spans="1:14" x14ac:dyDescent="0.3">
      <c r="A597" s="64" t="s">
        <v>709</v>
      </c>
      <c r="B597" s="62" t="s">
        <v>926</v>
      </c>
      <c r="C597" s="68" t="s">
        <v>1402</v>
      </c>
      <c r="D597" s="68" t="s">
        <v>1372</v>
      </c>
      <c r="E597" s="8" t="s">
        <v>5</v>
      </c>
      <c r="F597" s="64" t="s">
        <v>223</v>
      </c>
      <c r="G597" s="18" t="s">
        <v>829</v>
      </c>
      <c r="H597" s="20">
        <v>695</v>
      </c>
      <c r="I597" s="14">
        <v>695</v>
      </c>
      <c r="J597" s="14">
        <v>695</v>
      </c>
      <c r="K597" s="78">
        <f t="shared" si="280"/>
        <v>100</v>
      </c>
      <c r="L597" s="14"/>
      <c r="M597" s="50"/>
      <c r="N597" s="50"/>
    </row>
    <row r="598" spans="1:14" ht="31.2" x14ac:dyDescent="0.3">
      <c r="A598" s="64" t="s">
        <v>709</v>
      </c>
      <c r="B598" s="62" t="s">
        <v>926</v>
      </c>
      <c r="C598" s="68" t="s">
        <v>1402</v>
      </c>
      <c r="D598" s="68" t="s">
        <v>1372</v>
      </c>
      <c r="E598" s="8" t="s">
        <v>429</v>
      </c>
      <c r="F598" s="8"/>
      <c r="G598" s="13" t="s">
        <v>1140</v>
      </c>
      <c r="H598" s="20">
        <v>0</v>
      </c>
      <c r="I598" s="14">
        <f>I599</f>
        <v>8061.6842299999998</v>
      </c>
      <c r="J598" s="14">
        <f t="shared" ref="J598:L599" si="286">J599</f>
        <v>8061.6842299999998</v>
      </c>
      <c r="K598" s="78">
        <f t="shared" si="280"/>
        <v>100</v>
      </c>
      <c r="L598" s="14">
        <f t="shared" si="286"/>
        <v>0</v>
      </c>
      <c r="M598" s="50"/>
      <c r="N598" s="50"/>
    </row>
    <row r="599" spans="1:14" ht="46.8" x14ac:dyDescent="0.3">
      <c r="A599" s="64" t="s">
        <v>709</v>
      </c>
      <c r="B599" s="62" t="s">
        <v>926</v>
      </c>
      <c r="C599" s="68" t="s">
        <v>1402</v>
      </c>
      <c r="D599" s="68" t="s">
        <v>1372</v>
      </c>
      <c r="E599" s="8" t="s">
        <v>535</v>
      </c>
      <c r="F599" s="8"/>
      <c r="G599" s="13" t="s">
        <v>176</v>
      </c>
      <c r="H599" s="20">
        <v>0</v>
      </c>
      <c r="I599" s="14">
        <f>I600</f>
        <v>8061.6842299999998</v>
      </c>
      <c r="J599" s="14">
        <f t="shared" si="286"/>
        <v>8061.6842299999998</v>
      </c>
      <c r="K599" s="78">
        <f t="shared" si="280"/>
        <v>100</v>
      </c>
      <c r="L599" s="14">
        <f t="shared" si="286"/>
        <v>0</v>
      </c>
      <c r="M599" s="50"/>
      <c r="N599" s="50"/>
    </row>
    <row r="600" spans="1:14" ht="31.2" x14ac:dyDescent="0.3">
      <c r="A600" s="64" t="s">
        <v>709</v>
      </c>
      <c r="B600" s="62" t="s">
        <v>926</v>
      </c>
      <c r="C600" s="68" t="s">
        <v>1402</v>
      </c>
      <c r="D600" s="68" t="s">
        <v>1372</v>
      </c>
      <c r="E600" s="8" t="s">
        <v>535</v>
      </c>
      <c r="F600" s="45" t="s">
        <v>402</v>
      </c>
      <c r="G600" s="23" t="s">
        <v>819</v>
      </c>
      <c r="H600" s="20">
        <v>0</v>
      </c>
      <c r="I600" s="14">
        <f>I601+I602</f>
        <v>8061.6842299999998</v>
      </c>
      <c r="J600" s="14">
        <f t="shared" ref="J600:L600" si="287">J601+J602</f>
        <v>8061.6842299999998</v>
      </c>
      <c r="K600" s="78">
        <f t="shared" si="280"/>
        <v>100</v>
      </c>
      <c r="L600" s="14">
        <f t="shared" si="287"/>
        <v>0</v>
      </c>
      <c r="M600" s="50"/>
      <c r="N600" s="50"/>
    </row>
    <row r="601" spans="1:14" x14ac:dyDescent="0.3">
      <c r="A601" s="64" t="s">
        <v>709</v>
      </c>
      <c r="B601" s="62" t="s">
        <v>926</v>
      </c>
      <c r="C601" s="68" t="s">
        <v>1402</v>
      </c>
      <c r="D601" s="68" t="s">
        <v>1372</v>
      </c>
      <c r="E601" s="8" t="s">
        <v>535</v>
      </c>
      <c r="F601" s="8" t="s">
        <v>726</v>
      </c>
      <c r="G601" s="13" t="s">
        <v>820</v>
      </c>
      <c r="H601" s="20">
        <v>0</v>
      </c>
      <c r="I601" s="14">
        <v>755</v>
      </c>
      <c r="J601" s="14">
        <v>755</v>
      </c>
      <c r="K601" s="78">
        <f t="shared" si="280"/>
        <v>100</v>
      </c>
      <c r="L601" s="14"/>
      <c r="M601" s="50"/>
      <c r="N601" s="50"/>
    </row>
    <row r="602" spans="1:14" x14ac:dyDescent="0.3">
      <c r="A602" s="64" t="s">
        <v>709</v>
      </c>
      <c r="B602" s="62" t="s">
        <v>926</v>
      </c>
      <c r="C602" s="68" t="s">
        <v>1402</v>
      </c>
      <c r="D602" s="68" t="s">
        <v>1372</v>
      </c>
      <c r="E602" s="8" t="s">
        <v>535</v>
      </c>
      <c r="F602" s="64" t="s">
        <v>223</v>
      </c>
      <c r="G602" s="18" t="s">
        <v>829</v>
      </c>
      <c r="H602" s="20">
        <v>0</v>
      </c>
      <c r="I602" s="14">
        <v>7306.6842299999998</v>
      </c>
      <c r="J602" s="14">
        <v>7306.6842299999998</v>
      </c>
      <c r="K602" s="78">
        <f t="shared" si="280"/>
        <v>100</v>
      </c>
      <c r="L602" s="14"/>
      <c r="M602" s="50"/>
      <c r="N602" s="50"/>
    </row>
    <row r="603" spans="1:14" s="9" customFormat="1" x14ac:dyDescent="0.3">
      <c r="A603" s="6" t="s">
        <v>709</v>
      </c>
      <c r="B603" s="48" t="s">
        <v>927</v>
      </c>
      <c r="C603" s="48" t="s">
        <v>1402</v>
      </c>
      <c r="D603" s="48" t="s">
        <v>1386</v>
      </c>
      <c r="E603" s="6"/>
      <c r="F603" s="6"/>
      <c r="G603" s="7" t="s">
        <v>1407</v>
      </c>
      <c r="H603" s="16">
        <f t="shared" ref="H603:L607" si="288">H604</f>
        <v>20659.099999999999</v>
      </c>
      <c r="I603" s="16">
        <f t="shared" si="288"/>
        <v>20927.8</v>
      </c>
      <c r="J603" s="16">
        <f t="shared" si="288"/>
        <v>20925.464550000001</v>
      </c>
      <c r="K603" s="82">
        <f t="shared" si="280"/>
        <v>99.988840441900251</v>
      </c>
      <c r="L603" s="16">
        <f t="shared" si="288"/>
        <v>0</v>
      </c>
      <c r="M603" s="65"/>
      <c r="N603" s="65"/>
    </row>
    <row r="604" spans="1:14" ht="31.2" x14ac:dyDescent="0.3">
      <c r="A604" s="64" t="s">
        <v>709</v>
      </c>
      <c r="B604" s="62" t="s">
        <v>927</v>
      </c>
      <c r="C604" s="68" t="s">
        <v>1402</v>
      </c>
      <c r="D604" s="68" t="s">
        <v>1386</v>
      </c>
      <c r="E604" s="8" t="s">
        <v>343</v>
      </c>
      <c r="F604" s="8"/>
      <c r="G604" s="23" t="s">
        <v>1157</v>
      </c>
      <c r="H604" s="14">
        <f t="shared" si="288"/>
        <v>20659.099999999999</v>
      </c>
      <c r="I604" s="14">
        <f t="shared" si="288"/>
        <v>20927.8</v>
      </c>
      <c r="J604" s="14">
        <f t="shared" si="288"/>
        <v>20925.464550000001</v>
      </c>
      <c r="K604" s="78">
        <f t="shared" si="280"/>
        <v>99.988840441900251</v>
      </c>
      <c r="L604" s="14">
        <f t="shared" si="288"/>
        <v>0</v>
      </c>
      <c r="M604" s="50"/>
      <c r="N604" s="50"/>
    </row>
    <row r="605" spans="1:14" x14ac:dyDescent="0.3">
      <c r="A605" s="64" t="s">
        <v>709</v>
      </c>
      <c r="B605" s="62" t="s">
        <v>927</v>
      </c>
      <c r="C605" s="68" t="s">
        <v>1402</v>
      </c>
      <c r="D605" s="68" t="s">
        <v>1386</v>
      </c>
      <c r="E605" s="8" t="s">
        <v>344</v>
      </c>
      <c r="F605" s="8"/>
      <c r="G605" s="23" t="s">
        <v>1159</v>
      </c>
      <c r="H605" s="14">
        <f>H606+H609</f>
        <v>20659.099999999999</v>
      </c>
      <c r="I605" s="14">
        <f>I606+I609</f>
        <v>20927.8</v>
      </c>
      <c r="J605" s="14">
        <f t="shared" ref="J605" si="289">J606+J609</f>
        <v>20925.464550000001</v>
      </c>
      <c r="K605" s="78">
        <f t="shared" si="280"/>
        <v>99.988840441900251</v>
      </c>
      <c r="L605" s="14">
        <f>L606+L609</f>
        <v>0</v>
      </c>
      <c r="M605" s="50"/>
      <c r="N605" s="50"/>
    </row>
    <row r="606" spans="1:14" ht="31.2" x14ac:dyDescent="0.3">
      <c r="A606" s="64" t="s">
        <v>709</v>
      </c>
      <c r="B606" s="62" t="s">
        <v>927</v>
      </c>
      <c r="C606" s="83" t="s">
        <v>1402</v>
      </c>
      <c r="D606" s="83" t="s">
        <v>1386</v>
      </c>
      <c r="E606" s="45" t="s">
        <v>345</v>
      </c>
      <c r="F606" s="8"/>
      <c r="G606" s="23" t="s">
        <v>1152</v>
      </c>
      <c r="H606" s="14">
        <f t="shared" si="288"/>
        <v>19102.099999999999</v>
      </c>
      <c r="I606" s="14">
        <f t="shared" si="288"/>
        <v>19371.956279999999</v>
      </c>
      <c r="J606" s="14">
        <f t="shared" si="288"/>
        <v>19369.6525</v>
      </c>
      <c r="K606" s="78">
        <f t="shared" si="280"/>
        <v>99.988107654349932</v>
      </c>
      <c r="L606" s="14">
        <f t="shared" si="288"/>
        <v>0</v>
      </c>
      <c r="M606" s="50"/>
      <c r="N606" s="50"/>
    </row>
    <row r="607" spans="1:14" ht="78" x14ac:dyDescent="0.3">
      <c r="A607" s="64" t="s">
        <v>709</v>
      </c>
      <c r="B607" s="62" t="s">
        <v>927</v>
      </c>
      <c r="C607" s="83" t="s">
        <v>1402</v>
      </c>
      <c r="D607" s="83" t="s">
        <v>1386</v>
      </c>
      <c r="E607" s="45" t="s">
        <v>345</v>
      </c>
      <c r="F607" s="45" t="s">
        <v>431</v>
      </c>
      <c r="G607" s="23" t="s">
        <v>806</v>
      </c>
      <c r="H607" s="14">
        <f t="shared" si="288"/>
        <v>19102.099999999999</v>
      </c>
      <c r="I607" s="14">
        <f t="shared" si="288"/>
        <v>19371.956279999999</v>
      </c>
      <c r="J607" s="14">
        <f t="shared" si="288"/>
        <v>19369.6525</v>
      </c>
      <c r="K607" s="78">
        <f t="shared" si="280"/>
        <v>99.988107654349932</v>
      </c>
      <c r="L607" s="14">
        <f t="shared" si="288"/>
        <v>0</v>
      </c>
      <c r="M607" s="50"/>
      <c r="N607" s="50"/>
    </row>
    <row r="608" spans="1:14" ht="31.2" x14ac:dyDescent="0.3">
      <c r="A608" s="64" t="s">
        <v>709</v>
      </c>
      <c r="B608" s="62" t="s">
        <v>927</v>
      </c>
      <c r="C608" s="83" t="s">
        <v>1402</v>
      </c>
      <c r="D608" s="83" t="s">
        <v>1386</v>
      </c>
      <c r="E608" s="45" t="s">
        <v>345</v>
      </c>
      <c r="F608" s="45" t="s">
        <v>233</v>
      </c>
      <c r="G608" s="23" t="s">
        <v>808</v>
      </c>
      <c r="H608" s="14">
        <v>19102.099999999999</v>
      </c>
      <c r="I608" s="14">
        <v>19371.956279999999</v>
      </c>
      <c r="J608" s="14">
        <v>19369.6525</v>
      </c>
      <c r="K608" s="78">
        <f t="shared" si="280"/>
        <v>99.988107654349932</v>
      </c>
      <c r="L608" s="14"/>
      <c r="M608" s="50"/>
      <c r="N608" s="50"/>
    </row>
    <row r="609" spans="1:14" ht="31.2" x14ac:dyDescent="0.3">
      <c r="A609" s="64" t="s">
        <v>709</v>
      </c>
      <c r="B609" s="62" t="s">
        <v>927</v>
      </c>
      <c r="C609" s="83" t="s">
        <v>1402</v>
      </c>
      <c r="D609" s="83" t="s">
        <v>1386</v>
      </c>
      <c r="E609" s="45" t="s">
        <v>346</v>
      </c>
      <c r="F609" s="8"/>
      <c r="G609" s="23" t="s">
        <v>1154</v>
      </c>
      <c r="H609" s="14">
        <f>H610+H612+H614</f>
        <v>1557</v>
      </c>
      <c r="I609" s="14">
        <f>I610+I612+I614</f>
        <v>1555.8437200000001</v>
      </c>
      <c r="J609" s="14">
        <f t="shared" ref="J609" si="290">J610+J612+J614</f>
        <v>1555.8120500000002</v>
      </c>
      <c r="K609" s="78">
        <f t="shared" si="280"/>
        <v>99.997964448511595</v>
      </c>
      <c r="L609" s="14">
        <f>L610+L612+L614</f>
        <v>0</v>
      </c>
      <c r="M609" s="50"/>
      <c r="N609" s="50"/>
    </row>
    <row r="610" spans="1:14" ht="78" x14ac:dyDescent="0.3">
      <c r="A610" s="64" t="s">
        <v>709</v>
      </c>
      <c r="B610" s="62" t="s">
        <v>927</v>
      </c>
      <c r="C610" s="83" t="s">
        <v>1402</v>
      </c>
      <c r="D610" s="83" t="s">
        <v>1386</v>
      </c>
      <c r="E610" s="45" t="s">
        <v>346</v>
      </c>
      <c r="F610" s="45" t="s">
        <v>431</v>
      </c>
      <c r="G610" s="23" t="s">
        <v>806</v>
      </c>
      <c r="H610" s="14">
        <f t="shared" ref="H610:L610" si="291">H611</f>
        <v>50</v>
      </c>
      <c r="I610" s="14">
        <f t="shared" si="291"/>
        <v>108.29537000000001</v>
      </c>
      <c r="J610" s="14">
        <f t="shared" si="291"/>
        <v>108.29537000000001</v>
      </c>
      <c r="K610" s="78">
        <f t="shared" si="280"/>
        <v>100</v>
      </c>
      <c r="L610" s="14">
        <f t="shared" si="291"/>
        <v>0</v>
      </c>
      <c r="M610" s="50"/>
      <c r="N610" s="50"/>
    </row>
    <row r="611" spans="1:14" ht="31.2" x14ac:dyDescent="0.3">
      <c r="A611" s="64" t="s">
        <v>709</v>
      </c>
      <c r="B611" s="62" t="s">
        <v>927</v>
      </c>
      <c r="C611" s="83" t="s">
        <v>1402</v>
      </c>
      <c r="D611" s="83" t="s">
        <v>1386</v>
      </c>
      <c r="E611" s="45" t="s">
        <v>346</v>
      </c>
      <c r="F611" s="45" t="s">
        <v>233</v>
      </c>
      <c r="G611" s="23" t="s">
        <v>808</v>
      </c>
      <c r="H611" s="14">
        <v>50</v>
      </c>
      <c r="I611" s="14">
        <v>108.29537000000001</v>
      </c>
      <c r="J611" s="14">
        <v>108.29537000000001</v>
      </c>
      <c r="K611" s="78">
        <f t="shared" si="280"/>
        <v>100</v>
      </c>
      <c r="L611" s="14"/>
      <c r="M611" s="50"/>
      <c r="N611" s="50"/>
    </row>
    <row r="612" spans="1:14" ht="31.2" x14ac:dyDescent="0.3">
      <c r="A612" s="64" t="s">
        <v>709</v>
      </c>
      <c r="B612" s="62" t="s">
        <v>927</v>
      </c>
      <c r="C612" s="83" t="s">
        <v>1402</v>
      </c>
      <c r="D612" s="83" t="s">
        <v>1386</v>
      </c>
      <c r="E612" s="45" t="s">
        <v>346</v>
      </c>
      <c r="F612" s="45" t="s">
        <v>380</v>
      </c>
      <c r="G612" s="23" t="s">
        <v>809</v>
      </c>
      <c r="H612" s="14">
        <f t="shared" ref="H612:L612" si="292">H613</f>
        <v>1503.9</v>
      </c>
      <c r="I612" s="14">
        <f t="shared" si="292"/>
        <v>1444.73802</v>
      </c>
      <c r="J612" s="14">
        <f t="shared" si="292"/>
        <v>1444.7070000000001</v>
      </c>
      <c r="K612" s="78">
        <f t="shared" si="280"/>
        <v>99.997852897925398</v>
      </c>
      <c r="L612" s="14">
        <f t="shared" si="292"/>
        <v>0</v>
      </c>
      <c r="M612" s="50"/>
      <c r="N612" s="50"/>
    </row>
    <row r="613" spans="1:14" ht="31.2" x14ac:dyDescent="0.3">
      <c r="A613" s="64" t="s">
        <v>709</v>
      </c>
      <c r="B613" s="62" t="s">
        <v>927</v>
      </c>
      <c r="C613" s="83" t="s">
        <v>1402</v>
      </c>
      <c r="D613" s="83" t="s">
        <v>1386</v>
      </c>
      <c r="E613" s="45" t="s">
        <v>346</v>
      </c>
      <c r="F613" s="8" t="s">
        <v>247</v>
      </c>
      <c r="G613" s="23" t="s">
        <v>810</v>
      </c>
      <c r="H613" s="14">
        <f>1480+23.9</f>
        <v>1503.9</v>
      </c>
      <c r="I613" s="14">
        <v>1444.73802</v>
      </c>
      <c r="J613" s="14">
        <v>1444.7070000000001</v>
      </c>
      <c r="K613" s="78">
        <f t="shared" si="280"/>
        <v>99.997852897925398</v>
      </c>
      <c r="L613" s="14"/>
      <c r="M613" s="50"/>
      <c r="N613" s="50"/>
    </row>
    <row r="614" spans="1:14" x14ac:dyDescent="0.3">
      <c r="A614" s="64" t="s">
        <v>709</v>
      </c>
      <c r="B614" s="62" t="s">
        <v>927</v>
      </c>
      <c r="C614" s="83" t="s">
        <v>1402</v>
      </c>
      <c r="D614" s="83" t="s">
        <v>1386</v>
      </c>
      <c r="E614" s="45" t="s">
        <v>346</v>
      </c>
      <c r="F614" s="45" t="s">
        <v>464</v>
      </c>
      <c r="G614" s="23" t="s">
        <v>822</v>
      </c>
      <c r="H614" s="14">
        <f t="shared" ref="H614:L614" si="293">H615</f>
        <v>3.1</v>
      </c>
      <c r="I614" s="14">
        <f t="shared" si="293"/>
        <v>2.81033</v>
      </c>
      <c r="J614" s="14">
        <f t="shared" si="293"/>
        <v>2.8096800000000002</v>
      </c>
      <c r="K614" s="78">
        <f t="shared" si="280"/>
        <v>99.976871043614096</v>
      </c>
      <c r="L614" s="14">
        <f t="shared" si="293"/>
        <v>0</v>
      </c>
      <c r="M614" s="50"/>
      <c r="N614" s="50"/>
    </row>
    <row r="615" spans="1:14" x14ac:dyDescent="0.3">
      <c r="A615" s="64" t="s">
        <v>709</v>
      </c>
      <c r="B615" s="62" t="s">
        <v>927</v>
      </c>
      <c r="C615" s="83" t="s">
        <v>1402</v>
      </c>
      <c r="D615" s="83" t="s">
        <v>1386</v>
      </c>
      <c r="E615" s="45" t="s">
        <v>346</v>
      </c>
      <c r="F615" s="45" t="s">
        <v>729</v>
      </c>
      <c r="G615" s="23" t="s">
        <v>824</v>
      </c>
      <c r="H615" s="14">
        <v>3.1</v>
      </c>
      <c r="I615" s="14">
        <v>2.81033</v>
      </c>
      <c r="J615" s="14">
        <v>2.8096800000000002</v>
      </c>
      <c r="K615" s="78">
        <f t="shared" si="280"/>
        <v>99.976871043614096</v>
      </c>
      <c r="L615" s="14"/>
      <c r="M615" s="50"/>
      <c r="N615" s="50"/>
    </row>
    <row r="616" spans="1:14" s="3" customFormat="1" x14ac:dyDescent="0.3">
      <c r="A616" s="4" t="s">
        <v>709</v>
      </c>
      <c r="B616" s="43" t="s">
        <v>1399</v>
      </c>
      <c r="C616" s="43" t="s">
        <v>1399</v>
      </c>
      <c r="D616" s="43" t="s">
        <v>915</v>
      </c>
      <c r="E616" s="4"/>
      <c r="F616" s="4"/>
      <c r="G616" s="5" t="s">
        <v>1400</v>
      </c>
      <c r="H616" s="15">
        <f t="shared" ref="H616:L616" si="294">H617</f>
        <v>12912.456</v>
      </c>
      <c r="I616" s="15">
        <f t="shared" si="294"/>
        <v>805.65599999999995</v>
      </c>
      <c r="J616" s="15">
        <f t="shared" si="294"/>
        <v>805.65319999999997</v>
      </c>
      <c r="K616" s="81">
        <f t="shared" si="280"/>
        <v>99.999652457128107</v>
      </c>
      <c r="L616" s="15">
        <f t="shared" si="294"/>
        <v>0</v>
      </c>
      <c r="M616" s="65"/>
      <c r="N616" s="65"/>
    </row>
    <row r="617" spans="1:14" s="9" customFormat="1" x14ac:dyDescent="0.3">
      <c r="A617" s="6" t="s">
        <v>709</v>
      </c>
      <c r="B617" s="48" t="s">
        <v>928</v>
      </c>
      <c r="C617" s="48" t="s">
        <v>1399</v>
      </c>
      <c r="D617" s="48" t="s">
        <v>1391</v>
      </c>
      <c r="E617" s="6"/>
      <c r="F617" s="6"/>
      <c r="G617" s="7" t="s">
        <v>1401</v>
      </c>
      <c r="H617" s="16">
        <f t="shared" ref="H617:L617" si="295">H618+H625</f>
        <v>12912.456</v>
      </c>
      <c r="I617" s="16">
        <f t="shared" si="295"/>
        <v>805.65599999999995</v>
      </c>
      <c r="J617" s="16">
        <f t="shared" si="295"/>
        <v>805.65319999999997</v>
      </c>
      <c r="K617" s="82">
        <f t="shared" si="280"/>
        <v>99.999652457128107</v>
      </c>
      <c r="L617" s="16">
        <f t="shared" si="295"/>
        <v>0</v>
      </c>
      <c r="M617" s="65"/>
      <c r="N617" s="65"/>
    </row>
    <row r="618" spans="1:14" ht="31.2" x14ac:dyDescent="0.3">
      <c r="A618" s="64" t="s">
        <v>709</v>
      </c>
      <c r="B618" s="62" t="s">
        <v>928</v>
      </c>
      <c r="C618" s="68" t="s">
        <v>1399</v>
      </c>
      <c r="D618" s="68" t="s">
        <v>1391</v>
      </c>
      <c r="E618" s="8" t="s">
        <v>406</v>
      </c>
      <c r="F618" s="8"/>
      <c r="G618" s="13" t="s">
        <v>848</v>
      </c>
      <c r="H618" s="14">
        <f t="shared" ref="H618:L620" si="296">H619</f>
        <v>605.65600000000006</v>
      </c>
      <c r="I618" s="14">
        <f t="shared" si="296"/>
        <v>605.65599999999995</v>
      </c>
      <c r="J618" s="14">
        <f t="shared" si="296"/>
        <v>605.65319999999997</v>
      </c>
      <c r="K618" s="78">
        <f t="shared" si="280"/>
        <v>99.999537691362761</v>
      </c>
      <c r="L618" s="14">
        <f t="shared" si="296"/>
        <v>0</v>
      </c>
      <c r="M618" s="50"/>
      <c r="N618" s="50"/>
    </row>
    <row r="619" spans="1:14" ht="62.4" x14ac:dyDescent="0.3">
      <c r="A619" s="64" t="s">
        <v>709</v>
      </c>
      <c r="B619" s="62" t="s">
        <v>928</v>
      </c>
      <c r="C619" s="68" t="s">
        <v>1399</v>
      </c>
      <c r="D619" s="68" t="s">
        <v>1391</v>
      </c>
      <c r="E619" s="8" t="s">
        <v>407</v>
      </c>
      <c r="F619" s="8"/>
      <c r="G619" s="13" t="s">
        <v>1353</v>
      </c>
      <c r="H619" s="14">
        <f t="shared" si="296"/>
        <v>605.65600000000006</v>
      </c>
      <c r="I619" s="14">
        <f t="shared" si="296"/>
        <v>605.65599999999995</v>
      </c>
      <c r="J619" s="14">
        <f t="shared" si="296"/>
        <v>605.65319999999997</v>
      </c>
      <c r="K619" s="78">
        <f t="shared" si="280"/>
        <v>99.999537691362761</v>
      </c>
      <c r="L619" s="14">
        <f t="shared" si="296"/>
        <v>0</v>
      </c>
      <c r="M619" s="50"/>
      <c r="N619" s="50"/>
    </row>
    <row r="620" spans="1:14" ht="46.8" x14ac:dyDescent="0.3">
      <c r="A620" s="64" t="s">
        <v>709</v>
      </c>
      <c r="B620" s="62" t="s">
        <v>928</v>
      </c>
      <c r="C620" s="68" t="s">
        <v>1399</v>
      </c>
      <c r="D620" s="68" t="s">
        <v>1391</v>
      </c>
      <c r="E620" s="8" t="s">
        <v>428</v>
      </c>
      <c r="F620" s="8"/>
      <c r="G620" s="13" t="s">
        <v>849</v>
      </c>
      <c r="H620" s="14">
        <f>H621</f>
        <v>605.65600000000006</v>
      </c>
      <c r="I620" s="14">
        <f t="shared" si="296"/>
        <v>605.65599999999995</v>
      </c>
      <c r="J620" s="14">
        <f t="shared" si="296"/>
        <v>605.65319999999997</v>
      </c>
      <c r="K620" s="78">
        <f t="shared" si="280"/>
        <v>99.999537691362761</v>
      </c>
      <c r="L620" s="14">
        <f t="shared" si="296"/>
        <v>0</v>
      </c>
      <c r="M620" s="50"/>
      <c r="N620" s="50"/>
    </row>
    <row r="621" spans="1:14" ht="46.8" x14ac:dyDescent="0.3">
      <c r="A621" s="64" t="s">
        <v>709</v>
      </c>
      <c r="B621" s="62" t="s">
        <v>928</v>
      </c>
      <c r="C621" s="68" t="s">
        <v>1399</v>
      </c>
      <c r="D621" s="68" t="s">
        <v>1391</v>
      </c>
      <c r="E621" s="8" t="s">
        <v>692</v>
      </c>
      <c r="F621" s="45"/>
      <c r="G621" s="13" t="s">
        <v>291</v>
      </c>
      <c r="H621" s="14">
        <f t="shared" ref="H621:L621" si="297">H622</f>
        <v>605.65600000000006</v>
      </c>
      <c r="I621" s="14">
        <f t="shared" si="297"/>
        <v>605.65599999999995</v>
      </c>
      <c r="J621" s="14">
        <f t="shared" si="297"/>
        <v>605.65319999999997</v>
      </c>
      <c r="K621" s="78">
        <f t="shared" si="280"/>
        <v>99.999537691362761</v>
      </c>
      <c r="L621" s="14">
        <f t="shared" si="297"/>
        <v>0</v>
      </c>
      <c r="M621" s="50"/>
      <c r="N621" s="50"/>
    </row>
    <row r="622" spans="1:14" ht="31.2" x14ac:dyDescent="0.3">
      <c r="A622" s="64" t="s">
        <v>709</v>
      </c>
      <c r="B622" s="62" t="s">
        <v>928</v>
      </c>
      <c r="C622" s="68" t="s">
        <v>1399</v>
      </c>
      <c r="D622" s="68" t="s">
        <v>1391</v>
      </c>
      <c r="E622" s="8" t="s">
        <v>692</v>
      </c>
      <c r="F622" s="45" t="s">
        <v>402</v>
      </c>
      <c r="G622" s="23" t="s">
        <v>819</v>
      </c>
      <c r="H622" s="14">
        <f>H623+H624</f>
        <v>605.65600000000006</v>
      </c>
      <c r="I622" s="14">
        <f>I623+I624</f>
        <v>605.65599999999995</v>
      </c>
      <c r="J622" s="14">
        <f t="shared" ref="J622" si="298">J623+J624</f>
        <v>605.65319999999997</v>
      </c>
      <c r="K622" s="78">
        <f t="shared" si="280"/>
        <v>99.999537691362761</v>
      </c>
      <c r="L622" s="14">
        <f>L623+L624</f>
        <v>0</v>
      </c>
      <c r="M622" s="50"/>
      <c r="N622" s="50"/>
    </row>
    <row r="623" spans="1:14" x14ac:dyDescent="0.3">
      <c r="A623" s="64" t="s">
        <v>709</v>
      </c>
      <c r="B623" s="62" t="s">
        <v>928</v>
      </c>
      <c r="C623" s="68" t="s">
        <v>1399</v>
      </c>
      <c r="D623" s="68" t="s">
        <v>1391</v>
      </c>
      <c r="E623" s="8" t="s">
        <v>692</v>
      </c>
      <c r="F623" s="8" t="s">
        <v>726</v>
      </c>
      <c r="G623" s="13" t="s">
        <v>820</v>
      </c>
      <c r="H623" s="14">
        <f>91.1-0.119</f>
        <v>90.980999999999995</v>
      </c>
      <c r="I623" s="14">
        <v>42.186199999999999</v>
      </c>
      <c r="J623" s="19">
        <v>42.184800000000003</v>
      </c>
      <c r="K623" s="75">
        <f t="shared" si="280"/>
        <v>99.996681379218799</v>
      </c>
      <c r="L623" s="14"/>
      <c r="M623" s="50"/>
      <c r="N623" s="50"/>
    </row>
    <row r="624" spans="1:14" x14ac:dyDescent="0.3">
      <c r="A624" s="64" t="s">
        <v>709</v>
      </c>
      <c r="B624" s="62" t="s">
        <v>928</v>
      </c>
      <c r="C624" s="68" t="s">
        <v>1399</v>
      </c>
      <c r="D624" s="68" t="s">
        <v>1391</v>
      </c>
      <c r="E624" s="8" t="s">
        <v>692</v>
      </c>
      <c r="F624" s="64" t="s">
        <v>223</v>
      </c>
      <c r="G624" s="18" t="s">
        <v>829</v>
      </c>
      <c r="H624" s="14">
        <f>520.7-6.025</f>
        <v>514.67500000000007</v>
      </c>
      <c r="I624" s="14">
        <v>563.46979999999996</v>
      </c>
      <c r="J624" s="19">
        <v>563.46839999999997</v>
      </c>
      <c r="K624" s="75">
        <f t="shared" si="280"/>
        <v>99.999751539479135</v>
      </c>
      <c r="L624" s="14"/>
      <c r="M624" s="50"/>
      <c r="N624" s="50"/>
    </row>
    <row r="625" spans="1:14" x14ac:dyDescent="0.3">
      <c r="A625" s="64" t="s">
        <v>709</v>
      </c>
      <c r="B625" s="62" t="s">
        <v>928</v>
      </c>
      <c r="C625" s="68" t="s">
        <v>1399</v>
      </c>
      <c r="D625" s="68" t="s">
        <v>1391</v>
      </c>
      <c r="E625" s="8" t="s">
        <v>387</v>
      </c>
      <c r="F625" s="8"/>
      <c r="G625" s="18" t="s">
        <v>851</v>
      </c>
      <c r="H625" s="14">
        <f t="shared" ref="H625:L626" si="299">H626</f>
        <v>12306.8</v>
      </c>
      <c r="I625" s="14">
        <f t="shared" si="299"/>
        <v>200</v>
      </c>
      <c r="J625" s="14">
        <f t="shared" si="299"/>
        <v>200</v>
      </c>
      <c r="K625" s="78">
        <f t="shared" si="280"/>
        <v>100</v>
      </c>
      <c r="L625" s="14">
        <f t="shared" si="299"/>
        <v>0</v>
      </c>
      <c r="M625" s="50"/>
      <c r="N625" s="50"/>
    </row>
    <row r="626" spans="1:14" x14ac:dyDescent="0.3">
      <c r="A626" s="64" t="s">
        <v>709</v>
      </c>
      <c r="B626" s="62" t="s">
        <v>928</v>
      </c>
      <c r="C626" s="68" t="s">
        <v>1399</v>
      </c>
      <c r="D626" s="68" t="s">
        <v>1391</v>
      </c>
      <c r="E626" s="8" t="s">
        <v>399</v>
      </c>
      <c r="F626" s="8"/>
      <c r="G626" s="18" t="s">
        <v>858</v>
      </c>
      <c r="H626" s="14">
        <f t="shared" si="299"/>
        <v>12306.8</v>
      </c>
      <c r="I626" s="14">
        <f t="shared" si="299"/>
        <v>200</v>
      </c>
      <c r="J626" s="14">
        <f t="shared" si="299"/>
        <v>200</v>
      </c>
      <c r="K626" s="78">
        <f t="shared" si="280"/>
        <v>100</v>
      </c>
      <c r="L626" s="14">
        <f t="shared" si="299"/>
        <v>0</v>
      </c>
      <c r="M626" s="50"/>
      <c r="N626" s="50"/>
    </row>
    <row r="627" spans="1:14" ht="46.8" x14ac:dyDescent="0.3">
      <c r="A627" s="64" t="s">
        <v>709</v>
      </c>
      <c r="B627" s="62" t="s">
        <v>928</v>
      </c>
      <c r="C627" s="68" t="s">
        <v>1399</v>
      </c>
      <c r="D627" s="68" t="s">
        <v>1391</v>
      </c>
      <c r="E627" s="8" t="s">
        <v>400</v>
      </c>
      <c r="F627" s="8"/>
      <c r="G627" s="18" t="s">
        <v>112</v>
      </c>
      <c r="H627" s="14">
        <f t="shared" ref="H627:L629" si="300">H628</f>
        <v>12306.8</v>
      </c>
      <c r="I627" s="14">
        <f t="shared" si="300"/>
        <v>200</v>
      </c>
      <c r="J627" s="14">
        <f t="shared" si="300"/>
        <v>200</v>
      </c>
      <c r="K627" s="78">
        <f t="shared" si="280"/>
        <v>100</v>
      </c>
      <c r="L627" s="14">
        <f t="shared" si="300"/>
        <v>0</v>
      </c>
      <c r="M627" s="50"/>
      <c r="N627" s="50"/>
    </row>
    <row r="628" spans="1:14" ht="62.4" x14ac:dyDescent="0.3">
      <c r="A628" s="64" t="s">
        <v>709</v>
      </c>
      <c r="B628" s="62" t="s">
        <v>928</v>
      </c>
      <c r="C628" s="68" t="s">
        <v>1399</v>
      </c>
      <c r="D628" s="68" t="s">
        <v>1391</v>
      </c>
      <c r="E628" s="8" t="s">
        <v>64</v>
      </c>
      <c r="F628" s="8"/>
      <c r="G628" s="18" t="s">
        <v>151</v>
      </c>
      <c r="H628" s="14">
        <f t="shared" si="300"/>
        <v>12306.8</v>
      </c>
      <c r="I628" s="14">
        <f t="shared" si="300"/>
        <v>200</v>
      </c>
      <c r="J628" s="14">
        <f t="shared" si="300"/>
        <v>200</v>
      </c>
      <c r="K628" s="78">
        <f t="shared" si="280"/>
        <v>100</v>
      </c>
      <c r="L628" s="14">
        <f t="shared" si="300"/>
        <v>0</v>
      </c>
      <c r="M628" s="50"/>
      <c r="N628" s="50"/>
    </row>
    <row r="629" spans="1:14" ht="31.2" x14ac:dyDescent="0.3">
      <c r="A629" s="64" t="s">
        <v>709</v>
      </c>
      <c r="B629" s="62" t="s">
        <v>928</v>
      </c>
      <c r="C629" s="68" t="s">
        <v>1399</v>
      </c>
      <c r="D629" s="68" t="s">
        <v>1391</v>
      </c>
      <c r="E629" s="8" t="s">
        <v>64</v>
      </c>
      <c r="F629" s="45" t="s">
        <v>402</v>
      </c>
      <c r="G629" s="23" t="s">
        <v>819</v>
      </c>
      <c r="H629" s="14">
        <f t="shared" si="300"/>
        <v>12306.8</v>
      </c>
      <c r="I629" s="14">
        <f t="shared" si="300"/>
        <v>200</v>
      </c>
      <c r="J629" s="14">
        <f t="shared" si="300"/>
        <v>200</v>
      </c>
      <c r="K629" s="78">
        <f t="shared" si="280"/>
        <v>100</v>
      </c>
      <c r="L629" s="14">
        <f t="shared" si="300"/>
        <v>0</v>
      </c>
      <c r="M629" s="50"/>
      <c r="N629" s="50"/>
    </row>
    <row r="630" spans="1:14" x14ac:dyDescent="0.3">
      <c r="A630" s="64" t="s">
        <v>709</v>
      </c>
      <c r="B630" s="62" t="s">
        <v>928</v>
      </c>
      <c r="C630" s="68" t="s">
        <v>1399</v>
      </c>
      <c r="D630" s="68" t="s">
        <v>1391</v>
      </c>
      <c r="E630" s="8" t="s">
        <v>64</v>
      </c>
      <c r="F630" s="64" t="s">
        <v>223</v>
      </c>
      <c r="G630" s="18" t="s">
        <v>829</v>
      </c>
      <c r="H630" s="14">
        <v>12306.8</v>
      </c>
      <c r="I630" s="14">
        <v>200</v>
      </c>
      <c r="J630" s="20">
        <v>200</v>
      </c>
      <c r="K630" s="77">
        <f t="shared" si="280"/>
        <v>100</v>
      </c>
      <c r="L630" s="14"/>
      <c r="M630" s="50"/>
      <c r="N630" s="50"/>
    </row>
    <row r="631" spans="1:14" s="3" customFormat="1" ht="31.2" x14ac:dyDescent="0.3">
      <c r="A631" s="10" t="s">
        <v>1271</v>
      </c>
      <c r="B631" s="43" t="s">
        <v>915</v>
      </c>
      <c r="C631" s="43" t="s">
        <v>915</v>
      </c>
      <c r="D631" s="43" t="s">
        <v>915</v>
      </c>
      <c r="E631" s="4"/>
      <c r="F631" s="4"/>
      <c r="G631" s="5" t="s">
        <v>1456</v>
      </c>
      <c r="H631" s="15">
        <f t="shared" ref="H631:L631" si="301">H632+H960+H1048</f>
        <v>11822576.228</v>
      </c>
      <c r="I631" s="15">
        <f t="shared" si="301"/>
        <v>12596549.05745</v>
      </c>
      <c r="J631" s="15">
        <f t="shared" si="301"/>
        <v>12541204.957359999</v>
      </c>
      <c r="K631" s="81">
        <f t="shared" si="280"/>
        <v>99.560640776790621</v>
      </c>
      <c r="L631" s="15">
        <f t="shared" si="301"/>
        <v>0</v>
      </c>
      <c r="M631" s="65"/>
      <c r="N631" s="65"/>
    </row>
    <row r="632" spans="1:14" s="3" customFormat="1" x14ac:dyDescent="0.3">
      <c r="A632" s="10" t="s">
        <v>1271</v>
      </c>
      <c r="B632" s="43" t="s">
        <v>1374</v>
      </c>
      <c r="C632" s="43" t="s">
        <v>1374</v>
      </c>
      <c r="D632" s="43" t="s">
        <v>915</v>
      </c>
      <c r="E632" s="4"/>
      <c r="F632" s="4"/>
      <c r="G632" s="5" t="s">
        <v>1378</v>
      </c>
      <c r="H632" s="15">
        <f t="shared" ref="H632:L632" si="302">H633+H694+H795+H852+H860+H842</f>
        <v>11365356.120999999</v>
      </c>
      <c r="I632" s="15">
        <f t="shared" si="302"/>
        <v>12193275.842</v>
      </c>
      <c r="J632" s="15">
        <f t="shared" si="302"/>
        <v>12156930.628039999</v>
      </c>
      <c r="K632" s="81">
        <f t="shared" si="280"/>
        <v>99.701924122516701</v>
      </c>
      <c r="L632" s="15">
        <f t="shared" si="302"/>
        <v>0</v>
      </c>
      <c r="M632" s="65"/>
      <c r="N632" s="65"/>
    </row>
    <row r="633" spans="1:14" s="9" customFormat="1" ht="17.25" customHeight="1" x14ac:dyDescent="0.3">
      <c r="A633" s="11" t="s">
        <v>1271</v>
      </c>
      <c r="B633" s="48" t="s">
        <v>913</v>
      </c>
      <c r="C633" s="48" t="s">
        <v>1374</v>
      </c>
      <c r="D633" s="48" t="s">
        <v>1372</v>
      </c>
      <c r="E633" s="6"/>
      <c r="F633" s="6"/>
      <c r="G633" s="7" t="s">
        <v>1379</v>
      </c>
      <c r="H633" s="16">
        <f t="shared" ref="H633:L633" si="303">H634+H675+H687</f>
        <v>5070818.6529999999</v>
      </c>
      <c r="I633" s="16">
        <f t="shared" si="303"/>
        <v>5414313.2877500001</v>
      </c>
      <c r="J633" s="16">
        <f t="shared" si="303"/>
        <v>5407104.6348999999</v>
      </c>
      <c r="K633" s="82">
        <f t="shared" si="280"/>
        <v>99.86685933253419</v>
      </c>
      <c r="L633" s="16">
        <f t="shared" si="303"/>
        <v>0</v>
      </c>
      <c r="M633" s="65"/>
      <c r="N633" s="65"/>
    </row>
    <row r="634" spans="1:14" ht="46.8" x14ac:dyDescent="0.3">
      <c r="A634" s="8" t="s">
        <v>1271</v>
      </c>
      <c r="B634" s="62" t="s">
        <v>913</v>
      </c>
      <c r="C634" s="68" t="s">
        <v>1374</v>
      </c>
      <c r="D634" s="68" t="s">
        <v>1372</v>
      </c>
      <c r="E634" s="64" t="s">
        <v>347</v>
      </c>
      <c r="F634" s="64"/>
      <c r="G634" s="18" t="s">
        <v>1114</v>
      </c>
      <c r="H634" s="14">
        <f t="shared" ref="H634:L634" si="304">H635+H668+H663</f>
        <v>4852829.3969999999</v>
      </c>
      <c r="I634" s="14">
        <f t="shared" si="304"/>
        <v>5196324.0317500001</v>
      </c>
      <c r="J634" s="14">
        <f t="shared" si="304"/>
        <v>5189115.37928</v>
      </c>
      <c r="K634" s="78">
        <f t="shared" si="280"/>
        <v>99.861274000120957</v>
      </c>
      <c r="L634" s="14">
        <f t="shared" si="304"/>
        <v>0</v>
      </c>
      <c r="M634" s="50"/>
      <c r="N634" s="50"/>
    </row>
    <row r="635" spans="1:14" ht="31.2" x14ac:dyDescent="0.3">
      <c r="A635" s="8" t="s">
        <v>1271</v>
      </c>
      <c r="B635" s="62" t="s">
        <v>913</v>
      </c>
      <c r="C635" s="68" t="s">
        <v>1374</v>
      </c>
      <c r="D635" s="68" t="s">
        <v>1372</v>
      </c>
      <c r="E635" s="64" t="s">
        <v>448</v>
      </c>
      <c r="F635" s="64"/>
      <c r="G635" s="18" t="s">
        <v>1115</v>
      </c>
      <c r="H635" s="14">
        <f>H636+H651</f>
        <v>4764892.9970000004</v>
      </c>
      <c r="I635" s="14">
        <f>I636+I651</f>
        <v>5103720.9721600004</v>
      </c>
      <c r="J635" s="14">
        <f t="shared" ref="J635" si="305">J636+J651</f>
        <v>5097988.4405100001</v>
      </c>
      <c r="K635" s="78">
        <f t="shared" si="280"/>
        <v>99.88767936802833</v>
      </c>
      <c r="L635" s="14">
        <f>L636+L651</f>
        <v>0</v>
      </c>
      <c r="M635" s="50"/>
      <c r="N635" s="50"/>
    </row>
    <row r="636" spans="1:14" ht="46.8" x14ac:dyDescent="0.3">
      <c r="A636" s="8" t="s">
        <v>1271</v>
      </c>
      <c r="B636" s="62" t="s">
        <v>913</v>
      </c>
      <c r="C636" s="68" t="s">
        <v>1374</v>
      </c>
      <c r="D636" s="68" t="s">
        <v>1372</v>
      </c>
      <c r="E636" s="64" t="s">
        <v>449</v>
      </c>
      <c r="F636" s="64"/>
      <c r="G636" s="18" t="s">
        <v>1232</v>
      </c>
      <c r="H636" s="14">
        <f>H637+H641+H645+H648</f>
        <v>1216998.442</v>
      </c>
      <c r="I636" s="14">
        <f t="shared" ref="I636:L636" si="306">I637+I641+I645+I648</f>
        <v>1216998.442</v>
      </c>
      <c r="J636" s="14">
        <f t="shared" si="306"/>
        <v>1213543.4566399998</v>
      </c>
      <c r="K636" s="78">
        <f t="shared" si="280"/>
        <v>99.716106016181712</v>
      </c>
      <c r="L636" s="14">
        <f t="shared" si="306"/>
        <v>0</v>
      </c>
      <c r="M636" s="50"/>
      <c r="N636" s="50"/>
    </row>
    <row r="637" spans="1:14" ht="62.4" x14ac:dyDescent="0.3">
      <c r="A637" s="8" t="s">
        <v>1271</v>
      </c>
      <c r="B637" s="62" t="s">
        <v>913</v>
      </c>
      <c r="C637" s="68" t="s">
        <v>1374</v>
      </c>
      <c r="D637" s="68" t="s">
        <v>1372</v>
      </c>
      <c r="E637" s="64" t="s">
        <v>450</v>
      </c>
      <c r="F637" s="64"/>
      <c r="G637" s="23" t="s">
        <v>1291</v>
      </c>
      <c r="H637" s="14">
        <f t="shared" ref="H637:L637" si="307">H638</f>
        <v>1171145.746</v>
      </c>
      <c r="I637" s="14">
        <f t="shared" si="307"/>
        <v>1171145.746</v>
      </c>
      <c r="J637" s="14">
        <f t="shared" si="307"/>
        <v>1167690.7840999998</v>
      </c>
      <c r="K637" s="78">
        <f t="shared" si="280"/>
        <v>99.704993002638602</v>
      </c>
      <c r="L637" s="14">
        <f t="shared" si="307"/>
        <v>0</v>
      </c>
      <c r="M637" s="50"/>
      <c r="N637" s="50"/>
    </row>
    <row r="638" spans="1:14" ht="31.2" x14ac:dyDescent="0.3">
      <c r="A638" s="8" t="s">
        <v>1271</v>
      </c>
      <c r="B638" s="62" t="s">
        <v>913</v>
      </c>
      <c r="C638" s="68" t="s">
        <v>1374</v>
      </c>
      <c r="D638" s="68" t="s">
        <v>1372</v>
      </c>
      <c r="E638" s="64" t="s">
        <v>450</v>
      </c>
      <c r="F638" s="45" t="s">
        <v>402</v>
      </c>
      <c r="G638" s="23" t="s">
        <v>819</v>
      </c>
      <c r="H638" s="14">
        <f>H639+H640</f>
        <v>1171145.746</v>
      </c>
      <c r="I638" s="14">
        <f>I639+I640</f>
        <v>1171145.746</v>
      </c>
      <c r="J638" s="14">
        <f t="shared" ref="J638" si="308">J639+J640</f>
        <v>1167690.7840999998</v>
      </c>
      <c r="K638" s="78">
        <f t="shared" si="280"/>
        <v>99.704993002638602</v>
      </c>
      <c r="L638" s="14">
        <f>L639+L640</f>
        <v>0</v>
      </c>
      <c r="M638" s="50"/>
      <c r="N638" s="50"/>
    </row>
    <row r="639" spans="1:14" x14ac:dyDescent="0.3">
      <c r="A639" s="8" t="s">
        <v>1271</v>
      </c>
      <c r="B639" s="62" t="s">
        <v>913</v>
      </c>
      <c r="C639" s="68" t="s">
        <v>1374</v>
      </c>
      <c r="D639" s="68" t="s">
        <v>1372</v>
      </c>
      <c r="E639" s="64" t="s">
        <v>450</v>
      </c>
      <c r="F639" s="8" t="s">
        <v>726</v>
      </c>
      <c r="G639" s="13" t="s">
        <v>820</v>
      </c>
      <c r="H639" s="14">
        <v>76036</v>
      </c>
      <c r="I639" s="14">
        <v>34717.135340000001</v>
      </c>
      <c r="J639" s="14">
        <v>34693.503170000004</v>
      </c>
      <c r="K639" s="78">
        <f t="shared" si="280"/>
        <v>99.931929377903572</v>
      </c>
      <c r="L639" s="14"/>
      <c r="M639" s="50"/>
      <c r="N639" s="50"/>
    </row>
    <row r="640" spans="1:14" x14ac:dyDescent="0.3">
      <c r="A640" s="8" t="s">
        <v>1271</v>
      </c>
      <c r="B640" s="62" t="s">
        <v>913</v>
      </c>
      <c r="C640" s="68" t="s">
        <v>1374</v>
      </c>
      <c r="D640" s="68" t="s">
        <v>1372</v>
      </c>
      <c r="E640" s="64" t="s">
        <v>450</v>
      </c>
      <c r="F640" s="64" t="s">
        <v>223</v>
      </c>
      <c r="G640" s="18" t="s">
        <v>829</v>
      </c>
      <c r="H640" s="14">
        <f>1138713.722-654.975-33210.888-9738.113</f>
        <v>1095109.746</v>
      </c>
      <c r="I640" s="14">
        <v>1136428.61066</v>
      </c>
      <c r="J640" s="14">
        <v>1132997.2809299999</v>
      </c>
      <c r="K640" s="78">
        <f t="shared" si="280"/>
        <v>99.698060247884186</v>
      </c>
      <c r="L640" s="14"/>
      <c r="M640" s="50"/>
      <c r="N640" s="50"/>
    </row>
    <row r="641" spans="1:14" ht="31.2" x14ac:dyDescent="0.3">
      <c r="A641" s="8" t="s">
        <v>1271</v>
      </c>
      <c r="B641" s="62" t="s">
        <v>913</v>
      </c>
      <c r="C641" s="68" t="s">
        <v>1374</v>
      </c>
      <c r="D641" s="68" t="s">
        <v>1372</v>
      </c>
      <c r="E641" s="64" t="s">
        <v>451</v>
      </c>
      <c r="F641" s="64"/>
      <c r="G641" s="18" t="s">
        <v>1116</v>
      </c>
      <c r="H641" s="14">
        <f t="shared" ref="H641:L641" si="309">H642</f>
        <v>45157.5</v>
      </c>
      <c r="I641" s="14">
        <f t="shared" si="309"/>
        <v>45157.5</v>
      </c>
      <c r="J641" s="14">
        <f t="shared" si="309"/>
        <v>45157.476540000003</v>
      </c>
      <c r="K641" s="78">
        <f t="shared" si="280"/>
        <v>99.999948048496933</v>
      </c>
      <c r="L641" s="14">
        <f t="shared" si="309"/>
        <v>0</v>
      </c>
      <c r="M641" s="50"/>
      <c r="N641" s="50"/>
    </row>
    <row r="642" spans="1:14" ht="31.2" x14ac:dyDescent="0.3">
      <c r="A642" s="8" t="s">
        <v>1271</v>
      </c>
      <c r="B642" s="62" t="s">
        <v>913</v>
      </c>
      <c r="C642" s="68" t="s">
        <v>1374</v>
      </c>
      <c r="D642" s="68" t="s">
        <v>1372</v>
      </c>
      <c r="E642" s="64" t="s">
        <v>451</v>
      </c>
      <c r="F642" s="45" t="s">
        <v>402</v>
      </c>
      <c r="G642" s="23" t="s">
        <v>819</v>
      </c>
      <c r="H642" s="14">
        <f>H643+H644</f>
        <v>45157.5</v>
      </c>
      <c r="I642" s="14">
        <f>I643+I644</f>
        <v>45157.5</v>
      </c>
      <c r="J642" s="14">
        <f t="shared" ref="J642" si="310">J643+J644</f>
        <v>45157.476540000003</v>
      </c>
      <c r="K642" s="78">
        <f t="shared" si="280"/>
        <v>99.999948048496933</v>
      </c>
      <c r="L642" s="14">
        <f>L643+L644</f>
        <v>0</v>
      </c>
      <c r="M642" s="50"/>
      <c r="N642" s="50"/>
    </row>
    <row r="643" spans="1:14" x14ac:dyDescent="0.3">
      <c r="A643" s="8" t="s">
        <v>1271</v>
      </c>
      <c r="B643" s="62" t="s">
        <v>913</v>
      </c>
      <c r="C643" s="68" t="s">
        <v>1374</v>
      </c>
      <c r="D643" s="68" t="s">
        <v>1372</v>
      </c>
      <c r="E643" s="64" t="s">
        <v>451</v>
      </c>
      <c r="F643" s="8" t="s">
        <v>726</v>
      </c>
      <c r="G643" s="13" t="s">
        <v>820</v>
      </c>
      <c r="H643" s="14">
        <v>19105</v>
      </c>
      <c r="I643" s="14">
        <v>19105.032459999999</v>
      </c>
      <c r="J643" s="14">
        <v>19105.025259999999</v>
      </c>
      <c r="K643" s="78">
        <f t="shared" si="280"/>
        <v>99.999962313594509</v>
      </c>
      <c r="L643" s="14"/>
      <c r="M643" s="50"/>
      <c r="N643" s="50"/>
    </row>
    <row r="644" spans="1:14" x14ac:dyDescent="0.3">
      <c r="A644" s="8" t="s">
        <v>1271</v>
      </c>
      <c r="B644" s="62" t="s">
        <v>913</v>
      </c>
      <c r="C644" s="68" t="s">
        <v>1374</v>
      </c>
      <c r="D644" s="68" t="s">
        <v>1372</v>
      </c>
      <c r="E644" s="64" t="s">
        <v>451</v>
      </c>
      <c r="F644" s="64" t="s">
        <v>223</v>
      </c>
      <c r="G644" s="18" t="s">
        <v>829</v>
      </c>
      <c r="H644" s="14">
        <v>26052.5</v>
      </c>
      <c r="I644" s="14">
        <v>26052.467540000001</v>
      </c>
      <c r="J644" s="14">
        <v>26052.451280000001</v>
      </c>
      <c r="K644" s="78">
        <f t="shared" si="280"/>
        <v>99.999937587485803</v>
      </c>
      <c r="L644" s="14"/>
      <c r="M644" s="50"/>
      <c r="N644" s="50"/>
    </row>
    <row r="645" spans="1:14" ht="31.2" x14ac:dyDescent="0.3">
      <c r="A645" s="8" t="s">
        <v>1271</v>
      </c>
      <c r="B645" s="62" t="s">
        <v>913</v>
      </c>
      <c r="C645" s="68" t="s">
        <v>1374</v>
      </c>
      <c r="D645" s="68" t="s">
        <v>1372</v>
      </c>
      <c r="E645" s="64" t="s">
        <v>452</v>
      </c>
      <c r="F645" s="64"/>
      <c r="G645" s="18" t="s">
        <v>1300</v>
      </c>
      <c r="H645" s="14">
        <f t="shared" ref="H645:L646" si="311">H646</f>
        <v>178.3</v>
      </c>
      <c r="I645" s="14">
        <f t="shared" si="311"/>
        <v>178.3</v>
      </c>
      <c r="J645" s="14">
        <f t="shared" si="311"/>
        <v>178.3</v>
      </c>
      <c r="K645" s="78">
        <f t="shared" si="280"/>
        <v>100</v>
      </c>
      <c r="L645" s="14">
        <f t="shared" si="311"/>
        <v>0</v>
      </c>
      <c r="M645" s="50"/>
      <c r="N645" s="50"/>
    </row>
    <row r="646" spans="1:14" ht="31.2" x14ac:dyDescent="0.3">
      <c r="A646" s="8" t="s">
        <v>1271</v>
      </c>
      <c r="B646" s="62" t="s">
        <v>913</v>
      </c>
      <c r="C646" s="68" t="s">
        <v>1374</v>
      </c>
      <c r="D646" s="68" t="s">
        <v>1372</v>
      </c>
      <c r="E646" s="64" t="s">
        <v>452</v>
      </c>
      <c r="F646" s="45" t="s">
        <v>402</v>
      </c>
      <c r="G646" s="23" t="s">
        <v>819</v>
      </c>
      <c r="H646" s="14">
        <f t="shared" si="311"/>
        <v>178.3</v>
      </c>
      <c r="I646" s="14">
        <f t="shared" si="311"/>
        <v>178.3</v>
      </c>
      <c r="J646" s="14">
        <f t="shared" si="311"/>
        <v>178.3</v>
      </c>
      <c r="K646" s="78">
        <f t="shared" si="280"/>
        <v>100</v>
      </c>
      <c r="L646" s="14">
        <f t="shared" si="311"/>
        <v>0</v>
      </c>
      <c r="M646" s="50"/>
      <c r="N646" s="50"/>
    </row>
    <row r="647" spans="1:14" x14ac:dyDescent="0.3">
      <c r="A647" s="8" t="s">
        <v>1271</v>
      </c>
      <c r="B647" s="62" t="s">
        <v>913</v>
      </c>
      <c r="C647" s="68" t="s">
        <v>1374</v>
      </c>
      <c r="D647" s="68" t="s">
        <v>1372</v>
      </c>
      <c r="E647" s="64" t="s">
        <v>452</v>
      </c>
      <c r="F647" s="64" t="s">
        <v>223</v>
      </c>
      <c r="G647" s="18" t="s">
        <v>829</v>
      </c>
      <c r="H647" s="14">
        <v>178.3</v>
      </c>
      <c r="I647" s="14">
        <v>178.3</v>
      </c>
      <c r="J647" s="14">
        <v>178.3</v>
      </c>
      <c r="K647" s="78">
        <f t="shared" si="280"/>
        <v>100</v>
      </c>
      <c r="L647" s="14"/>
      <c r="M647" s="50"/>
      <c r="N647" s="50"/>
    </row>
    <row r="648" spans="1:14" ht="31.2" x14ac:dyDescent="0.3">
      <c r="A648" s="8" t="s">
        <v>1271</v>
      </c>
      <c r="B648" s="62" t="s">
        <v>913</v>
      </c>
      <c r="C648" s="68" t="s">
        <v>1374</v>
      </c>
      <c r="D648" s="68" t="s">
        <v>1372</v>
      </c>
      <c r="E648" s="64" t="s">
        <v>984</v>
      </c>
      <c r="F648" s="64"/>
      <c r="G648" s="18" t="s">
        <v>1462</v>
      </c>
      <c r="H648" s="14">
        <f>H649</f>
        <v>516.89599999999996</v>
      </c>
      <c r="I648" s="14">
        <f t="shared" ref="I648:L649" si="312">I649</f>
        <v>516.89599999999996</v>
      </c>
      <c r="J648" s="14">
        <f t="shared" si="312"/>
        <v>516.89599999999996</v>
      </c>
      <c r="K648" s="78">
        <f t="shared" ref="K648:K711" si="313">J648/I648*100</f>
        <v>100</v>
      </c>
      <c r="L648" s="14">
        <f t="shared" si="312"/>
        <v>0</v>
      </c>
      <c r="M648" s="50"/>
      <c r="N648" s="50"/>
    </row>
    <row r="649" spans="1:14" ht="31.2" x14ac:dyDescent="0.3">
      <c r="A649" s="8" t="s">
        <v>1271</v>
      </c>
      <c r="B649" s="62" t="s">
        <v>913</v>
      </c>
      <c r="C649" s="68" t="s">
        <v>1374</v>
      </c>
      <c r="D649" s="68" t="s">
        <v>1372</v>
      </c>
      <c r="E649" s="64" t="s">
        <v>984</v>
      </c>
      <c r="F649" s="45" t="s">
        <v>402</v>
      </c>
      <c r="G649" s="23" t="s">
        <v>819</v>
      </c>
      <c r="H649" s="14">
        <f>H650</f>
        <v>516.89599999999996</v>
      </c>
      <c r="I649" s="14">
        <f t="shared" si="312"/>
        <v>516.89599999999996</v>
      </c>
      <c r="J649" s="14">
        <f t="shared" si="312"/>
        <v>516.89599999999996</v>
      </c>
      <c r="K649" s="78">
        <f t="shared" si="313"/>
        <v>100</v>
      </c>
      <c r="L649" s="14">
        <f t="shared" si="312"/>
        <v>0</v>
      </c>
      <c r="M649" s="50"/>
      <c r="N649" s="50"/>
    </row>
    <row r="650" spans="1:14" x14ac:dyDescent="0.3">
      <c r="A650" s="8" t="s">
        <v>1271</v>
      </c>
      <c r="B650" s="62" t="s">
        <v>913</v>
      </c>
      <c r="C650" s="68" t="s">
        <v>1374</v>
      </c>
      <c r="D650" s="68" t="s">
        <v>1372</v>
      </c>
      <c r="E650" s="64" t="s">
        <v>984</v>
      </c>
      <c r="F650" s="64" t="s">
        <v>223</v>
      </c>
      <c r="G650" s="18" t="s">
        <v>829</v>
      </c>
      <c r="H650" s="14">
        <v>516.89599999999996</v>
      </c>
      <c r="I650" s="14">
        <v>516.89599999999996</v>
      </c>
      <c r="J650" s="14">
        <v>516.89599999999996</v>
      </c>
      <c r="K650" s="78">
        <f t="shared" si="313"/>
        <v>100</v>
      </c>
      <c r="L650" s="14"/>
      <c r="M650" s="50"/>
      <c r="N650" s="50"/>
    </row>
    <row r="651" spans="1:14" ht="46.8" x14ac:dyDescent="0.3">
      <c r="A651" s="8" t="s">
        <v>1271</v>
      </c>
      <c r="B651" s="62" t="s">
        <v>913</v>
      </c>
      <c r="C651" s="68" t="s">
        <v>1374</v>
      </c>
      <c r="D651" s="68" t="s">
        <v>1372</v>
      </c>
      <c r="E651" s="64" t="s">
        <v>453</v>
      </c>
      <c r="F651" s="64"/>
      <c r="G651" s="18" t="s">
        <v>1117</v>
      </c>
      <c r="H651" s="14">
        <f>H652+H660</f>
        <v>3547894.5550000006</v>
      </c>
      <c r="I651" s="14">
        <f>I652+I660</f>
        <v>3886722.5301600001</v>
      </c>
      <c r="J651" s="14">
        <f t="shared" ref="J651" si="314">J652+J660</f>
        <v>3884444.9838700001</v>
      </c>
      <c r="K651" s="78">
        <f t="shared" si="313"/>
        <v>99.941401881088069</v>
      </c>
      <c r="L651" s="14">
        <f>L652+L660</f>
        <v>0</v>
      </c>
      <c r="M651" s="50"/>
      <c r="N651" s="50"/>
    </row>
    <row r="652" spans="1:14" ht="31.2" x14ac:dyDescent="0.3">
      <c r="A652" s="8" t="s">
        <v>1271</v>
      </c>
      <c r="B652" s="62" t="s">
        <v>913</v>
      </c>
      <c r="C652" s="68" t="s">
        <v>1374</v>
      </c>
      <c r="D652" s="68" t="s">
        <v>1372</v>
      </c>
      <c r="E652" s="64" t="s">
        <v>1176</v>
      </c>
      <c r="F652" s="64"/>
      <c r="G652" s="18" t="s">
        <v>1338</v>
      </c>
      <c r="H652" s="14">
        <f>H657+H653+H655</f>
        <v>3546087.1000000006</v>
      </c>
      <c r="I652" s="14">
        <f>I657+I653+I655</f>
        <v>3884915.07516</v>
      </c>
      <c r="J652" s="14">
        <f t="shared" ref="J652" si="315">J657+J653+J655</f>
        <v>3882637.52887</v>
      </c>
      <c r="K652" s="78">
        <f t="shared" si="313"/>
        <v>99.941374618339466</v>
      </c>
      <c r="L652" s="14">
        <f>L657+L653+L655</f>
        <v>0</v>
      </c>
      <c r="M652" s="50"/>
      <c r="N652" s="50"/>
    </row>
    <row r="653" spans="1:14" ht="78" hidden="1" x14ac:dyDescent="0.3">
      <c r="A653" s="8" t="s">
        <v>1271</v>
      </c>
      <c r="B653" s="62" t="s">
        <v>913</v>
      </c>
      <c r="C653" s="68" t="s">
        <v>1374</v>
      </c>
      <c r="D653" s="68" t="s">
        <v>1372</v>
      </c>
      <c r="E653" s="64" t="s">
        <v>1176</v>
      </c>
      <c r="F653" s="45" t="s">
        <v>431</v>
      </c>
      <c r="G653" s="23" t="s">
        <v>806</v>
      </c>
      <c r="H653" s="14">
        <f t="shared" ref="H653:L653" si="316">H654</f>
        <v>715.1</v>
      </c>
      <c r="I653" s="14">
        <f t="shared" si="316"/>
        <v>0</v>
      </c>
      <c r="J653" s="14">
        <f t="shared" si="316"/>
        <v>0</v>
      </c>
      <c r="K653" s="78" t="e">
        <f t="shared" si="313"/>
        <v>#DIV/0!</v>
      </c>
      <c r="L653" s="14">
        <f t="shared" si="316"/>
        <v>0</v>
      </c>
      <c r="M653" s="50">
        <v>111</v>
      </c>
      <c r="N653" s="50"/>
    </row>
    <row r="654" spans="1:14" ht="31.2" hidden="1" x14ac:dyDescent="0.3">
      <c r="A654" s="8" t="s">
        <v>1271</v>
      </c>
      <c r="B654" s="62" t="s">
        <v>913</v>
      </c>
      <c r="C654" s="68" t="s">
        <v>1374</v>
      </c>
      <c r="D654" s="68" t="s">
        <v>1372</v>
      </c>
      <c r="E654" s="64" t="s">
        <v>1176</v>
      </c>
      <c r="F654" s="45" t="s">
        <v>233</v>
      </c>
      <c r="G654" s="23" t="s">
        <v>808</v>
      </c>
      <c r="H654" s="14">
        <v>715.1</v>
      </c>
      <c r="I654" s="14">
        <v>0</v>
      </c>
      <c r="J654" s="19">
        <v>0</v>
      </c>
      <c r="K654" s="75" t="e">
        <f t="shared" si="313"/>
        <v>#DIV/0!</v>
      </c>
      <c r="L654" s="14"/>
      <c r="M654" s="50">
        <v>111</v>
      </c>
      <c r="N654" s="50"/>
    </row>
    <row r="655" spans="1:14" hidden="1" x14ac:dyDescent="0.3">
      <c r="A655" s="8" t="s">
        <v>1271</v>
      </c>
      <c r="B655" s="62" t="s">
        <v>913</v>
      </c>
      <c r="C655" s="68" t="s">
        <v>1374</v>
      </c>
      <c r="D655" s="68" t="s">
        <v>1372</v>
      </c>
      <c r="E655" s="64" t="s">
        <v>1176</v>
      </c>
      <c r="F655" s="8" t="s">
        <v>404</v>
      </c>
      <c r="G655" s="13" t="s">
        <v>811</v>
      </c>
      <c r="H655" s="14">
        <f t="shared" ref="H655:L655" si="317">H656</f>
        <v>3345.7</v>
      </c>
      <c r="I655" s="14">
        <f t="shared" si="317"/>
        <v>0</v>
      </c>
      <c r="J655" s="14">
        <f t="shared" si="317"/>
        <v>0</v>
      </c>
      <c r="K655" s="78" t="e">
        <f t="shared" si="313"/>
        <v>#DIV/0!</v>
      </c>
      <c r="L655" s="14">
        <f t="shared" si="317"/>
        <v>0</v>
      </c>
      <c r="M655" s="50">
        <v>111</v>
      </c>
      <c r="N655" s="50"/>
    </row>
    <row r="656" spans="1:14" ht="31.2" hidden="1" x14ac:dyDescent="0.3">
      <c r="A656" s="8" t="s">
        <v>1271</v>
      </c>
      <c r="B656" s="62" t="s">
        <v>913</v>
      </c>
      <c r="C656" s="68" t="s">
        <v>1374</v>
      </c>
      <c r="D656" s="68" t="s">
        <v>1372</v>
      </c>
      <c r="E656" s="64" t="s">
        <v>1176</v>
      </c>
      <c r="F656" s="64" t="s">
        <v>234</v>
      </c>
      <c r="G656" s="13" t="s">
        <v>813</v>
      </c>
      <c r="H656" s="14">
        <v>3345.7</v>
      </c>
      <c r="I656" s="14">
        <v>0</v>
      </c>
      <c r="J656" s="19">
        <v>0</v>
      </c>
      <c r="K656" s="75" t="e">
        <f t="shared" si="313"/>
        <v>#DIV/0!</v>
      </c>
      <c r="L656" s="14"/>
      <c r="M656" s="50">
        <v>111</v>
      </c>
      <c r="N656" s="50"/>
    </row>
    <row r="657" spans="1:14" ht="31.2" x14ac:dyDescent="0.3">
      <c r="A657" s="8" t="s">
        <v>1271</v>
      </c>
      <c r="B657" s="62" t="s">
        <v>913</v>
      </c>
      <c r="C657" s="68" t="s">
        <v>1374</v>
      </c>
      <c r="D657" s="68" t="s">
        <v>1372</v>
      </c>
      <c r="E657" s="64" t="s">
        <v>1176</v>
      </c>
      <c r="F657" s="45" t="s">
        <v>402</v>
      </c>
      <c r="G657" s="23" t="s">
        <v>819</v>
      </c>
      <c r="H657" s="14">
        <f>H658+H659</f>
        <v>3542026.3000000003</v>
      </c>
      <c r="I657" s="14">
        <f>I658+I659</f>
        <v>3884915.07516</v>
      </c>
      <c r="J657" s="14">
        <f t="shared" ref="J657" si="318">J658+J659</f>
        <v>3882637.52887</v>
      </c>
      <c r="K657" s="78">
        <f t="shared" si="313"/>
        <v>99.941374618339466</v>
      </c>
      <c r="L657" s="14">
        <f>L658+L659</f>
        <v>0</v>
      </c>
      <c r="M657" s="50"/>
      <c r="N657" s="50"/>
    </row>
    <row r="658" spans="1:14" x14ac:dyDescent="0.3">
      <c r="A658" s="8" t="s">
        <v>1271</v>
      </c>
      <c r="B658" s="62" t="s">
        <v>913</v>
      </c>
      <c r="C658" s="68" t="s">
        <v>1374</v>
      </c>
      <c r="D658" s="68" t="s">
        <v>1372</v>
      </c>
      <c r="E658" s="64" t="s">
        <v>1176</v>
      </c>
      <c r="F658" s="8" t="s">
        <v>726</v>
      </c>
      <c r="G658" s="13" t="s">
        <v>820</v>
      </c>
      <c r="H658" s="14">
        <v>220634.6</v>
      </c>
      <c r="I658" s="14">
        <v>111746.61053000001</v>
      </c>
      <c r="J658" s="14">
        <v>111626.25824</v>
      </c>
      <c r="K658" s="78">
        <f t="shared" si="313"/>
        <v>99.892298934679815</v>
      </c>
      <c r="L658" s="14"/>
      <c r="M658" s="50"/>
      <c r="N658" s="50"/>
    </row>
    <row r="659" spans="1:14" x14ac:dyDescent="0.3">
      <c r="A659" s="8" t="s">
        <v>1271</v>
      </c>
      <c r="B659" s="62" t="s">
        <v>913</v>
      </c>
      <c r="C659" s="68" t="s">
        <v>1374</v>
      </c>
      <c r="D659" s="68" t="s">
        <v>1372</v>
      </c>
      <c r="E659" s="64" t="s">
        <v>1176</v>
      </c>
      <c r="F659" s="64" t="s">
        <v>223</v>
      </c>
      <c r="G659" s="18" t="s">
        <v>829</v>
      </c>
      <c r="H659" s="14">
        <v>3321391.7</v>
      </c>
      <c r="I659" s="14">
        <v>3773168.4646299998</v>
      </c>
      <c r="J659" s="14">
        <v>3771011.2706300002</v>
      </c>
      <c r="K659" s="78">
        <f t="shared" si="313"/>
        <v>99.942828049682348</v>
      </c>
      <c r="L659" s="14"/>
      <c r="M659" s="50"/>
      <c r="N659" s="50"/>
    </row>
    <row r="660" spans="1:14" ht="218.4" x14ac:dyDescent="0.3">
      <c r="A660" s="8" t="s">
        <v>1271</v>
      </c>
      <c r="B660" s="62" t="s">
        <v>913</v>
      </c>
      <c r="C660" s="68" t="s">
        <v>1374</v>
      </c>
      <c r="D660" s="68" t="s">
        <v>1372</v>
      </c>
      <c r="E660" s="64" t="s">
        <v>905</v>
      </c>
      <c r="F660" s="64"/>
      <c r="G660" s="60" t="s">
        <v>764</v>
      </c>
      <c r="H660" s="14">
        <f t="shared" ref="H660:L661" si="319">H661</f>
        <v>1807.4549999999999</v>
      </c>
      <c r="I660" s="14">
        <f t="shared" si="319"/>
        <v>1807.4549999999999</v>
      </c>
      <c r="J660" s="14">
        <f t="shared" si="319"/>
        <v>1807.4549999999999</v>
      </c>
      <c r="K660" s="78">
        <f t="shared" si="313"/>
        <v>100</v>
      </c>
      <c r="L660" s="14">
        <f t="shared" si="319"/>
        <v>0</v>
      </c>
      <c r="M660" s="50"/>
      <c r="N660" s="50"/>
    </row>
    <row r="661" spans="1:14" ht="31.2" x14ac:dyDescent="0.3">
      <c r="A661" s="8" t="s">
        <v>1271</v>
      </c>
      <c r="B661" s="62" t="s">
        <v>913</v>
      </c>
      <c r="C661" s="68" t="s">
        <v>1374</v>
      </c>
      <c r="D661" s="68" t="s">
        <v>1372</v>
      </c>
      <c r="E661" s="64" t="s">
        <v>905</v>
      </c>
      <c r="F661" s="45" t="s">
        <v>402</v>
      </c>
      <c r="G661" s="23" t="s">
        <v>819</v>
      </c>
      <c r="H661" s="14">
        <f t="shared" si="319"/>
        <v>1807.4549999999999</v>
      </c>
      <c r="I661" s="14">
        <f t="shared" si="319"/>
        <v>1807.4549999999999</v>
      </c>
      <c r="J661" s="14">
        <f t="shared" si="319"/>
        <v>1807.4549999999999</v>
      </c>
      <c r="K661" s="78">
        <f t="shared" si="313"/>
        <v>100</v>
      </c>
      <c r="L661" s="14">
        <f t="shared" si="319"/>
        <v>0</v>
      </c>
      <c r="M661" s="50"/>
      <c r="N661" s="50"/>
    </row>
    <row r="662" spans="1:14" x14ac:dyDescent="0.3">
      <c r="A662" s="8" t="s">
        <v>1271</v>
      </c>
      <c r="B662" s="62" t="s">
        <v>913</v>
      </c>
      <c r="C662" s="68" t="s">
        <v>1374</v>
      </c>
      <c r="D662" s="68" t="s">
        <v>1372</v>
      </c>
      <c r="E662" s="64" t="s">
        <v>905</v>
      </c>
      <c r="F662" s="64" t="s">
        <v>223</v>
      </c>
      <c r="G662" s="18" t="s">
        <v>829</v>
      </c>
      <c r="H662" s="14">
        <v>1807.4549999999999</v>
      </c>
      <c r="I662" s="14">
        <v>1807.4549999999999</v>
      </c>
      <c r="J662" s="14">
        <v>1807.4549999999999</v>
      </c>
      <c r="K662" s="78">
        <f t="shared" si="313"/>
        <v>100</v>
      </c>
      <c r="L662" s="14"/>
      <c r="M662" s="50"/>
      <c r="N662" s="50"/>
    </row>
    <row r="663" spans="1:14" ht="31.2" x14ac:dyDescent="0.3">
      <c r="A663" s="8" t="s">
        <v>1271</v>
      </c>
      <c r="B663" s="62" t="s">
        <v>913</v>
      </c>
      <c r="C663" s="68" t="s">
        <v>1374</v>
      </c>
      <c r="D663" s="68" t="s">
        <v>1372</v>
      </c>
      <c r="E663" s="64" t="s">
        <v>465</v>
      </c>
      <c r="F663" s="64"/>
      <c r="G663" s="18" t="s">
        <v>1119</v>
      </c>
      <c r="H663" s="14">
        <f t="shared" ref="H663:L666" si="320">H664</f>
        <v>48793.3</v>
      </c>
      <c r="I663" s="14">
        <f t="shared" si="320"/>
        <v>53459.959589999999</v>
      </c>
      <c r="J663" s="14">
        <f t="shared" si="320"/>
        <v>52195.392030000003</v>
      </c>
      <c r="K663" s="78">
        <f t="shared" si="313"/>
        <v>97.634551971796597</v>
      </c>
      <c r="L663" s="14">
        <f t="shared" si="320"/>
        <v>0</v>
      </c>
      <c r="M663" s="50"/>
      <c r="N663" s="50"/>
    </row>
    <row r="664" spans="1:14" ht="46.8" x14ac:dyDescent="0.3">
      <c r="A664" s="8" t="s">
        <v>1271</v>
      </c>
      <c r="B664" s="62" t="s">
        <v>913</v>
      </c>
      <c r="C664" s="68" t="s">
        <v>1374</v>
      </c>
      <c r="D664" s="68" t="s">
        <v>1372</v>
      </c>
      <c r="E664" s="64" t="s">
        <v>471</v>
      </c>
      <c r="F664" s="64"/>
      <c r="G664" s="18" t="s">
        <v>1122</v>
      </c>
      <c r="H664" s="14">
        <f>H665</f>
        <v>48793.3</v>
      </c>
      <c r="I664" s="14">
        <f>I665</f>
        <v>53459.959589999999</v>
      </c>
      <c r="J664" s="14">
        <f t="shared" si="320"/>
        <v>52195.392030000003</v>
      </c>
      <c r="K664" s="78">
        <f t="shared" si="313"/>
        <v>97.634551971796597</v>
      </c>
      <c r="L664" s="14">
        <f t="shared" si="320"/>
        <v>0</v>
      </c>
      <c r="M664" s="50"/>
      <c r="N664" s="50"/>
    </row>
    <row r="665" spans="1:14" ht="31.2" x14ac:dyDescent="0.3">
      <c r="A665" s="8" t="s">
        <v>1271</v>
      </c>
      <c r="B665" s="62" t="s">
        <v>913</v>
      </c>
      <c r="C665" s="68" t="s">
        <v>1374</v>
      </c>
      <c r="D665" s="68" t="s">
        <v>1372</v>
      </c>
      <c r="E665" s="64" t="s">
        <v>235</v>
      </c>
      <c r="F665" s="64"/>
      <c r="G665" s="18" t="s">
        <v>1338</v>
      </c>
      <c r="H665" s="14">
        <f t="shared" si="320"/>
        <v>48793.3</v>
      </c>
      <c r="I665" s="14">
        <f t="shared" si="320"/>
        <v>53459.959589999999</v>
      </c>
      <c r="J665" s="14">
        <f t="shared" si="320"/>
        <v>52195.392030000003</v>
      </c>
      <c r="K665" s="78">
        <f t="shared" si="313"/>
        <v>97.634551971796597</v>
      </c>
      <c r="L665" s="14">
        <f t="shared" si="320"/>
        <v>0</v>
      </c>
      <c r="M665" s="50"/>
      <c r="N665" s="50"/>
    </row>
    <row r="666" spans="1:14" ht="31.2" x14ac:dyDescent="0.3">
      <c r="A666" s="8" t="s">
        <v>1271</v>
      </c>
      <c r="B666" s="62" t="s">
        <v>913</v>
      </c>
      <c r="C666" s="68" t="s">
        <v>1374</v>
      </c>
      <c r="D666" s="68" t="s">
        <v>1372</v>
      </c>
      <c r="E666" s="64" t="s">
        <v>235</v>
      </c>
      <c r="F666" s="45" t="s">
        <v>402</v>
      </c>
      <c r="G666" s="23" t="s">
        <v>819</v>
      </c>
      <c r="H666" s="14">
        <f t="shared" si="320"/>
        <v>48793.3</v>
      </c>
      <c r="I666" s="14">
        <f t="shared" si="320"/>
        <v>53459.959589999999</v>
      </c>
      <c r="J666" s="14">
        <f t="shared" si="320"/>
        <v>52195.392030000003</v>
      </c>
      <c r="K666" s="78">
        <f t="shared" si="313"/>
        <v>97.634551971796597</v>
      </c>
      <c r="L666" s="14">
        <f t="shared" si="320"/>
        <v>0</v>
      </c>
      <c r="M666" s="50"/>
      <c r="N666" s="50"/>
    </row>
    <row r="667" spans="1:14" ht="16.5" customHeight="1" x14ac:dyDescent="0.3">
      <c r="A667" s="8" t="s">
        <v>1271</v>
      </c>
      <c r="B667" s="62" t="s">
        <v>913</v>
      </c>
      <c r="C667" s="68" t="s">
        <v>1374</v>
      </c>
      <c r="D667" s="68" t="s">
        <v>1372</v>
      </c>
      <c r="E667" s="64" t="s">
        <v>235</v>
      </c>
      <c r="F667" s="64" t="s">
        <v>223</v>
      </c>
      <c r="G667" s="18" t="s">
        <v>829</v>
      </c>
      <c r="H667" s="14">
        <v>48793.3</v>
      </c>
      <c r="I667" s="14">
        <v>53459.959589999999</v>
      </c>
      <c r="J667" s="14">
        <v>52195.392030000003</v>
      </c>
      <c r="K667" s="78">
        <f t="shared" si="313"/>
        <v>97.634551971796597</v>
      </c>
      <c r="L667" s="14"/>
      <c r="M667" s="50"/>
      <c r="N667" s="50"/>
    </row>
    <row r="668" spans="1:14" ht="31.2" x14ac:dyDescent="0.3">
      <c r="A668" s="8" t="s">
        <v>1271</v>
      </c>
      <c r="B668" s="62" t="s">
        <v>913</v>
      </c>
      <c r="C668" s="68" t="s">
        <v>1374</v>
      </c>
      <c r="D668" s="68" t="s">
        <v>1372</v>
      </c>
      <c r="E668" s="64" t="s">
        <v>454</v>
      </c>
      <c r="F668" s="64"/>
      <c r="G668" s="18" t="s">
        <v>1133</v>
      </c>
      <c r="H668" s="14">
        <f t="shared" ref="H668:L671" si="321">H669</f>
        <v>39143.1</v>
      </c>
      <c r="I668" s="14">
        <f t="shared" si="321"/>
        <v>39143.1</v>
      </c>
      <c r="J668" s="14">
        <f t="shared" si="321"/>
        <v>38931.546739999998</v>
      </c>
      <c r="K668" s="78">
        <f t="shared" si="313"/>
        <v>99.459538820379578</v>
      </c>
      <c r="L668" s="14">
        <f t="shared" si="321"/>
        <v>0</v>
      </c>
      <c r="M668" s="50"/>
      <c r="N668" s="50"/>
    </row>
    <row r="669" spans="1:14" ht="46.8" x14ac:dyDescent="0.3">
      <c r="A669" s="8" t="s">
        <v>1271</v>
      </c>
      <c r="B669" s="62" t="s">
        <v>913</v>
      </c>
      <c r="C669" s="68" t="s">
        <v>1374</v>
      </c>
      <c r="D669" s="68" t="s">
        <v>1372</v>
      </c>
      <c r="E669" s="64" t="s">
        <v>455</v>
      </c>
      <c r="F669" s="64"/>
      <c r="G669" s="18" t="s">
        <v>1134</v>
      </c>
      <c r="H669" s="14">
        <f t="shared" si="321"/>
        <v>39143.1</v>
      </c>
      <c r="I669" s="14">
        <f t="shared" si="321"/>
        <v>39143.1</v>
      </c>
      <c r="J669" s="14">
        <f t="shared" si="321"/>
        <v>38931.546739999998</v>
      </c>
      <c r="K669" s="78">
        <f t="shared" si="313"/>
        <v>99.459538820379578</v>
      </c>
      <c r="L669" s="14">
        <f t="shared" si="321"/>
        <v>0</v>
      </c>
      <c r="M669" s="50"/>
      <c r="N669" s="50"/>
    </row>
    <row r="670" spans="1:14" ht="46.8" x14ac:dyDescent="0.3">
      <c r="A670" s="8" t="s">
        <v>1271</v>
      </c>
      <c r="B670" s="62" t="s">
        <v>913</v>
      </c>
      <c r="C670" s="68" t="s">
        <v>1374</v>
      </c>
      <c r="D670" s="68" t="s">
        <v>1372</v>
      </c>
      <c r="E670" s="64" t="s">
        <v>456</v>
      </c>
      <c r="F670" s="64"/>
      <c r="G670" s="18" t="s">
        <v>45</v>
      </c>
      <c r="H670" s="14">
        <f>H671+H673</f>
        <v>39143.1</v>
      </c>
      <c r="I670" s="14">
        <f>I671+I673</f>
        <v>39143.1</v>
      </c>
      <c r="J670" s="14">
        <f t="shared" ref="J670" si="322">J671+J673</f>
        <v>38931.546739999998</v>
      </c>
      <c r="K670" s="78">
        <f t="shared" si="313"/>
        <v>99.459538820379578</v>
      </c>
      <c r="L670" s="14">
        <f>L671+L673</f>
        <v>0</v>
      </c>
      <c r="M670" s="50"/>
      <c r="N670" s="50"/>
    </row>
    <row r="671" spans="1:14" ht="31.2" x14ac:dyDescent="0.3">
      <c r="A671" s="8" t="s">
        <v>1271</v>
      </c>
      <c r="B671" s="62" t="s">
        <v>913</v>
      </c>
      <c r="C671" s="68" t="s">
        <v>1374</v>
      </c>
      <c r="D671" s="68" t="s">
        <v>1372</v>
      </c>
      <c r="E671" s="64" t="s">
        <v>456</v>
      </c>
      <c r="F671" s="45" t="s">
        <v>402</v>
      </c>
      <c r="G671" s="23" t="s">
        <v>819</v>
      </c>
      <c r="H671" s="14">
        <f t="shared" si="321"/>
        <v>5044.2</v>
      </c>
      <c r="I671" s="14">
        <f t="shared" si="321"/>
        <v>31385.889749999998</v>
      </c>
      <c r="J671" s="14">
        <f t="shared" si="321"/>
        <v>31178.422579999999</v>
      </c>
      <c r="K671" s="78">
        <f t="shared" si="313"/>
        <v>99.338979485200028</v>
      </c>
      <c r="L671" s="14">
        <f t="shared" si="321"/>
        <v>0</v>
      </c>
      <c r="M671" s="50"/>
      <c r="N671" s="50"/>
    </row>
    <row r="672" spans="1:14" ht="46.8" x14ac:dyDescent="0.3">
      <c r="A672" s="8" t="s">
        <v>1271</v>
      </c>
      <c r="B672" s="62" t="s">
        <v>913</v>
      </c>
      <c r="C672" s="68" t="s">
        <v>1374</v>
      </c>
      <c r="D672" s="68" t="s">
        <v>1372</v>
      </c>
      <c r="E672" s="64" t="s">
        <v>456</v>
      </c>
      <c r="F672" s="45" t="s">
        <v>280</v>
      </c>
      <c r="G672" s="23" t="s">
        <v>821</v>
      </c>
      <c r="H672" s="14">
        <v>5044.2</v>
      </c>
      <c r="I672" s="14">
        <v>31385.889749999998</v>
      </c>
      <c r="J672" s="14">
        <v>31178.422579999999</v>
      </c>
      <c r="K672" s="78">
        <f t="shared" si="313"/>
        <v>99.338979485200028</v>
      </c>
      <c r="L672" s="14"/>
      <c r="M672" s="50"/>
      <c r="N672" s="50"/>
    </row>
    <row r="673" spans="1:14" x14ac:dyDescent="0.3">
      <c r="A673" s="8" t="s">
        <v>1271</v>
      </c>
      <c r="B673" s="62" t="s">
        <v>913</v>
      </c>
      <c r="C673" s="68" t="s">
        <v>1374</v>
      </c>
      <c r="D673" s="68" t="s">
        <v>1372</v>
      </c>
      <c r="E673" s="64" t="s">
        <v>456</v>
      </c>
      <c r="F673" s="45" t="s">
        <v>464</v>
      </c>
      <c r="G673" s="23" t="s">
        <v>822</v>
      </c>
      <c r="H673" s="14">
        <f t="shared" ref="H673:L673" si="323">H674</f>
        <v>34098.9</v>
      </c>
      <c r="I673" s="14">
        <f t="shared" si="323"/>
        <v>7757.2102500000001</v>
      </c>
      <c r="J673" s="14">
        <f t="shared" si="323"/>
        <v>7753.1241600000003</v>
      </c>
      <c r="K673" s="78">
        <f t="shared" si="313"/>
        <v>99.947325264259788</v>
      </c>
      <c r="L673" s="14">
        <f t="shared" si="323"/>
        <v>0</v>
      </c>
      <c r="M673" s="50"/>
      <c r="N673" s="50"/>
    </row>
    <row r="674" spans="1:14" ht="62.4" x14ac:dyDescent="0.3">
      <c r="A674" s="8" t="s">
        <v>1271</v>
      </c>
      <c r="B674" s="62" t="s">
        <v>913</v>
      </c>
      <c r="C674" s="68" t="s">
        <v>1374</v>
      </c>
      <c r="D674" s="68" t="s">
        <v>1372</v>
      </c>
      <c r="E674" s="64" t="s">
        <v>456</v>
      </c>
      <c r="F674" s="45" t="s">
        <v>727</v>
      </c>
      <c r="G674" s="18" t="s">
        <v>830</v>
      </c>
      <c r="H674" s="14">
        <v>34098.9</v>
      </c>
      <c r="I674" s="14">
        <v>7757.2102500000001</v>
      </c>
      <c r="J674" s="14">
        <v>7753.1241600000003</v>
      </c>
      <c r="K674" s="78">
        <f t="shared" si="313"/>
        <v>99.947325264259788</v>
      </c>
      <c r="L674" s="14"/>
      <c r="M674" s="50"/>
      <c r="N674" s="50"/>
    </row>
    <row r="675" spans="1:14" ht="31.2" x14ac:dyDescent="0.3">
      <c r="A675" s="8" t="s">
        <v>1271</v>
      </c>
      <c r="B675" s="62" t="s">
        <v>913</v>
      </c>
      <c r="C675" s="68" t="s">
        <v>1374</v>
      </c>
      <c r="D675" s="68" t="s">
        <v>1372</v>
      </c>
      <c r="E675" s="64" t="s">
        <v>457</v>
      </c>
      <c r="F675" s="64"/>
      <c r="G675" s="18" t="s">
        <v>140</v>
      </c>
      <c r="H675" s="14">
        <f t="shared" ref="H675:L678" si="324">H676</f>
        <v>211229.25599999999</v>
      </c>
      <c r="I675" s="14">
        <f t="shared" si="324"/>
        <v>211229.25599999999</v>
      </c>
      <c r="J675" s="14">
        <f t="shared" si="324"/>
        <v>211229.25562000001</v>
      </c>
      <c r="K675" s="78">
        <f t="shared" si="313"/>
        <v>99.999999820100683</v>
      </c>
      <c r="L675" s="14">
        <f t="shared" si="324"/>
        <v>0</v>
      </c>
      <c r="M675" s="50"/>
      <c r="N675" s="50"/>
    </row>
    <row r="676" spans="1:14" ht="46.8" x14ac:dyDescent="0.3">
      <c r="A676" s="8" t="s">
        <v>1271</v>
      </c>
      <c r="B676" s="62" t="s">
        <v>913</v>
      </c>
      <c r="C676" s="68" t="s">
        <v>1374</v>
      </c>
      <c r="D676" s="68" t="s">
        <v>1372</v>
      </c>
      <c r="E676" s="64" t="s">
        <v>458</v>
      </c>
      <c r="F676" s="64"/>
      <c r="G676" s="18" t="s">
        <v>1213</v>
      </c>
      <c r="H676" s="14">
        <f>H677+H680+H684</f>
        <v>211229.25599999999</v>
      </c>
      <c r="I676" s="14">
        <f>I677+I680+I684</f>
        <v>211229.25599999999</v>
      </c>
      <c r="J676" s="14">
        <f t="shared" ref="J676" si="325">J677+J680+J684</f>
        <v>211229.25562000001</v>
      </c>
      <c r="K676" s="78">
        <f t="shared" si="313"/>
        <v>99.999999820100683</v>
      </c>
      <c r="L676" s="14">
        <f>L677+L680+L684</f>
        <v>0</v>
      </c>
      <c r="M676" s="50"/>
      <c r="N676" s="50"/>
    </row>
    <row r="677" spans="1:14" ht="62.4" x14ac:dyDescent="0.3">
      <c r="A677" s="8" t="s">
        <v>1271</v>
      </c>
      <c r="B677" s="62" t="s">
        <v>913</v>
      </c>
      <c r="C677" s="68" t="s">
        <v>1374</v>
      </c>
      <c r="D677" s="68" t="s">
        <v>1372</v>
      </c>
      <c r="E677" s="64" t="s">
        <v>459</v>
      </c>
      <c r="F677" s="64"/>
      <c r="G677" s="18" t="s">
        <v>1135</v>
      </c>
      <c r="H677" s="14">
        <f t="shared" si="324"/>
        <v>107830.26000000001</v>
      </c>
      <c r="I677" s="14">
        <f t="shared" si="324"/>
        <v>107830.26</v>
      </c>
      <c r="J677" s="14">
        <f t="shared" si="324"/>
        <v>107830.26</v>
      </c>
      <c r="K677" s="78">
        <f t="shared" si="313"/>
        <v>100</v>
      </c>
      <c r="L677" s="14">
        <f t="shared" si="324"/>
        <v>0</v>
      </c>
      <c r="M677" s="50"/>
      <c r="N677" s="50"/>
    </row>
    <row r="678" spans="1:14" ht="31.2" x14ac:dyDescent="0.3">
      <c r="A678" s="8" t="s">
        <v>1271</v>
      </c>
      <c r="B678" s="62" t="s">
        <v>913</v>
      </c>
      <c r="C678" s="68" t="s">
        <v>1374</v>
      </c>
      <c r="D678" s="68" t="s">
        <v>1372</v>
      </c>
      <c r="E678" s="64" t="s">
        <v>459</v>
      </c>
      <c r="F678" s="45" t="s">
        <v>402</v>
      </c>
      <c r="G678" s="23" t="s">
        <v>819</v>
      </c>
      <c r="H678" s="14">
        <f t="shared" si="324"/>
        <v>107830.26000000001</v>
      </c>
      <c r="I678" s="14">
        <f t="shared" si="324"/>
        <v>107830.26</v>
      </c>
      <c r="J678" s="14">
        <f t="shared" si="324"/>
        <v>107830.26</v>
      </c>
      <c r="K678" s="78">
        <f t="shared" si="313"/>
        <v>100</v>
      </c>
      <c r="L678" s="14">
        <f t="shared" si="324"/>
        <v>0</v>
      </c>
      <c r="M678" s="50"/>
      <c r="N678" s="50"/>
    </row>
    <row r="679" spans="1:14" x14ac:dyDescent="0.3">
      <c r="A679" s="8" t="s">
        <v>1271</v>
      </c>
      <c r="B679" s="62" t="s">
        <v>913</v>
      </c>
      <c r="C679" s="68" t="s">
        <v>1374</v>
      </c>
      <c r="D679" s="68" t="s">
        <v>1372</v>
      </c>
      <c r="E679" s="64" t="s">
        <v>459</v>
      </c>
      <c r="F679" s="64" t="s">
        <v>223</v>
      </c>
      <c r="G679" s="18" t="s">
        <v>829</v>
      </c>
      <c r="H679" s="14">
        <f>16027.918+43291.542+48510.8</f>
        <v>107830.26000000001</v>
      </c>
      <c r="I679" s="14">
        <v>107830.26</v>
      </c>
      <c r="J679" s="19">
        <v>107830.26</v>
      </c>
      <c r="K679" s="75">
        <f t="shared" si="313"/>
        <v>100</v>
      </c>
      <c r="L679" s="14"/>
      <c r="M679" s="50"/>
      <c r="N679" s="50"/>
    </row>
    <row r="680" spans="1:14" ht="62.4" x14ac:dyDescent="0.3">
      <c r="A680" s="8" t="s">
        <v>1271</v>
      </c>
      <c r="B680" s="62" t="s">
        <v>913</v>
      </c>
      <c r="C680" s="68" t="s">
        <v>1374</v>
      </c>
      <c r="D680" s="68" t="s">
        <v>1372</v>
      </c>
      <c r="E680" s="64" t="s">
        <v>460</v>
      </c>
      <c r="F680" s="64"/>
      <c r="G680" s="18" t="s">
        <v>1136</v>
      </c>
      <c r="H680" s="14">
        <f t="shared" ref="H680:L680" si="326">H681</f>
        <v>78436.934999999998</v>
      </c>
      <c r="I680" s="14">
        <f t="shared" si="326"/>
        <v>78436.934999999998</v>
      </c>
      <c r="J680" s="14">
        <f t="shared" si="326"/>
        <v>78436.93462</v>
      </c>
      <c r="K680" s="78">
        <f t="shared" si="313"/>
        <v>99.99999951553437</v>
      </c>
      <c r="L680" s="14">
        <f t="shared" si="326"/>
        <v>0</v>
      </c>
      <c r="M680" s="50"/>
      <c r="N680" s="50"/>
    </row>
    <row r="681" spans="1:14" ht="31.2" x14ac:dyDescent="0.3">
      <c r="A681" s="8" t="s">
        <v>1271</v>
      </c>
      <c r="B681" s="62" t="s">
        <v>913</v>
      </c>
      <c r="C681" s="68" t="s">
        <v>1374</v>
      </c>
      <c r="D681" s="68" t="s">
        <v>1372</v>
      </c>
      <c r="E681" s="64" t="s">
        <v>460</v>
      </c>
      <c r="F681" s="45" t="s">
        <v>402</v>
      </c>
      <c r="G681" s="23" t="s">
        <v>819</v>
      </c>
      <c r="H681" s="14">
        <f>H682+H683</f>
        <v>78436.934999999998</v>
      </c>
      <c r="I681" s="14">
        <f>I682+I683</f>
        <v>78436.934999999998</v>
      </c>
      <c r="J681" s="14">
        <f t="shared" ref="J681" si="327">J682+J683</f>
        <v>78436.93462</v>
      </c>
      <c r="K681" s="78">
        <f t="shared" si="313"/>
        <v>99.99999951553437</v>
      </c>
      <c r="L681" s="14">
        <f>L682+L683</f>
        <v>0</v>
      </c>
      <c r="M681" s="50"/>
      <c r="N681" s="50"/>
    </row>
    <row r="682" spans="1:14" hidden="1" x14ac:dyDescent="0.3">
      <c r="A682" s="8" t="s">
        <v>1271</v>
      </c>
      <c r="B682" s="62" t="s">
        <v>913</v>
      </c>
      <c r="C682" s="68" t="s">
        <v>1374</v>
      </c>
      <c r="D682" s="68" t="s">
        <v>1372</v>
      </c>
      <c r="E682" s="64" t="s">
        <v>460</v>
      </c>
      <c r="F682" s="8" t="s">
        <v>726</v>
      </c>
      <c r="G682" s="13" t="s">
        <v>820</v>
      </c>
      <c r="H682" s="14">
        <v>0</v>
      </c>
      <c r="I682" s="14">
        <v>0</v>
      </c>
      <c r="J682" s="14">
        <v>0</v>
      </c>
      <c r="K682" s="78" t="e">
        <f t="shared" si="313"/>
        <v>#DIV/0!</v>
      </c>
      <c r="L682" s="14"/>
      <c r="M682" s="50">
        <v>111</v>
      </c>
      <c r="N682" s="50"/>
    </row>
    <row r="683" spans="1:14" x14ac:dyDescent="0.3">
      <c r="A683" s="8" t="s">
        <v>1271</v>
      </c>
      <c r="B683" s="62" t="s">
        <v>913</v>
      </c>
      <c r="C683" s="68" t="s">
        <v>1374</v>
      </c>
      <c r="D683" s="68" t="s">
        <v>1372</v>
      </c>
      <c r="E683" s="64" t="s">
        <v>460</v>
      </c>
      <c r="F683" s="64" t="s">
        <v>223</v>
      </c>
      <c r="G683" s="18" t="s">
        <v>829</v>
      </c>
      <c r="H683" s="14">
        <f>55715.5+6208.506+11983.01+4379.919+150</f>
        <v>78436.934999999998</v>
      </c>
      <c r="I683" s="14">
        <v>78436.934999999998</v>
      </c>
      <c r="J683" s="14">
        <v>78436.93462</v>
      </c>
      <c r="K683" s="78">
        <f t="shared" si="313"/>
        <v>99.99999951553437</v>
      </c>
      <c r="L683" s="14"/>
      <c r="M683" s="50"/>
      <c r="N683" s="50"/>
    </row>
    <row r="684" spans="1:14" ht="62.4" x14ac:dyDescent="0.3">
      <c r="A684" s="8" t="s">
        <v>1271</v>
      </c>
      <c r="B684" s="62" t="s">
        <v>913</v>
      </c>
      <c r="C684" s="68" t="s">
        <v>1374</v>
      </c>
      <c r="D684" s="68" t="s">
        <v>1372</v>
      </c>
      <c r="E684" s="64" t="s">
        <v>1363</v>
      </c>
      <c r="F684" s="45"/>
      <c r="G684" s="32" t="s">
        <v>733</v>
      </c>
      <c r="H684" s="14">
        <f t="shared" ref="H684:L685" si="328">H685</f>
        <v>24962.061000000002</v>
      </c>
      <c r="I684" s="14">
        <f t="shared" si="328"/>
        <v>24962.061000000002</v>
      </c>
      <c r="J684" s="14">
        <f t="shared" si="328"/>
        <v>24962.061000000002</v>
      </c>
      <c r="K684" s="78">
        <f t="shared" si="313"/>
        <v>100</v>
      </c>
      <c r="L684" s="14">
        <f t="shared" si="328"/>
        <v>0</v>
      </c>
      <c r="M684" s="50"/>
      <c r="N684" s="50"/>
    </row>
    <row r="685" spans="1:14" ht="31.2" x14ac:dyDescent="0.3">
      <c r="A685" s="8" t="s">
        <v>1271</v>
      </c>
      <c r="B685" s="62" t="s">
        <v>913</v>
      </c>
      <c r="C685" s="68" t="s">
        <v>1374</v>
      </c>
      <c r="D685" s="68" t="s">
        <v>1372</v>
      </c>
      <c r="E685" s="64" t="s">
        <v>1363</v>
      </c>
      <c r="F685" s="45" t="s">
        <v>402</v>
      </c>
      <c r="G685" s="23" t="s">
        <v>819</v>
      </c>
      <c r="H685" s="14">
        <f t="shared" si="328"/>
        <v>24962.061000000002</v>
      </c>
      <c r="I685" s="14">
        <f t="shared" si="328"/>
        <v>24962.061000000002</v>
      </c>
      <c r="J685" s="14">
        <f t="shared" si="328"/>
        <v>24962.061000000002</v>
      </c>
      <c r="K685" s="78">
        <f t="shared" si="313"/>
        <v>100</v>
      </c>
      <c r="L685" s="14">
        <f t="shared" si="328"/>
        <v>0</v>
      </c>
      <c r="M685" s="50"/>
      <c r="N685" s="50"/>
    </row>
    <row r="686" spans="1:14" x14ac:dyDescent="0.3">
      <c r="A686" s="8" t="s">
        <v>1271</v>
      </c>
      <c r="B686" s="62" t="s">
        <v>913</v>
      </c>
      <c r="C686" s="68" t="s">
        <v>1374</v>
      </c>
      <c r="D686" s="68" t="s">
        <v>1372</v>
      </c>
      <c r="E686" s="64" t="s">
        <v>1363</v>
      </c>
      <c r="F686" s="64" t="s">
        <v>223</v>
      </c>
      <c r="G686" s="18" t="s">
        <v>829</v>
      </c>
      <c r="H686" s="14">
        <f>12930.8+7398.6+4632.661</f>
        <v>24962.061000000002</v>
      </c>
      <c r="I686" s="14">
        <v>24962.061000000002</v>
      </c>
      <c r="J686" s="14">
        <v>24962.061000000002</v>
      </c>
      <c r="K686" s="78">
        <f t="shared" si="313"/>
        <v>100</v>
      </c>
      <c r="L686" s="14"/>
      <c r="M686" s="50"/>
      <c r="N686" s="50"/>
    </row>
    <row r="687" spans="1:14" ht="31.2" x14ac:dyDescent="0.3">
      <c r="A687" s="8" t="s">
        <v>1271</v>
      </c>
      <c r="B687" s="62" t="s">
        <v>913</v>
      </c>
      <c r="C687" s="68" t="s">
        <v>1374</v>
      </c>
      <c r="D687" s="68" t="s">
        <v>1372</v>
      </c>
      <c r="E687" s="64" t="s">
        <v>461</v>
      </c>
      <c r="F687" s="64"/>
      <c r="G687" s="23" t="s">
        <v>1137</v>
      </c>
      <c r="H687" s="14">
        <f t="shared" ref="H687:L688" si="329">H688</f>
        <v>6760</v>
      </c>
      <c r="I687" s="14">
        <f t="shared" si="329"/>
        <v>6760</v>
      </c>
      <c r="J687" s="14">
        <f t="shared" si="329"/>
        <v>6760</v>
      </c>
      <c r="K687" s="78">
        <f t="shared" si="313"/>
        <v>100</v>
      </c>
      <c r="L687" s="14">
        <f t="shared" si="329"/>
        <v>0</v>
      </c>
      <c r="M687" s="50"/>
      <c r="N687" s="50"/>
    </row>
    <row r="688" spans="1:14" ht="31.2" x14ac:dyDescent="0.3">
      <c r="A688" s="8" t="s">
        <v>1271</v>
      </c>
      <c r="B688" s="62" t="s">
        <v>913</v>
      </c>
      <c r="C688" s="68" t="s">
        <v>1374</v>
      </c>
      <c r="D688" s="68" t="s">
        <v>1372</v>
      </c>
      <c r="E688" s="64" t="s">
        <v>462</v>
      </c>
      <c r="F688" s="64"/>
      <c r="G688" s="23" t="s">
        <v>1216</v>
      </c>
      <c r="H688" s="14">
        <f t="shared" si="329"/>
        <v>6760</v>
      </c>
      <c r="I688" s="14">
        <f t="shared" si="329"/>
        <v>6760</v>
      </c>
      <c r="J688" s="14">
        <f t="shared" si="329"/>
        <v>6760</v>
      </c>
      <c r="K688" s="78">
        <f t="shared" si="313"/>
        <v>100</v>
      </c>
      <c r="L688" s="14">
        <f t="shared" si="329"/>
        <v>0</v>
      </c>
      <c r="M688" s="50"/>
      <c r="N688" s="50"/>
    </row>
    <row r="689" spans="1:14" ht="62.4" x14ac:dyDescent="0.3">
      <c r="A689" s="8" t="s">
        <v>1271</v>
      </c>
      <c r="B689" s="62" t="s">
        <v>913</v>
      </c>
      <c r="C689" s="68" t="s">
        <v>1374</v>
      </c>
      <c r="D689" s="68" t="s">
        <v>1372</v>
      </c>
      <c r="E689" s="64" t="s">
        <v>463</v>
      </c>
      <c r="F689" s="64"/>
      <c r="G689" s="18" t="s">
        <v>49</v>
      </c>
      <c r="H689" s="14">
        <f>H692+H690</f>
        <v>6760</v>
      </c>
      <c r="I689" s="14">
        <f>I692+I690</f>
        <v>6760</v>
      </c>
      <c r="J689" s="14">
        <f t="shared" ref="J689" si="330">J692+J690</f>
        <v>6760</v>
      </c>
      <c r="K689" s="78">
        <f t="shared" si="313"/>
        <v>100</v>
      </c>
      <c r="L689" s="14">
        <f>L692+L690</f>
        <v>0</v>
      </c>
      <c r="M689" s="50"/>
      <c r="N689" s="50"/>
    </row>
    <row r="690" spans="1:14" ht="31.2" x14ac:dyDescent="0.3">
      <c r="A690" s="8" t="s">
        <v>1271</v>
      </c>
      <c r="B690" s="62" t="s">
        <v>913</v>
      </c>
      <c r="C690" s="68" t="s">
        <v>1374</v>
      </c>
      <c r="D690" s="68" t="s">
        <v>1372</v>
      </c>
      <c r="E690" s="64" t="s">
        <v>463</v>
      </c>
      <c r="F690" s="45" t="s">
        <v>402</v>
      </c>
      <c r="G690" s="23" t="s">
        <v>819</v>
      </c>
      <c r="H690" s="14">
        <f t="shared" ref="H690:L690" si="331">H691</f>
        <v>3962.4</v>
      </c>
      <c r="I690" s="14">
        <f t="shared" si="331"/>
        <v>1860.4768999999999</v>
      </c>
      <c r="J690" s="14">
        <f t="shared" si="331"/>
        <v>1860.4768999999999</v>
      </c>
      <c r="K690" s="78">
        <f t="shared" si="313"/>
        <v>100</v>
      </c>
      <c r="L690" s="14">
        <f t="shared" si="331"/>
        <v>0</v>
      </c>
      <c r="M690" s="50"/>
      <c r="N690" s="50"/>
    </row>
    <row r="691" spans="1:14" ht="46.8" x14ac:dyDescent="0.3">
      <c r="A691" s="8" t="s">
        <v>1271</v>
      </c>
      <c r="B691" s="62" t="s">
        <v>913</v>
      </c>
      <c r="C691" s="68" t="s">
        <v>1374</v>
      </c>
      <c r="D691" s="68" t="s">
        <v>1372</v>
      </c>
      <c r="E691" s="64" t="s">
        <v>463</v>
      </c>
      <c r="F691" s="45" t="s">
        <v>280</v>
      </c>
      <c r="G691" s="23" t="s">
        <v>821</v>
      </c>
      <c r="H691" s="14">
        <v>3962.4</v>
      </c>
      <c r="I691" s="14">
        <v>1860.4768999999999</v>
      </c>
      <c r="J691" s="14">
        <v>1860.4768999999999</v>
      </c>
      <c r="K691" s="78">
        <f t="shared" si="313"/>
        <v>100</v>
      </c>
      <c r="L691" s="14"/>
      <c r="M691" s="50"/>
      <c r="N691" s="50"/>
    </row>
    <row r="692" spans="1:14" x14ac:dyDescent="0.3">
      <c r="A692" s="8" t="s">
        <v>1271</v>
      </c>
      <c r="B692" s="62" t="s">
        <v>913</v>
      </c>
      <c r="C692" s="68" t="s">
        <v>1374</v>
      </c>
      <c r="D692" s="68" t="s">
        <v>1372</v>
      </c>
      <c r="E692" s="64" t="s">
        <v>463</v>
      </c>
      <c r="F692" s="45" t="s">
        <v>464</v>
      </c>
      <c r="G692" s="23" t="s">
        <v>822</v>
      </c>
      <c r="H692" s="14">
        <f t="shared" ref="H692:L692" si="332">H693</f>
        <v>2797.6</v>
      </c>
      <c r="I692" s="14">
        <f t="shared" si="332"/>
        <v>4899.5231000000003</v>
      </c>
      <c r="J692" s="14">
        <f t="shared" si="332"/>
        <v>4899.5231000000003</v>
      </c>
      <c r="K692" s="78">
        <f t="shared" si="313"/>
        <v>100</v>
      </c>
      <c r="L692" s="14">
        <f t="shared" si="332"/>
        <v>0</v>
      </c>
      <c r="M692" s="50"/>
      <c r="N692" s="50"/>
    </row>
    <row r="693" spans="1:14" ht="62.4" x14ac:dyDescent="0.3">
      <c r="A693" s="8" t="s">
        <v>1271</v>
      </c>
      <c r="B693" s="62" t="s">
        <v>913</v>
      </c>
      <c r="C693" s="68" t="s">
        <v>1374</v>
      </c>
      <c r="D693" s="68" t="s">
        <v>1372</v>
      </c>
      <c r="E693" s="64" t="s">
        <v>463</v>
      </c>
      <c r="F693" s="45" t="s">
        <v>727</v>
      </c>
      <c r="G693" s="18" t="s">
        <v>830</v>
      </c>
      <c r="H693" s="14">
        <v>2797.6</v>
      </c>
      <c r="I693" s="14">
        <v>4899.5231000000003</v>
      </c>
      <c r="J693" s="14">
        <v>4899.5231000000003</v>
      </c>
      <c r="K693" s="78">
        <f t="shared" si="313"/>
        <v>100</v>
      </c>
      <c r="L693" s="14"/>
      <c r="M693" s="50"/>
      <c r="N693" s="50"/>
    </row>
    <row r="694" spans="1:14" s="9" customFormat="1" ht="18.75" customHeight="1" x14ac:dyDescent="0.3">
      <c r="A694" s="11" t="s">
        <v>1271</v>
      </c>
      <c r="B694" s="48" t="s">
        <v>929</v>
      </c>
      <c r="C694" s="48" t="s">
        <v>1374</v>
      </c>
      <c r="D694" s="48" t="s">
        <v>1478</v>
      </c>
      <c r="E694" s="11"/>
      <c r="F694" s="11"/>
      <c r="G694" s="7" t="s">
        <v>1403</v>
      </c>
      <c r="H694" s="16">
        <f>H695+H701+H739+H748</f>
        <v>5404225.8040000005</v>
      </c>
      <c r="I694" s="16">
        <f t="shared" ref="I694:L694" si="333">I695+I701+I739+I748+I785</f>
        <v>5825423.7719999999</v>
      </c>
      <c r="J694" s="16">
        <f t="shared" si="333"/>
        <v>5798960.7840100005</v>
      </c>
      <c r="K694" s="82">
        <f t="shared" si="313"/>
        <v>99.545732825186136</v>
      </c>
      <c r="L694" s="16">
        <f t="shared" si="333"/>
        <v>0</v>
      </c>
      <c r="M694" s="65"/>
      <c r="N694" s="65"/>
    </row>
    <row r="695" spans="1:14" ht="31.2" x14ac:dyDescent="0.3">
      <c r="A695" s="8" t="s">
        <v>1271</v>
      </c>
      <c r="B695" s="62" t="s">
        <v>929</v>
      </c>
      <c r="C695" s="68" t="s">
        <v>1374</v>
      </c>
      <c r="D695" s="68" t="s">
        <v>1478</v>
      </c>
      <c r="E695" s="64" t="s">
        <v>406</v>
      </c>
      <c r="F695" s="64"/>
      <c r="G695" s="13" t="s">
        <v>848</v>
      </c>
      <c r="H695" s="14">
        <f t="shared" ref="H695:L697" si="334">H696</f>
        <v>5754.5</v>
      </c>
      <c r="I695" s="14">
        <f t="shared" si="334"/>
        <v>5754.5</v>
      </c>
      <c r="J695" s="14">
        <f t="shared" si="334"/>
        <v>5754.5</v>
      </c>
      <c r="K695" s="78">
        <f t="shared" si="313"/>
        <v>100</v>
      </c>
      <c r="L695" s="14">
        <f t="shared" si="334"/>
        <v>0</v>
      </c>
      <c r="M695" s="50"/>
      <c r="N695" s="50"/>
    </row>
    <row r="696" spans="1:14" ht="31.2" x14ac:dyDescent="0.3">
      <c r="A696" s="8" t="s">
        <v>1271</v>
      </c>
      <c r="B696" s="62" t="s">
        <v>929</v>
      </c>
      <c r="C696" s="68" t="s">
        <v>1374</v>
      </c>
      <c r="D696" s="68" t="s">
        <v>1478</v>
      </c>
      <c r="E696" s="64" t="s">
        <v>408</v>
      </c>
      <c r="F696" s="64"/>
      <c r="G696" s="13" t="s">
        <v>850</v>
      </c>
      <c r="H696" s="14">
        <f t="shared" si="334"/>
        <v>5754.5</v>
      </c>
      <c r="I696" s="14">
        <f t="shared" si="334"/>
        <v>5754.5</v>
      </c>
      <c r="J696" s="14">
        <f t="shared" si="334"/>
        <v>5754.5</v>
      </c>
      <c r="K696" s="78">
        <f t="shared" si="313"/>
        <v>100</v>
      </c>
      <c r="L696" s="14">
        <f t="shared" si="334"/>
        <v>0</v>
      </c>
      <c r="M696" s="50"/>
      <c r="N696" s="50"/>
    </row>
    <row r="697" spans="1:14" ht="78" x14ac:dyDescent="0.3">
      <c r="A697" s="8" t="s">
        <v>1271</v>
      </c>
      <c r="B697" s="62" t="s">
        <v>929</v>
      </c>
      <c r="C697" s="68" t="s">
        <v>1374</v>
      </c>
      <c r="D697" s="68" t="s">
        <v>1478</v>
      </c>
      <c r="E697" s="64" t="s">
        <v>409</v>
      </c>
      <c r="F697" s="64"/>
      <c r="G697" s="18" t="s">
        <v>1203</v>
      </c>
      <c r="H697" s="14">
        <f t="shared" si="334"/>
        <v>5754.5</v>
      </c>
      <c r="I697" s="14">
        <f t="shared" si="334"/>
        <v>5754.5</v>
      </c>
      <c r="J697" s="14">
        <f t="shared" si="334"/>
        <v>5754.5</v>
      </c>
      <c r="K697" s="78">
        <f t="shared" si="313"/>
        <v>100</v>
      </c>
      <c r="L697" s="14">
        <f t="shared" si="334"/>
        <v>0</v>
      </c>
      <c r="M697" s="50"/>
      <c r="N697" s="50"/>
    </row>
    <row r="698" spans="1:14" ht="31.2" x14ac:dyDescent="0.3">
      <c r="A698" s="8" t="s">
        <v>1271</v>
      </c>
      <c r="B698" s="62" t="s">
        <v>929</v>
      </c>
      <c r="C698" s="68" t="s">
        <v>1374</v>
      </c>
      <c r="D698" s="68" t="s">
        <v>1478</v>
      </c>
      <c r="E698" s="64" t="s">
        <v>409</v>
      </c>
      <c r="F698" s="45" t="s">
        <v>402</v>
      </c>
      <c r="G698" s="23" t="s">
        <v>819</v>
      </c>
      <c r="H698" s="14">
        <f>H699+H700</f>
        <v>5754.5</v>
      </c>
      <c r="I698" s="14">
        <f>I699+I700</f>
        <v>5754.5</v>
      </c>
      <c r="J698" s="14">
        <f t="shared" ref="J698" si="335">J699+J700</f>
        <v>5754.5</v>
      </c>
      <c r="K698" s="78">
        <f t="shared" si="313"/>
        <v>100</v>
      </c>
      <c r="L698" s="14">
        <f>L699+L700</f>
        <v>0</v>
      </c>
      <c r="M698" s="50"/>
      <c r="N698" s="50"/>
    </row>
    <row r="699" spans="1:14" x14ac:dyDescent="0.3">
      <c r="A699" s="8" t="s">
        <v>1271</v>
      </c>
      <c r="B699" s="62" t="s">
        <v>929</v>
      </c>
      <c r="C699" s="68" t="s">
        <v>1374</v>
      </c>
      <c r="D699" s="68" t="s">
        <v>1478</v>
      </c>
      <c r="E699" s="64" t="s">
        <v>409</v>
      </c>
      <c r="F699" s="8" t="s">
        <v>726</v>
      </c>
      <c r="G699" s="13" t="s">
        <v>820</v>
      </c>
      <c r="H699" s="14">
        <v>3680.7</v>
      </c>
      <c r="I699" s="14">
        <v>2642.9</v>
      </c>
      <c r="J699" s="14">
        <v>2642.9</v>
      </c>
      <c r="K699" s="78">
        <f t="shared" si="313"/>
        <v>100</v>
      </c>
      <c r="L699" s="14"/>
      <c r="M699" s="50"/>
      <c r="N699" s="50"/>
    </row>
    <row r="700" spans="1:14" x14ac:dyDescent="0.3">
      <c r="A700" s="8" t="s">
        <v>1271</v>
      </c>
      <c r="B700" s="62" t="s">
        <v>929</v>
      </c>
      <c r="C700" s="68" t="s">
        <v>1374</v>
      </c>
      <c r="D700" s="68" t="s">
        <v>1478</v>
      </c>
      <c r="E700" s="64" t="s">
        <v>409</v>
      </c>
      <c r="F700" s="64" t="s">
        <v>223</v>
      </c>
      <c r="G700" s="18" t="s">
        <v>829</v>
      </c>
      <c r="H700" s="14">
        <v>2073.8000000000002</v>
      </c>
      <c r="I700" s="14">
        <v>3111.6</v>
      </c>
      <c r="J700" s="14">
        <v>3111.6</v>
      </c>
      <c r="K700" s="78">
        <f t="shared" si="313"/>
        <v>100</v>
      </c>
      <c r="L700" s="14"/>
      <c r="M700" s="50"/>
      <c r="N700" s="50"/>
    </row>
    <row r="701" spans="1:14" ht="46.8" x14ac:dyDescent="0.3">
      <c r="A701" s="8" t="s">
        <v>1271</v>
      </c>
      <c r="B701" s="62" t="s">
        <v>929</v>
      </c>
      <c r="C701" s="68" t="s">
        <v>1374</v>
      </c>
      <c r="D701" s="68" t="s">
        <v>1478</v>
      </c>
      <c r="E701" s="64" t="s">
        <v>347</v>
      </c>
      <c r="F701" s="64"/>
      <c r="G701" s="18" t="s">
        <v>1114</v>
      </c>
      <c r="H701" s="14">
        <f t="shared" ref="H701:L701" si="336">H702+H734</f>
        <v>5065915.4810000006</v>
      </c>
      <c r="I701" s="14">
        <f t="shared" si="336"/>
        <v>5471619.4809999997</v>
      </c>
      <c r="J701" s="14">
        <f t="shared" si="336"/>
        <v>5445161.7905800007</v>
      </c>
      <c r="K701" s="78">
        <f t="shared" si="313"/>
        <v>99.516455950347563</v>
      </c>
      <c r="L701" s="14">
        <f t="shared" si="336"/>
        <v>0</v>
      </c>
      <c r="M701" s="50"/>
      <c r="N701" s="50"/>
    </row>
    <row r="702" spans="1:14" ht="31.2" x14ac:dyDescent="0.3">
      <c r="A702" s="8" t="s">
        <v>1271</v>
      </c>
      <c r="B702" s="62" t="s">
        <v>929</v>
      </c>
      <c r="C702" s="68" t="s">
        <v>1374</v>
      </c>
      <c r="D702" s="68" t="s">
        <v>1478</v>
      </c>
      <c r="E702" s="64" t="s">
        <v>465</v>
      </c>
      <c r="F702" s="64"/>
      <c r="G702" s="18" t="s">
        <v>1119</v>
      </c>
      <c r="H702" s="14">
        <f>H703+H723</f>
        <v>5062320.2810000004</v>
      </c>
      <c r="I702" s="14">
        <f>I703+I723</f>
        <v>5468024.2809999995</v>
      </c>
      <c r="J702" s="14">
        <f t="shared" ref="J702" si="337">J703+J723</f>
        <v>5441566.5908700004</v>
      </c>
      <c r="K702" s="78">
        <f t="shared" si="313"/>
        <v>99.51613802773457</v>
      </c>
      <c r="L702" s="14">
        <f>L703+L723</f>
        <v>0</v>
      </c>
      <c r="M702" s="50"/>
      <c r="N702" s="50"/>
    </row>
    <row r="703" spans="1:14" ht="62.4" x14ac:dyDescent="0.3">
      <c r="A703" s="8" t="s">
        <v>1271</v>
      </c>
      <c r="B703" s="62" t="s">
        <v>929</v>
      </c>
      <c r="C703" s="68" t="s">
        <v>1374</v>
      </c>
      <c r="D703" s="68" t="s">
        <v>1478</v>
      </c>
      <c r="E703" s="64" t="s">
        <v>466</v>
      </c>
      <c r="F703" s="64"/>
      <c r="G703" s="18" t="s">
        <v>1170</v>
      </c>
      <c r="H703" s="14">
        <f>H704+H708+H711+H714+H717+H720</f>
        <v>873397.81699999992</v>
      </c>
      <c r="I703" s="14">
        <f>I704+I708+I711+I714+I717+I720</f>
        <v>873297.81700000004</v>
      </c>
      <c r="J703" s="14">
        <f t="shared" ref="J703" si="338">J704+J708+J711+J714+J717+J720</f>
        <v>873297.72935000015</v>
      </c>
      <c r="K703" s="78">
        <f t="shared" si="313"/>
        <v>99.999989963332297</v>
      </c>
      <c r="L703" s="14">
        <f>L704+L708+L711+L714+L717+L720</f>
        <v>0</v>
      </c>
      <c r="M703" s="50"/>
      <c r="N703" s="50"/>
    </row>
    <row r="704" spans="1:14" ht="62.4" x14ac:dyDescent="0.3">
      <c r="A704" s="8" t="s">
        <v>1271</v>
      </c>
      <c r="B704" s="62" t="s">
        <v>929</v>
      </c>
      <c r="C704" s="68" t="s">
        <v>1374</v>
      </c>
      <c r="D704" s="68" t="s">
        <v>1478</v>
      </c>
      <c r="E704" s="64" t="s">
        <v>467</v>
      </c>
      <c r="F704" s="64"/>
      <c r="G704" s="23" t="s">
        <v>1291</v>
      </c>
      <c r="H704" s="14">
        <f t="shared" ref="H704:L704" si="339">H705</f>
        <v>853442.17699999991</v>
      </c>
      <c r="I704" s="14">
        <f t="shared" si="339"/>
        <v>853342.17700000003</v>
      </c>
      <c r="J704" s="14">
        <f t="shared" si="339"/>
        <v>853342.17700000003</v>
      </c>
      <c r="K704" s="78">
        <f t="shared" si="313"/>
        <v>100</v>
      </c>
      <c r="L704" s="14">
        <f t="shared" si="339"/>
        <v>0</v>
      </c>
      <c r="M704" s="50"/>
      <c r="N704" s="50"/>
    </row>
    <row r="705" spans="1:14" ht="31.2" x14ac:dyDescent="0.3">
      <c r="A705" s="8" t="s">
        <v>1271</v>
      </c>
      <c r="B705" s="62" t="s">
        <v>929</v>
      </c>
      <c r="C705" s="68" t="s">
        <v>1374</v>
      </c>
      <c r="D705" s="68" t="s">
        <v>1478</v>
      </c>
      <c r="E705" s="64" t="s">
        <v>467</v>
      </c>
      <c r="F705" s="45" t="s">
        <v>402</v>
      </c>
      <c r="G705" s="23" t="s">
        <v>819</v>
      </c>
      <c r="H705" s="14">
        <f>H706+H707</f>
        <v>853442.17699999991</v>
      </c>
      <c r="I705" s="14">
        <f>I706+I707</f>
        <v>853342.17700000003</v>
      </c>
      <c r="J705" s="14">
        <f t="shared" ref="J705" si="340">J706+J707</f>
        <v>853342.17700000003</v>
      </c>
      <c r="K705" s="78">
        <f t="shared" si="313"/>
        <v>100</v>
      </c>
      <c r="L705" s="14">
        <f>L706+L707</f>
        <v>0</v>
      </c>
      <c r="M705" s="50"/>
      <c r="N705" s="50"/>
    </row>
    <row r="706" spans="1:14" x14ac:dyDescent="0.3">
      <c r="A706" s="8" t="s">
        <v>1271</v>
      </c>
      <c r="B706" s="62" t="s">
        <v>929</v>
      </c>
      <c r="C706" s="68" t="s">
        <v>1374</v>
      </c>
      <c r="D706" s="68" t="s">
        <v>1478</v>
      </c>
      <c r="E706" s="64" t="s">
        <v>467</v>
      </c>
      <c r="F706" s="8" t="s">
        <v>726</v>
      </c>
      <c r="G706" s="13" t="s">
        <v>820</v>
      </c>
      <c r="H706" s="14">
        <f>58665.5-1609.614</f>
        <v>57055.885999999999</v>
      </c>
      <c r="I706" s="14">
        <v>44780.077440000001</v>
      </c>
      <c r="J706" s="14">
        <v>44780.077440000001</v>
      </c>
      <c r="K706" s="78">
        <f t="shared" si="313"/>
        <v>100</v>
      </c>
      <c r="L706" s="14"/>
      <c r="M706" s="50"/>
      <c r="N706" s="50"/>
    </row>
    <row r="707" spans="1:14" x14ac:dyDescent="0.3">
      <c r="A707" s="8" t="s">
        <v>1271</v>
      </c>
      <c r="B707" s="62" t="s">
        <v>929</v>
      </c>
      <c r="C707" s="68" t="s">
        <v>1374</v>
      </c>
      <c r="D707" s="68" t="s">
        <v>1478</v>
      </c>
      <c r="E707" s="64" t="s">
        <v>467</v>
      </c>
      <c r="F707" s="64" t="s">
        <v>223</v>
      </c>
      <c r="G707" s="18" t="s">
        <v>829</v>
      </c>
      <c r="H707" s="14">
        <f>869163.84-2563.499-524.853-69689.197</f>
        <v>796386.29099999997</v>
      </c>
      <c r="I707" s="14">
        <v>808562.09956</v>
      </c>
      <c r="J707" s="14">
        <v>808562.09956</v>
      </c>
      <c r="K707" s="78">
        <f t="shared" si="313"/>
        <v>100</v>
      </c>
      <c r="L707" s="14"/>
      <c r="M707" s="50"/>
      <c r="N707" s="50"/>
    </row>
    <row r="708" spans="1:14" ht="78" x14ac:dyDescent="0.3">
      <c r="A708" s="8" t="s">
        <v>1271</v>
      </c>
      <c r="B708" s="62" t="s">
        <v>929</v>
      </c>
      <c r="C708" s="68" t="s">
        <v>1374</v>
      </c>
      <c r="D708" s="68" t="s">
        <v>1478</v>
      </c>
      <c r="E708" s="64" t="s">
        <v>468</v>
      </c>
      <c r="F708" s="64"/>
      <c r="G708" s="18" t="s">
        <v>1215</v>
      </c>
      <c r="H708" s="14">
        <f t="shared" ref="H708:L709" si="341">H709</f>
        <v>1431.7</v>
      </c>
      <c r="I708" s="14">
        <f t="shared" si="341"/>
        <v>1431.7</v>
      </c>
      <c r="J708" s="14">
        <f t="shared" si="341"/>
        <v>1431.6523500000001</v>
      </c>
      <c r="K708" s="78">
        <f t="shared" si="313"/>
        <v>99.996671788782564</v>
      </c>
      <c r="L708" s="14">
        <f t="shared" si="341"/>
        <v>0</v>
      </c>
      <c r="M708" s="50"/>
      <c r="N708" s="50"/>
    </row>
    <row r="709" spans="1:14" ht="31.2" x14ac:dyDescent="0.3">
      <c r="A709" s="8" t="s">
        <v>1271</v>
      </c>
      <c r="B709" s="62" t="s">
        <v>929</v>
      </c>
      <c r="C709" s="68" t="s">
        <v>1374</v>
      </c>
      <c r="D709" s="68" t="s">
        <v>1478</v>
      </c>
      <c r="E709" s="64" t="s">
        <v>468</v>
      </c>
      <c r="F709" s="45" t="s">
        <v>402</v>
      </c>
      <c r="G709" s="23" t="s">
        <v>819</v>
      </c>
      <c r="H709" s="14">
        <f t="shared" si="341"/>
        <v>1431.7</v>
      </c>
      <c r="I709" s="14">
        <f t="shared" si="341"/>
        <v>1431.7</v>
      </c>
      <c r="J709" s="14">
        <f t="shared" si="341"/>
        <v>1431.6523500000001</v>
      </c>
      <c r="K709" s="78">
        <f t="shared" si="313"/>
        <v>99.996671788782564</v>
      </c>
      <c r="L709" s="14">
        <f t="shared" si="341"/>
        <v>0</v>
      </c>
      <c r="M709" s="50"/>
      <c r="N709" s="50"/>
    </row>
    <row r="710" spans="1:14" x14ac:dyDescent="0.3">
      <c r="A710" s="8" t="s">
        <v>1271</v>
      </c>
      <c r="B710" s="62" t="s">
        <v>929</v>
      </c>
      <c r="C710" s="68" t="s">
        <v>1374</v>
      </c>
      <c r="D710" s="68" t="s">
        <v>1478</v>
      </c>
      <c r="E710" s="64" t="s">
        <v>468</v>
      </c>
      <c r="F710" s="64" t="s">
        <v>223</v>
      </c>
      <c r="G710" s="18" t="s">
        <v>829</v>
      </c>
      <c r="H710" s="14">
        <v>1431.7</v>
      </c>
      <c r="I710" s="14">
        <v>1431.7</v>
      </c>
      <c r="J710" s="14">
        <v>1431.6523500000001</v>
      </c>
      <c r="K710" s="78">
        <f t="shared" si="313"/>
        <v>99.996671788782564</v>
      </c>
      <c r="L710" s="14"/>
      <c r="M710" s="50"/>
      <c r="N710" s="50"/>
    </row>
    <row r="711" spans="1:14" ht="31.2" x14ac:dyDescent="0.3">
      <c r="A711" s="8" t="s">
        <v>1271</v>
      </c>
      <c r="B711" s="62" t="s">
        <v>929</v>
      </c>
      <c r="C711" s="68" t="s">
        <v>1374</v>
      </c>
      <c r="D711" s="68" t="s">
        <v>1478</v>
      </c>
      <c r="E711" s="64" t="s">
        <v>469</v>
      </c>
      <c r="F711" s="64"/>
      <c r="G711" s="18" t="s">
        <v>1120</v>
      </c>
      <c r="H711" s="14">
        <f t="shared" ref="H711:L712" si="342">H712</f>
        <v>15257.8</v>
      </c>
      <c r="I711" s="14">
        <f t="shared" si="342"/>
        <v>15257.8</v>
      </c>
      <c r="J711" s="14">
        <f t="shared" si="342"/>
        <v>15257.8</v>
      </c>
      <c r="K711" s="78">
        <f t="shared" si="313"/>
        <v>100</v>
      </c>
      <c r="L711" s="14">
        <f t="shared" si="342"/>
        <v>0</v>
      </c>
      <c r="M711" s="50"/>
      <c r="N711" s="50"/>
    </row>
    <row r="712" spans="1:14" ht="31.2" x14ac:dyDescent="0.3">
      <c r="A712" s="8" t="s">
        <v>1271</v>
      </c>
      <c r="B712" s="62" t="s">
        <v>929</v>
      </c>
      <c r="C712" s="68" t="s">
        <v>1374</v>
      </c>
      <c r="D712" s="68" t="s">
        <v>1478</v>
      </c>
      <c r="E712" s="64" t="s">
        <v>469</v>
      </c>
      <c r="F712" s="45" t="s">
        <v>402</v>
      </c>
      <c r="G712" s="23" t="s">
        <v>819</v>
      </c>
      <c r="H712" s="14">
        <f t="shared" si="342"/>
        <v>15257.8</v>
      </c>
      <c r="I712" s="14">
        <f t="shared" si="342"/>
        <v>15257.8</v>
      </c>
      <c r="J712" s="14">
        <f t="shared" si="342"/>
        <v>15257.8</v>
      </c>
      <c r="K712" s="78">
        <f t="shared" ref="K712:K775" si="343">J712/I712*100</f>
        <v>100</v>
      </c>
      <c r="L712" s="14">
        <f t="shared" si="342"/>
        <v>0</v>
      </c>
      <c r="M712" s="50"/>
      <c r="N712" s="50"/>
    </row>
    <row r="713" spans="1:14" x14ac:dyDescent="0.3">
      <c r="A713" s="8" t="s">
        <v>1271</v>
      </c>
      <c r="B713" s="62" t="s">
        <v>929</v>
      </c>
      <c r="C713" s="68" t="s">
        <v>1374</v>
      </c>
      <c r="D713" s="68" t="s">
        <v>1478</v>
      </c>
      <c r="E713" s="64" t="s">
        <v>469</v>
      </c>
      <c r="F713" s="64" t="s">
        <v>223</v>
      </c>
      <c r="G713" s="18" t="s">
        <v>829</v>
      </c>
      <c r="H713" s="14">
        <v>15257.8</v>
      </c>
      <c r="I713" s="14">
        <v>15257.8</v>
      </c>
      <c r="J713" s="14">
        <v>15257.8</v>
      </c>
      <c r="K713" s="78">
        <f t="shared" si="343"/>
        <v>100</v>
      </c>
      <c r="L713" s="14"/>
      <c r="M713" s="50"/>
      <c r="N713" s="50"/>
    </row>
    <row r="714" spans="1:14" ht="31.2" x14ac:dyDescent="0.3">
      <c r="A714" s="8" t="s">
        <v>1271</v>
      </c>
      <c r="B714" s="62" t="s">
        <v>929</v>
      </c>
      <c r="C714" s="68" t="s">
        <v>1374</v>
      </c>
      <c r="D714" s="68" t="s">
        <v>1478</v>
      </c>
      <c r="E714" s="64" t="s">
        <v>1328</v>
      </c>
      <c r="F714" s="64"/>
      <c r="G714" s="18" t="s">
        <v>1300</v>
      </c>
      <c r="H714" s="14">
        <f t="shared" ref="H714:L715" si="344">H715</f>
        <v>85</v>
      </c>
      <c r="I714" s="14">
        <f t="shared" si="344"/>
        <v>85</v>
      </c>
      <c r="J714" s="14">
        <f t="shared" si="344"/>
        <v>85</v>
      </c>
      <c r="K714" s="78">
        <f t="shared" si="343"/>
        <v>100</v>
      </c>
      <c r="L714" s="14">
        <f t="shared" si="344"/>
        <v>0</v>
      </c>
      <c r="M714" s="50"/>
      <c r="N714" s="50"/>
    </row>
    <row r="715" spans="1:14" ht="31.2" x14ac:dyDescent="0.3">
      <c r="A715" s="8" t="s">
        <v>1271</v>
      </c>
      <c r="B715" s="62" t="s">
        <v>929</v>
      </c>
      <c r="C715" s="68" t="s">
        <v>1374</v>
      </c>
      <c r="D715" s="68" t="s">
        <v>1478</v>
      </c>
      <c r="E715" s="64" t="s">
        <v>1328</v>
      </c>
      <c r="F715" s="45" t="s">
        <v>402</v>
      </c>
      <c r="G715" s="23" t="s">
        <v>819</v>
      </c>
      <c r="H715" s="14">
        <f t="shared" si="344"/>
        <v>85</v>
      </c>
      <c r="I715" s="14">
        <f t="shared" si="344"/>
        <v>85</v>
      </c>
      <c r="J715" s="14">
        <f t="shared" si="344"/>
        <v>85</v>
      </c>
      <c r="K715" s="78">
        <f t="shared" si="343"/>
        <v>100</v>
      </c>
      <c r="L715" s="14">
        <f t="shared" si="344"/>
        <v>0</v>
      </c>
      <c r="M715" s="50"/>
      <c r="N715" s="50"/>
    </row>
    <row r="716" spans="1:14" x14ac:dyDescent="0.3">
      <c r="A716" s="8" t="s">
        <v>1271</v>
      </c>
      <c r="B716" s="62" t="s">
        <v>929</v>
      </c>
      <c r="C716" s="68" t="s">
        <v>1374</v>
      </c>
      <c r="D716" s="68" t="s">
        <v>1478</v>
      </c>
      <c r="E716" s="64" t="s">
        <v>1328</v>
      </c>
      <c r="F716" s="64" t="s">
        <v>223</v>
      </c>
      <c r="G716" s="18" t="s">
        <v>829</v>
      </c>
      <c r="H716" s="14">
        <v>85</v>
      </c>
      <c r="I716" s="14">
        <v>85</v>
      </c>
      <c r="J716" s="14">
        <v>85</v>
      </c>
      <c r="K716" s="78">
        <f t="shared" si="343"/>
        <v>100</v>
      </c>
      <c r="L716" s="14"/>
      <c r="M716" s="50"/>
      <c r="N716" s="50"/>
    </row>
    <row r="717" spans="1:14" ht="78" x14ac:dyDescent="0.3">
      <c r="A717" s="8" t="s">
        <v>1271</v>
      </c>
      <c r="B717" s="62" t="s">
        <v>929</v>
      </c>
      <c r="C717" s="68" t="s">
        <v>1374</v>
      </c>
      <c r="D717" s="68" t="s">
        <v>1478</v>
      </c>
      <c r="E717" s="64" t="s">
        <v>470</v>
      </c>
      <c r="F717" s="64"/>
      <c r="G717" s="18" t="s">
        <v>734</v>
      </c>
      <c r="H717" s="14">
        <f t="shared" ref="H717:L718" si="345">H718</f>
        <v>1845.3</v>
      </c>
      <c r="I717" s="14">
        <f t="shared" si="345"/>
        <v>1845.3</v>
      </c>
      <c r="J717" s="14">
        <f t="shared" si="345"/>
        <v>1845.3</v>
      </c>
      <c r="K717" s="78">
        <f t="shared" si="343"/>
        <v>100</v>
      </c>
      <c r="L717" s="14">
        <f t="shared" si="345"/>
        <v>0</v>
      </c>
      <c r="M717" s="50"/>
      <c r="N717" s="50"/>
    </row>
    <row r="718" spans="1:14" ht="31.2" x14ac:dyDescent="0.3">
      <c r="A718" s="8" t="s">
        <v>1271</v>
      </c>
      <c r="B718" s="62" t="s">
        <v>929</v>
      </c>
      <c r="C718" s="68" t="s">
        <v>1374</v>
      </c>
      <c r="D718" s="68" t="s">
        <v>1478</v>
      </c>
      <c r="E718" s="64" t="s">
        <v>470</v>
      </c>
      <c r="F718" s="45" t="s">
        <v>402</v>
      </c>
      <c r="G718" s="23" t="s">
        <v>819</v>
      </c>
      <c r="H718" s="14">
        <f t="shared" si="345"/>
        <v>1845.3</v>
      </c>
      <c r="I718" s="14">
        <f t="shared" si="345"/>
        <v>1845.3</v>
      </c>
      <c r="J718" s="14">
        <f t="shared" si="345"/>
        <v>1845.3</v>
      </c>
      <c r="K718" s="78">
        <f t="shared" si="343"/>
        <v>100</v>
      </c>
      <c r="L718" s="14">
        <f t="shared" si="345"/>
        <v>0</v>
      </c>
      <c r="M718" s="50"/>
      <c r="N718" s="50"/>
    </row>
    <row r="719" spans="1:14" x14ac:dyDescent="0.3">
      <c r="A719" s="8" t="s">
        <v>1271</v>
      </c>
      <c r="B719" s="62" t="s">
        <v>929</v>
      </c>
      <c r="C719" s="68" t="s">
        <v>1374</v>
      </c>
      <c r="D719" s="68" t="s">
        <v>1478</v>
      </c>
      <c r="E719" s="64" t="s">
        <v>470</v>
      </c>
      <c r="F719" s="8" t="s">
        <v>726</v>
      </c>
      <c r="G719" s="13" t="s">
        <v>820</v>
      </c>
      <c r="H719" s="14">
        <v>1845.3</v>
      </c>
      <c r="I719" s="14">
        <v>1845.3</v>
      </c>
      <c r="J719" s="14">
        <v>1845.3</v>
      </c>
      <c r="K719" s="78">
        <f t="shared" si="343"/>
        <v>100</v>
      </c>
      <c r="L719" s="14"/>
      <c r="M719" s="50"/>
      <c r="N719" s="50"/>
    </row>
    <row r="720" spans="1:14" ht="78" x14ac:dyDescent="0.3">
      <c r="A720" s="8" t="s">
        <v>1271</v>
      </c>
      <c r="B720" s="62" t="s">
        <v>929</v>
      </c>
      <c r="C720" s="68" t="s">
        <v>1374</v>
      </c>
      <c r="D720" s="68" t="s">
        <v>1478</v>
      </c>
      <c r="E720" s="64" t="s">
        <v>1181</v>
      </c>
      <c r="F720" s="64"/>
      <c r="G720" s="18" t="s">
        <v>755</v>
      </c>
      <c r="H720" s="14">
        <f t="shared" ref="H720:L721" si="346">H721</f>
        <v>1335.8400000000001</v>
      </c>
      <c r="I720" s="14">
        <f t="shared" si="346"/>
        <v>1335.84</v>
      </c>
      <c r="J720" s="14">
        <f t="shared" si="346"/>
        <v>1335.8</v>
      </c>
      <c r="K720" s="78">
        <f t="shared" si="343"/>
        <v>99.997005629416705</v>
      </c>
      <c r="L720" s="14">
        <f t="shared" si="346"/>
        <v>0</v>
      </c>
      <c r="M720" s="50"/>
      <c r="N720" s="50"/>
    </row>
    <row r="721" spans="1:14" ht="31.2" x14ac:dyDescent="0.3">
      <c r="A721" s="8" t="s">
        <v>1271</v>
      </c>
      <c r="B721" s="62" t="s">
        <v>929</v>
      </c>
      <c r="C721" s="68" t="s">
        <v>1374</v>
      </c>
      <c r="D721" s="68" t="s">
        <v>1478</v>
      </c>
      <c r="E721" s="64" t="s">
        <v>1181</v>
      </c>
      <c r="F721" s="45" t="s">
        <v>402</v>
      </c>
      <c r="G721" s="23" t="s">
        <v>819</v>
      </c>
      <c r="H721" s="14">
        <f t="shared" si="346"/>
        <v>1335.8400000000001</v>
      </c>
      <c r="I721" s="14">
        <f t="shared" si="346"/>
        <v>1335.84</v>
      </c>
      <c r="J721" s="14">
        <f t="shared" si="346"/>
        <v>1335.8</v>
      </c>
      <c r="K721" s="78">
        <f t="shared" si="343"/>
        <v>99.997005629416705</v>
      </c>
      <c r="L721" s="14">
        <f t="shared" si="346"/>
        <v>0</v>
      </c>
      <c r="M721" s="50"/>
      <c r="N721" s="50"/>
    </row>
    <row r="722" spans="1:14" x14ac:dyDescent="0.3">
      <c r="A722" s="8" t="s">
        <v>1271</v>
      </c>
      <c r="B722" s="62" t="s">
        <v>929</v>
      </c>
      <c r="C722" s="68" t="s">
        <v>1374</v>
      </c>
      <c r="D722" s="68" t="s">
        <v>1478</v>
      </c>
      <c r="E722" s="64" t="s">
        <v>1181</v>
      </c>
      <c r="F722" s="64" t="s">
        <v>223</v>
      </c>
      <c r="G722" s="18" t="s">
        <v>829</v>
      </c>
      <c r="H722" s="14">
        <f>736.6+599.24</f>
        <v>1335.8400000000001</v>
      </c>
      <c r="I722" s="14">
        <v>1335.84</v>
      </c>
      <c r="J722" s="14">
        <v>1335.8</v>
      </c>
      <c r="K722" s="78">
        <f t="shared" si="343"/>
        <v>99.997005629416705</v>
      </c>
      <c r="L722" s="14"/>
      <c r="M722" s="50"/>
      <c r="N722" s="50"/>
    </row>
    <row r="723" spans="1:14" ht="46.8" x14ac:dyDescent="0.3">
      <c r="A723" s="8" t="s">
        <v>1271</v>
      </c>
      <c r="B723" s="62" t="s">
        <v>929</v>
      </c>
      <c r="C723" s="68" t="s">
        <v>1374</v>
      </c>
      <c r="D723" s="68" t="s">
        <v>1478</v>
      </c>
      <c r="E723" s="64" t="s">
        <v>471</v>
      </c>
      <c r="F723" s="64"/>
      <c r="G723" s="18" t="s">
        <v>1122</v>
      </c>
      <c r="H723" s="14">
        <f>H724+H730</f>
        <v>4188922.4640000002</v>
      </c>
      <c r="I723" s="14">
        <f t="shared" ref="I723:L723" si="347">I724+I730</f>
        <v>4594726.4639999997</v>
      </c>
      <c r="J723" s="14">
        <f t="shared" si="347"/>
        <v>4568268.8615200007</v>
      </c>
      <c r="K723" s="78">
        <f t="shared" si="343"/>
        <v>99.424174590428919</v>
      </c>
      <c r="L723" s="14">
        <f t="shared" si="347"/>
        <v>0</v>
      </c>
      <c r="M723" s="50"/>
      <c r="N723" s="50"/>
    </row>
    <row r="724" spans="1:14" ht="31.2" x14ac:dyDescent="0.3">
      <c r="A724" s="8" t="s">
        <v>1271</v>
      </c>
      <c r="B724" s="62" t="s">
        <v>929</v>
      </c>
      <c r="C724" s="68" t="s">
        <v>1374</v>
      </c>
      <c r="D724" s="68" t="s">
        <v>1478</v>
      </c>
      <c r="E724" s="64" t="s">
        <v>235</v>
      </c>
      <c r="F724" s="64"/>
      <c r="G724" s="18" t="s">
        <v>1338</v>
      </c>
      <c r="H724" s="14">
        <f>H727+H725</f>
        <v>4117239</v>
      </c>
      <c r="I724" s="14">
        <f>I727+I725</f>
        <v>4524146.3</v>
      </c>
      <c r="J724" s="14">
        <f t="shared" ref="J724" si="348">J727+J725</f>
        <v>4500173.7177300006</v>
      </c>
      <c r="K724" s="78">
        <f t="shared" si="343"/>
        <v>99.470119207462432</v>
      </c>
      <c r="L724" s="14">
        <f>L727+L725</f>
        <v>0</v>
      </c>
      <c r="M724" s="50"/>
      <c r="N724" s="50"/>
    </row>
    <row r="725" spans="1:14" ht="78" hidden="1" x14ac:dyDescent="0.3">
      <c r="A725" s="8" t="s">
        <v>1271</v>
      </c>
      <c r="B725" s="62" t="s">
        <v>929</v>
      </c>
      <c r="C725" s="68" t="s">
        <v>1374</v>
      </c>
      <c r="D725" s="68" t="s">
        <v>1478</v>
      </c>
      <c r="E725" s="64" t="s">
        <v>235</v>
      </c>
      <c r="F725" s="45" t="s">
        <v>431</v>
      </c>
      <c r="G725" s="23" t="s">
        <v>806</v>
      </c>
      <c r="H725" s="14">
        <f t="shared" ref="H725:L725" si="349">H726</f>
        <v>2044.5</v>
      </c>
      <c r="I725" s="14">
        <f t="shared" si="349"/>
        <v>0</v>
      </c>
      <c r="J725" s="14">
        <f t="shared" si="349"/>
        <v>0</v>
      </c>
      <c r="K725" s="78" t="e">
        <f t="shared" si="343"/>
        <v>#DIV/0!</v>
      </c>
      <c r="L725" s="14">
        <f t="shared" si="349"/>
        <v>0</v>
      </c>
      <c r="M725" s="50">
        <v>111</v>
      </c>
      <c r="N725" s="50"/>
    </row>
    <row r="726" spans="1:14" ht="31.2" hidden="1" x14ac:dyDescent="0.3">
      <c r="A726" s="8" t="s">
        <v>1271</v>
      </c>
      <c r="B726" s="62" t="s">
        <v>929</v>
      </c>
      <c r="C726" s="68" t="s">
        <v>1374</v>
      </c>
      <c r="D726" s="68" t="s">
        <v>1478</v>
      </c>
      <c r="E726" s="64" t="s">
        <v>235</v>
      </c>
      <c r="F726" s="45" t="s">
        <v>233</v>
      </c>
      <c r="G726" s="23" t="s">
        <v>808</v>
      </c>
      <c r="H726" s="14">
        <v>2044.5</v>
      </c>
      <c r="I726" s="14">
        <v>0</v>
      </c>
      <c r="J726" s="19">
        <v>0</v>
      </c>
      <c r="K726" s="75" t="e">
        <f t="shared" si="343"/>
        <v>#DIV/0!</v>
      </c>
      <c r="L726" s="14"/>
      <c r="M726" s="50">
        <v>111</v>
      </c>
      <c r="N726" s="50"/>
    </row>
    <row r="727" spans="1:14" ht="31.2" x14ac:dyDescent="0.3">
      <c r="A727" s="8" t="s">
        <v>1271</v>
      </c>
      <c r="B727" s="62" t="s">
        <v>929</v>
      </c>
      <c r="C727" s="68" t="s">
        <v>1374</v>
      </c>
      <c r="D727" s="68" t="s">
        <v>1478</v>
      </c>
      <c r="E727" s="64" t="s">
        <v>235</v>
      </c>
      <c r="F727" s="45" t="s">
        <v>402</v>
      </c>
      <c r="G727" s="23" t="s">
        <v>819</v>
      </c>
      <c r="H727" s="14">
        <f>H728+H729</f>
        <v>4115194.5</v>
      </c>
      <c r="I727" s="14">
        <f>I728+I729</f>
        <v>4524146.3</v>
      </c>
      <c r="J727" s="14">
        <f t="shared" ref="J727" si="350">J728+J729</f>
        <v>4500173.7177300006</v>
      </c>
      <c r="K727" s="78">
        <f t="shared" si="343"/>
        <v>99.470119207462432</v>
      </c>
      <c r="L727" s="14">
        <f>L728+L729</f>
        <v>0</v>
      </c>
      <c r="M727" s="50"/>
      <c r="N727" s="50"/>
    </row>
    <row r="728" spans="1:14" x14ac:dyDescent="0.3">
      <c r="A728" s="8" t="s">
        <v>1271</v>
      </c>
      <c r="B728" s="62" t="s">
        <v>929</v>
      </c>
      <c r="C728" s="68" t="s">
        <v>1374</v>
      </c>
      <c r="D728" s="68" t="s">
        <v>1478</v>
      </c>
      <c r="E728" s="64" t="s">
        <v>235</v>
      </c>
      <c r="F728" s="8" t="s">
        <v>726</v>
      </c>
      <c r="G728" s="13" t="s">
        <v>820</v>
      </c>
      <c r="H728" s="14">
        <v>349796.4</v>
      </c>
      <c r="I728" s="14">
        <v>340516.65263000003</v>
      </c>
      <c r="J728" s="14">
        <v>329389.00793999998</v>
      </c>
      <c r="K728" s="78">
        <f t="shared" si="343"/>
        <v>96.732129073848512</v>
      </c>
      <c r="L728" s="14"/>
      <c r="M728" s="50"/>
      <c r="N728" s="50"/>
    </row>
    <row r="729" spans="1:14" x14ac:dyDescent="0.3">
      <c r="A729" s="8" t="s">
        <v>1271</v>
      </c>
      <c r="B729" s="62" t="s">
        <v>929</v>
      </c>
      <c r="C729" s="68" t="s">
        <v>1374</v>
      </c>
      <c r="D729" s="68" t="s">
        <v>1478</v>
      </c>
      <c r="E729" s="64" t="s">
        <v>235</v>
      </c>
      <c r="F729" s="64" t="s">
        <v>223</v>
      </c>
      <c r="G729" s="18" t="s">
        <v>829</v>
      </c>
      <c r="H729" s="14">
        <v>3765398.1</v>
      </c>
      <c r="I729" s="14">
        <v>4183629.6473699999</v>
      </c>
      <c r="J729" s="14">
        <v>4170784.7097900002</v>
      </c>
      <c r="K729" s="78">
        <f t="shared" si="343"/>
        <v>99.692971446741836</v>
      </c>
      <c r="L729" s="14"/>
      <c r="M729" s="50"/>
      <c r="N729" s="50"/>
    </row>
    <row r="730" spans="1:14" ht="218.4" x14ac:dyDescent="0.3">
      <c r="A730" s="8" t="s">
        <v>1271</v>
      </c>
      <c r="B730" s="62" t="s">
        <v>929</v>
      </c>
      <c r="C730" s="68" t="s">
        <v>1374</v>
      </c>
      <c r="D730" s="68" t="s">
        <v>1478</v>
      </c>
      <c r="E730" s="64" t="s">
        <v>702</v>
      </c>
      <c r="F730" s="64"/>
      <c r="G730" s="60" t="s">
        <v>764</v>
      </c>
      <c r="H730" s="14">
        <f t="shared" ref="H730:L730" si="351">H731</f>
        <v>71683.464000000007</v>
      </c>
      <c r="I730" s="14">
        <f t="shared" si="351"/>
        <v>70580.164000000004</v>
      </c>
      <c r="J730" s="14">
        <f t="shared" si="351"/>
        <v>68095.143790000002</v>
      </c>
      <c r="K730" s="78">
        <f t="shared" si="343"/>
        <v>96.479152117016895</v>
      </c>
      <c r="L730" s="14">
        <f t="shared" si="351"/>
        <v>0</v>
      </c>
      <c r="M730" s="50"/>
      <c r="N730" s="50"/>
    </row>
    <row r="731" spans="1:14" ht="31.2" x14ac:dyDescent="0.3">
      <c r="A731" s="8" t="s">
        <v>1271</v>
      </c>
      <c r="B731" s="62" t="s">
        <v>929</v>
      </c>
      <c r="C731" s="68" t="s">
        <v>1374</v>
      </c>
      <c r="D731" s="68" t="s">
        <v>1478</v>
      </c>
      <c r="E731" s="64" t="s">
        <v>702</v>
      </c>
      <c r="F731" s="45" t="s">
        <v>402</v>
      </c>
      <c r="G731" s="23" t="s">
        <v>819</v>
      </c>
      <c r="H731" s="14">
        <f>H732+H733</f>
        <v>71683.464000000007</v>
      </c>
      <c r="I731" s="14">
        <f>I732+I733</f>
        <v>70580.164000000004</v>
      </c>
      <c r="J731" s="14">
        <f t="shared" ref="J731" si="352">J732+J733</f>
        <v>68095.143790000002</v>
      </c>
      <c r="K731" s="78">
        <f t="shared" si="343"/>
        <v>96.479152117016895</v>
      </c>
      <c r="L731" s="14">
        <f>L732+L733</f>
        <v>0</v>
      </c>
      <c r="M731" s="50"/>
      <c r="N731" s="50"/>
    </row>
    <row r="732" spans="1:14" x14ac:dyDescent="0.3">
      <c r="A732" s="8" t="s">
        <v>1271</v>
      </c>
      <c r="B732" s="62" t="s">
        <v>929</v>
      </c>
      <c r="C732" s="68" t="s">
        <v>1374</v>
      </c>
      <c r="D732" s="68" t="s">
        <v>1478</v>
      </c>
      <c r="E732" s="64" t="s">
        <v>702</v>
      </c>
      <c r="F732" s="8" t="s">
        <v>726</v>
      </c>
      <c r="G732" s="13" t="s">
        <v>820</v>
      </c>
      <c r="H732" s="14">
        <v>34768.199999999997</v>
      </c>
      <c r="I732" s="14">
        <v>39152.467210000003</v>
      </c>
      <c r="J732" s="14">
        <v>39152.467210000003</v>
      </c>
      <c r="K732" s="78">
        <f t="shared" si="343"/>
        <v>100</v>
      </c>
      <c r="L732" s="14"/>
      <c r="M732" s="50"/>
      <c r="N732" s="50"/>
    </row>
    <row r="733" spans="1:14" x14ac:dyDescent="0.3">
      <c r="A733" s="8" t="s">
        <v>1271</v>
      </c>
      <c r="B733" s="62" t="s">
        <v>929</v>
      </c>
      <c r="C733" s="68" t="s">
        <v>1374</v>
      </c>
      <c r="D733" s="68" t="s">
        <v>1478</v>
      </c>
      <c r="E733" s="64" t="s">
        <v>702</v>
      </c>
      <c r="F733" s="64" t="s">
        <v>223</v>
      </c>
      <c r="G733" s="18" t="s">
        <v>829</v>
      </c>
      <c r="H733" s="14">
        <v>36915.264000000003</v>
      </c>
      <c r="I733" s="14">
        <v>31427.696790000002</v>
      </c>
      <c r="J733" s="14">
        <v>28942.676579999999</v>
      </c>
      <c r="K733" s="78">
        <f t="shared" si="343"/>
        <v>92.092897463645158</v>
      </c>
      <c r="L733" s="14"/>
      <c r="M733" s="50"/>
      <c r="N733" s="50"/>
    </row>
    <row r="734" spans="1:14" ht="31.2" x14ac:dyDescent="0.3">
      <c r="A734" s="8" t="s">
        <v>1271</v>
      </c>
      <c r="B734" s="62" t="s">
        <v>929</v>
      </c>
      <c r="C734" s="68" t="s">
        <v>1374</v>
      </c>
      <c r="D734" s="68" t="s">
        <v>1478</v>
      </c>
      <c r="E734" s="64" t="s">
        <v>454</v>
      </c>
      <c r="F734" s="64"/>
      <c r="G734" s="18" t="s">
        <v>1133</v>
      </c>
      <c r="H734" s="14">
        <f t="shared" ref="H734:L735" si="353">H735</f>
        <v>3595.2</v>
      </c>
      <c r="I734" s="14">
        <f t="shared" si="353"/>
        <v>3595.2</v>
      </c>
      <c r="J734" s="14">
        <f t="shared" si="353"/>
        <v>3595.1997099999999</v>
      </c>
      <c r="K734" s="78">
        <f t="shared" si="343"/>
        <v>99.999991933689373</v>
      </c>
      <c r="L734" s="14">
        <f t="shared" si="353"/>
        <v>0</v>
      </c>
      <c r="M734" s="50"/>
      <c r="N734" s="50"/>
    </row>
    <row r="735" spans="1:14" ht="46.8" x14ac:dyDescent="0.3">
      <c r="A735" s="8" t="s">
        <v>1271</v>
      </c>
      <c r="B735" s="62" t="s">
        <v>929</v>
      </c>
      <c r="C735" s="68" t="s">
        <v>1374</v>
      </c>
      <c r="D735" s="68" t="s">
        <v>1478</v>
      </c>
      <c r="E735" s="64" t="s">
        <v>455</v>
      </c>
      <c r="F735" s="64"/>
      <c r="G735" s="18" t="s">
        <v>1134</v>
      </c>
      <c r="H735" s="14">
        <f t="shared" si="353"/>
        <v>3595.2</v>
      </c>
      <c r="I735" s="14">
        <f t="shared" si="353"/>
        <v>3595.2</v>
      </c>
      <c r="J735" s="14">
        <f t="shared" si="353"/>
        <v>3595.1997099999999</v>
      </c>
      <c r="K735" s="78">
        <f t="shared" si="343"/>
        <v>99.999991933689373</v>
      </c>
      <c r="L735" s="14">
        <f t="shared" si="353"/>
        <v>0</v>
      </c>
      <c r="M735" s="50"/>
      <c r="N735" s="50"/>
    </row>
    <row r="736" spans="1:14" ht="31.2" x14ac:dyDescent="0.3">
      <c r="A736" s="8" t="s">
        <v>1271</v>
      </c>
      <c r="B736" s="62" t="s">
        <v>929</v>
      </c>
      <c r="C736" s="68" t="s">
        <v>1374</v>
      </c>
      <c r="D736" s="68" t="s">
        <v>1478</v>
      </c>
      <c r="E736" s="64" t="s">
        <v>475</v>
      </c>
      <c r="F736" s="64"/>
      <c r="G736" s="18" t="s">
        <v>46</v>
      </c>
      <c r="H736" s="14">
        <f t="shared" ref="H736:L737" si="354">H737</f>
        <v>3595.2</v>
      </c>
      <c r="I736" s="14">
        <f t="shared" si="354"/>
        <v>3595.2</v>
      </c>
      <c r="J736" s="14">
        <f t="shared" si="354"/>
        <v>3595.1997099999999</v>
      </c>
      <c r="K736" s="78">
        <f t="shared" si="343"/>
        <v>99.999991933689373</v>
      </c>
      <c r="L736" s="14">
        <f t="shared" si="354"/>
        <v>0</v>
      </c>
      <c r="M736" s="50"/>
      <c r="N736" s="50"/>
    </row>
    <row r="737" spans="1:14" ht="31.2" x14ac:dyDescent="0.3">
      <c r="A737" s="8" t="s">
        <v>1271</v>
      </c>
      <c r="B737" s="62" t="s">
        <v>929</v>
      </c>
      <c r="C737" s="68" t="s">
        <v>1374</v>
      </c>
      <c r="D737" s="68" t="s">
        <v>1478</v>
      </c>
      <c r="E737" s="64" t="s">
        <v>475</v>
      </c>
      <c r="F737" s="45" t="s">
        <v>402</v>
      </c>
      <c r="G737" s="23" t="s">
        <v>819</v>
      </c>
      <c r="H737" s="14">
        <f t="shared" si="354"/>
        <v>3595.2</v>
      </c>
      <c r="I737" s="14">
        <f t="shared" si="354"/>
        <v>3595.2</v>
      </c>
      <c r="J737" s="14">
        <f t="shared" si="354"/>
        <v>3595.1997099999999</v>
      </c>
      <c r="K737" s="78">
        <f t="shared" si="343"/>
        <v>99.999991933689373</v>
      </c>
      <c r="L737" s="14">
        <f t="shared" si="354"/>
        <v>0</v>
      </c>
      <c r="M737" s="50"/>
      <c r="N737" s="50"/>
    </row>
    <row r="738" spans="1:14" ht="46.8" x14ac:dyDescent="0.3">
      <c r="A738" s="8" t="s">
        <v>1271</v>
      </c>
      <c r="B738" s="62" t="s">
        <v>929</v>
      </c>
      <c r="C738" s="68" t="s">
        <v>1374</v>
      </c>
      <c r="D738" s="68" t="s">
        <v>1478</v>
      </c>
      <c r="E738" s="64" t="s">
        <v>475</v>
      </c>
      <c r="F738" s="45" t="s">
        <v>280</v>
      </c>
      <c r="G738" s="23" t="s">
        <v>821</v>
      </c>
      <c r="H738" s="14">
        <f>4721.7-1126.5</f>
        <v>3595.2</v>
      </c>
      <c r="I738" s="14">
        <v>3595.2</v>
      </c>
      <c r="J738" s="19">
        <v>3595.1997099999999</v>
      </c>
      <c r="K738" s="75">
        <f t="shared" si="343"/>
        <v>99.999991933689373</v>
      </c>
      <c r="L738" s="14"/>
      <c r="M738" s="50"/>
      <c r="N738" s="50"/>
    </row>
    <row r="739" spans="1:14" ht="31.2" x14ac:dyDescent="0.3">
      <c r="A739" s="8" t="s">
        <v>1271</v>
      </c>
      <c r="B739" s="62" t="s">
        <v>929</v>
      </c>
      <c r="C739" s="68" t="s">
        <v>1374</v>
      </c>
      <c r="D739" s="68" t="s">
        <v>1478</v>
      </c>
      <c r="E739" s="64" t="s">
        <v>457</v>
      </c>
      <c r="F739" s="64"/>
      <c r="G739" s="18" t="s">
        <v>140</v>
      </c>
      <c r="H739" s="14">
        <f t="shared" ref="H739:L741" si="355">H740</f>
        <v>208845.38</v>
      </c>
      <c r="I739" s="14">
        <f t="shared" si="355"/>
        <v>208845.37999999998</v>
      </c>
      <c r="J739" s="14">
        <f t="shared" si="355"/>
        <v>208844.83299999998</v>
      </c>
      <c r="K739" s="78">
        <f t="shared" si="343"/>
        <v>99.999738083744063</v>
      </c>
      <c r="L739" s="14">
        <f t="shared" si="355"/>
        <v>0</v>
      </c>
      <c r="M739" s="50"/>
      <c r="N739" s="50"/>
    </row>
    <row r="740" spans="1:14" ht="46.8" x14ac:dyDescent="0.3">
      <c r="A740" s="8" t="s">
        <v>1271</v>
      </c>
      <c r="B740" s="62" t="s">
        <v>929</v>
      </c>
      <c r="C740" s="68" t="s">
        <v>1374</v>
      </c>
      <c r="D740" s="68" t="s">
        <v>1478</v>
      </c>
      <c r="E740" s="64" t="s">
        <v>458</v>
      </c>
      <c r="F740" s="64"/>
      <c r="G740" s="18" t="s">
        <v>1213</v>
      </c>
      <c r="H740" s="14">
        <f>H741+H745</f>
        <v>208845.38</v>
      </c>
      <c r="I740" s="14">
        <f>I741+I745</f>
        <v>208845.37999999998</v>
      </c>
      <c r="J740" s="14">
        <f t="shared" ref="J740" si="356">J741+J745</f>
        <v>208844.83299999998</v>
      </c>
      <c r="K740" s="78">
        <f t="shared" si="343"/>
        <v>99.999738083744063</v>
      </c>
      <c r="L740" s="14">
        <f>L741+L745</f>
        <v>0</v>
      </c>
      <c r="M740" s="50"/>
      <c r="N740" s="50"/>
    </row>
    <row r="741" spans="1:14" ht="62.4" x14ac:dyDescent="0.3">
      <c r="A741" s="8" t="s">
        <v>1271</v>
      </c>
      <c r="B741" s="62" t="s">
        <v>929</v>
      </c>
      <c r="C741" s="68" t="s">
        <v>1374</v>
      </c>
      <c r="D741" s="68" t="s">
        <v>1478</v>
      </c>
      <c r="E741" s="64" t="s">
        <v>460</v>
      </c>
      <c r="F741" s="64"/>
      <c r="G741" s="18" t="s">
        <v>1136</v>
      </c>
      <c r="H741" s="14">
        <f t="shared" si="355"/>
        <v>183738.08</v>
      </c>
      <c r="I741" s="14">
        <f t="shared" si="355"/>
        <v>183738.08</v>
      </c>
      <c r="J741" s="14">
        <f t="shared" si="355"/>
        <v>183737.533</v>
      </c>
      <c r="K741" s="78">
        <f t="shared" si="343"/>
        <v>99.999702293612742</v>
      </c>
      <c r="L741" s="14">
        <f t="shared" si="355"/>
        <v>0</v>
      </c>
      <c r="M741" s="50"/>
      <c r="N741" s="50"/>
    </row>
    <row r="742" spans="1:14" ht="31.2" x14ac:dyDescent="0.3">
      <c r="A742" s="8" t="s">
        <v>1271</v>
      </c>
      <c r="B742" s="62" t="s">
        <v>929</v>
      </c>
      <c r="C742" s="68" t="s">
        <v>1374</v>
      </c>
      <c r="D742" s="68" t="s">
        <v>1478</v>
      </c>
      <c r="E742" s="64" t="s">
        <v>460</v>
      </c>
      <c r="F742" s="45" t="s">
        <v>402</v>
      </c>
      <c r="G742" s="23" t="s">
        <v>819</v>
      </c>
      <c r="H742" s="14">
        <f>H744+H743</f>
        <v>183738.08</v>
      </c>
      <c r="I742" s="14">
        <f t="shared" ref="I742:L742" si="357">I744+I743</f>
        <v>183738.08</v>
      </c>
      <c r="J742" s="14">
        <f t="shared" si="357"/>
        <v>183737.533</v>
      </c>
      <c r="K742" s="78">
        <f t="shared" si="343"/>
        <v>99.999702293612742</v>
      </c>
      <c r="L742" s="14">
        <f t="shared" si="357"/>
        <v>0</v>
      </c>
      <c r="M742" s="50"/>
      <c r="N742" s="50"/>
    </row>
    <row r="743" spans="1:14" x14ac:dyDescent="0.3">
      <c r="A743" s="8" t="s">
        <v>1271</v>
      </c>
      <c r="B743" s="62" t="s">
        <v>929</v>
      </c>
      <c r="C743" s="68" t="s">
        <v>1374</v>
      </c>
      <c r="D743" s="68" t="s">
        <v>1478</v>
      </c>
      <c r="E743" s="64" t="s">
        <v>460</v>
      </c>
      <c r="F743" s="8" t="s">
        <v>726</v>
      </c>
      <c r="G743" s="13" t="s">
        <v>820</v>
      </c>
      <c r="H743" s="20">
        <v>0</v>
      </c>
      <c r="I743" s="14">
        <v>197</v>
      </c>
      <c r="J743" s="14">
        <v>197</v>
      </c>
      <c r="K743" s="78">
        <f t="shared" si="343"/>
        <v>100</v>
      </c>
      <c r="L743" s="14"/>
      <c r="M743" s="50"/>
      <c r="N743" s="50"/>
    </row>
    <row r="744" spans="1:14" x14ac:dyDescent="0.3">
      <c r="A744" s="8" t="s">
        <v>1271</v>
      </c>
      <c r="B744" s="62" t="s">
        <v>929</v>
      </c>
      <c r="C744" s="68" t="s">
        <v>1374</v>
      </c>
      <c r="D744" s="68" t="s">
        <v>1478</v>
      </c>
      <c r="E744" s="64" t="s">
        <v>460</v>
      </c>
      <c r="F744" s="64" t="s">
        <v>223</v>
      </c>
      <c r="G744" s="18" t="s">
        <v>829</v>
      </c>
      <c r="H744" s="14">
        <f>88527.1+38917.259+43839.26-3007.219+12809.693+2651.987</f>
        <v>183738.08</v>
      </c>
      <c r="I744" s="14">
        <v>183541.08</v>
      </c>
      <c r="J744" s="14">
        <v>183540.533</v>
      </c>
      <c r="K744" s="78">
        <f t="shared" si="343"/>
        <v>99.999701974075776</v>
      </c>
      <c r="L744" s="14"/>
      <c r="M744" s="50"/>
      <c r="N744" s="50"/>
    </row>
    <row r="745" spans="1:14" ht="62.4" x14ac:dyDescent="0.3">
      <c r="A745" s="8" t="s">
        <v>1271</v>
      </c>
      <c r="B745" s="62" t="s">
        <v>929</v>
      </c>
      <c r="C745" s="68" t="s">
        <v>1374</v>
      </c>
      <c r="D745" s="68" t="s">
        <v>1478</v>
      </c>
      <c r="E745" s="64" t="s">
        <v>1363</v>
      </c>
      <c r="F745" s="45"/>
      <c r="G745" s="32" t="s">
        <v>733</v>
      </c>
      <c r="H745" s="14">
        <f t="shared" ref="H745:L746" si="358">H746</f>
        <v>25107.300000000003</v>
      </c>
      <c r="I745" s="14">
        <f t="shared" si="358"/>
        <v>25107.3</v>
      </c>
      <c r="J745" s="14">
        <f t="shared" si="358"/>
        <v>25107.3</v>
      </c>
      <c r="K745" s="78">
        <f t="shared" si="343"/>
        <v>100</v>
      </c>
      <c r="L745" s="14">
        <f t="shared" si="358"/>
        <v>0</v>
      </c>
      <c r="M745" s="50"/>
      <c r="N745" s="50"/>
    </row>
    <row r="746" spans="1:14" ht="31.2" x14ac:dyDescent="0.3">
      <c r="A746" s="8" t="s">
        <v>1271</v>
      </c>
      <c r="B746" s="62" t="s">
        <v>929</v>
      </c>
      <c r="C746" s="68" t="s">
        <v>1374</v>
      </c>
      <c r="D746" s="68" t="s">
        <v>1478</v>
      </c>
      <c r="E746" s="64" t="s">
        <v>1363</v>
      </c>
      <c r="F746" s="45" t="s">
        <v>402</v>
      </c>
      <c r="G746" s="23" t="s">
        <v>819</v>
      </c>
      <c r="H746" s="14">
        <f t="shared" si="358"/>
        <v>25107.300000000003</v>
      </c>
      <c r="I746" s="14">
        <f t="shared" si="358"/>
        <v>25107.3</v>
      </c>
      <c r="J746" s="14">
        <f t="shared" si="358"/>
        <v>25107.3</v>
      </c>
      <c r="K746" s="78">
        <f t="shared" si="343"/>
        <v>100</v>
      </c>
      <c r="L746" s="14">
        <f t="shared" si="358"/>
        <v>0</v>
      </c>
      <c r="M746" s="50"/>
      <c r="N746" s="50"/>
    </row>
    <row r="747" spans="1:14" x14ac:dyDescent="0.3">
      <c r="A747" s="8" t="s">
        <v>1271</v>
      </c>
      <c r="B747" s="62" t="s">
        <v>929</v>
      </c>
      <c r="C747" s="68" t="s">
        <v>1374</v>
      </c>
      <c r="D747" s="68" t="s">
        <v>1478</v>
      </c>
      <c r="E747" s="64" t="s">
        <v>1363</v>
      </c>
      <c r="F747" s="64" t="s">
        <v>223</v>
      </c>
      <c r="G747" s="18" t="s">
        <v>829</v>
      </c>
      <c r="H747" s="14">
        <f>96672.5-41615.7-29949.5</f>
        <v>25107.300000000003</v>
      </c>
      <c r="I747" s="14">
        <v>25107.3</v>
      </c>
      <c r="J747" s="19">
        <v>25107.3</v>
      </c>
      <c r="K747" s="75">
        <f t="shared" si="343"/>
        <v>100</v>
      </c>
      <c r="L747" s="14"/>
      <c r="M747" s="50"/>
      <c r="N747" s="50"/>
    </row>
    <row r="748" spans="1:14" ht="31.2" x14ac:dyDescent="0.3">
      <c r="A748" s="8" t="s">
        <v>1271</v>
      </c>
      <c r="B748" s="62" t="s">
        <v>929</v>
      </c>
      <c r="C748" s="68" t="s">
        <v>1374</v>
      </c>
      <c r="D748" s="68" t="s">
        <v>1478</v>
      </c>
      <c r="E748" s="64" t="s">
        <v>461</v>
      </c>
      <c r="F748" s="64"/>
      <c r="G748" s="23" t="s">
        <v>1137</v>
      </c>
      <c r="H748" s="14">
        <f t="shared" ref="H748:L748" si="359">H749</f>
        <v>123710.443</v>
      </c>
      <c r="I748" s="14">
        <f t="shared" si="359"/>
        <v>123710.443</v>
      </c>
      <c r="J748" s="14">
        <f t="shared" si="359"/>
        <v>123705.69243000001</v>
      </c>
      <c r="K748" s="78">
        <f t="shared" si="343"/>
        <v>99.996159928066874</v>
      </c>
      <c r="L748" s="14">
        <f t="shared" si="359"/>
        <v>0</v>
      </c>
      <c r="M748" s="50"/>
      <c r="N748" s="50"/>
    </row>
    <row r="749" spans="1:14" ht="46.8" x14ac:dyDescent="0.3">
      <c r="A749" s="8" t="s">
        <v>1271</v>
      </c>
      <c r="B749" s="62" t="s">
        <v>929</v>
      </c>
      <c r="C749" s="68" t="s">
        <v>1374</v>
      </c>
      <c r="D749" s="68" t="s">
        <v>1478</v>
      </c>
      <c r="E749" s="64" t="s">
        <v>476</v>
      </c>
      <c r="F749" s="64"/>
      <c r="G749" s="18" t="s">
        <v>141</v>
      </c>
      <c r="H749" s="14">
        <f t="shared" ref="H749:L749" si="360">H750+H765</f>
        <v>123710.443</v>
      </c>
      <c r="I749" s="14">
        <f t="shared" si="360"/>
        <v>123710.443</v>
      </c>
      <c r="J749" s="14">
        <f t="shared" si="360"/>
        <v>123705.69243000001</v>
      </c>
      <c r="K749" s="78">
        <f t="shared" si="343"/>
        <v>99.996159928066874</v>
      </c>
      <c r="L749" s="14">
        <f t="shared" si="360"/>
        <v>0</v>
      </c>
      <c r="M749" s="50"/>
      <c r="N749" s="50"/>
    </row>
    <row r="750" spans="1:14" ht="62.4" x14ac:dyDescent="0.3">
      <c r="A750" s="8" t="s">
        <v>1271</v>
      </c>
      <c r="B750" s="62" t="s">
        <v>929</v>
      </c>
      <c r="C750" s="68" t="s">
        <v>1374</v>
      </c>
      <c r="D750" s="68" t="s">
        <v>1478</v>
      </c>
      <c r="E750" s="64" t="s">
        <v>477</v>
      </c>
      <c r="F750" s="64"/>
      <c r="G750" s="23" t="s">
        <v>1326</v>
      </c>
      <c r="H750" s="14">
        <f>H755+H751+H759+H762</f>
        <v>89609.21</v>
      </c>
      <c r="I750" s="14">
        <f>I755+I751+I759+I762</f>
        <v>89609.21</v>
      </c>
      <c r="J750" s="14">
        <f t="shared" ref="J750:L750" si="361">J755+J751+J759+J762</f>
        <v>89609.21</v>
      </c>
      <c r="K750" s="78">
        <f t="shared" si="343"/>
        <v>100</v>
      </c>
      <c r="L750" s="14">
        <f t="shared" si="361"/>
        <v>0</v>
      </c>
      <c r="M750" s="50"/>
      <c r="N750" s="50"/>
    </row>
    <row r="751" spans="1:14" ht="31.2" x14ac:dyDescent="0.3">
      <c r="A751" s="8" t="s">
        <v>1271</v>
      </c>
      <c r="B751" s="62" t="s">
        <v>929</v>
      </c>
      <c r="C751" s="68" t="s">
        <v>1374</v>
      </c>
      <c r="D751" s="68" t="s">
        <v>1478</v>
      </c>
      <c r="E751" s="64" t="s">
        <v>523</v>
      </c>
      <c r="F751" s="64"/>
      <c r="G751" s="13" t="s">
        <v>1139</v>
      </c>
      <c r="H751" s="14">
        <f t="shared" ref="H751:L752" si="362">H752</f>
        <v>2092.2999999999993</v>
      </c>
      <c r="I751" s="14">
        <f t="shared" si="362"/>
        <v>2092.3000000000002</v>
      </c>
      <c r="J751" s="14">
        <f t="shared" si="362"/>
        <v>2092.3000000000002</v>
      </c>
      <c r="K751" s="78">
        <f t="shared" si="343"/>
        <v>100</v>
      </c>
      <c r="L751" s="14">
        <f t="shared" si="362"/>
        <v>0</v>
      </c>
      <c r="M751" s="50"/>
      <c r="N751" s="50"/>
    </row>
    <row r="752" spans="1:14" ht="31.2" x14ac:dyDescent="0.3">
      <c r="A752" s="8" t="s">
        <v>1271</v>
      </c>
      <c r="B752" s="62" t="s">
        <v>929</v>
      </c>
      <c r="C752" s="68" t="s">
        <v>1374</v>
      </c>
      <c r="D752" s="68" t="s">
        <v>1478</v>
      </c>
      <c r="E752" s="64" t="s">
        <v>523</v>
      </c>
      <c r="F752" s="45" t="s">
        <v>478</v>
      </c>
      <c r="G752" s="23" t="s">
        <v>817</v>
      </c>
      <c r="H752" s="14">
        <f t="shared" si="362"/>
        <v>2092.2999999999993</v>
      </c>
      <c r="I752" s="14">
        <f>I753+I754</f>
        <v>2092.3000000000002</v>
      </c>
      <c r="J752" s="14">
        <f t="shared" ref="J752:L752" si="363">J753+J754</f>
        <v>2092.3000000000002</v>
      </c>
      <c r="K752" s="78">
        <f t="shared" si="343"/>
        <v>100</v>
      </c>
      <c r="L752" s="14">
        <f t="shared" si="363"/>
        <v>0</v>
      </c>
      <c r="M752" s="50"/>
      <c r="N752" s="50"/>
    </row>
    <row r="753" spans="1:14" hidden="1" x14ac:dyDescent="0.3">
      <c r="A753" s="8" t="s">
        <v>1271</v>
      </c>
      <c r="B753" s="62" t="s">
        <v>929</v>
      </c>
      <c r="C753" s="68" t="s">
        <v>1374</v>
      </c>
      <c r="D753" s="68" t="s">
        <v>1478</v>
      </c>
      <c r="E753" s="64" t="s">
        <v>523</v>
      </c>
      <c r="F753" s="45" t="s">
        <v>1273</v>
      </c>
      <c r="G753" s="23" t="s">
        <v>818</v>
      </c>
      <c r="H753" s="14">
        <f>17564.296-15471.996</f>
        <v>2092.2999999999993</v>
      </c>
      <c r="I753" s="14">
        <v>0</v>
      </c>
      <c r="J753" s="19">
        <v>0</v>
      </c>
      <c r="K753" s="75" t="e">
        <f t="shared" si="343"/>
        <v>#DIV/0!</v>
      </c>
      <c r="L753" s="14"/>
      <c r="M753" s="50">
        <v>111</v>
      </c>
      <c r="N753" s="50"/>
    </row>
    <row r="754" spans="1:14" ht="109.2" x14ac:dyDescent="0.3">
      <c r="A754" s="8" t="s">
        <v>1271</v>
      </c>
      <c r="B754" s="62" t="s">
        <v>929</v>
      </c>
      <c r="C754" s="68" t="s">
        <v>1374</v>
      </c>
      <c r="D754" s="68" t="s">
        <v>1478</v>
      </c>
      <c r="E754" s="64" t="s">
        <v>523</v>
      </c>
      <c r="F754" s="45" t="s">
        <v>725</v>
      </c>
      <c r="G754" s="23" t="s">
        <v>828</v>
      </c>
      <c r="H754" s="20">
        <v>0</v>
      </c>
      <c r="I754" s="14">
        <v>2092.3000000000002</v>
      </c>
      <c r="J754" s="19">
        <v>2092.3000000000002</v>
      </c>
      <c r="K754" s="75">
        <f t="shared" si="343"/>
        <v>100</v>
      </c>
      <c r="L754" s="14"/>
      <c r="M754" s="50"/>
      <c r="N754" s="50"/>
    </row>
    <row r="755" spans="1:14" ht="31.2" x14ac:dyDescent="0.3">
      <c r="A755" s="8" t="s">
        <v>1271</v>
      </c>
      <c r="B755" s="62" t="s">
        <v>929</v>
      </c>
      <c r="C755" s="68" t="s">
        <v>1374</v>
      </c>
      <c r="D755" s="68" t="s">
        <v>1478</v>
      </c>
      <c r="E755" s="64" t="s">
        <v>524</v>
      </c>
      <c r="F755" s="64"/>
      <c r="G755" s="13" t="s">
        <v>7</v>
      </c>
      <c r="H755" s="14">
        <f t="shared" ref="H755:L756" si="364">H756</f>
        <v>25285.4</v>
      </c>
      <c r="I755" s="14">
        <f t="shared" si="364"/>
        <v>25285.4</v>
      </c>
      <c r="J755" s="14">
        <f t="shared" si="364"/>
        <v>25285.4</v>
      </c>
      <c r="K755" s="78">
        <f t="shared" si="343"/>
        <v>100</v>
      </c>
      <c r="L755" s="14">
        <f t="shared" si="364"/>
        <v>0</v>
      </c>
      <c r="M755" s="50"/>
      <c r="N755" s="50"/>
    </row>
    <row r="756" spans="1:14" ht="31.2" x14ac:dyDescent="0.3">
      <c r="A756" s="8" t="s">
        <v>1271</v>
      </c>
      <c r="B756" s="62" t="s">
        <v>929</v>
      </c>
      <c r="C756" s="68" t="s">
        <v>1374</v>
      </c>
      <c r="D756" s="68" t="s">
        <v>1478</v>
      </c>
      <c r="E756" s="64" t="s">
        <v>524</v>
      </c>
      <c r="F756" s="45" t="s">
        <v>478</v>
      </c>
      <c r="G756" s="23" t="s">
        <v>817</v>
      </c>
      <c r="H756" s="14">
        <f t="shared" si="364"/>
        <v>25285.4</v>
      </c>
      <c r="I756" s="14">
        <f>I757+I758</f>
        <v>25285.4</v>
      </c>
      <c r="J756" s="14">
        <f t="shared" ref="J756:L756" si="365">J757+J758</f>
        <v>25285.4</v>
      </c>
      <c r="K756" s="78">
        <f t="shared" si="343"/>
        <v>100</v>
      </c>
      <c r="L756" s="14">
        <f t="shared" si="365"/>
        <v>0</v>
      </c>
      <c r="M756" s="50"/>
      <c r="N756" s="50"/>
    </row>
    <row r="757" spans="1:14" hidden="1" x14ac:dyDescent="0.3">
      <c r="A757" s="8" t="s">
        <v>1271</v>
      </c>
      <c r="B757" s="62" t="s">
        <v>929</v>
      </c>
      <c r="C757" s="68" t="s">
        <v>1374</v>
      </c>
      <c r="D757" s="68" t="s">
        <v>1478</v>
      </c>
      <c r="E757" s="64" t="s">
        <v>524</v>
      </c>
      <c r="F757" s="45" t="s">
        <v>1273</v>
      </c>
      <c r="G757" s="23" t="s">
        <v>818</v>
      </c>
      <c r="H757" s="14">
        <v>25285.4</v>
      </c>
      <c r="I757" s="14">
        <v>0</v>
      </c>
      <c r="J757" s="19">
        <v>0</v>
      </c>
      <c r="K757" s="75" t="e">
        <f t="shared" si="343"/>
        <v>#DIV/0!</v>
      </c>
      <c r="L757" s="14"/>
      <c r="M757" s="50">
        <v>111</v>
      </c>
      <c r="N757" s="50"/>
    </row>
    <row r="758" spans="1:14" ht="109.2" x14ac:dyDescent="0.3">
      <c r="A758" s="8" t="s">
        <v>1271</v>
      </c>
      <c r="B758" s="62" t="s">
        <v>929</v>
      </c>
      <c r="C758" s="68" t="s">
        <v>1374</v>
      </c>
      <c r="D758" s="68" t="s">
        <v>1478</v>
      </c>
      <c r="E758" s="64" t="s">
        <v>524</v>
      </c>
      <c r="F758" s="45" t="s">
        <v>725</v>
      </c>
      <c r="G758" s="23" t="s">
        <v>828</v>
      </c>
      <c r="H758" s="20">
        <v>0</v>
      </c>
      <c r="I758" s="14">
        <v>25285.4</v>
      </c>
      <c r="J758" s="19">
        <v>25285.4</v>
      </c>
      <c r="K758" s="75">
        <f t="shared" si="343"/>
        <v>100</v>
      </c>
      <c r="L758" s="14"/>
      <c r="M758" s="50"/>
      <c r="N758" s="50"/>
    </row>
    <row r="759" spans="1:14" ht="46.8" hidden="1" x14ac:dyDescent="0.3">
      <c r="A759" s="8" t="s">
        <v>1271</v>
      </c>
      <c r="B759" s="62" t="s">
        <v>929</v>
      </c>
      <c r="C759" s="68" t="s">
        <v>1374</v>
      </c>
      <c r="D759" s="68" t="s">
        <v>1478</v>
      </c>
      <c r="E759" s="64" t="s">
        <v>953</v>
      </c>
      <c r="F759" s="45"/>
      <c r="G759" s="23" t="s">
        <v>1000</v>
      </c>
      <c r="H759" s="20">
        <f>H760</f>
        <v>62231.51</v>
      </c>
      <c r="I759" s="20">
        <f t="shared" ref="I759:L760" si="366">I760</f>
        <v>0</v>
      </c>
      <c r="J759" s="20">
        <f t="shared" si="366"/>
        <v>0</v>
      </c>
      <c r="K759" s="77" t="e">
        <f t="shared" si="343"/>
        <v>#DIV/0!</v>
      </c>
      <c r="L759" s="20">
        <f t="shared" si="366"/>
        <v>0</v>
      </c>
      <c r="M759" s="50">
        <v>111</v>
      </c>
      <c r="N759" s="50"/>
    </row>
    <row r="760" spans="1:14" ht="31.2" hidden="1" x14ac:dyDescent="0.3">
      <c r="A760" s="8" t="s">
        <v>1271</v>
      </c>
      <c r="B760" s="62" t="s">
        <v>929</v>
      </c>
      <c r="C760" s="68" t="s">
        <v>1374</v>
      </c>
      <c r="D760" s="68" t="s">
        <v>1478</v>
      </c>
      <c r="E760" s="64" t="s">
        <v>953</v>
      </c>
      <c r="F760" s="45" t="s">
        <v>478</v>
      </c>
      <c r="G760" s="23" t="s">
        <v>817</v>
      </c>
      <c r="H760" s="20">
        <f>H761</f>
        <v>62231.51</v>
      </c>
      <c r="I760" s="20">
        <f t="shared" si="366"/>
        <v>0</v>
      </c>
      <c r="J760" s="20">
        <f t="shared" si="366"/>
        <v>0</v>
      </c>
      <c r="K760" s="77" t="e">
        <f t="shared" si="343"/>
        <v>#DIV/0!</v>
      </c>
      <c r="L760" s="20">
        <f t="shared" si="366"/>
        <v>0</v>
      </c>
      <c r="M760" s="50">
        <v>111</v>
      </c>
      <c r="N760" s="50"/>
    </row>
    <row r="761" spans="1:14" ht="109.2" hidden="1" x14ac:dyDescent="0.3">
      <c r="A761" s="8" t="s">
        <v>1271</v>
      </c>
      <c r="B761" s="62" t="s">
        <v>929</v>
      </c>
      <c r="C761" s="68" t="s">
        <v>1374</v>
      </c>
      <c r="D761" s="68" t="s">
        <v>1478</v>
      </c>
      <c r="E761" s="64" t="s">
        <v>953</v>
      </c>
      <c r="F761" s="45" t="s">
        <v>725</v>
      </c>
      <c r="G761" s="60" t="s">
        <v>828</v>
      </c>
      <c r="H761" s="20">
        <v>62231.51</v>
      </c>
      <c r="I761" s="14">
        <v>0</v>
      </c>
      <c r="J761" s="20">
        <v>0</v>
      </c>
      <c r="K761" s="77" t="e">
        <f t="shared" si="343"/>
        <v>#DIV/0!</v>
      </c>
      <c r="L761" s="14"/>
      <c r="M761" s="50">
        <v>111</v>
      </c>
      <c r="N761" s="50"/>
    </row>
    <row r="762" spans="1:14" ht="93.6" x14ac:dyDescent="0.3">
      <c r="A762" s="8" t="s">
        <v>1271</v>
      </c>
      <c r="B762" s="62" t="s">
        <v>929</v>
      </c>
      <c r="C762" s="68" t="s">
        <v>1374</v>
      </c>
      <c r="D762" s="68" t="s">
        <v>1478</v>
      </c>
      <c r="E762" s="8" t="s">
        <v>1016</v>
      </c>
      <c r="F762" s="8"/>
      <c r="G762" s="13" t="s">
        <v>26</v>
      </c>
      <c r="H762" s="20">
        <f>H763</f>
        <v>0</v>
      </c>
      <c r="I762" s="20">
        <f t="shared" ref="I762:L763" si="367">I763</f>
        <v>62231.51</v>
      </c>
      <c r="J762" s="20">
        <f>J763</f>
        <v>62231.51</v>
      </c>
      <c r="K762" s="77">
        <f t="shared" si="343"/>
        <v>100</v>
      </c>
      <c r="L762" s="20">
        <f t="shared" si="367"/>
        <v>0</v>
      </c>
      <c r="M762" s="50"/>
      <c r="N762" s="50"/>
    </row>
    <row r="763" spans="1:14" ht="31.2" x14ac:dyDescent="0.3">
      <c r="A763" s="8" t="s">
        <v>1271</v>
      </c>
      <c r="B763" s="62" t="s">
        <v>929</v>
      </c>
      <c r="C763" s="68" t="s">
        <v>1374</v>
      </c>
      <c r="D763" s="68" t="s">
        <v>1478</v>
      </c>
      <c r="E763" s="8" t="s">
        <v>1016</v>
      </c>
      <c r="F763" s="45" t="s">
        <v>478</v>
      </c>
      <c r="G763" s="23" t="s">
        <v>817</v>
      </c>
      <c r="H763" s="20">
        <f>H764</f>
        <v>0</v>
      </c>
      <c r="I763" s="20">
        <f t="shared" si="367"/>
        <v>62231.51</v>
      </c>
      <c r="J763" s="20">
        <f>J764</f>
        <v>62231.51</v>
      </c>
      <c r="K763" s="77">
        <f t="shared" si="343"/>
        <v>100</v>
      </c>
      <c r="L763" s="20">
        <f t="shared" si="367"/>
        <v>0</v>
      </c>
      <c r="M763" s="50"/>
      <c r="N763" s="50"/>
    </row>
    <row r="764" spans="1:14" ht="109.2" x14ac:dyDescent="0.3">
      <c r="A764" s="8" t="s">
        <v>1271</v>
      </c>
      <c r="B764" s="62" t="s">
        <v>929</v>
      </c>
      <c r="C764" s="68" t="s">
        <v>1374</v>
      </c>
      <c r="D764" s="68" t="s">
        <v>1478</v>
      </c>
      <c r="E764" s="8" t="s">
        <v>1016</v>
      </c>
      <c r="F764" s="45" t="s">
        <v>725</v>
      </c>
      <c r="G764" s="60" t="s">
        <v>828</v>
      </c>
      <c r="H764" s="19">
        <v>0</v>
      </c>
      <c r="I764" s="14">
        <v>62231.51</v>
      </c>
      <c r="J764" s="20">
        <v>62231.51</v>
      </c>
      <c r="K764" s="77">
        <f t="shared" si="343"/>
        <v>100</v>
      </c>
      <c r="L764" s="14"/>
      <c r="M764" s="50"/>
      <c r="N764" s="50"/>
    </row>
    <row r="765" spans="1:14" ht="46.8" x14ac:dyDescent="0.3">
      <c r="A765" s="8" t="s">
        <v>1271</v>
      </c>
      <c r="B765" s="62" t="s">
        <v>929</v>
      </c>
      <c r="C765" s="68" t="s">
        <v>1374</v>
      </c>
      <c r="D765" s="68" t="s">
        <v>1478</v>
      </c>
      <c r="E765" s="64" t="s">
        <v>237</v>
      </c>
      <c r="F765" s="45"/>
      <c r="G765" s="18" t="s">
        <v>1327</v>
      </c>
      <c r="H765" s="14">
        <f>H769+H772+H766+H775+H778+H781</f>
        <v>34101.233</v>
      </c>
      <c r="I765" s="14">
        <f>I769+I772+I766+I775+I778+I781</f>
        <v>34101.233</v>
      </c>
      <c r="J765" s="14">
        <f t="shared" ref="J765:L765" si="368">J769+J772+J766+J775+J778+J781</f>
        <v>34096.482430000004</v>
      </c>
      <c r="K765" s="78">
        <f t="shared" si="343"/>
        <v>99.986069213391787</v>
      </c>
      <c r="L765" s="14">
        <f t="shared" si="368"/>
        <v>0</v>
      </c>
      <c r="M765" s="50"/>
      <c r="N765" s="50"/>
    </row>
    <row r="766" spans="1:14" ht="31.2" x14ac:dyDescent="0.3">
      <c r="A766" s="8" t="s">
        <v>1271</v>
      </c>
      <c r="B766" s="62" t="s">
        <v>929</v>
      </c>
      <c r="C766" s="68" t="s">
        <v>1374</v>
      </c>
      <c r="D766" s="68" t="s">
        <v>1478</v>
      </c>
      <c r="E766" s="64" t="s">
        <v>290</v>
      </c>
      <c r="F766" s="45"/>
      <c r="G766" s="18" t="s">
        <v>1342</v>
      </c>
      <c r="H766" s="14">
        <f t="shared" ref="H766:L767" si="369">H767</f>
        <v>16000</v>
      </c>
      <c r="I766" s="14">
        <f t="shared" si="369"/>
        <v>16000</v>
      </c>
      <c r="J766" s="14">
        <f t="shared" si="369"/>
        <v>16000</v>
      </c>
      <c r="K766" s="78">
        <f t="shared" si="343"/>
        <v>100</v>
      </c>
      <c r="L766" s="14">
        <f t="shared" si="369"/>
        <v>0</v>
      </c>
      <c r="M766" s="50"/>
      <c r="N766" s="50"/>
    </row>
    <row r="767" spans="1:14" ht="31.2" x14ac:dyDescent="0.3">
      <c r="A767" s="8" t="s">
        <v>1271</v>
      </c>
      <c r="B767" s="62" t="s">
        <v>929</v>
      </c>
      <c r="C767" s="68" t="s">
        <v>1374</v>
      </c>
      <c r="D767" s="68" t="s">
        <v>1478</v>
      </c>
      <c r="E767" s="64" t="s">
        <v>290</v>
      </c>
      <c r="F767" s="45" t="s">
        <v>478</v>
      </c>
      <c r="G767" s="23" t="s">
        <v>817</v>
      </c>
      <c r="H767" s="14">
        <f t="shared" si="369"/>
        <v>16000</v>
      </c>
      <c r="I767" s="14">
        <f t="shared" si="369"/>
        <v>16000</v>
      </c>
      <c r="J767" s="14">
        <f t="shared" si="369"/>
        <v>16000</v>
      </c>
      <c r="K767" s="78">
        <f t="shared" si="343"/>
        <v>100</v>
      </c>
      <c r="L767" s="14">
        <f t="shared" si="369"/>
        <v>0</v>
      </c>
      <c r="M767" s="50"/>
      <c r="N767" s="50"/>
    </row>
    <row r="768" spans="1:14" ht="109.2" x14ac:dyDescent="0.3">
      <c r="A768" s="8" t="s">
        <v>1271</v>
      </c>
      <c r="B768" s="62" t="s">
        <v>929</v>
      </c>
      <c r="C768" s="68" t="s">
        <v>1374</v>
      </c>
      <c r="D768" s="68" t="s">
        <v>1478</v>
      </c>
      <c r="E768" s="64" t="s">
        <v>290</v>
      </c>
      <c r="F768" s="45" t="s">
        <v>725</v>
      </c>
      <c r="G768" s="60" t="s">
        <v>828</v>
      </c>
      <c r="H768" s="14">
        <v>16000</v>
      </c>
      <c r="I768" s="14">
        <v>16000</v>
      </c>
      <c r="J768" s="14">
        <v>16000</v>
      </c>
      <c r="K768" s="78">
        <f t="shared" si="343"/>
        <v>100</v>
      </c>
      <c r="L768" s="14"/>
      <c r="M768" s="50"/>
      <c r="N768" s="50"/>
    </row>
    <row r="769" spans="1:14" ht="31.2" x14ac:dyDescent="0.3">
      <c r="A769" s="8" t="s">
        <v>1271</v>
      </c>
      <c r="B769" s="62" t="s">
        <v>929</v>
      </c>
      <c r="C769" s="68" t="s">
        <v>1374</v>
      </c>
      <c r="D769" s="68" t="s">
        <v>1478</v>
      </c>
      <c r="E769" s="64" t="s">
        <v>238</v>
      </c>
      <c r="F769" s="45"/>
      <c r="G769" s="18" t="s">
        <v>1343</v>
      </c>
      <c r="H769" s="14">
        <f t="shared" ref="H769:L770" si="370">H770</f>
        <v>622.9</v>
      </c>
      <c r="I769" s="14">
        <f t="shared" si="370"/>
        <v>622.9</v>
      </c>
      <c r="J769" s="14">
        <f t="shared" si="370"/>
        <v>620.52319999999997</v>
      </c>
      <c r="K769" s="78">
        <f t="shared" si="343"/>
        <v>99.618429924546476</v>
      </c>
      <c r="L769" s="14">
        <f t="shared" si="370"/>
        <v>0</v>
      </c>
      <c r="M769" s="50"/>
      <c r="N769" s="50"/>
    </row>
    <row r="770" spans="1:14" ht="31.2" x14ac:dyDescent="0.3">
      <c r="A770" s="8" t="s">
        <v>1271</v>
      </c>
      <c r="B770" s="62" t="s">
        <v>929</v>
      </c>
      <c r="C770" s="68" t="s">
        <v>1374</v>
      </c>
      <c r="D770" s="68" t="s">
        <v>1478</v>
      </c>
      <c r="E770" s="64" t="s">
        <v>238</v>
      </c>
      <c r="F770" s="45" t="s">
        <v>478</v>
      </c>
      <c r="G770" s="23" t="s">
        <v>817</v>
      </c>
      <c r="H770" s="14">
        <f t="shared" si="370"/>
        <v>622.9</v>
      </c>
      <c r="I770" s="14">
        <f t="shared" si="370"/>
        <v>622.9</v>
      </c>
      <c r="J770" s="14">
        <f t="shared" si="370"/>
        <v>620.52319999999997</v>
      </c>
      <c r="K770" s="78">
        <f t="shared" si="343"/>
        <v>99.618429924546476</v>
      </c>
      <c r="L770" s="14">
        <f t="shared" si="370"/>
        <v>0</v>
      </c>
      <c r="M770" s="50"/>
      <c r="N770" s="50"/>
    </row>
    <row r="771" spans="1:14" ht="109.2" x14ac:dyDescent="0.3">
      <c r="A771" s="8" t="s">
        <v>1271</v>
      </c>
      <c r="B771" s="62" t="s">
        <v>929</v>
      </c>
      <c r="C771" s="68" t="s">
        <v>1374</v>
      </c>
      <c r="D771" s="68" t="s">
        <v>1478</v>
      </c>
      <c r="E771" s="64" t="s">
        <v>238</v>
      </c>
      <c r="F771" s="45" t="s">
        <v>725</v>
      </c>
      <c r="G771" s="60" t="s">
        <v>828</v>
      </c>
      <c r="H771" s="14">
        <v>622.9</v>
      </c>
      <c r="I771" s="14">
        <v>622.9</v>
      </c>
      <c r="J771" s="14">
        <v>620.52319999999997</v>
      </c>
      <c r="K771" s="78">
        <f t="shared" si="343"/>
        <v>99.618429924546476</v>
      </c>
      <c r="L771" s="14"/>
      <c r="M771" s="50"/>
      <c r="N771" s="50"/>
    </row>
    <row r="772" spans="1:14" ht="31.2" x14ac:dyDescent="0.3">
      <c r="A772" s="8" t="s">
        <v>1271</v>
      </c>
      <c r="B772" s="62" t="s">
        <v>929</v>
      </c>
      <c r="C772" s="68" t="s">
        <v>1374</v>
      </c>
      <c r="D772" s="68" t="s">
        <v>1478</v>
      </c>
      <c r="E772" s="64" t="s">
        <v>239</v>
      </c>
      <c r="F772" s="45"/>
      <c r="G772" s="18" t="s">
        <v>1344</v>
      </c>
      <c r="H772" s="14">
        <f t="shared" ref="H772:L773" si="371">H773</f>
        <v>622.9</v>
      </c>
      <c r="I772" s="14">
        <f t="shared" si="371"/>
        <v>622.9</v>
      </c>
      <c r="J772" s="14">
        <f t="shared" si="371"/>
        <v>621.49387999999999</v>
      </c>
      <c r="K772" s="78">
        <f t="shared" si="343"/>
        <v>99.774262321399902</v>
      </c>
      <c r="L772" s="14">
        <f t="shared" si="371"/>
        <v>0</v>
      </c>
      <c r="M772" s="50"/>
      <c r="N772" s="50"/>
    </row>
    <row r="773" spans="1:14" ht="31.2" x14ac:dyDescent="0.3">
      <c r="A773" s="8" t="s">
        <v>1271</v>
      </c>
      <c r="B773" s="62" t="s">
        <v>929</v>
      </c>
      <c r="C773" s="68" t="s">
        <v>1374</v>
      </c>
      <c r="D773" s="68" t="s">
        <v>1478</v>
      </c>
      <c r="E773" s="64" t="s">
        <v>239</v>
      </c>
      <c r="F773" s="45" t="s">
        <v>478</v>
      </c>
      <c r="G773" s="23" t="s">
        <v>817</v>
      </c>
      <c r="H773" s="14">
        <f t="shared" si="371"/>
        <v>622.9</v>
      </c>
      <c r="I773" s="14">
        <f t="shared" si="371"/>
        <v>622.9</v>
      </c>
      <c r="J773" s="14">
        <f t="shared" si="371"/>
        <v>621.49387999999999</v>
      </c>
      <c r="K773" s="78">
        <f t="shared" si="343"/>
        <v>99.774262321399902</v>
      </c>
      <c r="L773" s="14">
        <f t="shared" si="371"/>
        <v>0</v>
      </c>
      <c r="M773" s="50"/>
      <c r="N773" s="50"/>
    </row>
    <row r="774" spans="1:14" ht="109.2" x14ac:dyDescent="0.3">
      <c r="A774" s="8" t="s">
        <v>1271</v>
      </c>
      <c r="B774" s="62" t="s">
        <v>929</v>
      </c>
      <c r="C774" s="68" t="s">
        <v>1374</v>
      </c>
      <c r="D774" s="68" t="s">
        <v>1478</v>
      </c>
      <c r="E774" s="64" t="s">
        <v>239</v>
      </c>
      <c r="F774" s="45" t="s">
        <v>725</v>
      </c>
      <c r="G774" s="60" t="s">
        <v>828</v>
      </c>
      <c r="H774" s="14">
        <v>622.9</v>
      </c>
      <c r="I774" s="14">
        <v>622.9</v>
      </c>
      <c r="J774" s="14">
        <v>621.49387999999999</v>
      </c>
      <c r="K774" s="78">
        <f t="shared" si="343"/>
        <v>99.774262321399902</v>
      </c>
      <c r="L774" s="14"/>
      <c r="M774" s="50"/>
      <c r="N774" s="50"/>
    </row>
    <row r="775" spans="1:14" ht="31.2" x14ac:dyDescent="0.3">
      <c r="A775" s="8" t="s">
        <v>1271</v>
      </c>
      <c r="B775" s="62" t="s">
        <v>929</v>
      </c>
      <c r="C775" s="68" t="s">
        <v>1374</v>
      </c>
      <c r="D775" s="68" t="s">
        <v>1478</v>
      </c>
      <c r="E775" s="64" t="s">
        <v>782</v>
      </c>
      <c r="F775" s="45"/>
      <c r="G775" s="18" t="s">
        <v>784</v>
      </c>
      <c r="H775" s="14">
        <f t="shared" ref="H775:L776" si="372">H776</f>
        <v>622.9</v>
      </c>
      <c r="I775" s="14">
        <f t="shared" si="372"/>
        <v>622.9</v>
      </c>
      <c r="J775" s="14">
        <f t="shared" si="372"/>
        <v>622.9</v>
      </c>
      <c r="K775" s="78">
        <f t="shared" si="343"/>
        <v>100</v>
      </c>
      <c r="L775" s="14">
        <f t="shared" si="372"/>
        <v>0</v>
      </c>
      <c r="M775" s="50"/>
      <c r="N775" s="50"/>
    </row>
    <row r="776" spans="1:14" ht="31.2" x14ac:dyDescent="0.3">
      <c r="A776" s="8" t="s">
        <v>1271</v>
      </c>
      <c r="B776" s="62" t="s">
        <v>929</v>
      </c>
      <c r="C776" s="68" t="s">
        <v>1374</v>
      </c>
      <c r="D776" s="68" t="s">
        <v>1478</v>
      </c>
      <c r="E776" s="64" t="s">
        <v>782</v>
      </c>
      <c r="F776" s="45" t="s">
        <v>478</v>
      </c>
      <c r="G776" s="23" t="s">
        <v>817</v>
      </c>
      <c r="H776" s="14">
        <f t="shared" si="372"/>
        <v>622.9</v>
      </c>
      <c r="I776" s="14">
        <f t="shared" si="372"/>
        <v>622.9</v>
      </c>
      <c r="J776" s="14">
        <f t="shared" si="372"/>
        <v>622.9</v>
      </c>
      <c r="K776" s="78">
        <f t="shared" ref="K776:K839" si="373">J776/I776*100</f>
        <v>100</v>
      </c>
      <c r="L776" s="14">
        <f t="shared" si="372"/>
        <v>0</v>
      </c>
      <c r="M776" s="50"/>
      <c r="N776" s="50"/>
    </row>
    <row r="777" spans="1:14" ht="109.2" x14ac:dyDescent="0.3">
      <c r="A777" s="8" t="s">
        <v>1271</v>
      </c>
      <c r="B777" s="62" t="s">
        <v>929</v>
      </c>
      <c r="C777" s="68" t="s">
        <v>1374</v>
      </c>
      <c r="D777" s="68" t="s">
        <v>1478</v>
      </c>
      <c r="E777" s="64" t="s">
        <v>782</v>
      </c>
      <c r="F777" s="45" t="s">
        <v>725</v>
      </c>
      <c r="G777" s="60" t="s">
        <v>828</v>
      </c>
      <c r="H777" s="14">
        <v>622.9</v>
      </c>
      <c r="I777" s="14">
        <v>622.9</v>
      </c>
      <c r="J777" s="14">
        <v>622.9</v>
      </c>
      <c r="K777" s="78">
        <f t="shared" si="373"/>
        <v>100</v>
      </c>
      <c r="L777" s="14"/>
      <c r="M777" s="50"/>
      <c r="N777" s="50"/>
    </row>
    <row r="778" spans="1:14" ht="31.2" x14ac:dyDescent="0.3">
      <c r="A778" s="8" t="s">
        <v>1271</v>
      </c>
      <c r="B778" s="62" t="s">
        <v>929</v>
      </c>
      <c r="C778" s="68" t="s">
        <v>1374</v>
      </c>
      <c r="D778" s="68" t="s">
        <v>1478</v>
      </c>
      <c r="E778" s="64" t="s">
        <v>783</v>
      </c>
      <c r="F778" s="45"/>
      <c r="G778" s="18" t="s">
        <v>785</v>
      </c>
      <c r="H778" s="14">
        <f t="shared" ref="H778:L779" si="374">H779</f>
        <v>622.9</v>
      </c>
      <c r="I778" s="14">
        <f t="shared" si="374"/>
        <v>622.9</v>
      </c>
      <c r="J778" s="14">
        <f t="shared" si="374"/>
        <v>621.93281000000002</v>
      </c>
      <c r="K778" s="78">
        <f t="shared" si="373"/>
        <v>99.844727885695946</v>
      </c>
      <c r="L778" s="14">
        <f t="shared" si="374"/>
        <v>0</v>
      </c>
      <c r="M778" s="50"/>
      <c r="N778" s="50"/>
    </row>
    <row r="779" spans="1:14" ht="31.2" x14ac:dyDescent="0.3">
      <c r="A779" s="8" t="s">
        <v>1271</v>
      </c>
      <c r="B779" s="62" t="s">
        <v>929</v>
      </c>
      <c r="C779" s="68" t="s">
        <v>1374</v>
      </c>
      <c r="D779" s="68" t="s">
        <v>1478</v>
      </c>
      <c r="E779" s="64" t="s">
        <v>783</v>
      </c>
      <c r="F779" s="45" t="s">
        <v>478</v>
      </c>
      <c r="G779" s="23" t="s">
        <v>817</v>
      </c>
      <c r="H779" s="14">
        <f t="shared" si="374"/>
        <v>622.9</v>
      </c>
      <c r="I779" s="14">
        <f t="shared" si="374"/>
        <v>622.9</v>
      </c>
      <c r="J779" s="14">
        <f t="shared" si="374"/>
        <v>621.93281000000002</v>
      </c>
      <c r="K779" s="78">
        <f t="shared" si="373"/>
        <v>99.844727885695946</v>
      </c>
      <c r="L779" s="14">
        <f t="shared" si="374"/>
        <v>0</v>
      </c>
      <c r="M779" s="50"/>
      <c r="N779" s="50"/>
    </row>
    <row r="780" spans="1:14" ht="109.2" x14ac:dyDescent="0.3">
      <c r="A780" s="8" t="s">
        <v>1271</v>
      </c>
      <c r="B780" s="62" t="s">
        <v>929</v>
      </c>
      <c r="C780" s="68" t="s">
        <v>1374</v>
      </c>
      <c r="D780" s="68" t="s">
        <v>1478</v>
      </c>
      <c r="E780" s="64" t="s">
        <v>783</v>
      </c>
      <c r="F780" s="45" t="s">
        <v>725</v>
      </c>
      <c r="G780" s="60" t="s">
        <v>828</v>
      </c>
      <c r="H780" s="14">
        <v>622.9</v>
      </c>
      <c r="I780" s="14">
        <v>622.9</v>
      </c>
      <c r="J780" s="14">
        <v>621.93281000000002</v>
      </c>
      <c r="K780" s="78">
        <f t="shared" si="373"/>
        <v>99.844727885695946</v>
      </c>
      <c r="L780" s="14"/>
      <c r="M780" s="50"/>
      <c r="N780" s="50"/>
    </row>
    <row r="781" spans="1:14" ht="31.2" x14ac:dyDescent="0.3">
      <c r="A781" s="8" t="s">
        <v>1271</v>
      </c>
      <c r="B781" s="62" t="s">
        <v>929</v>
      </c>
      <c r="C781" s="68" t="s">
        <v>1374</v>
      </c>
      <c r="D781" s="68" t="s">
        <v>1478</v>
      </c>
      <c r="E781" s="64" t="s">
        <v>1001</v>
      </c>
      <c r="F781" s="45"/>
      <c r="G781" s="18" t="s">
        <v>1002</v>
      </c>
      <c r="H781" s="14">
        <f>H782</f>
        <v>15609.632999999998</v>
      </c>
      <c r="I781" s="14">
        <f t="shared" ref="I781:L781" si="375">I782</f>
        <v>15609.633</v>
      </c>
      <c r="J781" s="14">
        <f t="shared" si="375"/>
        <v>15609.632540000001</v>
      </c>
      <c r="K781" s="78">
        <f t="shared" si="373"/>
        <v>99.999997053101765</v>
      </c>
      <c r="L781" s="14">
        <f t="shared" si="375"/>
        <v>0</v>
      </c>
      <c r="M781" s="50"/>
      <c r="N781" s="50"/>
    </row>
    <row r="782" spans="1:14" ht="31.2" x14ac:dyDescent="0.3">
      <c r="A782" s="8" t="s">
        <v>1271</v>
      </c>
      <c r="B782" s="62" t="s">
        <v>929</v>
      </c>
      <c r="C782" s="68" t="s">
        <v>1374</v>
      </c>
      <c r="D782" s="68" t="s">
        <v>1478</v>
      </c>
      <c r="E782" s="64" t="s">
        <v>1001</v>
      </c>
      <c r="F782" s="45" t="s">
        <v>478</v>
      </c>
      <c r="G782" s="23" t="s">
        <v>817</v>
      </c>
      <c r="H782" s="14">
        <f>H783</f>
        <v>15609.632999999998</v>
      </c>
      <c r="I782" s="14">
        <f>I783+I784</f>
        <v>15609.633</v>
      </c>
      <c r="J782" s="14">
        <f t="shared" ref="J782" si="376">J783+J784</f>
        <v>15609.632540000001</v>
      </c>
      <c r="K782" s="78">
        <f t="shared" si="373"/>
        <v>99.999997053101765</v>
      </c>
      <c r="L782" s="14">
        <f>L783+L784</f>
        <v>0</v>
      </c>
      <c r="M782" s="50"/>
      <c r="N782" s="50"/>
    </row>
    <row r="783" spans="1:14" hidden="1" x14ac:dyDescent="0.3">
      <c r="A783" s="8" t="s">
        <v>1271</v>
      </c>
      <c r="B783" s="62" t="s">
        <v>929</v>
      </c>
      <c r="C783" s="68" t="s">
        <v>1374</v>
      </c>
      <c r="D783" s="68" t="s">
        <v>1478</v>
      </c>
      <c r="E783" s="64" t="s">
        <v>1001</v>
      </c>
      <c r="F783" s="45" t="s">
        <v>1273</v>
      </c>
      <c r="G783" s="23" t="s">
        <v>818</v>
      </c>
      <c r="H783" s="14">
        <f>17456.87-1847.237</f>
        <v>15609.632999999998</v>
      </c>
      <c r="I783" s="14">
        <v>0</v>
      </c>
      <c r="J783" s="20">
        <v>0</v>
      </c>
      <c r="K783" s="77" t="e">
        <f t="shared" si="373"/>
        <v>#DIV/0!</v>
      </c>
      <c r="L783" s="14"/>
      <c r="M783" s="50">
        <v>111</v>
      </c>
      <c r="N783" s="50"/>
    </row>
    <row r="784" spans="1:14" ht="109.2" x14ac:dyDescent="0.3">
      <c r="A784" s="8" t="s">
        <v>1271</v>
      </c>
      <c r="B784" s="62" t="s">
        <v>929</v>
      </c>
      <c r="C784" s="68" t="s">
        <v>1374</v>
      </c>
      <c r="D784" s="68" t="s">
        <v>1478</v>
      </c>
      <c r="E784" s="64" t="s">
        <v>1001</v>
      </c>
      <c r="F784" s="45" t="s">
        <v>725</v>
      </c>
      <c r="G784" s="60" t="s">
        <v>828</v>
      </c>
      <c r="H784" s="19">
        <v>0</v>
      </c>
      <c r="I784" s="14">
        <v>15609.633</v>
      </c>
      <c r="J784" s="20">
        <v>15609.632540000001</v>
      </c>
      <c r="K784" s="77">
        <f t="shared" si="373"/>
        <v>99.999997053101765</v>
      </c>
      <c r="L784" s="14"/>
      <c r="M784" s="50"/>
      <c r="N784" s="50"/>
    </row>
    <row r="785" spans="1:14" ht="31.2" x14ac:dyDescent="0.3">
      <c r="A785" s="8" t="s">
        <v>1271</v>
      </c>
      <c r="B785" s="62" t="s">
        <v>929</v>
      </c>
      <c r="C785" s="68" t="s">
        <v>1374</v>
      </c>
      <c r="D785" s="68" t="s">
        <v>1478</v>
      </c>
      <c r="E785" s="8" t="s">
        <v>429</v>
      </c>
      <c r="F785" s="8"/>
      <c r="G785" s="13" t="s">
        <v>1140</v>
      </c>
      <c r="H785" s="19">
        <v>0</v>
      </c>
      <c r="I785" s="14">
        <f>I786</f>
        <v>15493.967999999999</v>
      </c>
      <c r="J785" s="14">
        <f t="shared" ref="J785:L785" si="377">J786</f>
        <v>15493.967999999999</v>
      </c>
      <c r="K785" s="78">
        <f t="shared" si="373"/>
        <v>100</v>
      </c>
      <c r="L785" s="14">
        <f t="shared" si="377"/>
        <v>0</v>
      </c>
      <c r="M785" s="50"/>
      <c r="N785" s="50"/>
    </row>
    <row r="786" spans="1:14" x14ac:dyDescent="0.3">
      <c r="A786" s="8" t="s">
        <v>1271</v>
      </c>
      <c r="B786" s="62" t="s">
        <v>929</v>
      </c>
      <c r="C786" s="68" t="s">
        <v>1374</v>
      </c>
      <c r="D786" s="68" t="s">
        <v>1478</v>
      </c>
      <c r="E786" s="8" t="s">
        <v>430</v>
      </c>
      <c r="F786" s="8"/>
      <c r="G786" s="13" t="s">
        <v>1141</v>
      </c>
      <c r="H786" s="19">
        <v>0</v>
      </c>
      <c r="I786" s="14">
        <f>I787+I791</f>
        <v>15493.967999999999</v>
      </c>
      <c r="J786" s="14">
        <f t="shared" ref="J786:L786" si="378">J787+J791</f>
        <v>15493.967999999999</v>
      </c>
      <c r="K786" s="78">
        <f t="shared" si="373"/>
        <v>100</v>
      </c>
      <c r="L786" s="14">
        <f t="shared" si="378"/>
        <v>0</v>
      </c>
      <c r="M786" s="50"/>
      <c r="N786" s="50"/>
    </row>
    <row r="787" spans="1:14" ht="31.2" x14ac:dyDescent="0.3">
      <c r="A787" s="8" t="s">
        <v>1271</v>
      </c>
      <c r="B787" s="62" t="s">
        <v>929</v>
      </c>
      <c r="C787" s="68" t="s">
        <v>1374</v>
      </c>
      <c r="D787" s="68" t="s">
        <v>1478</v>
      </c>
      <c r="E787" s="8" t="s">
        <v>41</v>
      </c>
      <c r="F787" s="8"/>
      <c r="G787" s="13" t="s">
        <v>42</v>
      </c>
      <c r="H787" s="19">
        <v>0</v>
      </c>
      <c r="I787" s="14">
        <f>I788</f>
        <v>15013.967999999999</v>
      </c>
      <c r="J787" s="14">
        <f t="shared" ref="J787:L787" si="379">J788</f>
        <v>15013.967999999999</v>
      </c>
      <c r="K787" s="78">
        <f t="shared" si="373"/>
        <v>100</v>
      </c>
      <c r="L787" s="14">
        <f t="shared" si="379"/>
        <v>0</v>
      </c>
      <c r="M787" s="50"/>
      <c r="N787" s="50"/>
    </row>
    <row r="788" spans="1:14" ht="31.2" x14ac:dyDescent="0.3">
      <c r="A788" s="8" t="s">
        <v>1271</v>
      </c>
      <c r="B788" s="62" t="s">
        <v>929</v>
      </c>
      <c r="C788" s="68" t="s">
        <v>1374</v>
      </c>
      <c r="D788" s="68" t="s">
        <v>1478</v>
      </c>
      <c r="E788" s="8" t="s">
        <v>41</v>
      </c>
      <c r="F788" s="45" t="s">
        <v>402</v>
      </c>
      <c r="G788" s="23" t="s">
        <v>819</v>
      </c>
      <c r="H788" s="19">
        <v>0</v>
      </c>
      <c r="I788" s="14">
        <f>I789+I790</f>
        <v>15013.967999999999</v>
      </c>
      <c r="J788" s="14">
        <f t="shared" ref="J788:L788" si="380">J789+J790</f>
        <v>15013.967999999999</v>
      </c>
      <c r="K788" s="78">
        <f t="shared" si="373"/>
        <v>100</v>
      </c>
      <c r="L788" s="14">
        <f t="shared" si="380"/>
        <v>0</v>
      </c>
      <c r="M788" s="50"/>
      <c r="N788" s="50"/>
    </row>
    <row r="789" spans="1:14" x14ac:dyDescent="0.3">
      <c r="A789" s="8" t="s">
        <v>1271</v>
      </c>
      <c r="B789" s="62" t="s">
        <v>929</v>
      </c>
      <c r="C789" s="68" t="s">
        <v>1374</v>
      </c>
      <c r="D789" s="68" t="s">
        <v>1478</v>
      </c>
      <c r="E789" s="8" t="s">
        <v>41</v>
      </c>
      <c r="F789" s="8" t="s">
        <v>726</v>
      </c>
      <c r="G789" s="13" t="s">
        <v>820</v>
      </c>
      <c r="H789" s="19">
        <v>0</v>
      </c>
      <c r="I789" s="14">
        <v>1821.4449999999999</v>
      </c>
      <c r="J789" s="14">
        <v>1821.4449999999999</v>
      </c>
      <c r="K789" s="78">
        <f t="shared" si="373"/>
        <v>100</v>
      </c>
      <c r="L789" s="14"/>
      <c r="M789" s="50"/>
      <c r="N789" s="50"/>
    </row>
    <row r="790" spans="1:14" x14ac:dyDescent="0.3">
      <c r="A790" s="8" t="s">
        <v>1271</v>
      </c>
      <c r="B790" s="62" t="s">
        <v>929</v>
      </c>
      <c r="C790" s="68" t="s">
        <v>1374</v>
      </c>
      <c r="D790" s="68" t="s">
        <v>1478</v>
      </c>
      <c r="E790" s="8" t="s">
        <v>41</v>
      </c>
      <c r="F790" s="8" t="s">
        <v>223</v>
      </c>
      <c r="G790" s="13" t="s">
        <v>829</v>
      </c>
      <c r="H790" s="19">
        <v>0</v>
      </c>
      <c r="I790" s="14">
        <v>13192.522999999999</v>
      </c>
      <c r="J790" s="14">
        <v>13192.522999999999</v>
      </c>
      <c r="K790" s="78">
        <f t="shared" si="373"/>
        <v>100</v>
      </c>
      <c r="L790" s="14"/>
      <c r="M790" s="50"/>
      <c r="N790" s="50"/>
    </row>
    <row r="791" spans="1:14" ht="46.8" x14ac:dyDescent="0.3">
      <c r="A791" s="8" t="s">
        <v>1271</v>
      </c>
      <c r="B791" s="62" t="s">
        <v>929</v>
      </c>
      <c r="C791" s="68" t="s">
        <v>1374</v>
      </c>
      <c r="D791" s="68" t="s">
        <v>1478</v>
      </c>
      <c r="E791" s="8" t="s">
        <v>39</v>
      </c>
      <c r="F791" s="8"/>
      <c r="G791" s="13" t="s">
        <v>40</v>
      </c>
      <c r="H791" s="19">
        <v>0</v>
      </c>
      <c r="I791" s="14">
        <f>I792</f>
        <v>480</v>
      </c>
      <c r="J791" s="14">
        <f t="shared" ref="J791:L791" si="381">J792</f>
        <v>480</v>
      </c>
      <c r="K791" s="78">
        <f t="shared" si="373"/>
        <v>100</v>
      </c>
      <c r="L791" s="14">
        <f t="shared" si="381"/>
        <v>0</v>
      </c>
      <c r="M791" s="50"/>
      <c r="N791" s="50"/>
    </row>
    <row r="792" spans="1:14" ht="31.2" x14ac:dyDescent="0.3">
      <c r="A792" s="8" t="s">
        <v>1271</v>
      </c>
      <c r="B792" s="62" t="s">
        <v>929</v>
      </c>
      <c r="C792" s="68" t="s">
        <v>1374</v>
      </c>
      <c r="D792" s="68" t="s">
        <v>1478</v>
      </c>
      <c r="E792" s="8" t="s">
        <v>39</v>
      </c>
      <c r="F792" s="45" t="s">
        <v>402</v>
      </c>
      <c r="G792" s="23" t="s">
        <v>819</v>
      </c>
      <c r="H792" s="19">
        <v>0</v>
      </c>
      <c r="I792" s="14">
        <f>I793+I794</f>
        <v>480</v>
      </c>
      <c r="J792" s="14">
        <f t="shared" ref="J792:L792" si="382">J793+J794</f>
        <v>480</v>
      </c>
      <c r="K792" s="78">
        <f t="shared" si="373"/>
        <v>100</v>
      </c>
      <c r="L792" s="14">
        <f t="shared" si="382"/>
        <v>0</v>
      </c>
      <c r="M792" s="50"/>
      <c r="N792" s="50"/>
    </row>
    <row r="793" spans="1:14" x14ac:dyDescent="0.3">
      <c r="A793" s="8" t="s">
        <v>1271</v>
      </c>
      <c r="B793" s="62" t="s">
        <v>929</v>
      </c>
      <c r="C793" s="68" t="s">
        <v>1374</v>
      </c>
      <c r="D793" s="68" t="s">
        <v>1478</v>
      </c>
      <c r="E793" s="8" t="s">
        <v>39</v>
      </c>
      <c r="F793" s="8" t="s">
        <v>726</v>
      </c>
      <c r="G793" s="13" t="s">
        <v>820</v>
      </c>
      <c r="H793" s="19">
        <v>0</v>
      </c>
      <c r="I793" s="14">
        <v>45</v>
      </c>
      <c r="J793" s="20">
        <v>45</v>
      </c>
      <c r="K793" s="77">
        <f t="shared" si="373"/>
        <v>100</v>
      </c>
      <c r="L793" s="14"/>
      <c r="M793" s="50"/>
      <c r="N793" s="50"/>
    </row>
    <row r="794" spans="1:14" x14ac:dyDescent="0.3">
      <c r="A794" s="8" t="s">
        <v>1271</v>
      </c>
      <c r="B794" s="62" t="s">
        <v>929</v>
      </c>
      <c r="C794" s="68" t="s">
        <v>1374</v>
      </c>
      <c r="D794" s="68" t="s">
        <v>1478</v>
      </c>
      <c r="E794" s="8" t="s">
        <v>39</v>
      </c>
      <c r="F794" s="8" t="s">
        <v>223</v>
      </c>
      <c r="G794" s="13" t="s">
        <v>829</v>
      </c>
      <c r="H794" s="19">
        <v>0</v>
      </c>
      <c r="I794" s="14">
        <v>435</v>
      </c>
      <c r="J794" s="20">
        <v>435</v>
      </c>
      <c r="K794" s="77">
        <f t="shared" si="373"/>
        <v>100</v>
      </c>
      <c r="L794" s="14"/>
      <c r="M794" s="50"/>
      <c r="N794" s="50"/>
    </row>
    <row r="795" spans="1:14" s="9" customFormat="1" x14ac:dyDescent="0.3">
      <c r="A795" s="11" t="s">
        <v>1271</v>
      </c>
      <c r="B795" s="48" t="s">
        <v>923</v>
      </c>
      <c r="C795" s="48" t="s">
        <v>1374</v>
      </c>
      <c r="D795" s="48" t="s">
        <v>1391</v>
      </c>
      <c r="E795" s="11"/>
      <c r="F795" s="11"/>
      <c r="G795" s="7" t="s">
        <v>1166</v>
      </c>
      <c r="H795" s="16">
        <f>H796+H802+H832</f>
        <v>617953.13500000001</v>
      </c>
      <c r="I795" s="16">
        <f>I796+I802+I832+I837</f>
        <v>632255.33500000008</v>
      </c>
      <c r="J795" s="16">
        <f t="shared" ref="J795:L795" si="383">J796+J802+J832+J837</f>
        <v>631324.71522000001</v>
      </c>
      <c r="K795" s="82">
        <f t="shared" si="373"/>
        <v>99.852809501401822</v>
      </c>
      <c r="L795" s="16">
        <f t="shared" si="383"/>
        <v>0</v>
      </c>
      <c r="M795" s="65"/>
      <c r="N795" s="65"/>
    </row>
    <row r="796" spans="1:14" ht="31.2" x14ac:dyDescent="0.3">
      <c r="A796" s="8" t="s">
        <v>1271</v>
      </c>
      <c r="B796" s="62" t="s">
        <v>923</v>
      </c>
      <c r="C796" s="68" t="s">
        <v>1374</v>
      </c>
      <c r="D796" s="68" t="s">
        <v>1391</v>
      </c>
      <c r="E796" s="64" t="s">
        <v>396</v>
      </c>
      <c r="F796" s="64"/>
      <c r="G796" s="13" t="s">
        <v>876</v>
      </c>
      <c r="H796" s="14">
        <f t="shared" ref="H796:L800" si="384">H797</f>
        <v>342</v>
      </c>
      <c r="I796" s="14">
        <f t="shared" si="384"/>
        <v>342</v>
      </c>
      <c r="J796" s="14">
        <f t="shared" si="384"/>
        <v>342</v>
      </c>
      <c r="K796" s="78">
        <f t="shared" si="373"/>
        <v>100</v>
      </c>
      <c r="L796" s="14">
        <f t="shared" si="384"/>
        <v>0</v>
      </c>
      <c r="M796" s="50"/>
      <c r="N796" s="50"/>
    </row>
    <row r="797" spans="1:14" ht="31.2" x14ac:dyDescent="0.3">
      <c r="A797" s="8" t="s">
        <v>1271</v>
      </c>
      <c r="B797" s="62" t="s">
        <v>923</v>
      </c>
      <c r="C797" s="68" t="s">
        <v>1374</v>
      </c>
      <c r="D797" s="68" t="s">
        <v>1391</v>
      </c>
      <c r="E797" s="64" t="s">
        <v>481</v>
      </c>
      <c r="F797" s="64"/>
      <c r="G797" s="18" t="s">
        <v>880</v>
      </c>
      <c r="H797" s="14">
        <f t="shared" si="384"/>
        <v>342</v>
      </c>
      <c r="I797" s="14">
        <f t="shared" si="384"/>
        <v>342</v>
      </c>
      <c r="J797" s="14">
        <f t="shared" si="384"/>
        <v>342</v>
      </c>
      <c r="K797" s="78">
        <f t="shared" si="373"/>
        <v>100</v>
      </c>
      <c r="L797" s="14">
        <f t="shared" si="384"/>
        <v>0</v>
      </c>
      <c r="M797" s="50"/>
      <c r="N797" s="50"/>
    </row>
    <row r="798" spans="1:14" ht="46.8" x14ac:dyDescent="0.3">
      <c r="A798" s="8" t="s">
        <v>1271</v>
      </c>
      <c r="B798" s="62" t="s">
        <v>923</v>
      </c>
      <c r="C798" s="68" t="s">
        <v>1374</v>
      </c>
      <c r="D798" s="68" t="s">
        <v>1391</v>
      </c>
      <c r="E798" s="64" t="s">
        <v>482</v>
      </c>
      <c r="F798" s="64"/>
      <c r="G798" s="18" t="s">
        <v>881</v>
      </c>
      <c r="H798" s="14">
        <f t="shared" si="384"/>
        <v>342</v>
      </c>
      <c r="I798" s="14">
        <f t="shared" si="384"/>
        <v>342</v>
      </c>
      <c r="J798" s="14">
        <f t="shared" si="384"/>
        <v>342</v>
      </c>
      <c r="K798" s="78">
        <f t="shared" si="373"/>
        <v>100</v>
      </c>
      <c r="L798" s="14">
        <f t="shared" si="384"/>
        <v>0</v>
      </c>
      <c r="M798" s="50"/>
      <c r="N798" s="50"/>
    </row>
    <row r="799" spans="1:14" ht="31.2" x14ac:dyDescent="0.3">
      <c r="A799" s="8" t="s">
        <v>1271</v>
      </c>
      <c r="B799" s="62" t="s">
        <v>923</v>
      </c>
      <c r="C799" s="68" t="s">
        <v>1374</v>
      </c>
      <c r="D799" s="68" t="s">
        <v>1391</v>
      </c>
      <c r="E799" s="64" t="s">
        <v>483</v>
      </c>
      <c r="F799" s="64"/>
      <c r="G799" s="18" t="s">
        <v>760</v>
      </c>
      <c r="H799" s="14">
        <f t="shared" si="384"/>
        <v>342</v>
      </c>
      <c r="I799" s="14">
        <f t="shared" si="384"/>
        <v>342</v>
      </c>
      <c r="J799" s="14">
        <f t="shared" si="384"/>
        <v>342</v>
      </c>
      <c r="K799" s="78">
        <f t="shared" si="373"/>
        <v>100</v>
      </c>
      <c r="L799" s="14">
        <f t="shared" si="384"/>
        <v>0</v>
      </c>
      <c r="M799" s="50"/>
      <c r="N799" s="50"/>
    </row>
    <row r="800" spans="1:14" ht="31.2" x14ac:dyDescent="0.3">
      <c r="A800" s="8" t="s">
        <v>1271</v>
      </c>
      <c r="B800" s="62" t="s">
        <v>923</v>
      </c>
      <c r="C800" s="68" t="s">
        <v>1374</v>
      </c>
      <c r="D800" s="68" t="s">
        <v>1391</v>
      </c>
      <c r="E800" s="64" t="s">
        <v>483</v>
      </c>
      <c r="F800" s="45" t="s">
        <v>402</v>
      </c>
      <c r="G800" s="23" t="s">
        <v>819</v>
      </c>
      <c r="H800" s="14">
        <f t="shared" si="384"/>
        <v>342</v>
      </c>
      <c r="I800" s="14">
        <f t="shared" si="384"/>
        <v>342</v>
      </c>
      <c r="J800" s="14">
        <f t="shared" si="384"/>
        <v>342</v>
      </c>
      <c r="K800" s="78">
        <f t="shared" si="373"/>
        <v>100</v>
      </c>
      <c r="L800" s="14">
        <f t="shared" si="384"/>
        <v>0</v>
      </c>
      <c r="M800" s="50"/>
      <c r="N800" s="50"/>
    </row>
    <row r="801" spans="1:14" x14ac:dyDescent="0.3">
      <c r="A801" s="8" t="s">
        <v>1271</v>
      </c>
      <c r="B801" s="62" t="s">
        <v>923</v>
      </c>
      <c r="C801" s="68" t="s">
        <v>1374</v>
      </c>
      <c r="D801" s="68" t="s">
        <v>1391</v>
      </c>
      <c r="E801" s="64" t="s">
        <v>483</v>
      </c>
      <c r="F801" s="64" t="s">
        <v>223</v>
      </c>
      <c r="G801" s="18" t="s">
        <v>829</v>
      </c>
      <c r="H801" s="14">
        <v>342</v>
      </c>
      <c r="I801" s="14">
        <v>342</v>
      </c>
      <c r="J801" s="14">
        <v>342</v>
      </c>
      <c r="K801" s="78">
        <f t="shared" si="373"/>
        <v>100</v>
      </c>
      <c r="L801" s="14"/>
      <c r="M801" s="50"/>
      <c r="N801" s="50"/>
    </row>
    <row r="802" spans="1:14" ht="46.8" x14ac:dyDescent="0.3">
      <c r="A802" s="8" t="s">
        <v>1271</v>
      </c>
      <c r="B802" s="62" t="s">
        <v>923</v>
      </c>
      <c r="C802" s="68" t="s">
        <v>1374</v>
      </c>
      <c r="D802" s="68" t="s">
        <v>1391</v>
      </c>
      <c r="E802" s="64" t="s">
        <v>347</v>
      </c>
      <c r="F802" s="64"/>
      <c r="G802" s="18" t="s">
        <v>1114</v>
      </c>
      <c r="H802" s="14">
        <f t="shared" ref="H802:L802" si="385">H803</f>
        <v>580501.72499999998</v>
      </c>
      <c r="I802" s="14">
        <f t="shared" si="385"/>
        <v>594728.92500000005</v>
      </c>
      <c r="J802" s="14">
        <f t="shared" si="385"/>
        <v>593798.30521999998</v>
      </c>
      <c r="K802" s="78">
        <f t="shared" si="373"/>
        <v>99.8435220247611</v>
      </c>
      <c r="L802" s="14">
        <f t="shared" si="385"/>
        <v>0</v>
      </c>
      <c r="M802" s="50"/>
      <c r="N802" s="50"/>
    </row>
    <row r="803" spans="1:14" ht="31.2" x14ac:dyDescent="0.3">
      <c r="A803" s="8" t="s">
        <v>1271</v>
      </c>
      <c r="B803" s="62" t="s">
        <v>923</v>
      </c>
      <c r="C803" s="68" t="s">
        <v>1374</v>
      </c>
      <c r="D803" s="68" t="s">
        <v>1391</v>
      </c>
      <c r="E803" s="64" t="s">
        <v>472</v>
      </c>
      <c r="F803" s="64"/>
      <c r="G803" s="18" t="s">
        <v>1123</v>
      </c>
      <c r="H803" s="14">
        <f t="shared" ref="H803:L803" si="386">H804</f>
        <v>580501.72499999998</v>
      </c>
      <c r="I803" s="14">
        <f t="shared" si="386"/>
        <v>594728.92500000005</v>
      </c>
      <c r="J803" s="14">
        <f t="shared" si="386"/>
        <v>593798.30521999998</v>
      </c>
      <c r="K803" s="78">
        <f t="shared" si="373"/>
        <v>99.8435220247611</v>
      </c>
      <c r="L803" s="14">
        <f t="shared" si="386"/>
        <v>0</v>
      </c>
      <c r="M803" s="50"/>
      <c r="N803" s="50"/>
    </row>
    <row r="804" spans="1:14" ht="31.2" x14ac:dyDescent="0.3">
      <c r="A804" s="8" t="s">
        <v>1271</v>
      </c>
      <c r="B804" s="62" t="s">
        <v>923</v>
      </c>
      <c r="C804" s="68" t="s">
        <v>1374</v>
      </c>
      <c r="D804" s="68" t="s">
        <v>1391</v>
      </c>
      <c r="E804" s="64" t="s">
        <v>473</v>
      </c>
      <c r="F804" s="64"/>
      <c r="G804" s="18" t="s">
        <v>1124</v>
      </c>
      <c r="H804" s="14">
        <f>H805+H814+H819+H827++H822</f>
        <v>580501.72499999998</v>
      </c>
      <c r="I804" s="14">
        <f t="shared" ref="I804:L804" si="387">I805+I814+I819+I827++I822</f>
        <v>594728.92500000005</v>
      </c>
      <c r="J804" s="14">
        <f t="shared" si="387"/>
        <v>593798.30521999998</v>
      </c>
      <c r="K804" s="78">
        <f t="shared" si="373"/>
        <v>99.8435220247611</v>
      </c>
      <c r="L804" s="14">
        <f t="shared" si="387"/>
        <v>0</v>
      </c>
      <c r="M804" s="50"/>
      <c r="N804" s="50"/>
    </row>
    <row r="805" spans="1:14" ht="62.4" x14ac:dyDescent="0.3">
      <c r="A805" s="8" t="s">
        <v>1271</v>
      </c>
      <c r="B805" s="62" t="s">
        <v>923</v>
      </c>
      <c r="C805" s="68" t="s">
        <v>1374</v>
      </c>
      <c r="D805" s="68" t="s">
        <v>1391</v>
      </c>
      <c r="E805" s="64" t="s">
        <v>474</v>
      </c>
      <c r="F805" s="64"/>
      <c r="G805" s="23" t="s">
        <v>1291</v>
      </c>
      <c r="H805" s="14">
        <f>H806+H808+H810+H812</f>
        <v>572272.125</v>
      </c>
      <c r="I805" s="14">
        <f>I806+I808+I810+I812</f>
        <v>572272.12500000012</v>
      </c>
      <c r="J805" s="14">
        <f t="shared" ref="J805" si="388">J806+J808+J810+J812</f>
        <v>571401.29457999999</v>
      </c>
      <c r="K805" s="78">
        <f t="shared" si="373"/>
        <v>99.847829313720254</v>
      </c>
      <c r="L805" s="14">
        <f>L806+L808+L810+L812</f>
        <v>0</v>
      </c>
      <c r="M805" s="50"/>
      <c r="N805" s="50"/>
    </row>
    <row r="806" spans="1:14" ht="78" x14ac:dyDescent="0.3">
      <c r="A806" s="8" t="s">
        <v>1271</v>
      </c>
      <c r="B806" s="62" t="s">
        <v>923</v>
      </c>
      <c r="C806" s="68" t="s">
        <v>1374</v>
      </c>
      <c r="D806" s="68" t="s">
        <v>1391</v>
      </c>
      <c r="E806" s="64" t="s">
        <v>474</v>
      </c>
      <c r="F806" s="45" t="s">
        <v>431</v>
      </c>
      <c r="G806" s="23" t="s">
        <v>806</v>
      </c>
      <c r="H806" s="14">
        <f t="shared" ref="H806:L806" si="389">H807</f>
        <v>7641.1</v>
      </c>
      <c r="I806" s="14">
        <f t="shared" si="389"/>
        <v>8981.2223200000008</v>
      </c>
      <c r="J806" s="14">
        <f t="shared" si="389"/>
        <v>8981.2223200000008</v>
      </c>
      <c r="K806" s="78">
        <f t="shared" si="373"/>
        <v>100</v>
      </c>
      <c r="L806" s="14">
        <f t="shared" si="389"/>
        <v>0</v>
      </c>
      <c r="M806" s="50"/>
      <c r="N806" s="50"/>
    </row>
    <row r="807" spans="1:14" x14ac:dyDescent="0.3">
      <c r="A807" s="8" t="s">
        <v>1271</v>
      </c>
      <c r="B807" s="62" t="s">
        <v>923</v>
      </c>
      <c r="C807" s="68" t="s">
        <v>1374</v>
      </c>
      <c r="D807" s="68" t="s">
        <v>1391</v>
      </c>
      <c r="E807" s="64" t="s">
        <v>474</v>
      </c>
      <c r="F807" s="8" t="s">
        <v>719</v>
      </c>
      <c r="G807" s="23" t="s">
        <v>807</v>
      </c>
      <c r="H807" s="14">
        <v>7641.1</v>
      </c>
      <c r="I807" s="14">
        <v>8981.2223200000008</v>
      </c>
      <c r="J807" s="14">
        <v>8981.2223200000008</v>
      </c>
      <c r="K807" s="78">
        <f t="shared" si="373"/>
        <v>100</v>
      </c>
      <c r="L807" s="14"/>
      <c r="M807" s="50"/>
      <c r="N807" s="50"/>
    </row>
    <row r="808" spans="1:14" ht="31.2" x14ac:dyDescent="0.3">
      <c r="A808" s="8" t="s">
        <v>1271</v>
      </c>
      <c r="B808" s="62" t="s">
        <v>923</v>
      </c>
      <c r="C808" s="68" t="s">
        <v>1374</v>
      </c>
      <c r="D808" s="68" t="s">
        <v>1391</v>
      </c>
      <c r="E808" s="64" t="s">
        <v>474</v>
      </c>
      <c r="F808" s="45" t="s">
        <v>380</v>
      </c>
      <c r="G808" s="23" t="s">
        <v>809</v>
      </c>
      <c r="H808" s="14">
        <f t="shared" ref="H808:L808" si="390">H809</f>
        <v>2239.1</v>
      </c>
      <c r="I808" s="14">
        <f t="shared" si="390"/>
        <v>1772.26304</v>
      </c>
      <c r="J808" s="14">
        <f t="shared" si="390"/>
        <v>1635.55969</v>
      </c>
      <c r="K808" s="78">
        <f t="shared" si="373"/>
        <v>92.286509004893531</v>
      </c>
      <c r="L808" s="14">
        <f t="shared" si="390"/>
        <v>0</v>
      </c>
      <c r="M808" s="50"/>
      <c r="N808" s="50"/>
    </row>
    <row r="809" spans="1:14" ht="31.2" x14ac:dyDescent="0.3">
      <c r="A809" s="8" t="s">
        <v>1271</v>
      </c>
      <c r="B809" s="62" t="s">
        <v>923</v>
      </c>
      <c r="C809" s="68" t="s">
        <v>1374</v>
      </c>
      <c r="D809" s="68" t="s">
        <v>1391</v>
      </c>
      <c r="E809" s="64" t="s">
        <v>474</v>
      </c>
      <c r="F809" s="8" t="s">
        <v>247</v>
      </c>
      <c r="G809" s="23" t="s">
        <v>810</v>
      </c>
      <c r="H809" s="14">
        <v>2239.1</v>
      </c>
      <c r="I809" s="14">
        <v>1772.26304</v>
      </c>
      <c r="J809" s="14">
        <v>1635.55969</v>
      </c>
      <c r="K809" s="78">
        <f t="shared" si="373"/>
        <v>92.286509004893531</v>
      </c>
      <c r="L809" s="14"/>
      <c r="M809" s="50"/>
      <c r="N809" s="50"/>
    </row>
    <row r="810" spans="1:14" ht="31.2" x14ac:dyDescent="0.3">
      <c r="A810" s="8" t="s">
        <v>1271</v>
      </c>
      <c r="B810" s="62" t="s">
        <v>923</v>
      </c>
      <c r="C810" s="68" t="s">
        <v>1374</v>
      </c>
      <c r="D810" s="68" t="s">
        <v>1391</v>
      </c>
      <c r="E810" s="64" t="s">
        <v>474</v>
      </c>
      <c r="F810" s="45" t="s">
        <v>402</v>
      </c>
      <c r="G810" s="23" t="s">
        <v>819</v>
      </c>
      <c r="H810" s="14">
        <f t="shared" ref="H810:L810" si="391">H811</f>
        <v>561458.125</v>
      </c>
      <c r="I810" s="14">
        <f t="shared" si="391"/>
        <v>560705.50364000001</v>
      </c>
      <c r="J810" s="14">
        <f t="shared" si="391"/>
        <v>560705.42657000001</v>
      </c>
      <c r="K810" s="78">
        <f t="shared" si="373"/>
        <v>99.999986254816562</v>
      </c>
      <c r="L810" s="14">
        <f t="shared" si="391"/>
        <v>0</v>
      </c>
      <c r="M810" s="50"/>
      <c r="N810" s="50"/>
    </row>
    <row r="811" spans="1:14" x14ac:dyDescent="0.3">
      <c r="A811" s="8" t="s">
        <v>1271</v>
      </c>
      <c r="B811" s="62" t="s">
        <v>923</v>
      </c>
      <c r="C811" s="68" t="s">
        <v>1374</v>
      </c>
      <c r="D811" s="68" t="s">
        <v>1391</v>
      </c>
      <c r="E811" s="64" t="s">
        <v>474</v>
      </c>
      <c r="F811" s="64" t="s">
        <v>223</v>
      </c>
      <c r="G811" s="18" t="s">
        <v>829</v>
      </c>
      <c r="H811" s="14">
        <f>564483-360.381-1105.308-754.436-804.75</f>
        <v>561458.125</v>
      </c>
      <c r="I811" s="14">
        <v>560705.50364000001</v>
      </c>
      <c r="J811" s="14">
        <v>560705.42657000001</v>
      </c>
      <c r="K811" s="78">
        <f t="shared" si="373"/>
        <v>99.999986254816562</v>
      </c>
      <c r="L811" s="14"/>
      <c r="M811" s="50"/>
      <c r="N811" s="50"/>
    </row>
    <row r="812" spans="1:14" x14ac:dyDescent="0.3">
      <c r="A812" s="8" t="s">
        <v>1271</v>
      </c>
      <c r="B812" s="62" t="s">
        <v>923</v>
      </c>
      <c r="C812" s="68" t="s">
        <v>1374</v>
      </c>
      <c r="D812" s="68" t="s">
        <v>1391</v>
      </c>
      <c r="E812" s="64" t="s">
        <v>474</v>
      </c>
      <c r="F812" s="45" t="s">
        <v>464</v>
      </c>
      <c r="G812" s="23" t="s">
        <v>822</v>
      </c>
      <c r="H812" s="14">
        <f t="shared" ref="H812:L812" si="392">H813</f>
        <v>933.8</v>
      </c>
      <c r="I812" s="14">
        <f t="shared" si="392"/>
        <v>813.13599999999997</v>
      </c>
      <c r="J812" s="14">
        <f t="shared" si="392"/>
        <v>79.085999999999999</v>
      </c>
      <c r="K812" s="78">
        <f t="shared" si="373"/>
        <v>9.7260482871254013</v>
      </c>
      <c r="L812" s="14">
        <f t="shared" si="392"/>
        <v>0</v>
      </c>
      <c r="M812" s="50"/>
      <c r="N812" s="50"/>
    </row>
    <row r="813" spans="1:14" x14ac:dyDescent="0.3">
      <c r="A813" s="8" t="s">
        <v>1271</v>
      </c>
      <c r="B813" s="62" t="s">
        <v>923</v>
      </c>
      <c r="C813" s="68" t="s">
        <v>1374</v>
      </c>
      <c r="D813" s="68" t="s">
        <v>1391</v>
      </c>
      <c r="E813" s="64" t="s">
        <v>474</v>
      </c>
      <c r="F813" s="45" t="s">
        <v>729</v>
      </c>
      <c r="G813" s="23" t="s">
        <v>824</v>
      </c>
      <c r="H813" s="14">
        <v>933.8</v>
      </c>
      <c r="I813" s="14">
        <v>813.13599999999997</v>
      </c>
      <c r="J813" s="14">
        <v>79.085999999999999</v>
      </c>
      <c r="K813" s="78">
        <f t="shared" si="373"/>
        <v>9.7260482871254013</v>
      </c>
      <c r="L813" s="14"/>
      <c r="M813" s="50"/>
      <c r="N813" s="50"/>
    </row>
    <row r="814" spans="1:14" ht="31.2" x14ac:dyDescent="0.3">
      <c r="A814" s="8" t="s">
        <v>1271</v>
      </c>
      <c r="B814" s="62" t="s">
        <v>923</v>
      </c>
      <c r="C814" s="68" t="s">
        <v>1374</v>
      </c>
      <c r="D814" s="68" t="s">
        <v>1391</v>
      </c>
      <c r="E814" s="64" t="s">
        <v>1329</v>
      </c>
      <c r="F814" s="64"/>
      <c r="G814" s="18" t="s">
        <v>1300</v>
      </c>
      <c r="H814" s="14">
        <f>H817+H815</f>
        <v>1010.6</v>
      </c>
      <c r="I814" s="14">
        <f t="shared" ref="I814:L814" si="393">I817+I815</f>
        <v>1010.6</v>
      </c>
      <c r="J814" s="14">
        <f t="shared" si="393"/>
        <v>951.20914999999991</v>
      </c>
      <c r="K814" s="78">
        <f t="shared" si="373"/>
        <v>94.123208984761519</v>
      </c>
      <c r="L814" s="14">
        <f t="shared" si="393"/>
        <v>0</v>
      </c>
      <c r="M814" s="50"/>
      <c r="N814" s="50"/>
    </row>
    <row r="815" spans="1:14" ht="31.2" x14ac:dyDescent="0.3">
      <c r="A815" s="8" t="s">
        <v>1271</v>
      </c>
      <c r="B815" s="62" t="s">
        <v>923</v>
      </c>
      <c r="C815" s="68" t="s">
        <v>1374</v>
      </c>
      <c r="D815" s="68" t="s">
        <v>1391</v>
      </c>
      <c r="E815" s="64" t="s">
        <v>1329</v>
      </c>
      <c r="F815" s="45" t="s">
        <v>380</v>
      </c>
      <c r="G815" s="23" t="s">
        <v>809</v>
      </c>
      <c r="H815" s="14">
        <f>H816</f>
        <v>0</v>
      </c>
      <c r="I815" s="14">
        <f t="shared" ref="I815:L815" si="394">I816</f>
        <v>83.398679999999999</v>
      </c>
      <c r="J815" s="14">
        <f t="shared" si="394"/>
        <v>33.444360000000003</v>
      </c>
      <c r="K815" s="78">
        <f t="shared" si="373"/>
        <v>40.101785783659885</v>
      </c>
      <c r="L815" s="14">
        <f t="shared" si="394"/>
        <v>0</v>
      </c>
      <c r="M815" s="50"/>
      <c r="N815" s="50"/>
    </row>
    <row r="816" spans="1:14" ht="31.2" x14ac:dyDescent="0.3">
      <c r="A816" s="8" t="s">
        <v>1271</v>
      </c>
      <c r="B816" s="62" t="s">
        <v>923</v>
      </c>
      <c r="C816" s="68" t="s">
        <v>1374</v>
      </c>
      <c r="D816" s="68" t="s">
        <v>1391</v>
      </c>
      <c r="E816" s="64" t="s">
        <v>1329</v>
      </c>
      <c r="F816" s="8" t="s">
        <v>247</v>
      </c>
      <c r="G816" s="23" t="s">
        <v>810</v>
      </c>
      <c r="H816" s="19">
        <v>0</v>
      </c>
      <c r="I816" s="14">
        <v>83.398679999999999</v>
      </c>
      <c r="J816" s="20">
        <v>33.444360000000003</v>
      </c>
      <c r="K816" s="77">
        <f t="shared" si="373"/>
        <v>40.101785783659885</v>
      </c>
      <c r="L816" s="14"/>
      <c r="M816" s="50"/>
      <c r="N816" s="50"/>
    </row>
    <row r="817" spans="1:14" ht="31.2" x14ac:dyDescent="0.3">
      <c r="A817" s="8" t="s">
        <v>1271</v>
      </c>
      <c r="B817" s="62" t="s">
        <v>923</v>
      </c>
      <c r="C817" s="68" t="s">
        <v>1374</v>
      </c>
      <c r="D817" s="68" t="s">
        <v>1391</v>
      </c>
      <c r="E817" s="64" t="s">
        <v>1329</v>
      </c>
      <c r="F817" s="45" t="s">
        <v>402</v>
      </c>
      <c r="G817" s="23" t="s">
        <v>819</v>
      </c>
      <c r="H817" s="14">
        <f t="shared" ref="H817:L817" si="395">H818</f>
        <v>1010.6</v>
      </c>
      <c r="I817" s="14">
        <f t="shared" si="395"/>
        <v>927.20132000000001</v>
      </c>
      <c r="J817" s="14">
        <f t="shared" si="395"/>
        <v>917.76478999999995</v>
      </c>
      <c r="K817" s="78">
        <f t="shared" si="373"/>
        <v>98.982256625777879</v>
      </c>
      <c r="L817" s="14">
        <f t="shared" si="395"/>
        <v>0</v>
      </c>
      <c r="M817" s="50"/>
      <c r="N817" s="50"/>
    </row>
    <row r="818" spans="1:14" x14ac:dyDescent="0.3">
      <c r="A818" s="8" t="s">
        <v>1271</v>
      </c>
      <c r="B818" s="62" t="s">
        <v>923</v>
      </c>
      <c r="C818" s="68" t="s">
        <v>1374</v>
      </c>
      <c r="D818" s="68" t="s">
        <v>1391</v>
      </c>
      <c r="E818" s="64" t="s">
        <v>1329</v>
      </c>
      <c r="F818" s="64" t="s">
        <v>223</v>
      </c>
      <c r="G818" s="18" t="s">
        <v>829</v>
      </c>
      <c r="H818" s="14">
        <v>1010.6</v>
      </c>
      <c r="I818" s="14">
        <v>927.20132000000001</v>
      </c>
      <c r="J818" s="14">
        <v>917.76478999999995</v>
      </c>
      <c r="K818" s="78">
        <f t="shared" si="373"/>
        <v>98.982256625777879</v>
      </c>
      <c r="L818" s="14"/>
      <c r="M818" s="50"/>
      <c r="N818" s="50"/>
    </row>
    <row r="819" spans="1:14" ht="31.2" x14ac:dyDescent="0.3">
      <c r="A819" s="8" t="s">
        <v>1271</v>
      </c>
      <c r="B819" s="62" t="s">
        <v>923</v>
      </c>
      <c r="C819" s="68" t="s">
        <v>1374</v>
      </c>
      <c r="D819" s="68" t="s">
        <v>1391</v>
      </c>
      <c r="E819" s="64" t="s">
        <v>52</v>
      </c>
      <c r="F819" s="64"/>
      <c r="G819" s="18" t="s">
        <v>171</v>
      </c>
      <c r="H819" s="14">
        <f>H820</f>
        <v>2219</v>
      </c>
      <c r="I819" s="14">
        <f t="shared" ref="H819:L820" si="396">I820</f>
        <v>2219</v>
      </c>
      <c r="J819" s="14">
        <f t="shared" si="396"/>
        <v>2218.9832999999999</v>
      </c>
      <c r="K819" s="78">
        <f t="shared" si="373"/>
        <v>99.999247408742676</v>
      </c>
      <c r="L819" s="14">
        <f t="shared" si="396"/>
        <v>0</v>
      </c>
      <c r="M819" s="50"/>
      <c r="N819" s="50"/>
    </row>
    <row r="820" spans="1:14" ht="31.2" x14ac:dyDescent="0.3">
      <c r="A820" s="8" t="s">
        <v>1271</v>
      </c>
      <c r="B820" s="62" t="s">
        <v>923</v>
      </c>
      <c r="C820" s="68" t="s">
        <v>1374</v>
      </c>
      <c r="D820" s="68" t="s">
        <v>1391</v>
      </c>
      <c r="E820" s="64" t="s">
        <v>52</v>
      </c>
      <c r="F820" s="45" t="s">
        <v>402</v>
      </c>
      <c r="G820" s="23" t="s">
        <v>819</v>
      </c>
      <c r="H820" s="14">
        <f t="shared" si="396"/>
        <v>2219</v>
      </c>
      <c r="I820" s="14">
        <f t="shared" si="396"/>
        <v>2219</v>
      </c>
      <c r="J820" s="14">
        <f t="shared" si="396"/>
        <v>2218.9832999999999</v>
      </c>
      <c r="K820" s="78">
        <f t="shared" si="373"/>
        <v>99.999247408742676</v>
      </c>
      <c r="L820" s="14">
        <f t="shared" si="396"/>
        <v>0</v>
      </c>
      <c r="M820" s="50"/>
      <c r="N820" s="50"/>
    </row>
    <row r="821" spans="1:14" x14ac:dyDescent="0.3">
      <c r="A821" s="8" t="s">
        <v>1271</v>
      </c>
      <c r="B821" s="62" t="s">
        <v>923</v>
      </c>
      <c r="C821" s="68" t="s">
        <v>1374</v>
      </c>
      <c r="D821" s="68" t="s">
        <v>1391</v>
      </c>
      <c r="E821" s="64" t="s">
        <v>52</v>
      </c>
      <c r="F821" s="64" t="s">
        <v>223</v>
      </c>
      <c r="G821" s="18" t="s">
        <v>829</v>
      </c>
      <c r="H821" s="14">
        <v>2219</v>
      </c>
      <c r="I821" s="14">
        <v>2219</v>
      </c>
      <c r="J821" s="14">
        <v>2218.9832999999999</v>
      </c>
      <c r="K821" s="78">
        <f t="shared" si="373"/>
        <v>99.999247408742676</v>
      </c>
      <c r="L821" s="14"/>
      <c r="M821" s="50"/>
      <c r="N821" s="50"/>
    </row>
    <row r="822" spans="1:14" x14ac:dyDescent="0.3">
      <c r="A822" s="8" t="s">
        <v>1271</v>
      </c>
      <c r="B822" s="62" t="s">
        <v>923</v>
      </c>
      <c r="C822" s="68" t="s">
        <v>1374</v>
      </c>
      <c r="D822" s="68" t="s">
        <v>1391</v>
      </c>
      <c r="E822" s="8" t="s">
        <v>34</v>
      </c>
      <c r="F822" s="8"/>
      <c r="G822" s="13" t="s">
        <v>996</v>
      </c>
      <c r="H822" s="20">
        <f>H825</f>
        <v>5000</v>
      </c>
      <c r="I822" s="20">
        <f>I825+I823</f>
        <v>5000</v>
      </c>
      <c r="J822" s="20">
        <f t="shared" ref="J822:L822" si="397">J825+J823</f>
        <v>5000</v>
      </c>
      <c r="K822" s="77">
        <f t="shared" si="373"/>
        <v>100</v>
      </c>
      <c r="L822" s="20">
        <f t="shared" si="397"/>
        <v>0</v>
      </c>
      <c r="M822" s="50"/>
      <c r="N822" s="50"/>
    </row>
    <row r="823" spans="1:14" ht="78" x14ac:dyDescent="0.3">
      <c r="A823" s="8" t="s">
        <v>1271</v>
      </c>
      <c r="B823" s="62" t="s">
        <v>923</v>
      </c>
      <c r="C823" s="68" t="s">
        <v>1374</v>
      </c>
      <c r="D823" s="68" t="s">
        <v>1391</v>
      </c>
      <c r="E823" s="8" t="s">
        <v>34</v>
      </c>
      <c r="F823" s="45" t="s">
        <v>431</v>
      </c>
      <c r="G823" s="23" t="s">
        <v>806</v>
      </c>
      <c r="H823" s="19">
        <v>0</v>
      </c>
      <c r="I823" s="20">
        <f>I824</f>
        <v>63.082799999999999</v>
      </c>
      <c r="J823" s="20">
        <f t="shared" ref="J823:L823" si="398">J824</f>
        <v>63.082799999999999</v>
      </c>
      <c r="K823" s="77">
        <f t="shared" si="373"/>
        <v>100</v>
      </c>
      <c r="L823" s="20">
        <f t="shared" si="398"/>
        <v>0</v>
      </c>
      <c r="M823" s="50"/>
      <c r="N823" s="50"/>
    </row>
    <row r="824" spans="1:14" x14ac:dyDescent="0.3">
      <c r="A824" s="8" t="s">
        <v>1271</v>
      </c>
      <c r="B824" s="62" t="s">
        <v>923</v>
      </c>
      <c r="C824" s="68" t="s">
        <v>1374</v>
      </c>
      <c r="D824" s="68" t="s">
        <v>1391</v>
      </c>
      <c r="E824" s="8" t="s">
        <v>34</v>
      </c>
      <c r="F824" s="8" t="s">
        <v>719</v>
      </c>
      <c r="G824" s="23" t="s">
        <v>807</v>
      </c>
      <c r="H824" s="19">
        <v>0</v>
      </c>
      <c r="I824" s="20">
        <v>63.082799999999999</v>
      </c>
      <c r="J824" s="20">
        <v>63.082799999999999</v>
      </c>
      <c r="K824" s="77">
        <f t="shared" si="373"/>
        <v>100</v>
      </c>
      <c r="L824" s="20"/>
      <c r="M824" s="50"/>
      <c r="N824" s="50"/>
    </row>
    <row r="825" spans="1:14" ht="31.2" x14ac:dyDescent="0.3">
      <c r="A825" s="8" t="s">
        <v>1271</v>
      </c>
      <c r="B825" s="62" t="s">
        <v>923</v>
      </c>
      <c r="C825" s="68" t="s">
        <v>1374</v>
      </c>
      <c r="D825" s="68" t="s">
        <v>1391</v>
      </c>
      <c r="E825" s="8" t="s">
        <v>34</v>
      </c>
      <c r="F825" s="45" t="s">
        <v>402</v>
      </c>
      <c r="G825" s="23" t="s">
        <v>819</v>
      </c>
      <c r="H825" s="20">
        <f>H826</f>
        <v>5000</v>
      </c>
      <c r="I825" s="20">
        <f t="shared" ref="I825:L825" si="399">I826</f>
        <v>4936.9171999999999</v>
      </c>
      <c r="J825" s="20">
        <f t="shared" si="399"/>
        <v>4936.9171999999999</v>
      </c>
      <c r="K825" s="77">
        <f t="shared" si="373"/>
        <v>100</v>
      </c>
      <c r="L825" s="20">
        <f t="shared" si="399"/>
        <v>0</v>
      </c>
      <c r="M825" s="50"/>
      <c r="N825" s="50"/>
    </row>
    <row r="826" spans="1:14" x14ac:dyDescent="0.3">
      <c r="A826" s="8" t="s">
        <v>1271</v>
      </c>
      <c r="B826" s="62" t="s">
        <v>923</v>
      </c>
      <c r="C826" s="68" t="s">
        <v>1374</v>
      </c>
      <c r="D826" s="68" t="s">
        <v>1391</v>
      </c>
      <c r="E826" s="8" t="s">
        <v>34</v>
      </c>
      <c r="F826" s="8" t="s">
        <v>223</v>
      </c>
      <c r="G826" s="13" t="s">
        <v>829</v>
      </c>
      <c r="H826" s="20">
        <v>5000</v>
      </c>
      <c r="I826" s="14">
        <v>4936.9171999999999</v>
      </c>
      <c r="J826" s="14">
        <v>4936.9171999999999</v>
      </c>
      <c r="K826" s="78">
        <f t="shared" si="373"/>
        <v>100</v>
      </c>
      <c r="L826" s="14"/>
      <c r="M826" s="50"/>
      <c r="N826" s="50"/>
    </row>
    <row r="827" spans="1:14" ht="46.8" x14ac:dyDescent="0.3">
      <c r="A827" s="8" t="s">
        <v>1271</v>
      </c>
      <c r="B827" s="62" t="s">
        <v>923</v>
      </c>
      <c r="C827" s="68" t="s">
        <v>1374</v>
      </c>
      <c r="D827" s="68" t="s">
        <v>1391</v>
      </c>
      <c r="E827" s="8" t="s">
        <v>65</v>
      </c>
      <c r="F827" s="8"/>
      <c r="G827" s="13" t="s">
        <v>1118</v>
      </c>
      <c r="H827" s="20">
        <v>0</v>
      </c>
      <c r="I827" s="14">
        <f>I828+I830</f>
        <v>14227.2</v>
      </c>
      <c r="J827" s="14">
        <f t="shared" ref="J827:L827" si="400">J828+J830</f>
        <v>14226.81819</v>
      </c>
      <c r="K827" s="78">
        <f t="shared" si="373"/>
        <v>99.997316337719283</v>
      </c>
      <c r="L827" s="14">
        <f t="shared" si="400"/>
        <v>0</v>
      </c>
      <c r="M827" s="50"/>
      <c r="N827" s="50"/>
    </row>
    <row r="828" spans="1:14" ht="78" x14ac:dyDescent="0.3">
      <c r="A828" s="8" t="s">
        <v>1271</v>
      </c>
      <c r="B828" s="62" t="s">
        <v>923</v>
      </c>
      <c r="C828" s="68" t="s">
        <v>1374</v>
      </c>
      <c r="D828" s="68" t="s">
        <v>1391</v>
      </c>
      <c r="E828" s="8" t="s">
        <v>65</v>
      </c>
      <c r="F828" s="45" t="s">
        <v>431</v>
      </c>
      <c r="G828" s="23" t="s">
        <v>806</v>
      </c>
      <c r="H828" s="20">
        <v>0</v>
      </c>
      <c r="I828" s="14">
        <f>I829</f>
        <v>168.2</v>
      </c>
      <c r="J828" s="14">
        <f t="shared" ref="J828:L828" si="401">J829</f>
        <v>167.81818999999999</v>
      </c>
      <c r="K828" s="78">
        <f t="shared" si="373"/>
        <v>99.773002378121276</v>
      </c>
      <c r="L828" s="14">
        <f t="shared" si="401"/>
        <v>0</v>
      </c>
      <c r="M828" s="50"/>
      <c r="N828" s="50"/>
    </row>
    <row r="829" spans="1:14" x14ac:dyDescent="0.3">
      <c r="A829" s="8" t="s">
        <v>1271</v>
      </c>
      <c r="B829" s="62" t="s">
        <v>923</v>
      </c>
      <c r="C829" s="68" t="s">
        <v>1374</v>
      </c>
      <c r="D829" s="68" t="s">
        <v>1391</v>
      </c>
      <c r="E829" s="8" t="s">
        <v>65</v>
      </c>
      <c r="F829" s="8" t="s">
        <v>719</v>
      </c>
      <c r="G829" s="23" t="s">
        <v>807</v>
      </c>
      <c r="H829" s="20">
        <v>0</v>
      </c>
      <c r="I829" s="14">
        <f>129.2+39</f>
        <v>168.2</v>
      </c>
      <c r="J829" s="14">
        <v>167.81818999999999</v>
      </c>
      <c r="K829" s="78">
        <f t="shared" si="373"/>
        <v>99.773002378121276</v>
      </c>
      <c r="L829" s="14"/>
      <c r="M829" s="50"/>
      <c r="N829" s="50"/>
    </row>
    <row r="830" spans="1:14" ht="31.2" x14ac:dyDescent="0.3">
      <c r="A830" s="8" t="s">
        <v>1271</v>
      </c>
      <c r="B830" s="62" t="s">
        <v>923</v>
      </c>
      <c r="C830" s="68" t="s">
        <v>1374</v>
      </c>
      <c r="D830" s="68" t="s">
        <v>1391</v>
      </c>
      <c r="E830" s="8" t="s">
        <v>65</v>
      </c>
      <c r="F830" s="45" t="s">
        <v>402</v>
      </c>
      <c r="G830" s="23" t="s">
        <v>819</v>
      </c>
      <c r="H830" s="20">
        <v>0</v>
      </c>
      <c r="I830" s="14">
        <f>I831</f>
        <v>14059</v>
      </c>
      <c r="J830" s="14">
        <f t="shared" ref="J830:L830" si="402">J831</f>
        <v>14059</v>
      </c>
      <c r="K830" s="78">
        <f t="shared" si="373"/>
        <v>100</v>
      </c>
      <c r="L830" s="14">
        <f t="shared" si="402"/>
        <v>0</v>
      </c>
      <c r="M830" s="50"/>
      <c r="N830" s="50"/>
    </row>
    <row r="831" spans="1:14" x14ac:dyDescent="0.3">
      <c r="A831" s="8" t="s">
        <v>1271</v>
      </c>
      <c r="B831" s="62" t="s">
        <v>923</v>
      </c>
      <c r="C831" s="68" t="s">
        <v>1374</v>
      </c>
      <c r="D831" s="68" t="s">
        <v>1391</v>
      </c>
      <c r="E831" s="8" t="s">
        <v>65</v>
      </c>
      <c r="F831" s="64" t="s">
        <v>223</v>
      </c>
      <c r="G831" s="18" t="s">
        <v>829</v>
      </c>
      <c r="H831" s="20">
        <v>0</v>
      </c>
      <c r="I831" s="14">
        <v>14059</v>
      </c>
      <c r="J831" s="14">
        <v>14059</v>
      </c>
      <c r="K831" s="78">
        <f t="shared" si="373"/>
        <v>100</v>
      </c>
      <c r="L831" s="14"/>
      <c r="M831" s="50"/>
      <c r="N831" s="50"/>
    </row>
    <row r="832" spans="1:14" ht="31.2" x14ac:dyDescent="0.3">
      <c r="A832" s="8" t="s">
        <v>1271</v>
      </c>
      <c r="B832" s="62" t="s">
        <v>923</v>
      </c>
      <c r="C832" s="68" t="s">
        <v>1374</v>
      </c>
      <c r="D832" s="68" t="s">
        <v>1391</v>
      </c>
      <c r="E832" s="64" t="s">
        <v>457</v>
      </c>
      <c r="F832" s="64"/>
      <c r="G832" s="18" t="s">
        <v>140</v>
      </c>
      <c r="H832" s="14">
        <f t="shared" ref="H832:L835" si="403">H833</f>
        <v>37109.409999999996</v>
      </c>
      <c r="I832" s="14">
        <f t="shared" si="403"/>
        <v>37109.410000000003</v>
      </c>
      <c r="J832" s="14">
        <f t="shared" si="403"/>
        <v>37109.410000000003</v>
      </c>
      <c r="K832" s="78">
        <f t="shared" si="373"/>
        <v>100</v>
      </c>
      <c r="L832" s="14">
        <f t="shared" si="403"/>
        <v>0</v>
      </c>
      <c r="M832" s="50"/>
      <c r="N832" s="50"/>
    </row>
    <row r="833" spans="1:14" ht="46.8" x14ac:dyDescent="0.3">
      <c r="A833" s="8" t="s">
        <v>1271</v>
      </c>
      <c r="B833" s="62" t="s">
        <v>923</v>
      </c>
      <c r="C833" s="68" t="s">
        <v>1374</v>
      </c>
      <c r="D833" s="68" t="s">
        <v>1391</v>
      </c>
      <c r="E833" s="64" t="s">
        <v>458</v>
      </c>
      <c r="F833" s="64"/>
      <c r="G833" s="18" t="s">
        <v>1213</v>
      </c>
      <c r="H833" s="14">
        <f t="shared" si="403"/>
        <v>37109.409999999996</v>
      </c>
      <c r="I833" s="14">
        <f t="shared" si="403"/>
        <v>37109.410000000003</v>
      </c>
      <c r="J833" s="14">
        <f t="shared" si="403"/>
        <v>37109.410000000003</v>
      </c>
      <c r="K833" s="78">
        <f t="shared" si="373"/>
        <v>100</v>
      </c>
      <c r="L833" s="14">
        <f t="shared" si="403"/>
        <v>0</v>
      </c>
      <c r="M833" s="50"/>
      <c r="N833" s="50"/>
    </row>
    <row r="834" spans="1:14" ht="62.4" x14ac:dyDescent="0.3">
      <c r="A834" s="8" t="s">
        <v>1271</v>
      </c>
      <c r="B834" s="62" t="s">
        <v>923</v>
      </c>
      <c r="C834" s="68" t="s">
        <v>1374</v>
      </c>
      <c r="D834" s="68" t="s">
        <v>1391</v>
      </c>
      <c r="E834" s="64" t="s">
        <v>460</v>
      </c>
      <c r="F834" s="64"/>
      <c r="G834" s="18" t="s">
        <v>1136</v>
      </c>
      <c r="H834" s="14">
        <f t="shared" si="403"/>
        <v>37109.409999999996</v>
      </c>
      <c r="I834" s="14">
        <f t="shared" si="403"/>
        <v>37109.410000000003</v>
      </c>
      <c r="J834" s="14">
        <f t="shared" si="403"/>
        <v>37109.410000000003</v>
      </c>
      <c r="K834" s="78">
        <f t="shared" si="373"/>
        <v>100</v>
      </c>
      <c r="L834" s="14">
        <f t="shared" si="403"/>
        <v>0</v>
      </c>
      <c r="M834" s="50"/>
      <c r="N834" s="50"/>
    </row>
    <row r="835" spans="1:14" ht="31.2" x14ac:dyDescent="0.3">
      <c r="A835" s="8" t="s">
        <v>1271</v>
      </c>
      <c r="B835" s="62" t="s">
        <v>923</v>
      </c>
      <c r="C835" s="68" t="s">
        <v>1374</v>
      </c>
      <c r="D835" s="68" t="s">
        <v>1391</v>
      </c>
      <c r="E835" s="64" t="s">
        <v>460</v>
      </c>
      <c r="F835" s="45" t="s">
        <v>402</v>
      </c>
      <c r="G835" s="23" t="s">
        <v>819</v>
      </c>
      <c r="H835" s="14">
        <f t="shared" si="403"/>
        <v>37109.409999999996</v>
      </c>
      <c r="I835" s="14">
        <f t="shared" si="403"/>
        <v>37109.410000000003</v>
      </c>
      <c r="J835" s="14">
        <f t="shared" si="403"/>
        <v>37109.410000000003</v>
      </c>
      <c r="K835" s="78">
        <f t="shared" si="373"/>
        <v>100</v>
      </c>
      <c r="L835" s="14">
        <f t="shared" si="403"/>
        <v>0</v>
      </c>
      <c r="M835" s="50"/>
      <c r="N835" s="50"/>
    </row>
    <row r="836" spans="1:14" x14ac:dyDescent="0.3">
      <c r="A836" s="8" t="s">
        <v>1271</v>
      </c>
      <c r="B836" s="62" t="s">
        <v>923</v>
      </c>
      <c r="C836" s="68" t="s">
        <v>1374</v>
      </c>
      <c r="D836" s="68" t="s">
        <v>1391</v>
      </c>
      <c r="E836" s="64" t="s">
        <v>460</v>
      </c>
      <c r="F836" s="64" t="s">
        <v>223</v>
      </c>
      <c r="G836" s="18" t="s">
        <v>829</v>
      </c>
      <c r="H836" s="14">
        <f>58325.2-23116.483+1540.307+360.386</f>
        <v>37109.409999999996</v>
      </c>
      <c r="I836" s="14">
        <v>37109.410000000003</v>
      </c>
      <c r="J836" s="14">
        <v>37109.410000000003</v>
      </c>
      <c r="K836" s="78">
        <f t="shared" si="373"/>
        <v>100</v>
      </c>
      <c r="L836" s="14"/>
      <c r="M836" s="50"/>
      <c r="N836" s="50"/>
    </row>
    <row r="837" spans="1:14" ht="31.2" x14ac:dyDescent="0.3">
      <c r="A837" s="8" t="s">
        <v>1271</v>
      </c>
      <c r="B837" s="62" t="s">
        <v>923</v>
      </c>
      <c r="C837" s="68" t="s">
        <v>1374</v>
      </c>
      <c r="D837" s="68" t="s">
        <v>1391</v>
      </c>
      <c r="E837" s="8" t="s">
        <v>429</v>
      </c>
      <c r="F837" s="8"/>
      <c r="G837" s="13" t="s">
        <v>1140</v>
      </c>
      <c r="H837" s="19">
        <v>0</v>
      </c>
      <c r="I837" s="14">
        <f>I838</f>
        <v>75</v>
      </c>
      <c r="J837" s="14">
        <f t="shared" ref="J837:L840" si="404">J838</f>
        <v>75</v>
      </c>
      <c r="K837" s="78">
        <f t="shared" si="373"/>
        <v>100</v>
      </c>
      <c r="L837" s="14">
        <f t="shared" si="404"/>
        <v>0</v>
      </c>
      <c r="M837" s="50"/>
      <c r="N837" s="50"/>
    </row>
    <row r="838" spans="1:14" x14ac:dyDescent="0.3">
      <c r="A838" s="8" t="s">
        <v>1271</v>
      </c>
      <c r="B838" s="62" t="s">
        <v>923</v>
      </c>
      <c r="C838" s="68" t="s">
        <v>1374</v>
      </c>
      <c r="D838" s="68" t="s">
        <v>1391</v>
      </c>
      <c r="E838" s="8" t="s">
        <v>430</v>
      </c>
      <c r="F838" s="8"/>
      <c r="G838" s="13" t="s">
        <v>1141</v>
      </c>
      <c r="H838" s="19">
        <v>0</v>
      </c>
      <c r="I838" s="14">
        <f>I839</f>
        <v>75</v>
      </c>
      <c r="J838" s="14">
        <f t="shared" si="404"/>
        <v>75</v>
      </c>
      <c r="K838" s="78">
        <f t="shared" si="373"/>
        <v>100</v>
      </c>
      <c r="L838" s="14">
        <f t="shared" si="404"/>
        <v>0</v>
      </c>
      <c r="M838" s="50"/>
      <c r="N838" s="50"/>
    </row>
    <row r="839" spans="1:14" ht="46.8" x14ac:dyDescent="0.3">
      <c r="A839" s="8" t="s">
        <v>1271</v>
      </c>
      <c r="B839" s="62" t="s">
        <v>923</v>
      </c>
      <c r="C839" s="68" t="s">
        <v>1374</v>
      </c>
      <c r="D839" s="68" t="s">
        <v>1391</v>
      </c>
      <c r="E839" s="8" t="s">
        <v>39</v>
      </c>
      <c r="F839" s="8"/>
      <c r="G839" s="13" t="s">
        <v>40</v>
      </c>
      <c r="H839" s="19">
        <v>0</v>
      </c>
      <c r="I839" s="14">
        <f>I840</f>
        <v>75</v>
      </c>
      <c r="J839" s="14">
        <f t="shared" si="404"/>
        <v>75</v>
      </c>
      <c r="K839" s="78">
        <f t="shared" si="373"/>
        <v>100</v>
      </c>
      <c r="L839" s="14">
        <f t="shared" si="404"/>
        <v>0</v>
      </c>
      <c r="M839" s="50"/>
      <c r="N839" s="50"/>
    </row>
    <row r="840" spans="1:14" ht="31.2" x14ac:dyDescent="0.3">
      <c r="A840" s="8" t="s">
        <v>1271</v>
      </c>
      <c r="B840" s="62" t="s">
        <v>923</v>
      </c>
      <c r="C840" s="68" t="s">
        <v>1374</v>
      </c>
      <c r="D840" s="68" t="s">
        <v>1391</v>
      </c>
      <c r="E840" s="8" t="s">
        <v>39</v>
      </c>
      <c r="F840" s="45" t="s">
        <v>402</v>
      </c>
      <c r="G840" s="23" t="s">
        <v>819</v>
      </c>
      <c r="H840" s="19">
        <v>0</v>
      </c>
      <c r="I840" s="14">
        <f>I841</f>
        <v>75</v>
      </c>
      <c r="J840" s="14">
        <f t="shared" si="404"/>
        <v>75</v>
      </c>
      <c r="K840" s="78">
        <f t="shared" ref="K840:K903" si="405">J840/I840*100</f>
        <v>100</v>
      </c>
      <c r="L840" s="14">
        <f t="shared" si="404"/>
        <v>0</v>
      </c>
      <c r="M840" s="50"/>
      <c r="N840" s="50"/>
    </row>
    <row r="841" spans="1:14" x14ac:dyDescent="0.3">
      <c r="A841" s="8" t="s">
        <v>1271</v>
      </c>
      <c r="B841" s="62" t="s">
        <v>923</v>
      </c>
      <c r="C841" s="68" t="s">
        <v>1374</v>
      </c>
      <c r="D841" s="68" t="s">
        <v>1391</v>
      </c>
      <c r="E841" s="8" t="s">
        <v>39</v>
      </c>
      <c r="F841" s="64" t="s">
        <v>223</v>
      </c>
      <c r="G841" s="18" t="s">
        <v>829</v>
      </c>
      <c r="H841" s="19">
        <v>0</v>
      </c>
      <c r="I841" s="14">
        <v>75</v>
      </c>
      <c r="J841" s="14">
        <v>75</v>
      </c>
      <c r="K841" s="78">
        <f t="shared" si="405"/>
        <v>100</v>
      </c>
      <c r="L841" s="14"/>
      <c r="M841" s="50"/>
      <c r="N841" s="50"/>
    </row>
    <row r="842" spans="1:14" s="9" customFormat="1" ht="31.2" x14ac:dyDescent="0.3">
      <c r="A842" s="11" t="s">
        <v>1271</v>
      </c>
      <c r="B842" s="48" t="s">
        <v>930</v>
      </c>
      <c r="C842" s="48" t="s">
        <v>1374</v>
      </c>
      <c r="D842" s="48" t="s">
        <v>1392</v>
      </c>
      <c r="E842" s="6"/>
      <c r="F842" s="6"/>
      <c r="G842" s="7" t="s">
        <v>1186</v>
      </c>
      <c r="H842" s="16">
        <f t="shared" ref="H842:L847" si="406">H843</f>
        <v>13598.7</v>
      </c>
      <c r="I842" s="16">
        <f t="shared" si="406"/>
        <v>13785.6</v>
      </c>
      <c r="J842" s="16">
        <f t="shared" si="406"/>
        <v>13749.44742</v>
      </c>
      <c r="K842" s="82">
        <f t="shared" si="405"/>
        <v>99.73775113161561</v>
      </c>
      <c r="L842" s="16">
        <f t="shared" si="406"/>
        <v>0</v>
      </c>
      <c r="M842" s="65"/>
      <c r="N842" s="65"/>
    </row>
    <row r="843" spans="1:14" ht="46.8" x14ac:dyDescent="0.3">
      <c r="A843" s="8" t="s">
        <v>1271</v>
      </c>
      <c r="B843" s="62" t="s">
        <v>930</v>
      </c>
      <c r="C843" s="68" t="s">
        <v>1374</v>
      </c>
      <c r="D843" s="68" t="s">
        <v>1392</v>
      </c>
      <c r="E843" s="64" t="s">
        <v>347</v>
      </c>
      <c r="F843" s="64"/>
      <c r="G843" s="18" t="s">
        <v>1114</v>
      </c>
      <c r="H843" s="14">
        <f t="shared" si="406"/>
        <v>13598.7</v>
      </c>
      <c r="I843" s="14">
        <f t="shared" si="406"/>
        <v>13785.6</v>
      </c>
      <c r="J843" s="14">
        <f t="shared" si="406"/>
        <v>13749.44742</v>
      </c>
      <c r="K843" s="78">
        <f t="shared" si="405"/>
        <v>99.73775113161561</v>
      </c>
      <c r="L843" s="14">
        <f t="shared" si="406"/>
        <v>0</v>
      </c>
      <c r="M843" s="50"/>
      <c r="N843" s="50"/>
    </row>
    <row r="844" spans="1:14" ht="31.2" x14ac:dyDescent="0.3">
      <c r="A844" s="8" t="s">
        <v>1271</v>
      </c>
      <c r="B844" s="62" t="s">
        <v>930</v>
      </c>
      <c r="C844" s="68" t="s">
        <v>1374</v>
      </c>
      <c r="D844" s="68" t="s">
        <v>1392</v>
      </c>
      <c r="E844" s="64" t="s">
        <v>348</v>
      </c>
      <c r="F844" s="64"/>
      <c r="G844" s="18" t="s">
        <v>1125</v>
      </c>
      <c r="H844" s="14">
        <f t="shared" si="406"/>
        <v>13598.7</v>
      </c>
      <c r="I844" s="14">
        <f t="shared" si="406"/>
        <v>13785.6</v>
      </c>
      <c r="J844" s="14">
        <f t="shared" si="406"/>
        <v>13749.44742</v>
      </c>
      <c r="K844" s="78">
        <f t="shared" si="405"/>
        <v>99.73775113161561</v>
      </c>
      <c r="L844" s="14">
        <f t="shared" si="406"/>
        <v>0</v>
      </c>
      <c r="M844" s="50"/>
      <c r="N844" s="50"/>
    </row>
    <row r="845" spans="1:14" ht="46.8" x14ac:dyDescent="0.3">
      <c r="A845" s="8" t="s">
        <v>1271</v>
      </c>
      <c r="B845" s="62" t="s">
        <v>930</v>
      </c>
      <c r="C845" s="68" t="s">
        <v>1374</v>
      </c>
      <c r="D845" s="68" t="s">
        <v>1392</v>
      </c>
      <c r="E845" s="64" t="s">
        <v>488</v>
      </c>
      <c r="F845" s="64"/>
      <c r="G845" s="13" t="s">
        <v>1126</v>
      </c>
      <c r="H845" s="14">
        <f t="shared" si="406"/>
        <v>13598.7</v>
      </c>
      <c r="I845" s="14">
        <f>I846+I849</f>
        <v>13785.6</v>
      </c>
      <c r="J845" s="14">
        <f t="shared" ref="J845:L845" si="407">J846+J849</f>
        <v>13749.44742</v>
      </c>
      <c r="K845" s="78">
        <f t="shared" si="405"/>
        <v>99.73775113161561</v>
      </c>
      <c r="L845" s="14">
        <f t="shared" si="407"/>
        <v>0</v>
      </c>
      <c r="M845" s="50"/>
      <c r="N845" s="50"/>
    </row>
    <row r="846" spans="1:14" ht="62.4" x14ac:dyDescent="0.3">
      <c r="A846" s="8" t="s">
        <v>1271</v>
      </c>
      <c r="B846" s="62" t="s">
        <v>930</v>
      </c>
      <c r="C846" s="68" t="s">
        <v>1374</v>
      </c>
      <c r="D846" s="68" t="s">
        <v>1392</v>
      </c>
      <c r="E846" s="64" t="s">
        <v>489</v>
      </c>
      <c r="F846" s="64"/>
      <c r="G846" s="23" t="s">
        <v>1291</v>
      </c>
      <c r="H846" s="14">
        <f t="shared" si="406"/>
        <v>13598.7</v>
      </c>
      <c r="I846" s="14">
        <f t="shared" si="406"/>
        <v>13598.7</v>
      </c>
      <c r="J846" s="14">
        <f t="shared" si="406"/>
        <v>13562.58438</v>
      </c>
      <c r="K846" s="78">
        <f t="shared" si="405"/>
        <v>99.734418584129358</v>
      </c>
      <c r="L846" s="14">
        <f t="shared" si="406"/>
        <v>0</v>
      </c>
      <c r="M846" s="50"/>
      <c r="N846" s="50"/>
    </row>
    <row r="847" spans="1:14" ht="31.2" x14ac:dyDescent="0.3">
      <c r="A847" s="8" t="s">
        <v>1271</v>
      </c>
      <c r="B847" s="62" t="s">
        <v>930</v>
      </c>
      <c r="C847" s="68" t="s">
        <v>1374</v>
      </c>
      <c r="D847" s="68" t="s">
        <v>1392</v>
      </c>
      <c r="E847" s="64" t="s">
        <v>489</v>
      </c>
      <c r="F847" s="45" t="s">
        <v>402</v>
      </c>
      <c r="G847" s="23" t="s">
        <v>819</v>
      </c>
      <c r="H847" s="14">
        <f t="shared" si="406"/>
        <v>13598.7</v>
      </c>
      <c r="I847" s="14">
        <f t="shared" si="406"/>
        <v>13598.7</v>
      </c>
      <c r="J847" s="14">
        <f t="shared" si="406"/>
        <v>13562.58438</v>
      </c>
      <c r="K847" s="78">
        <f t="shared" si="405"/>
        <v>99.734418584129358</v>
      </c>
      <c r="L847" s="14">
        <f t="shared" si="406"/>
        <v>0</v>
      </c>
      <c r="M847" s="50"/>
      <c r="N847" s="50"/>
    </row>
    <row r="848" spans="1:14" x14ac:dyDescent="0.3">
      <c r="A848" s="8" t="s">
        <v>1271</v>
      </c>
      <c r="B848" s="62" t="s">
        <v>930</v>
      </c>
      <c r="C848" s="68" t="s">
        <v>1374</v>
      </c>
      <c r="D848" s="68" t="s">
        <v>1392</v>
      </c>
      <c r="E848" s="64" t="s">
        <v>489</v>
      </c>
      <c r="F848" s="64" t="s">
        <v>223</v>
      </c>
      <c r="G848" s="18" t="s">
        <v>829</v>
      </c>
      <c r="H848" s="14">
        <v>13598.7</v>
      </c>
      <c r="I848" s="14">
        <v>13598.7</v>
      </c>
      <c r="J848" s="14">
        <v>13562.58438</v>
      </c>
      <c r="K848" s="78">
        <f t="shared" si="405"/>
        <v>99.734418584129358</v>
      </c>
      <c r="L848" s="14"/>
      <c r="M848" s="50"/>
      <c r="N848" s="50"/>
    </row>
    <row r="849" spans="1:14" ht="46.8" x14ac:dyDescent="0.3">
      <c r="A849" s="8" t="s">
        <v>1271</v>
      </c>
      <c r="B849" s="62" t="s">
        <v>930</v>
      </c>
      <c r="C849" s="68" t="s">
        <v>1374</v>
      </c>
      <c r="D849" s="68" t="s">
        <v>1392</v>
      </c>
      <c r="E849" s="8" t="s">
        <v>66</v>
      </c>
      <c r="F849" s="8"/>
      <c r="G849" s="13" t="s">
        <v>1118</v>
      </c>
      <c r="H849" s="20">
        <v>0</v>
      </c>
      <c r="I849" s="14">
        <f>I850</f>
        <v>186.9</v>
      </c>
      <c r="J849" s="14">
        <f t="shared" ref="J849:L850" si="408">J850</f>
        <v>186.86304000000001</v>
      </c>
      <c r="K849" s="78">
        <f t="shared" si="405"/>
        <v>99.98022471910113</v>
      </c>
      <c r="L849" s="14">
        <f t="shared" si="408"/>
        <v>0</v>
      </c>
      <c r="M849" s="50"/>
      <c r="N849" s="50"/>
    </row>
    <row r="850" spans="1:14" ht="31.2" x14ac:dyDescent="0.3">
      <c r="A850" s="8" t="s">
        <v>1271</v>
      </c>
      <c r="B850" s="62" t="s">
        <v>930</v>
      </c>
      <c r="C850" s="68" t="s">
        <v>1374</v>
      </c>
      <c r="D850" s="68" t="s">
        <v>1392</v>
      </c>
      <c r="E850" s="8" t="s">
        <v>66</v>
      </c>
      <c r="F850" s="45" t="s">
        <v>402</v>
      </c>
      <c r="G850" s="23" t="s">
        <v>819</v>
      </c>
      <c r="H850" s="20">
        <v>0</v>
      </c>
      <c r="I850" s="14">
        <f>I851</f>
        <v>186.9</v>
      </c>
      <c r="J850" s="14">
        <f t="shared" si="408"/>
        <v>186.86304000000001</v>
      </c>
      <c r="K850" s="78">
        <f t="shared" si="405"/>
        <v>99.98022471910113</v>
      </c>
      <c r="L850" s="14">
        <f t="shared" si="408"/>
        <v>0</v>
      </c>
      <c r="M850" s="50"/>
      <c r="N850" s="50"/>
    </row>
    <row r="851" spans="1:14" x14ac:dyDescent="0.3">
      <c r="A851" s="8" t="s">
        <v>1271</v>
      </c>
      <c r="B851" s="62" t="s">
        <v>930</v>
      </c>
      <c r="C851" s="68" t="s">
        <v>1374</v>
      </c>
      <c r="D851" s="68" t="s">
        <v>1392</v>
      </c>
      <c r="E851" s="8" t="s">
        <v>66</v>
      </c>
      <c r="F851" s="64" t="s">
        <v>223</v>
      </c>
      <c r="G851" s="18" t="s">
        <v>829</v>
      </c>
      <c r="H851" s="20">
        <v>0</v>
      </c>
      <c r="I851" s="14">
        <v>186.9</v>
      </c>
      <c r="J851" s="14">
        <v>186.86304000000001</v>
      </c>
      <c r="K851" s="78">
        <f t="shared" si="405"/>
        <v>99.98022471910113</v>
      </c>
      <c r="L851" s="14"/>
      <c r="M851" s="50"/>
      <c r="N851" s="50"/>
    </row>
    <row r="852" spans="1:14" s="9" customFormat="1" x14ac:dyDescent="0.3">
      <c r="A852" s="11" t="s">
        <v>1271</v>
      </c>
      <c r="B852" s="48" t="s">
        <v>924</v>
      </c>
      <c r="C852" s="48" t="s">
        <v>1374</v>
      </c>
      <c r="D852" s="48" t="s">
        <v>1374</v>
      </c>
      <c r="E852" s="11"/>
      <c r="F852" s="11"/>
      <c r="G852" s="7" t="s">
        <v>1221</v>
      </c>
      <c r="H852" s="16">
        <f t="shared" ref="H852:L856" si="409">H853</f>
        <v>59196.255999999994</v>
      </c>
      <c r="I852" s="16">
        <f t="shared" si="409"/>
        <v>59196.256000000001</v>
      </c>
      <c r="J852" s="16">
        <f t="shared" si="409"/>
        <v>59123.3315</v>
      </c>
      <c r="K852" s="82">
        <f t="shared" si="405"/>
        <v>99.876808931970302</v>
      </c>
      <c r="L852" s="16">
        <f t="shared" si="409"/>
        <v>0</v>
      </c>
      <c r="M852" s="65"/>
      <c r="N852" s="65"/>
    </row>
    <row r="853" spans="1:14" ht="31.2" x14ac:dyDescent="0.3">
      <c r="A853" s="8" t="s">
        <v>1271</v>
      </c>
      <c r="B853" s="62" t="s">
        <v>924</v>
      </c>
      <c r="C853" s="68" t="s">
        <v>1374</v>
      </c>
      <c r="D853" s="68" t="s">
        <v>1374</v>
      </c>
      <c r="E853" s="64" t="s">
        <v>396</v>
      </c>
      <c r="F853" s="64"/>
      <c r="G853" s="13" t="s">
        <v>876</v>
      </c>
      <c r="H853" s="14">
        <f t="shared" si="409"/>
        <v>59196.255999999994</v>
      </c>
      <c r="I853" s="14">
        <f t="shared" si="409"/>
        <v>59196.256000000001</v>
      </c>
      <c r="J853" s="14">
        <f t="shared" si="409"/>
        <v>59123.3315</v>
      </c>
      <c r="K853" s="78">
        <f t="shared" si="405"/>
        <v>99.876808931970302</v>
      </c>
      <c r="L853" s="14">
        <f t="shared" si="409"/>
        <v>0</v>
      </c>
      <c r="M853" s="50"/>
      <c r="N853" s="50"/>
    </row>
    <row r="854" spans="1:14" ht="31.2" x14ac:dyDescent="0.3">
      <c r="A854" s="8" t="s">
        <v>1271</v>
      </c>
      <c r="B854" s="62" t="s">
        <v>924</v>
      </c>
      <c r="C854" s="68" t="s">
        <v>1374</v>
      </c>
      <c r="D854" s="68" t="s">
        <v>1374</v>
      </c>
      <c r="E854" s="64" t="s">
        <v>397</v>
      </c>
      <c r="F854" s="64"/>
      <c r="G854" s="13" t="s">
        <v>1316</v>
      </c>
      <c r="H854" s="14">
        <f t="shared" si="409"/>
        <v>59196.255999999994</v>
      </c>
      <c r="I854" s="14">
        <f t="shared" si="409"/>
        <v>59196.256000000001</v>
      </c>
      <c r="J854" s="14">
        <f t="shared" si="409"/>
        <v>59123.3315</v>
      </c>
      <c r="K854" s="78">
        <f t="shared" si="405"/>
        <v>99.876808931970302</v>
      </c>
      <c r="L854" s="14">
        <f t="shared" si="409"/>
        <v>0</v>
      </c>
      <c r="M854" s="50"/>
      <c r="N854" s="50"/>
    </row>
    <row r="855" spans="1:14" ht="46.8" x14ac:dyDescent="0.3">
      <c r="A855" s="8" t="s">
        <v>1271</v>
      </c>
      <c r="B855" s="62" t="s">
        <v>924</v>
      </c>
      <c r="C855" s="68" t="s">
        <v>1374</v>
      </c>
      <c r="D855" s="68" t="s">
        <v>1374</v>
      </c>
      <c r="E855" s="64" t="s">
        <v>398</v>
      </c>
      <c r="F855" s="64"/>
      <c r="G855" s="13" t="s">
        <v>1175</v>
      </c>
      <c r="H855" s="14">
        <f t="shared" si="409"/>
        <v>59196.255999999994</v>
      </c>
      <c r="I855" s="14">
        <f t="shared" si="409"/>
        <v>59196.256000000001</v>
      </c>
      <c r="J855" s="14">
        <f t="shared" si="409"/>
        <v>59123.3315</v>
      </c>
      <c r="K855" s="78">
        <f t="shared" si="405"/>
        <v>99.876808931970302</v>
      </c>
      <c r="L855" s="14">
        <f t="shared" si="409"/>
        <v>0</v>
      </c>
      <c r="M855" s="50"/>
      <c r="N855" s="50"/>
    </row>
    <row r="856" spans="1:14" ht="62.4" x14ac:dyDescent="0.3">
      <c r="A856" s="8" t="s">
        <v>1271</v>
      </c>
      <c r="B856" s="62" t="s">
        <v>924</v>
      </c>
      <c r="C856" s="68" t="s">
        <v>1374</v>
      </c>
      <c r="D856" s="68" t="s">
        <v>1374</v>
      </c>
      <c r="E856" s="64" t="s">
        <v>1337</v>
      </c>
      <c r="F856" s="64"/>
      <c r="G856" s="23" t="s">
        <v>1291</v>
      </c>
      <c r="H856" s="14">
        <f t="shared" si="409"/>
        <v>59196.255999999994</v>
      </c>
      <c r="I856" s="14">
        <f t="shared" si="409"/>
        <v>59196.256000000001</v>
      </c>
      <c r="J856" s="14">
        <f t="shared" si="409"/>
        <v>59123.3315</v>
      </c>
      <c r="K856" s="78">
        <f t="shared" si="405"/>
        <v>99.876808931970302</v>
      </c>
      <c r="L856" s="14">
        <f t="shared" si="409"/>
        <v>0</v>
      </c>
      <c r="M856" s="50"/>
      <c r="N856" s="50"/>
    </row>
    <row r="857" spans="1:14" ht="31.2" x14ac:dyDescent="0.3">
      <c r="A857" s="8" t="s">
        <v>1271</v>
      </c>
      <c r="B857" s="62" t="s">
        <v>924</v>
      </c>
      <c r="C857" s="68" t="s">
        <v>1374</v>
      </c>
      <c r="D857" s="68" t="s">
        <v>1374</v>
      </c>
      <c r="E857" s="64" t="s">
        <v>1337</v>
      </c>
      <c r="F857" s="45" t="s">
        <v>402</v>
      </c>
      <c r="G857" s="23" t="s">
        <v>819</v>
      </c>
      <c r="H857" s="14">
        <f>H858+H859</f>
        <v>59196.255999999994</v>
      </c>
      <c r="I857" s="14">
        <f>I858+I859</f>
        <v>59196.256000000001</v>
      </c>
      <c r="J857" s="14">
        <f t="shared" ref="J857" si="410">J858+J859</f>
        <v>59123.3315</v>
      </c>
      <c r="K857" s="78">
        <f t="shared" si="405"/>
        <v>99.876808931970302</v>
      </c>
      <c r="L857" s="14">
        <f>L858+L859</f>
        <v>0</v>
      </c>
      <c r="M857" s="50"/>
      <c r="N857" s="50"/>
    </row>
    <row r="858" spans="1:14" x14ac:dyDescent="0.3">
      <c r="A858" s="8" t="s">
        <v>1271</v>
      </c>
      <c r="B858" s="62" t="s">
        <v>924</v>
      </c>
      <c r="C858" s="68" t="s">
        <v>1374</v>
      </c>
      <c r="D858" s="68" t="s">
        <v>1374</v>
      </c>
      <c r="E858" s="64" t="s">
        <v>1337</v>
      </c>
      <c r="F858" s="8" t="s">
        <v>726</v>
      </c>
      <c r="G858" s="13" t="s">
        <v>820</v>
      </c>
      <c r="H858" s="14">
        <v>3569.2</v>
      </c>
      <c r="I858" s="14">
        <v>2133.23</v>
      </c>
      <c r="J858" s="14">
        <v>2133.23</v>
      </c>
      <c r="K858" s="78">
        <f t="shared" si="405"/>
        <v>100</v>
      </c>
      <c r="L858" s="14"/>
      <c r="M858" s="50"/>
      <c r="N858" s="50"/>
    </row>
    <row r="859" spans="1:14" x14ac:dyDescent="0.3">
      <c r="A859" s="8" t="s">
        <v>1271</v>
      </c>
      <c r="B859" s="62" t="s">
        <v>924</v>
      </c>
      <c r="C859" s="68" t="s">
        <v>1374</v>
      </c>
      <c r="D859" s="68" t="s">
        <v>1374</v>
      </c>
      <c r="E859" s="64" t="s">
        <v>1337</v>
      </c>
      <c r="F859" s="64" t="s">
        <v>223</v>
      </c>
      <c r="G859" s="18" t="s">
        <v>829</v>
      </c>
      <c r="H859" s="14">
        <f>39535.7+16091.356</f>
        <v>55627.055999999997</v>
      </c>
      <c r="I859" s="14">
        <v>57063.025999999998</v>
      </c>
      <c r="J859" s="14">
        <v>56990.101499999997</v>
      </c>
      <c r="K859" s="78">
        <f t="shared" si="405"/>
        <v>99.872203587661119</v>
      </c>
      <c r="L859" s="14"/>
      <c r="M859" s="50"/>
      <c r="N859" s="50"/>
    </row>
    <row r="860" spans="1:14" s="9" customFormat="1" x14ac:dyDescent="0.3">
      <c r="A860" s="11" t="s">
        <v>1271</v>
      </c>
      <c r="B860" s="48" t="s">
        <v>925</v>
      </c>
      <c r="C860" s="48" t="s">
        <v>1374</v>
      </c>
      <c r="D860" s="48" t="s">
        <v>1398</v>
      </c>
      <c r="E860" s="11"/>
      <c r="F860" s="11"/>
      <c r="G860" s="7" t="s">
        <v>1404</v>
      </c>
      <c r="H860" s="16">
        <f>H861+H881+H943+H874+H866+H938+H955</f>
        <v>199563.573</v>
      </c>
      <c r="I860" s="16">
        <f t="shared" ref="I860:L860" si="411">I861+I881+I943+I874+I866+I938+I955</f>
        <v>248301.59125</v>
      </c>
      <c r="J860" s="16">
        <f t="shared" si="411"/>
        <v>246667.71499000001</v>
      </c>
      <c r="K860" s="82">
        <f t="shared" si="405"/>
        <v>99.341979142471573</v>
      </c>
      <c r="L860" s="16">
        <f t="shared" si="411"/>
        <v>0</v>
      </c>
      <c r="M860" s="65"/>
      <c r="N860" s="65"/>
    </row>
    <row r="861" spans="1:14" ht="46.8" x14ac:dyDescent="0.3">
      <c r="A861" s="8" t="s">
        <v>1271</v>
      </c>
      <c r="B861" s="62" t="s">
        <v>925</v>
      </c>
      <c r="C861" s="68" t="s">
        <v>1374</v>
      </c>
      <c r="D861" s="68" t="s">
        <v>1398</v>
      </c>
      <c r="E861" s="8" t="s">
        <v>338</v>
      </c>
      <c r="F861" s="8"/>
      <c r="G861" s="13" t="s">
        <v>843</v>
      </c>
      <c r="H861" s="14">
        <f t="shared" ref="H861:L864" si="412">H862</f>
        <v>200</v>
      </c>
      <c r="I861" s="14">
        <f t="shared" si="412"/>
        <v>200</v>
      </c>
      <c r="J861" s="14">
        <f t="shared" si="412"/>
        <v>200</v>
      </c>
      <c r="K861" s="78">
        <f t="shared" si="405"/>
        <v>100</v>
      </c>
      <c r="L861" s="14">
        <f t="shared" si="412"/>
        <v>0</v>
      </c>
      <c r="M861" s="50"/>
      <c r="N861" s="50"/>
    </row>
    <row r="862" spans="1:14" ht="46.8" x14ac:dyDescent="0.3">
      <c r="A862" s="8" t="s">
        <v>1271</v>
      </c>
      <c r="B862" s="62" t="s">
        <v>925</v>
      </c>
      <c r="C862" s="68" t="s">
        <v>1374</v>
      </c>
      <c r="D862" s="68" t="s">
        <v>1398</v>
      </c>
      <c r="E862" s="8" t="s">
        <v>339</v>
      </c>
      <c r="F862" s="8"/>
      <c r="G862" s="13" t="s">
        <v>844</v>
      </c>
      <c r="H862" s="14">
        <f t="shared" si="412"/>
        <v>200</v>
      </c>
      <c r="I862" s="14">
        <f t="shared" si="412"/>
        <v>200</v>
      </c>
      <c r="J862" s="14">
        <f t="shared" si="412"/>
        <v>200</v>
      </c>
      <c r="K862" s="78">
        <f t="shared" si="405"/>
        <v>100</v>
      </c>
      <c r="L862" s="14">
        <f t="shared" si="412"/>
        <v>0</v>
      </c>
      <c r="M862" s="50"/>
      <c r="N862" s="50"/>
    </row>
    <row r="863" spans="1:14" ht="62.4" x14ac:dyDescent="0.3">
      <c r="A863" s="8" t="s">
        <v>1271</v>
      </c>
      <c r="B863" s="62" t="s">
        <v>925</v>
      </c>
      <c r="C863" s="68" t="s">
        <v>1374</v>
      </c>
      <c r="D863" s="68" t="s">
        <v>1398</v>
      </c>
      <c r="E863" s="8" t="s">
        <v>340</v>
      </c>
      <c r="F863" s="8"/>
      <c r="G863" s="13" t="s">
        <v>845</v>
      </c>
      <c r="H863" s="14">
        <f t="shared" si="412"/>
        <v>200</v>
      </c>
      <c r="I863" s="14">
        <f t="shared" si="412"/>
        <v>200</v>
      </c>
      <c r="J863" s="14">
        <f t="shared" si="412"/>
        <v>200</v>
      </c>
      <c r="K863" s="78">
        <f t="shared" si="405"/>
        <v>100</v>
      </c>
      <c r="L863" s="14">
        <f t="shared" si="412"/>
        <v>0</v>
      </c>
      <c r="M863" s="50"/>
      <c r="N863" s="50"/>
    </row>
    <row r="864" spans="1:14" ht="31.2" x14ac:dyDescent="0.3">
      <c r="A864" s="8" t="s">
        <v>1271</v>
      </c>
      <c r="B864" s="62" t="s">
        <v>925</v>
      </c>
      <c r="C864" s="68" t="s">
        <v>1374</v>
      </c>
      <c r="D864" s="68" t="s">
        <v>1398</v>
      </c>
      <c r="E864" s="8" t="s">
        <v>340</v>
      </c>
      <c r="F864" s="45" t="s">
        <v>402</v>
      </c>
      <c r="G864" s="23" t="s">
        <v>819</v>
      </c>
      <c r="H864" s="14">
        <f t="shared" si="412"/>
        <v>200</v>
      </c>
      <c r="I864" s="14">
        <f t="shared" si="412"/>
        <v>200</v>
      </c>
      <c r="J864" s="14">
        <f t="shared" si="412"/>
        <v>200</v>
      </c>
      <c r="K864" s="78">
        <f t="shared" si="405"/>
        <v>100</v>
      </c>
      <c r="L864" s="14">
        <f t="shared" si="412"/>
        <v>0</v>
      </c>
      <c r="M864" s="50"/>
      <c r="N864" s="50"/>
    </row>
    <row r="865" spans="1:14" x14ac:dyDescent="0.3">
      <c r="A865" s="8" t="s">
        <v>1271</v>
      </c>
      <c r="B865" s="62" t="s">
        <v>925</v>
      </c>
      <c r="C865" s="68" t="s">
        <v>1374</v>
      </c>
      <c r="D865" s="68" t="s">
        <v>1398</v>
      </c>
      <c r="E865" s="8" t="s">
        <v>340</v>
      </c>
      <c r="F865" s="8" t="s">
        <v>726</v>
      </c>
      <c r="G865" s="13" t="s">
        <v>820</v>
      </c>
      <c r="H865" s="14">
        <v>200</v>
      </c>
      <c r="I865" s="14">
        <v>200</v>
      </c>
      <c r="J865" s="14">
        <v>200</v>
      </c>
      <c r="K865" s="78">
        <f t="shared" si="405"/>
        <v>100</v>
      </c>
      <c r="L865" s="14"/>
      <c r="M865" s="50"/>
      <c r="N865" s="50"/>
    </row>
    <row r="866" spans="1:14" ht="31.2" x14ac:dyDescent="0.3">
      <c r="A866" s="8" t="s">
        <v>1271</v>
      </c>
      <c r="B866" s="62" t="s">
        <v>925</v>
      </c>
      <c r="C866" s="68" t="s">
        <v>1374</v>
      </c>
      <c r="D866" s="68" t="s">
        <v>1398</v>
      </c>
      <c r="E866" s="8" t="s">
        <v>396</v>
      </c>
      <c r="F866" s="8"/>
      <c r="G866" s="13" t="s">
        <v>876</v>
      </c>
      <c r="H866" s="14">
        <f t="shared" ref="H866:L869" si="413">H867</f>
        <v>629.4</v>
      </c>
      <c r="I866" s="14">
        <f t="shared" si="413"/>
        <v>629.4</v>
      </c>
      <c r="J866" s="14">
        <f t="shared" si="413"/>
        <v>629.4</v>
      </c>
      <c r="K866" s="78">
        <f t="shared" si="405"/>
        <v>100</v>
      </c>
      <c r="L866" s="14">
        <f t="shared" si="413"/>
        <v>0</v>
      </c>
      <c r="M866" s="50"/>
      <c r="N866" s="50"/>
    </row>
    <row r="867" spans="1:14" ht="31.2" x14ac:dyDescent="0.3">
      <c r="A867" s="8" t="s">
        <v>1271</v>
      </c>
      <c r="B867" s="62" t="s">
        <v>925</v>
      </c>
      <c r="C867" s="68" t="s">
        <v>1374</v>
      </c>
      <c r="D867" s="68" t="s">
        <v>1398</v>
      </c>
      <c r="E867" s="8" t="s">
        <v>485</v>
      </c>
      <c r="F867" s="8"/>
      <c r="G867" s="13" t="s">
        <v>877</v>
      </c>
      <c r="H867" s="14">
        <f>H868+H871</f>
        <v>629.4</v>
      </c>
      <c r="I867" s="14">
        <f>I868+I871</f>
        <v>629.4</v>
      </c>
      <c r="J867" s="14">
        <f t="shared" ref="J867" si="414">J868+J871</f>
        <v>629.4</v>
      </c>
      <c r="K867" s="78">
        <f t="shared" si="405"/>
        <v>100</v>
      </c>
      <c r="L867" s="14">
        <f>L868+L871</f>
        <v>0</v>
      </c>
      <c r="M867" s="50"/>
      <c r="N867" s="50"/>
    </row>
    <row r="868" spans="1:14" ht="46.8" x14ac:dyDescent="0.3">
      <c r="A868" s="8" t="s">
        <v>1271</v>
      </c>
      <c r="B868" s="62" t="s">
        <v>925</v>
      </c>
      <c r="C868" s="68" t="s">
        <v>1374</v>
      </c>
      <c r="D868" s="68" t="s">
        <v>1398</v>
      </c>
      <c r="E868" s="8" t="s">
        <v>486</v>
      </c>
      <c r="F868" s="8"/>
      <c r="G868" s="13" t="s">
        <v>1315</v>
      </c>
      <c r="H868" s="14">
        <f t="shared" si="413"/>
        <v>140</v>
      </c>
      <c r="I868" s="14">
        <f t="shared" si="413"/>
        <v>140</v>
      </c>
      <c r="J868" s="14">
        <f t="shared" si="413"/>
        <v>140</v>
      </c>
      <c r="K868" s="78">
        <f t="shared" si="405"/>
        <v>100</v>
      </c>
      <c r="L868" s="14">
        <f t="shared" si="413"/>
        <v>0</v>
      </c>
      <c r="M868" s="50"/>
      <c r="N868" s="50"/>
    </row>
    <row r="869" spans="1:14" ht="31.2" x14ac:dyDescent="0.3">
      <c r="A869" s="8" t="s">
        <v>1271</v>
      </c>
      <c r="B869" s="62" t="s">
        <v>925</v>
      </c>
      <c r="C869" s="68" t="s">
        <v>1374</v>
      </c>
      <c r="D869" s="68" t="s">
        <v>1398</v>
      </c>
      <c r="E869" s="8" t="s">
        <v>486</v>
      </c>
      <c r="F869" s="45" t="s">
        <v>402</v>
      </c>
      <c r="G869" s="23" t="s">
        <v>819</v>
      </c>
      <c r="H869" s="14">
        <f t="shared" si="413"/>
        <v>140</v>
      </c>
      <c r="I869" s="14">
        <f t="shared" si="413"/>
        <v>140</v>
      </c>
      <c r="J869" s="14">
        <f t="shared" si="413"/>
        <v>140</v>
      </c>
      <c r="K869" s="78">
        <f t="shared" si="405"/>
        <v>100</v>
      </c>
      <c r="L869" s="14">
        <f t="shared" si="413"/>
        <v>0</v>
      </c>
      <c r="M869" s="50"/>
      <c r="N869" s="50"/>
    </row>
    <row r="870" spans="1:14" x14ac:dyDescent="0.3">
      <c r="A870" s="8" t="s">
        <v>1271</v>
      </c>
      <c r="B870" s="62" t="s">
        <v>925</v>
      </c>
      <c r="C870" s="68" t="s">
        <v>1374</v>
      </c>
      <c r="D870" s="68" t="s">
        <v>1398</v>
      </c>
      <c r="E870" s="8" t="s">
        <v>486</v>
      </c>
      <c r="F870" s="8" t="s">
        <v>726</v>
      </c>
      <c r="G870" s="13" t="s">
        <v>820</v>
      </c>
      <c r="H870" s="14">
        <f>2425.3-2285.3</f>
        <v>140</v>
      </c>
      <c r="I870" s="14">
        <v>140</v>
      </c>
      <c r="J870" s="14">
        <v>140</v>
      </c>
      <c r="K870" s="78">
        <f t="shared" si="405"/>
        <v>100</v>
      </c>
      <c r="L870" s="14"/>
      <c r="M870" s="50"/>
      <c r="N870" s="50"/>
    </row>
    <row r="871" spans="1:14" ht="46.8" x14ac:dyDescent="0.3">
      <c r="A871" s="8" t="s">
        <v>1271</v>
      </c>
      <c r="B871" s="62" t="s">
        <v>925</v>
      </c>
      <c r="C871" s="68" t="s">
        <v>1374</v>
      </c>
      <c r="D871" s="68" t="s">
        <v>1398</v>
      </c>
      <c r="E871" s="8" t="s">
        <v>487</v>
      </c>
      <c r="F871" s="8"/>
      <c r="G871" s="13" t="s">
        <v>302</v>
      </c>
      <c r="H871" s="14">
        <f t="shared" ref="H871:L872" si="415">H872</f>
        <v>489.4</v>
      </c>
      <c r="I871" s="14">
        <f t="shared" si="415"/>
        <v>489.4</v>
      </c>
      <c r="J871" s="14">
        <f t="shared" si="415"/>
        <v>489.4</v>
      </c>
      <c r="K871" s="78">
        <f t="shared" si="405"/>
        <v>100</v>
      </c>
      <c r="L871" s="14">
        <f t="shared" si="415"/>
        <v>0</v>
      </c>
      <c r="M871" s="50"/>
      <c r="N871" s="50"/>
    </row>
    <row r="872" spans="1:14" ht="31.2" x14ac:dyDescent="0.3">
      <c r="A872" s="8" t="s">
        <v>1271</v>
      </c>
      <c r="B872" s="62" t="s">
        <v>925</v>
      </c>
      <c r="C872" s="68" t="s">
        <v>1374</v>
      </c>
      <c r="D872" s="68" t="s">
        <v>1398</v>
      </c>
      <c r="E872" s="8" t="s">
        <v>487</v>
      </c>
      <c r="F872" s="45" t="s">
        <v>402</v>
      </c>
      <c r="G872" s="23" t="s">
        <v>819</v>
      </c>
      <c r="H872" s="14">
        <f t="shared" si="415"/>
        <v>489.4</v>
      </c>
      <c r="I872" s="14">
        <f t="shared" si="415"/>
        <v>489.4</v>
      </c>
      <c r="J872" s="14">
        <f t="shared" si="415"/>
        <v>489.4</v>
      </c>
      <c r="K872" s="78">
        <f t="shared" si="405"/>
        <v>100</v>
      </c>
      <c r="L872" s="14">
        <f t="shared" si="415"/>
        <v>0</v>
      </c>
      <c r="M872" s="50"/>
      <c r="N872" s="50"/>
    </row>
    <row r="873" spans="1:14" x14ac:dyDescent="0.3">
      <c r="A873" s="8" t="s">
        <v>1271</v>
      </c>
      <c r="B873" s="62" t="s">
        <v>925</v>
      </c>
      <c r="C873" s="68" t="s">
        <v>1374</v>
      </c>
      <c r="D873" s="68" t="s">
        <v>1398</v>
      </c>
      <c r="E873" s="8" t="s">
        <v>487</v>
      </c>
      <c r="F873" s="8" t="s">
        <v>726</v>
      </c>
      <c r="G873" s="13" t="s">
        <v>820</v>
      </c>
      <c r="H873" s="14">
        <v>489.4</v>
      </c>
      <c r="I873" s="14">
        <v>489.4</v>
      </c>
      <c r="J873" s="14">
        <v>489.4</v>
      </c>
      <c r="K873" s="78">
        <f t="shared" si="405"/>
        <v>100</v>
      </c>
      <c r="L873" s="14"/>
      <c r="M873" s="50"/>
      <c r="N873" s="50"/>
    </row>
    <row r="874" spans="1:14" ht="31.2" x14ac:dyDescent="0.3">
      <c r="A874" s="8" t="s">
        <v>1271</v>
      </c>
      <c r="B874" s="62" t="s">
        <v>925</v>
      </c>
      <c r="C874" s="68" t="s">
        <v>1374</v>
      </c>
      <c r="D874" s="68" t="s">
        <v>1398</v>
      </c>
      <c r="E874" s="8" t="s">
        <v>383</v>
      </c>
      <c r="F874" s="8"/>
      <c r="G874" s="13" t="s">
        <v>1055</v>
      </c>
      <c r="H874" s="14">
        <f t="shared" ref="H874:L877" si="416">H875</f>
        <v>2007.5</v>
      </c>
      <c r="I874" s="14">
        <f t="shared" si="416"/>
        <v>2007.5</v>
      </c>
      <c r="J874" s="14">
        <f t="shared" si="416"/>
        <v>2007.5</v>
      </c>
      <c r="K874" s="78">
        <f t="shared" si="405"/>
        <v>100</v>
      </c>
      <c r="L874" s="14">
        <f t="shared" si="416"/>
        <v>0</v>
      </c>
      <c r="M874" s="50"/>
      <c r="N874" s="50"/>
    </row>
    <row r="875" spans="1:14" ht="46.8" x14ac:dyDescent="0.3">
      <c r="A875" s="8" t="s">
        <v>1271</v>
      </c>
      <c r="B875" s="62" t="s">
        <v>925</v>
      </c>
      <c r="C875" s="68" t="s">
        <v>1374</v>
      </c>
      <c r="D875" s="68" t="s">
        <v>1398</v>
      </c>
      <c r="E875" s="8" t="s">
        <v>384</v>
      </c>
      <c r="F875" s="8"/>
      <c r="G875" s="18" t="s">
        <v>133</v>
      </c>
      <c r="H875" s="14">
        <f t="shared" si="416"/>
        <v>2007.5</v>
      </c>
      <c r="I875" s="14">
        <f t="shared" si="416"/>
        <v>2007.5</v>
      </c>
      <c r="J875" s="14">
        <f t="shared" si="416"/>
        <v>2007.5</v>
      </c>
      <c r="K875" s="78">
        <f t="shared" si="405"/>
        <v>100</v>
      </c>
      <c r="L875" s="14">
        <f t="shared" si="416"/>
        <v>0</v>
      </c>
      <c r="M875" s="50"/>
      <c r="N875" s="50"/>
    </row>
    <row r="876" spans="1:14" ht="31.2" x14ac:dyDescent="0.3">
      <c r="A876" s="8" t="s">
        <v>1271</v>
      </c>
      <c r="B876" s="62" t="s">
        <v>925</v>
      </c>
      <c r="C876" s="68" t="s">
        <v>1374</v>
      </c>
      <c r="D876" s="68" t="s">
        <v>1398</v>
      </c>
      <c r="E876" s="8" t="s">
        <v>385</v>
      </c>
      <c r="F876" s="8"/>
      <c r="G876" s="13" t="s">
        <v>1059</v>
      </c>
      <c r="H876" s="14">
        <f t="shared" si="416"/>
        <v>2007.5</v>
      </c>
      <c r="I876" s="14">
        <f t="shared" si="416"/>
        <v>2007.5</v>
      </c>
      <c r="J876" s="14">
        <f t="shared" si="416"/>
        <v>2007.5</v>
      </c>
      <c r="K876" s="78">
        <f t="shared" si="405"/>
        <v>100</v>
      </c>
      <c r="L876" s="14">
        <f t="shared" si="416"/>
        <v>0</v>
      </c>
      <c r="M876" s="50"/>
      <c r="N876" s="50"/>
    </row>
    <row r="877" spans="1:14" ht="31.2" x14ac:dyDescent="0.3">
      <c r="A877" s="8" t="s">
        <v>1271</v>
      </c>
      <c r="B877" s="62" t="s">
        <v>925</v>
      </c>
      <c r="C877" s="68" t="s">
        <v>1374</v>
      </c>
      <c r="D877" s="68" t="s">
        <v>1398</v>
      </c>
      <c r="E877" s="8" t="s">
        <v>386</v>
      </c>
      <c r="F877" s="8"/>
      <c r="G877" s="13" t="s">
        <v>1060</v>
      </c>
      <c r="H877" s="14">
        <f t="shared" si="416"/>
        <v>2007.5</v>
      </c>
      <c r="I877" s="14">
        <f t="shared" si="416"/>
        <v>2007.5</v>
      </c>
      <c r="J877" s="14">
        <f t="shared" si="416"/>
        <v>2007.5</v>
      </c>
      <c r="K877" s="78">
        <f t="shared" si="405"/>
        <v>100</v>
      </c>
      <c r="L877" s="14">
        <f t="shared" si="416"/>
        <v>0</v>
      </c>
      <c r="M877" s="50"/>
      <c r="N877" s="50"/>
    </row>
    <row r="878" spans="1:14" ht="31.2" x14ac:dyDescent="0.3">
      <c r="A878" s="8" t="s">
        <v>1271</v>
      </c>
      <c r="B878" s="62" t="s">
        <v>925</v>
      </c>
      <c r="C878" s="68" t="s">
        <v>1374</v>
      </c>
      <c r="D878" s="68" t="s">
        <v>1398</v>
      </c>
      <c r="E878" s="8" t="s">
        <v>386</v>
      </c>
      <c r="F878" s="45" t="s">
        <v>402</v>
      </c>
      <c r="G878" s="23" t="s">
        <v>819</v>
      </c>
      <c r="H878" s="14">
        <f>H879+H880</f>
        <v>2007.5</v>
      </c>
      <c r="I878" s="14">
        <f>I879+I880</f>
        <v>2007.5</v>
      </c>
      <c r="J878" s="14">
        <f t="shared" ref="J878" si="417">J879+J880</f>
        <v>2007.5</v>
      </c>
      <c r="K878" s="78">
        <f t="shared" si="405"/>
        <v>100</v>
      </c>
      <c r="L878" s="14">
        <f>L879+L880</f>
        <v>0</v>
      </c>
      <c r="M878" s="50"/>
      <c r="N878" s="50"/>
    </row>
    <row r="879" spans="1:14" x14ac:dyDescent="0.3">
      <c r="A879" s="8" t="s">
        <v>1271</v>
      </c>
      <c r="B879" s="62" t="s">
        <v>925</v>
      </c>
      <c r="C879" s="68" t="s">
        <v>1374</v>
      </c>
      <c r="D879" s="68" t="s">
        <v>1398</v>
      </c>
      <c r="E879" s="8" t="s">
        <v>386</v>
      </c>
      <c r="F879" s="8" t="s">
        <v>726</v>
      </c>
      <c r="G879" s="13" t="s">
        <v>820</v>
      </c>
      <c r="H879" s="14">
        <v>330</v>
      </c>
      <c r="I879" s="14">
        <v>597</v>
      </c>
      <c r="J879" s="14">
        <v>597</v>
      </c>
      <c r="K879" s="78">
        <f t="shared" si="405"/>
        <v>100</v>
      </c>
      <c r="L879" s="14"/>
      <c r="M879" s="50"/>
      <c r="N879" s="50"/>
    </row>
    <row r="880" spans="1:14" x14ac:dyDescent="0.3">
      <c r="A880" s="8" t="s">
        <v>1271</v>
      </c>
      <c r="B880" s="62" t="s">
        <v>925</v>
      </c>
      <c r="C880" s="68" t="s">
        <v>1374</v>
      </c>
      <c r="D880" s="68" t="s">
        <v>1398</v>
      </c>
      <c r="E880" s="8" t="s">
        <v>386</v>
      </c>
      <c r="F880" s="64" t="s">
        <v>223</v>
      </c>
      <c r="G880" s="18" t="s">
        <v>829</v>
      </c>
      <c r="H880" s="14">
        <v>1677.5</v>
      </c>
      <c r="I880" s="14">
        <v>1410.5</v>
      </c>
      <c r="J880" s="14">
        <v>1410.5</v>
      </c>
      <c r="K880" s="78">
        <f t="shared" si="405"/>
        <v>100</v>
      </c>
      <c r="L880" s="14"/>
      <c r="M880" s="50"/>
      <c r="N880" s="50"/>
    </row>
    <row r="881" spans="1:14" ht="46.8" x14ac:dyDescent="0.3">
      <c r="A881" s="8" t="s">
        <v>1271</v>
      </c>
      <c r="B881" s="62" t="s">
        <v>925</v>
      </c>
      <c r="C881" s="68" t="s">
        <v>1374</v>
      </c>
      <c r="D881" s="68" t="s">
        <v>1398</v>
      </c>
      <c r="E881" s="8" t="s">
        <v>347</v>
      </c>
      <c r="F881" s="8"/>
      <c r="G881" s="18" t="s">
        <v>1114</v>
      </c>
      <c r="H881" s="14">
        <f>H894</f>
        <v>98443.894</v>
      </c>
      <c r="I881" s="14">
        <f>I894+I882+I889</f>
        <v>108118.79399999999</v>
      </c>
      <c r="J881" s="14">
        <f t="shared" ref="J881:L881" si="418">J894+J882+J889</f>
        <v>106509.57544000002</v>
      </c>
      <c r="K881" s="78">
        <f t="shared" si="405"/>
        <v>98.511619950181853</v>
      </c>
      <c r="L881" s="14">
        <f t="shared" si="418"/>
        <v>0</v>
      </c>
      <c r="M881" s="50"/>
      <c r="N881" s="50"/>
    </row>
    <row r="882" spans="1:14" ht="31.2" x14ac:dyDescent="0.3">
      <c r="A882" s="8" t="s">
        <v>1271</v>
      </c>
      <c r="B882" s="62" t="s">
        <v>925</v>
      </c>
      <c r="C882" s="68" t="s">
        <v>1374</v>
      </c>
      <c r="D882" s="68" t="s">
        <v>1398</v>
      </c>
      <c r="E882" s="8" t="s">
        <v>448</v>
      </c>
      <c r="F882" s="8"/>
      <c r="G882" s="13" t="s">
        <v>958</v>
      </c>
      <c r="H882" s="20">
        <v>0</v>
      </c>
      <c r="I882" s="14">
        <f>I883</f>
        <v>5416.9</v>
      </c>
      <c r="J882" s="14">
        <f t="shared" ref="J882:L883" si="419">J883</f>
        <v>4200.0048700000007</v>
      </c>
      <c r="K882" s="78">
        <f t="shared" si="405"/>
        <v>77.53521146781371</v>
      </c>
      <c r="L882" s="14">
        <f t="shared" si="419"/>
        <v>0</v>
      </c>
      <c r="M882" s="50"/>
      <c r="N882" s="50"/>
    </row>
    <row r="883" spans="1:14" ht="46.8" x14ac:dyDescent="0.3">
      <c r="A883" s="8" t="s">
        <v>1271</v>
      </c>
      <c r="B883" s="62" t="s">
        <v>925</v>
      </c>
      <c r="C883" s="68" t="s">
        <v>1374</v>
      </c>
      <c r="D883" s="68" t="s">
        <v>1398</v>
      </c>
      <c r="E883" s="8" t="s">
        <v>453</v>
      </c>
      <c r="F883" s="8"/>
      <c r="G883" s="13" t="s">
        <v>959</v>
      </c>
      <c r="H883" s="20">
        <v>0</v>
      </c>
      <c r="I883" s="14">
        <f>I884</f>
        <v>5416.9</v>
      </c>
      <c r="J883" s="14">
        <f t="shared" si="419"/>
        <v>4200.0048700000007</v>
      </c>
      <c r="K883" s="78">
        <f t="shared" si="405"/>
        <v>77.53521146781371</v>
      </c>
      <c r="L883" s="14">
        <f t="shared" si="419"/>
        <v>0</v>
      </c>
      <c r="M883" s="50"/>
      <c r="N883" s="50"/>
    </row>
    <row r="884" spans="1:14" ht="31.2" x14ac:dyDescent="0.3">
      <c r="A884" s="8" t="s">
        <v>1271</v>
      </c>
      <c r="B884" s="62" t="s">
        <v>925</v>
      </c>
      <c r="C884" s="68" t="s">
        <v>1374</v>
      </c>
      <c r="D884" s="68" t="s">
        <v>1398</v>
      </c>
      <c r="E884" s="8" t="s">
        <v>1176</v>
      </c>
      <c r="F884" s="8"/>
      <c r="G884" s="13" t="s">
        <v>1338</v>
      </c>
      <c r="H884" s="20">
        <v>0</v>
      </c>
      <c r="I884" s="14">
        <f>I885+I887</f>
        <v>5416.9</v>
      </c>
      <c r="J884" s="14">
        <f t="shared" ref="J884:L884" si="420">J885+J887</f>
        <v>4200.0048700000007</v>
      </c>
      <c r="K884" s="78">
        <f t="shared" si="405"/>
        <v>77.53521146781371</v>
      </c>
      <c r="L884" s="14">
        <f t="shared" si="420"/>
        <v>0</v>
      </c>
      <c r="M884" s="50"/>
      <c r="N884" s="50"/>
    </row>
    <row r="885" spans="1:14" ht="78" x14ac:dyDescent="0.3">
      <c r="A885" s="8" t="s">
        <v>1271</v>
      </c>
      <c r="B885" s="62" t="s">
        <v>925</v>
      </c>
      <c r="C885" s="68" t="s">
        <v>1374</v>
      </c>
      <c r="D885" s="68" t="s">
        <v>1398</v>
      </c>
      <c r="E885" s="8" t="s">
        <v>1176</v>
      </c>
      <c r="F885" s="45" t="s">
        <v>431</v>
      </c>
      <c r="G885" s="23" t="s">
        <v>806</v>
      </c>
      <c r="H885" s="20">
        <v>0</v>
      </c>
      <c r="I885" s="14">
        <f>I886</f>
        <v>2810.7305900000001</v>
      </c>
      <c r="J885" s="14">
        <f t="shared" ref="J885:L885" si="421">J886</f>
        <v>2082.2697600000001</v>
      </c>
      <c r="K885" s="78">
        <f t="shared" si="405"/>
        <v>74.082865409025203</v>
      </c>
      <c r="L885" s="14">
        <f t="shared" si="421"/>
        <v>0</v>
      </c>
      <c r="M885" s="50"/>
      <c r="N885" s="50"/>
    </row>
    <row r="886" spans="1:14" ht="31.2" x14ac:dyDescent="0.3">
      <c r="A886" s="8" t="s">
        <v>1271</v>
      </c>
      <c r="B886" s="62" t="s">
        <v>925</v>
      </c>
      <c r="C886" s="68" t="s">
        <v>1374</v>
      </c>
      <c r="D886" s="68" t="s">
        <v>1398</v>
      </c>
      <c r="E886" s="8" t="s">
        <v>1176</v>
      </c>
      <c r="F886" s="45" t="s">
        <v>233</v>
      </c>
      <c r="G886" s="23" t="s">
        <v>808</v>
      </c>
      <c r="H886" s="20">
        <v>0</v>
      </c>
      <c r="I886" s="14">
        <v>2810.7305900000001</v>
      </c>
      <c r="J886" s="14">
        <v>2082.2697600000001</v>
      </c>
      <c r="K886" s="78">
        <f t="shared" si="405"/>
        <v>74.082865409025203</v>
      </c>
      <c r="L886" s="14"/>
      <c r="M886" s="50"/>
      <c r="N886" s="50"/>
    </row>
    <row r="887" spans="1:14" ht="31.2" x14ac:dyDescent="0.3">
      <c r="A887" s="8" t="s">
        <v>1271</v>
      </c>
      <c r="B887" s="62" t="s">
        <v>925</v>
      </c>
      <c r="C887" s="68" t="s">
        <v>1374</v>
      </c>
      <c r="D887" s="68" t="s">
        <v>1398</v>
      </c>
      <c r="E887" s="8" t="s">
        <v>1176</v>
      </c>
      <c r="F887" s="45" t="s">
        <v>380</v>
      </c>
      <c r="G887" s="23" t="s">
        <v>809</v>
      </c>
      <c r="H887" s="20">
        <v>0</v>
      </c>
      <c r="I887" s="14">
        <f>I888</f>
        <v>2606.16941</v>
      </c>
      <c r="J887" s="14">
        <f t="shared" ref="J887:L887" si="422">J888</f>
        <v>2117.7351100000001</v>
      </c>
      <c r="K887" s="78">
        <f t="shared" si="405"/>
        <v>81.258536067308071</v>
      </c>
      <c r="L887" s="14">
        <f t="shared" si="422"/>
        <v>0</v>
      </c>
      <c r="M887" s="50"/>
      <c r="N887" s="50"/>
    </row>
    <row r="888" spans="1:14" ht="31.2" x14ac:dyDescent="0.3">
      <c r="A888" s="8" t="s">
        <v>1271</v>
      </c>
      <c r="B888" s="62" t="s">
        <v>925</v>
      </c>
      <c r="C888" s="68" t="s">
        <v>1374</v>
      </c>
      <c r="D888" s="68" t="s">
        <v>1398</v>
      </c>
      <c r="E888" s="8" t="s">
        <v>1176</v>
      </c>
      <c r="F888" s="8" t="s">
        <v>247</v>
      </c>
      <c r="G888" s="23" t="s">
        <v>810</v>
      </c>
      <c r="H888" s="20">
        <v>0</v>
      </c>
      <c r="I888" s="14">
        <v>2606.16941</v>
      </c>
      <c r="J888" s="14">
        <v>2117.7351100000001</v>
      </c>
      <c r="K888" s="78">
        <f t="shared" si="405"/>
        <v>81.258536067308071</v>
      </c>
      <c r="L888" s="14"/>
      <c r="M888" s="50"/>
      <c r="N888" s="50"/>
    </row>
    <row r="889" spans="1:14" ht="31.2" x14ac:dyDescent="0.3">
      <c r="A889" s="8" t="s">
        <v>1271</v>
      </c>
      <c r="B889" s="62" t="s">
        <v>925</v>
      </c>
      <c r="C889" s="68" t="s">
        <v>1374</v>
      </c>
      <c r="D889" s="68" t="s">
        <v>1398</v>
      </c>
      <c r="E889" s="8" t="s">
        <v>465</v>
      </c>
      <c r="F889" s="8"/>
      <c r="G889" s="13" t="s">
        <v>960</v>
      </c>
      <c r="H889" s="20">
        <v>0</v>
      </c>
      <c r="I889" s="14">
        <f>I890</f>
        <v>2186.3000000000002</v>
      </c>
      <c r="J889" s="14">
        <f t="shared" ref="J889:L892" si="423">J890</f>
        <v>1818.38734</v>
      </c>
      <c r="K889" s="78">
        <f t="shared" si="405"/>
        <v>83.171904130265744</v>
      </c>
      <c r="L889" s="14">
        <f t="shared" si="423"/>
        <v>0</v>
      </c>
      <c r="M889" s="50"/>
      <c r="N889" s="50"/>
    </row>
    <row r="890" spans="1:14" ht="46.8" x14ac:dyDescent="0.3">
      <c r="A890" s="8" t="s">
        <v>1271</v>
      </c>
      <c r="B890" s="62" t="s">
        <v>925</v>
      </c>
      <c r="C890" s="68" t="s">
        <v>1374</v>
      </c>
      <c r="D890" s="68" t="s">
        <v>1398</v>
      </c>
      <c r="E890" s="8" t="s">
        <v>471</v>
      </c>
      <c r="F890" s="8"/>
      <c r="G890" s="13" t="s">
        <v>961</v>
      </c>
      <c r="H890" s="20">
        <v>0</v>
      </c>
      <c r="I890" s="14">
        <f>I891</f>
        <v>2186.3000000000002</v>
      </c>
      <c r="J890" s="14">
        <f t="shared" si="423"/>
        <v>1818.38734</v>
      </c>
      <c r="K890" s="78">
        <f t="shared" si="405"/>
        <v>83.171904130265744</v>
      </c>
      <c r="L890" s="14">
        <f t="shared" si="423"/>
        <v>0</v>
      </c>
      <c r="M890" s="50"/>
      <c r="N890" s="50"/>
    </row>
    <row r="891" spans="1:14" ht="31.2" x14ac:dyDescent="0.3">
      <c r="A891" s="8" t="s">
        <v>1271</v>
      </c>
      <c r="B891" s="62" t="s">
        <v>925</v>
      </c>
      <c r="C891" s="68" t="s">
        <v>1374</v>
      </c>
      <c r="D891" s="68" t="s">
        <v>1398</v>
      </c>
      <c r="E891" s="8" t="s">
        <v>235</v>
      </c>
      <c r="F891" s="8"/>
      <c r="G891" s="13" t="s">
        <v>1338</v>
      </c>
      <c r="H891" s="20">
        <v>0</v>
      </c>
      <c r="I891" s="14">
        <f>I892</f>
        <v>2186.3000000000002</v>
      </c>
      <c r="J891" s="14">
        <f t="shared" si="423"/>
        <v>1818.38734</v>
      </c>
      <c r="K891" s="78">
        <f t="shared" si="405"/>
        <v>83.171904130265744</v>
      </c>
      <c r="L891" s="14">
        <f t="shared" si="423"/>
        <v>0</v>
      </c>
      <c r="M891" s="50"/>
      <c r="N891" s="50"/>
    </row>
    <row r="892" spans="1:14" ht="78" x14ac:dyDescent="0.3">
      <c r="A892" s="8" t="s">
        <v>1271</v>
      </c>
      <c r="B892" s="62" t="s">
        <v>925</v>
      </c>
      <c r="C892" s="68" t="s">
        <v>1374</v>
      </c>
      <c r="D892" s="68" t="s">
        <v>1398</v>
      </c>
      <c r="E892" s="8" t="s">
        <v>235</v>
      </c>
      <c r="F892" s="45" t="s">
        <v>431</v>
      </c>
      <c r="G892" s="23" t="s">
        <v>806</v>
      </c>
      <c r="H892" s="20">
        <v>0</v>
      </c>
      <c r="I892" s="14">
        <f>I893</f>
        <v>2186.3000000000002</v>
      </c>
      <c r="J892" s="14">
        <f t="shared" si="423"/>
        <v>1818.38734</v>
      </c>
      <c r="K892" s="78">
        <f t="shared" si="405"/>
        <v>83.171904130265744</v>
      </c>
      <c r="L892" s="14">
        <f t="shared" si="423"/>
        <v>0</v>
      </c>
      <c r="M892" s="50"/>
      <c r="N892" s="50"/>
    </row>
    <row r="893" spans="1:14" ht="31.2" x14ac:dyDescent="0.3">
      <c r="A893" s="8" t="s">
        <v>1271</v>
      </c>
      <c r="B893" s="62" t="s">
        <v>925</v>
      </c>
      <c r="C893" s="68" t="s">
        <v>1374</v>
      </c>
      <c r="D893" s="68" t="s">
        <v>1398</v>
      </c>
      <c r="E893" s="8" t="s">
        <v>235</v>
      </c>
      <c r="F893" s="45" t="s">
        <v>233</v>
      </c>
      <c r="G893" s="23" t="s">
        <v>808</v>
      </c>
      <c r="H893" s="20">
        <v>0</v>
      </c>
      <c r="I893" s="14">
        <f>1679.2+507.1</f>
        <v>2186.3000000000002</v>
      </c>
      <c r="J893" s="14">
        <v>1818.38734</v>
      </c>
      <c r="K893" s="78">
        <f t="shared" si="405"/>
        <v>83.171904130265744</v>
      </c>
      <c r="L893" s="14"/>
      <c r="M893" s="50"/>
      <c r="N893" s="50"/>
    </row>
    <row r="894" spans="1:14" ht="31.2" x14ac:dyDescent="0.3">
      <c r="A894" s="8" t="s">
        <v>1271</v>
      </c>
      <c r="B894" s="62" t="s">
        <v>925</v>
      </c>
      <c r="C894" s="68" t="s">
        <v>1374</v>
      </c>
      <c r="D894" s="68" t="s">
        <v>1398</v>
      </c>
      <c r="E894" s="8" t="s">
        <v>348</v>
      </c>
      <c r="F894" s="8"/>
      <c r="G894" s="18" t="s">
        <v>1125</v>
      </c>
      <c r="H894" s="14">
        <f>H912+H895+H932</f>
        <v>98443.894</v>
      </c>
      <c r="I894" s="14">
        <f>I912+I895+I932+I928</f>
        <v>100515.594</v>
      </c>
      <c r="J894" s="14">
        <f t="shared" ref="J894:L894" si="424">J912+J895+J932+J928</f>
        <v>100491.18323000001</v>
      </c>
      <c r="K894" s="78">
        <f t="shared" si="405"/>
        <v>99.975714444865147</v>
      </c>
      <c r="L894" s="14">
        <f t="shared" si="424"/>
        <v>0</v>
      </c>
      <c r="M894" s="50"/>
      <c r="N894" s="50"/>
    </row>
    <row r="895" spans="1:14" ht="46.8" x14ac:dyDescent="0.3">
      <c r="A895" s="8" t="s">
        <v>1271</v>
      </c>
      <c r="B895" s="62" t="s">
        <v>925</v>
      </c>
      <c r="C895" s="68" t="s">
        <v>1374</v>
      </c>
      <c r="D895" s="68" t="s">
        <v>1398</v>
      </c>
      <c r="E895" s="8" t="s">
        <v>488</v>
      </c>
      <c r="F895" s="8"/>
      <c r="G895" s="13" t="s">
        <v>1126</v>
      </c>
      <c r="H895" s="14">
        <f>H896+H906</f>
        <v>72986.290999999997</v>
      </c>
      <c r="I895" s="14">
        <f>I896+I906+I909</f>
        <v>74920.290999999997</v>
      </c>
      <c r="J895" s="14">
        <f t="shared" ref="J895:L895" si="425">J896+J906+J909</f>
        <v>74900.54883</v>
      </c>
      <c r="K895" s="78">
        <f t="shared" si="405"/>
        <v>99.973649101282859</v>
      </c>
      <c r="L895" s="14">
        <f t="shared" si="425"/>
        <v>0</v>
      </c>
      <c r="M895" s="50"/>
      <c r="N895" s="50"/>
    </row>
    <row r="896" spans="1:14" ht="62.4" x14ac:dyDescent="0.3">
      <c r="A896" s="8" t="s">
        <v>1271</v>
      </c>
      <c r="B896" s="62" t="s">
        <v>925</v>
      </c>
      <c r="C896" s="68" t="s">
        <v>1374</v>
      </c>
      <c r="D896" s="68" t="s">
        <v>1398</v>
      </c>
      <c r="E896" s="8" t="s">
        <v>489</v>
      </c>
      <c r="F896" s="8"/>
      <c r="G896" s="23" t="s">
        <v>1291</v>
      </c>
      <c r="H896" s="14">
        <f>H897+H899+H901+H904</f>
        <v>72920.391000000003</v>
      </c>
      <c r="I896" s="14">
        <f>I897+I899+I901+I904</f>
        <v>72920.391000000003</v>
      </c>
      <c r="J896" s="14">
        <f t="shared" ref="J896" si="426">J897+J899+J901+J904</f>
        <v>72900.69283</v>
      </c>
      <c r="K896" s="78">
        <f t="shared" si="405"/>
        <v>99.972986746601507</v>
      </c>
      <c r="L896" s="14">
        <f>L897+L899+L901+L904</f>
        <v>0</v>
      </c>
      <c r="M896" s="50"/>
      <c r="N896" s="50"/>
    </row>
    <row r="897" spans="1:14" ht="78" x14ac:dyDescent="0.3">
      <c r="A897" s="8" t="s">
        <v>1271</v>
      </c>
      <c r="B897" s="62" t="s">
        <v>925</v>
      </c>
      <c r="C897" s="68" t="s">
        <v>1374</v>
      </c>
      <c r="D897" s="68" t="s">
        <v>1398</v>
      </c>
      <c r="E897" s="8" t="s">
        <v>489</v>
      </c>
      <c r="F897" s="45" t="s">
        <v>431</v>
      </c>
      <c r="G897" s="23" t="s">
        <v>806</v>
      </c>
      <c r="H897" s="14">
        <f t="shared" ref="H897:L897" si="427">H898</f>
        <v>30487.4</v>
      </c>
      <c r="I897" s="14">
        <f t="shared" si="427"/>
        <v>30469.38</v>
      </c>
      <c r="J897" s="14">
        <f t="shared" si="427"/>
        <v>30449.73054</v>
      </c>
      <c r="K897" s="78">
        <f t="shared" si="405"/>
        <v>99.935510798053656</v>
      </c>
      <c r="L897" s="14">
        <f t="shared" si="427"/>
        <v>0</v>
      </c>
      <c r="M897" s="50"/>
      <c r="N897" s="50"/>
    </row>
    <row r="898" spans="1:14" x14ac:dyDescent="0.3">
      <c r="A898" s="8" t="s">
        <v>1271</v>
      </c>
      <c r="B898" s="62" t="s">
        <v>925</v>
      </c>
      <c r="C898" s="68" t="s">
        <v>1374</v>
      </c>
      <c r="D898" s="68" t="s">
        <v>1398</v>
      </c>
      <c r="E898" s="8" t="s">
        <v>489</v>
      </c>
      <c r="F898" s="8" t="s">
        <v>719</v>
      </c>
      <c r="G898" s="23" t="s">
        <v>807</v>
      </c>
      <c r="H898" s="14">
        <v>30487.4</v>
      </c>
      <c r="I898" s="14">
        <v>30469.38</v>
      </c>
      <c r="J898" s="14">
        <v>30449.73054</v>
      </c>
      <c r="K898" s="78">
        <f t="shared" si="405"/>
        <v>99.935510798053656</v>
      </c>
      <c r="L898" s="14"/>
      <c r="M898" s="50"/>
      <c r="N898" s="50"/>
    </row>
    <row r="899" spans="1:14" ht="31.2" x14ac:dyDescent="0.3">
      <c r="A899" s="8" t="s">
        <v>1271</v>
      </c>
      <c r="B899" s="62" t="s">
        <v>925</v>
      </c>
      <c r="C899" s="68" t="s">
        <v>1374</v>
      </c>
      <c r="D899" s="68" t="s">
        <v>1398</v>
      </c>
      <c r="E899" s="8" t="s">
        <v>489</v>
      </c>
      <c r="F899" s="45" t="s">
        <v>380</v>
      </c>
      <c r="G899" s="23" t="s">
        <v>809</v>
      </c>
      <c r="H899" s="14">
        <f t="shared" ref="H899:L899" si="428">H900</f>
        <v>3887.5</v>
      </c>
      <c r="I899" s="14">
        <f t="shared" si="428"/>
        <v>3865.8359999999998</v>
      </c>
      <c r="J899" s="14">
        <f t="shared" si="428"/>
        <v>3865.83457</v>
      </c>
      <c r="K899" s="78">
        <f t="shared" si="405"/>
        <v>99.99996300929476</v>
      </c>
      <c r="L899" s="14">
        <f t="shared" si="428"/>
        <v>0</v>
      </c>
      <c r="M899" s="50"/>
      <c r="N899" s="50"/>
    </row>
    <row r="900" spans="1:14" ht="31.2" x14ac:dyDescent="0.3">
      <c r="A900" s="8" t="s">
        <v>1271</v>
      </c>
      <c r="B900" s="62" t="s">
        <v>925</v>
      </c>
      <c r="C900" s="68" t="s">
        <v>1374</v>
      </c>
      <c r="D900" s="68" t="s">
        <v>1398</v>
      </c>
      <c r="E900" s="8" t="s">
        <v>489</v>
      </c>
      <c r="F900" s="8" t="s">
        <v>247</v>
      </c>
      <c r="G900" s="23" t="s">
        <v>810</v>
      </c>
      <c r="H900" s="14">
        <v>3887.5</v>
      </c>
      <c r="I900" s="14">
        <v>3865.8359999999998</v>
      </c>
      <c r="J900" s="14">
        <v>3865.83457</v>
      </c>
      <c r="K900" s="78">
        <f t="shared" si="405"/>
        <v>99.99996300929476</v>
      </c>
      <c r="L900" s="14"/>
      <c r="M900" s="50"/>
      <c r="N900" s="50"/>
    </row>
    <row r="901" spans="1:14" ht="31.2" x14ac:dyDescent="0.3">
      <c r="A901" s="8" t="s">
        <v>1271</v>
      </c>
      <c r="B901" s="62" t="s">
        <v>925</v>
      </c>
      <c r="C901" s="68" t="s">
        <v>1374</v>
      </c>
      <c r="D901" s="68" t="s">
        <v>1398</v>
      </c>
      <c r="E901" s="8" t="s">
        <v>489</v>
      </c>
      <c r="F901" s="45" t="s">
        <v>402</v>
      </c>
      <c r="G901" s="23" t="s">
        <v>819</v>
      </c>
      <c r="H901" s="14">
        <f>H902+H903</f>
        <v>37829.190999999999</v>
      </c>
      <c r="I901" s="14">
        <f>I902+I903</f>
        <v>37829.190999999999</v>
      </c>
      <c r="J901" s="14">
        <f t="shared" ref="J901" si="429">J902+J903</f>
        <v>37829.14372</v>
      </c>
      <c r="K901" s="78">
        <f t="shared" si="405"/>
        <v>99.99987501715276</v>
      </c>
      <c r="L901" s="14">
        <f>L902+L903</f>
        <v>0</v>
      </c>
      <c r="M901" s="50"/>
      <c r="N901" s="50"/>
    </row>
    <row r="902" spans="1:14" x14ac:dyDescent="0.3">
      <c r="A902" s="8" t="s">
        <v>1271</v>
      </c>
      <c r="B902" s="62" t="s">
        <v>925</v>
      </c>
      <c r="C902" s="68" t="s">
        <v>1374</v>
      </c>
      <c r="D902" s="68" t="s">
        <v>1398</v>
      </c>
      <c r="E902" s="8" t="s">
        <v>489</v>
      </c>
      <c r="F902" s="8" t="s">
        <v>726</v>
      </c>
      <c r="G902" s="13" t="s">
        <v>820</v>
      </c>
      <c r="H902" s="14">
        <f>30343.3+2285.291</f>
        <v>32628.591</v>
      </c>
      <c r="I902" s="14">
        <v>32628.591</v>
      </c>
      <c r="J902" s="14">
        <v>32628.582780000001</v>
      </c>
      <c r="K902" s="78">
        <f t="shared" si="405"/>
        <v>99.999974807370634</v>
      </c>
      <c r="L902" s="14"/>
      <c r="M902" s="50"/>
      <c r="N902" s="50"/>
    </row>
    <row r="903" spans="1:14" x14ac:dyDescent="0.3">
      <c r="A903" s="8" t="s">
        <v>1271</v>
      </c>
      <c r="B903" s="62" t="s">
        <v>925</v>
      </c>
      <c r="C903" s="68" t="s">
        <v>1374</v>
      </c>
      <c r="D903" s="68" t="s">
        <v>1398</v>
      </c>
      <c r="E903" s="8" t="s">
        <v>489</v>
      </c>
      <c r="F903" s="64" t="s">
        <v>223</v>
      </c>
      <c r="G903" s="18" t="s">
        <v>829</v>
      </c>
      <c r="H903" s="14">
        <v>5200.6000000000004</v>
      </c>
      <c r="I903" s="14">
        <v>5200.6000000000004</v>
      </c>
      <c r="J903" s="14">
        <v>5200.5609400000003</v>
      </c>
      <c r="K903" s="78">
        <f t="shared" si="405"/>
        <v>99.999248932815448</v>
      </c>
      <c r="L903" s="14"/>
      <c r="M903" s="50"/>
      <c r="N903" s="50"/>
    </row>
    <row r="904" spans="1:14" x14ac:dyDescent="0.3">
      <c r="A904" s="8" t="s">
        <v>1271</v>
      </c>
      <c r="B904" s="62" t="s">
        <v>925</v>
      </c>
      <c r="C904" s="68" t="s">
        <v>1374</v>
      </c>
      <c r="D904" s="68" t="s">
        <v>1398</v>
      </c>
      <c r="E904" s="8" t="s">
        <v>489</v>
      </c>
      <c r="F904" s="45" t="s">
        <v>464</v>
      </c>
      <c r="G904" s="23" t="s">
        <v>822</v>
      </c>
      <c r="H904" s="14">
        <f t="shared" ref="H904:L904" si="430">H905</f>
        <v>716.3</v>
      </c>
      <c r="I904" s="14">
        <f t="shared" si="430"/>
        <v>755.98400000000004</v>
      </c>
      <c r="J904" s="14">
        <f t="shared" si="430"/>
        <v>755.98400000000004</v>
      </c>
      <c r="K904" s="78">
        <f t="shared" ref="K904:K967" si="431">J904/I904*100</f>
        <v>100</v>
      </c>
      <c r="L904" s="14">
        <f t="shared" si="430"/>
        <v>0</v>
      </c>
      <c r="M904" s="50"/>
      <c r="N904" s="50"/>
    </row>
    <row r="905" spans="1:14" x14ac:dyDescent="0.3">
      <c r="A905" s="8" t="s">
        <v>1271</v>
      </c>
      <c r="B905" s="62" t="s">
        <v>925</v>
      </c>
      <c r="C905" s="68" t="s">
        <v>1374</v>
      </c>
      <c r="D905" s="68" t="s">
        <v>1398</v>
      </c>
      <c r="E905" s="8" t="s">
        <v>489</v>
      </c>
      <c r="F905" s="45" t="s">
        <v>729</v>
      </c>
      <c r="G905" s="23" t="s">
        <v>824</v>
      </c>
      <c r="H905" s="14">
        <v>716.3</v>
      </c>
      <c r="I905" s="14">
        <v>755.98400000000004</v>
      </c>
      <c r="J905" s="14">
        <v>755.98400000000004</v>
      </c>
      <c r="K905" s="78">
        <f t="shared" si="431"/>
        <v>100</v>
      </c>
      <c r="L905" s="14"/>
      <c r="M905" s="50"/>
      <c r="N905" s="50"/>
    </row>
    <row r="906" spans="1:14" ht="31.2" x14ac:dyDescent="0.3">
      <c r="A906" s="8" t="s">
        <v>1271</v>
      </c>
      <c r="B906" s="62" t="s">
        <v>925</v>
      </c>
      <c r="C906" s="68" t="s">
        <v>1374</v>
      </c>
      <c r="D906" s="68" t="s">
        <v>1398</v>
      </c>
      <c r="E906" s="8" t="s">
        <v>1330</v>
      </c>
      <c r="F906" s="8"/>
      <c r="G906" s="23" t="s">
        <v>1300</v>
      </c>
      <c r="H906" s="14">
        <f t="shared" ref="H906:L907" si="432">H907</f>
        <v>65.900000000000006</v>
      </c>
      <c r="I906" s="14">
        <f t="shared" si="432"/>
        <v>65.900000000000006</v>
      </c>
      <c r="J906" s="14">
        <f t="shared" si="432"/>
        <v>65.855999999999995</v>
      </c>
      <c r="K906" s="78">
        <f t="shared" si="431"/>
        <v>99.933232169954451</v>
      </c>
      <c r="L906" s="14">
        <f t="shared" si="432"/>
        <v>0</v>
      </c>
      <c r="M906" s="50"/>
      <c r="N906" s="50"/>
    </row>
    <row r="907" spans="1:14" ht="31.2" x14ac:dyDescent="0.3">
      <c r="A907" s="8" t="s">
        <v>1271</v>
      </c>
      <c r="B907" s="62" t="s">
        <v>925</v>
      </c>
      <c r="C907" s="68" t="s">
        <v>1374</v>
      </c>
      <c r="D907" s="68" t="s">
        <v>1398</v>
      </c>
      <c r="E907" s="8" t="s">
        <v>1330</v>
      </c>
      <c r="F907" s="45" t="s">
        <v>402</v>
      </c>
      <c r="G907" s="23" t="s">
        <v>819</v>
      </c>
      <c r="H907" s="14">
        <f t="shared" si="432"/>
        <v>65.900000000000006</v>
      </c>
      <c r="I907" s="14">
        <f t="shared" si="432"/>
        <v>65.900000000000006</v>
      </c>
      <c r="J907" s="14">
        <f t="shared" si="432"/>
        <v>65.855999999999995</v>
      </c>
      <c r="K907" s="78">
        <f t="shared" si="431"/>
        <v>99.933232169954451</v>
      </c>
      <c r="L907" s="14">
        <f t="shared" si="432"/>
        <v>0</v>
      </c>
      <c r="M907" s="50"/>
      <c r="N907" s="50"/>
    </row>
    <row r="908" spans="1:14" x14ac:dyDescent="0.3">
      <c r="A908" s="8" t="s">
        <v>1271</v>
      </c>
      <c r="B908" s="62" t="s">
        <v>925</v>
      </c>
      <c r="C908" s="68" t="s">
        <v>1374</v>
      </c>
      <c r="D908" s="68" t="s">
        <v>1398</v>
      </c>
      <c r="E908" s="8" t="s">
        <v>1330</v>
      </c>
      <c r="F908" s="8" t="s">
        <v>726</v>
      </c>
      <c r="G908" s="13" t="s">
        <v>820</v>
      </c>
      <c r="H908" s="14">
        <v>65.900000000000006</v>
      </c>
      <c r="I908" s="14">
        <v>65.900000000000006</v>
      </c>
      <c r="J908" s="14">
        <v>65.855999999999995</v>
      </c>
      <c r="K908" s="78">
        <f t="shared" si="431"/>
        <v>99.933232169954451</v>
      </c>
      <c r="L908" s="14"/>
      <c r="M908" s="50"/>
      <c r="N908" s="50"/>
    </row>
    <row r="909" spans="1:14" ht="46.8" x14ac:dyDescent="0.3">
      <c r="A909" s="8" t="s">
        <v>1271</v>
      </c>
      <c r="B909" s="62" t="s">
        <v>925</v>
      </c>
      <c r="C909" s="68" t="s">
        <v>1374</v>
      </c>
      <c r="D909" s="68" t="s">
        <v>1398</v>
      </c>
      <c r="E909" s="8" t="s">
        <v>66</v>
      </c>
      <c r="F909" s="8"/>
      <c r="G909" s="13" t="s">
        <v>1118</v>
      </c>
      <c r="H909" s="20">
        <v>0</v>
      </c>
      <c r="I909" s="14">
        <f>I910</f>
        <v>1934</v>
      </c>
      <c r="J909" s="14">
        <f t="shared" ref="J909:L910" si="433">J910</f>
        <v>1934</v>
      </c>
      <c r="K909" s="78">
        <f t="shared" si="431"/>
        <v>100</v>
      </c>
      <c r="L909" s="14">
        <f t="shared" si="433"/>
        <v>0</v>
      </c>
      <c r="M909" s="50"/>
      <c r="N909" s="50"/>
    </row>
    <row r="910" spans="1:14" ht="31.2" x14ac:dyDescent="0.3">
      <c r="A910" s="8" t="s">
        <v>1271</v>
      </c>
      <c r="B910" s="62" t="s">
        <v>925</v>
      </c>
      <c r="C910" s="68" t="s">
        <v>1374</v>
      </c>
      <c r="D910" s="68" t="s">
        <v>1398</v>
      </c>
      <c r="E910" s="8" t="s">
        <v>66</v>
      </c>
      <c r="F910" s="45" t="s">
        <v>402</v>
      </c>
      <c r="G910" s="23" t="s">
        <v>819</v>
      </c>
      <c r="H910" s="20">
        <v>0</v>
      </c>
      <c r="I910" s="14">
        <f>I911</f>
        <v>1934</v>
      </c>
      <c r="J910" s="14">
        <f t="shared" si="433"/>
        <v>1934</v>
      </c>
      <c r="K910" s="78">
        <f t="shared" si="431"/>
        <v>100</v>
      </c>
      <c r="L910" s="14">
        <f t="shared" si="433"/>
        <v>0</v>
      </c>
      <c r="M910" s="50"/>
      <c r="N910" s="50"/>
    </row>
    <row r="911" spans="1:14" x14ac:dyDescent="0.3">
      <c r="A911" s="8" t="s">
        <v>1271</v>
      </c>
      <c r="B911" s="62" t="s">
        <v>925</v>
      </c>
      <c r="C911" s="68" t="s">
        <v>1374</v>
      </c>
      <c r="D911" s="68" t="s">
        <v>1398</v>
      </c>
      <c r="E911" s="8" t="s">
        <v>66</v>
      </c>
      <c r="F911" s="8" t="s">
        <v>726</v>
      </c>
      <c r="G911" s="13" t="s">
        <v>820</v>
      </c>
      <c r="H911" s="20">
        <v>0</v>
      </c>
      <c r="I911" s="14">
        <v>1934</v>
      </c>
      <c r="J911" s="14">
        <v>1934</v>
      </c>
      <c r="K911" s="78">
        <f t="shared" si="431"/>
        <v>100</v>
      </c>
      <c r="L911" s="14"/>
      <c r="M911" s="50"/>
      <c r="N911" s="50"/>
    </row>
    <row r="912" spans="1:14" ht="31.2" x14ac:dyDescent="0.3">
      <c r="A912" s="8" t="s">
        <v>1271</v>
      </c>
      <c r="B912" s="62" t="s">
        <v>925</v>
      </c>
      <c r="C912" s="68" t="s">
        <v>1374</v>
      </c>
      <c r="D912" s="68" t="s">
        <v>1398</v>
      </c>
      <c r="E912" s="8" t="s">
        <v>349</v>
      </c>
      <c r="F912" s="8"/>
      <c r="G912" s="18" t="s">
        <v>1127</v>
      </c>
      <c r="H912" s="14">
        <f>H919+H913+H916+H923</f>
        <v>22469.002999999997</v>
      </c>
      <c r="I912" s="14">
        <f>I919+I913+I916+I923</f>
        <v>22469.002999999997</v>
      </c>
      <c r="J912" s="14">
        <f t="shared" ref="J912" si="434">J919+J913+J916+J923</f>
        <v>22467.552870000003</v>
      </c>
      <c r="K912" s="78">
        <f t="shared" si="431"/>
        <v>99.993546086579826</v>
      </c>
      <c r="L912" s="14">
        <f>L919+L913+L916+L923</f>
        <v>0</v>
      </c>
      <c r="M912" s="50"/>
      <c r="N912" s="50"/>
    </row>
    <row r="913" spans="1:14" ht="46.8" x14ac:dyDescent="0.3">
      <c r="A913" s="8" t="s">
        <v>1271</v>
      </c>
      <c r="B913" s="62" t="s">
        <v>925</v>
      </c>
      <c r="C913" s="68" t="s">
        <v>1374</v>
      </c>
      <c r="D913" s="68" t="s">
        <v>1398</v>
      </c>
      <c r="E913" s="8" t="s">
        <v>490</v>
      </c>
      <c r="F913" s="8"/>
      <c r="G913" s="13" t="s">
        <v>1128</v>
      </c>
      <c r="H913" s="14">
        <f t="shared" ref="H913:L914" si="435">H914</f>
        <v>6775.0029999999997</v>
      </c>
      <c r="I913" s="14">
        <f t="shared" si="435"/>
        <v>6775.0029999999997</v>
      </c>
      <c r="J913" s="14">
        <f t="shared" si="435"/>
        <v>6775.0028700000003</v>
      </c>
      <c r="K913" s="78">
        <f t="shared" si="431"/>
        <v>99.999998081181673</v>
      </c>
      <c r="L913" s="14">
        <f t="shared" si="435"/>
        <v>0</v>
      </c>
      <c r="M913" s="50"/>
      <c r="N913" s="50"/>
    </row>
    <row r="914" spans="1:14" ht="31.2" x14ac:dyDescent="0.3">
      <c r="A914" s="8" t="s">
        <v>1271</v>
      </c>
      <c r="B914" s="62" t="s">
        <v>925</v>
      </c>
      <c r="C914" s="68" t="s">
        <v>1374</v>
      </c>
      <c r="D914" s="68" t="s">
        <v>1398</v>
      </c>
      <c r="E914" s="8" t="s">
        <v>490</v>
      </c>
      <c r="F914" s="45" t="s">
        <v>402</v>
      </c>
      <c r="G914" s="23" t="s">
        <v>819</v>
      </c>
      <c r="H914" s="14">
        <f t="shared" si="435"/>
        <v>6775.0029999999997</v>
      </c>
      <c r="I914" s="14">
        <f t="shared" si="435"/>
        <v>6775.0029999999997</v>
      </c>
      <c r="J914" s="14">
        <f t="shared" si="435"/>
        <v>6775.0028700000003</v>
      </c>
      <c r="K914" s="78">
        <f t="shared" si="431"/>
        <v>99.999998081181673</v>
      </c>
      <c r="L914" s="14">
        <f t="shared" si="435"/>
        <v>0</v>
      </c>
      <c r="M914" s="50"/>
      <c r="N914" s="50"/>
    </row>
    <row r="915" spans="1:14" x14ac:dyDescent="0.3">
      <c r="A915" s="8" t="s">
        <v>1271</v>
      </c>
      <c r="B915" s="62" t="s">
        <v>925</v>
      </c>
      <c r="C915" s="68" t="s">
        <v>1374</v>
      </c>
      <c r="D915" s="68" t="s">
        <v>1398</v>
      </c>
      <c r="E915" s="8" t="s">
        <v>490</v>
      </c>
      <c r="F915" s="64" t="s">
        <v>223</v>
      </c>
      <c r="G915" s="18" t="s">
        <v>829</v>
      </c>
      <c r="H915" s="14">
        <f>6380.2+394.803</f>
        <v>6775.0029999999997</v>
      </c>
      <c r="I915" s="14">
        <v>6775.0029999999997</v>
      </c>
      <c r="J915" s="14">
        <v>6775.0028700000003</v>
      </c>
      <c r="K915" s="78">
        <f t="shared" si="431"/>
        <v>99.999998081181673</v>
      </c>
      <c r="L915" s="14"/>
      <c r="M915" s="50"/>
      <c r="N915" s="50"/>
    </row>
    <row r="916" spans="1:14" ht="46.8" x14ac:dyDescent="0.3">
      <c r="A916" s="8" t="s">
        <v>1271</v>
      </c>
      <c r="B916" s="62" t="s">
        <v>925</v>
      </c>
      <c r="C916" s="68" t="s">
        <v>1374</v>
      </c>
      <c r="D916" s="68" t="s">
        <v>1398</v>
      </c>
      <c r="E916" s="8" t="s">
        <v>491</v>
      </c>
      <c r="F916" s="8"/>
      <c r="G916" s="13" t="s">
        <v>1129</v>
      </c>
      <c r="H916" s="14">
        <f t="shared" ref="H916:L917" si="436">H917</f>
        <v>9085</v>
      </c>
      <c r="I916" s="14">
        <f t="shared" si="436"/>
        <v>9085</v>
      </c>
      <c r="J916" s="14">
        <f t="shared" si="436"/>
        <v>9085</v>
      </c>
      <c r="K916" s="78">
        <f t="shared" si="431"/>
        <v>100</v>
      </c>
      <c r="L916" s="14">
        <f t="shared" si="436"/>
        <v>0</v>
      </c>
      <c r="M916" s="50"/>
      <c r="N916" s="50"/>
    </row>
    <row r="917" spans="1:14" ht="31.2" x14ac:dyDescent="0.3">
      <c r="A917" s="8" t="s">
        <v>1271</v>
      </c>
      <c r="B917" s="62" t="s">
        <v>925</v>
      </c>
      <c r="C917" s="68" t="s">
        <v>1374</v>
      </c>
      <c r="D917" s="68" t="s">
        <v>1398</v>
      </c>
      <c r="E917" s="8" t="s">
        <v>491</v>
      </c>
      <c r="F917" s="45" t="s">
        <v>402</v>
      </c>
      <c r="G917" s="23" t="s">
        <v>819</v>
      </c>
      <c r="H917" s="14">
        <f t="shared" si="436"/>
        <v>9085</v>
      </c>
      <c r="I917" s="14">
        <f t="shared" si="436"/>
        <v>9085</v>
      </c>
      <c r="J917" s="14">
        <f t="shared" si="436"/>
        <v>9085</v>
      </c>
      <c r="K917" s="78">
        <f t="shared" si="431"/>
        <v>100</v>
      </c>
      <c r="L917" s="14">
        <f t="shared" si="436"/>
        <v>0</v>
      </c>
      <c r="M917" s="50"/>
      <c r="N917" s="50"/>
    </row>
    <row r="918" spans="1:14" x14ac:dyDescent="0.3">
      <c r="A918" s="8" t="s">
        <v>1271</v>
      </c>
      <c r="B918" s="62" t="s">
        <v>925</v>
      </c>
      <c r="C918" s="68" t="s">
        <v>1374</v>
      </c>
      <c r="D918" s="68" t="s">
        <v>1398</v>
      </c>
      <c r="E918" s="8" t="s">
        <v>491</v>
      </c>
      <c r="F918" s="64" t="s">
        <v>223</v>
      </c>
      <c r="G918" s="18" t="s">
        <v>829</v>
      </c>
      <c r="H918" s="14">
        <v>9085</v>
      </c>
      <c r="I918" s="14">
        <v>9085</v>
      </c>
      <c r="J918" s="14">
        <v>9085</v>
      </c>
      <c r="K918" s="78">
        <f t="shared" si="431"/>
        <v>100</v>
      </c>
      <c r="L918" s="14"/>
      <c r="M918" s="50"/>
      <c r="N918" s="50"/>
    </row>
    <row r="919" spans="1:14" ht="31.2" x14ac:dyDescent="0.3">
      <c r="A919" s="8" t="s">
        <v>1271</v>
      </c>
      <c r="B919" s="62" t="s">
        <v>925</v>
      </c>
      <c r="C919" s="68" t="s">
        <v>1374</v>
      </c>
      <c r="D919" s="68" t="s">
        <v>1398</v>
      </c>
      <c r="E919" s="8" t="s">
        <v>350</v>
      </c>
      <c r="F919" s="8"/>
      <c r="G919" s="13" t="s">
        <v>1130</v>
      </c>
      <c r="H919" s="14">
        <f t="shared" ref="H919:L919" si="437">H920</f>
        <v>1250.5999999999999</v>
      </c>
      <c r="I919" s="14">
        <f t="shared" si="437"/>
        <v>1250.5999999999999</v>
      </c>
      <c r="J919" s="14">
        <f t="shared" si="437"/>
        <v>1250.5999999999999</v>
      </c>
      <c r="K919" s="78">
        <f t="shared" si="431"/>
        <v>100</v>
      </c>
      <c r="L919" s="14">
        <f t="shared" si="437"/>
        <v>0</v>
      </c>
      <c r="M919" s="50"/>
      <c r="N919" s="50"/>
    </row>
    <row r="920" spans="1:14" ht="31.2" x14ac:dyDescent="0.3">
      <c r="A920" s="8" t="s">
        <v>1271</v>
      </c>
      <c r="B920" s="62" t="s">
        <v>925</v>
      </c>
      <c r="C920" s="68" t="s">
        <v>1374</v>
      </c>
      <c r="D920" s="68" t="s">
        <v>1398</v>
      </c>
      <c r="E920" s="8" t="s">
        <v>350</v>
      </c>
      <c r="F920" s="45" t="s">
        <v>402</v>
      </c>
      <c r="G920" s="23" t="s">
        <v>819</v>
      </c>
      <c r="H920" s="14">
        <f>H921+H922</f>
        <v>1250.5999999999999</v>
      </c>
      <c r="I920" s="14">
        <f>I921+I922</f>
        <v>1250.5999999999999</v>
      </c>
      <c r="J920" s="14">
        <f t="shared" ref="J920" si="438">J921+J922</f>
        <v>1250.5999999999999</v>
      </c>
      <c r="K920" s="78">
        <f t="shared" si="431"/>
        <v>100</v>
      </c>
      <c r="L920" s="14">
        <f>L921+L922</f>
        <v>0</v>
      </c>
      <c r="M920" s="50"/>
      <c r="N920" s="50"/>
    </row>
    <row r="921" spans="1:14" x14ac:dyDescent="0.3">
      <c r="A921" s="8" t="s">
        <v>1271</v>
      </c>
      <c r="B921" s="62" t="s">
        <v>925</v>
      </c>
      <c r="C921" s="68" t="s">
        <v>1374</v>
      </c>
      <c r="D921" s="68" t="s">
        <v>1398</v>
      </c>
      <c r="E921" s="8" t="s">
        <v>350</v>
      </c>
      <c r="F921" s="8" t="s">
        <v>726</v>
      </c>
      <c r="G921" s="13" t="s">
        <v>820</v>
      </c>
      <c r="H921" s="14">
        <v>124.5</v>
      </c>
      <c r="I921" s="14">
        <v>103.11378999999999</v>
      </c>
      <c r="J921" s="14">
        <v>103.11378999999999</v>
      </c>
      <c r="K921" s="78">
        <f t="shared" si="431"/>
        <v>100</v>
      </c>
      <c r="L921" s="14"/>
      <c r="M921" s="50"/>
      <c r="N921" s="50"/>
    </row>
    <row r="922" spans="1:14" x14ac:dyDescent="0.3">
      <c r="A922" s="8" t="s">
        <v>1271</v>
      </c>
      <c r="B922" s="62" t="s">
        <v>925</v>
      </c>
      <c r="C922" s="68" t="s">
        <v>1374</v>
      </c>
      <c r="D922" s="68" t="s">
        <v>1398</v>
      </c>
      <c r="E922" s="8" t="s">
        <v>350</v>
      </c>
      <c r="F922" s="64" t="s">
        <v>223</v>
      </c>
      <c r="G922" s="18" t="s">
        <v>829</v>
      </c>
      <c r="H922" s="14">
        <v>1126.0999999999999</v>
      </c>
      <c r="I922" s="14">
        <v>1147.48621</v>
      </c>
      <c r="J922" s="14">
        <v>1147.48621</v>
      </c>
      <c r="K922" s="78">
        <f t="shared" si="431"/>
        <v>100</v>
      </c>
      <c r="L922" s="14"/>
      <c r="M922" s="50"/>
      <c r="N922" s="50"/>
    </row>
    <row r="923" spans="1:14" ht="31.2" x14ac:dyDescent="0.3">
      <c r="A923" s="8" t="s">
        <v>1271</v>
      </c>
      <c r="B923" s="62" t="s">
        <v>925</v>
      </c>
      <c r="C923" s="68" t="s">
        <v>1374</v>
      </c>
      <c r="D923" s="68" t="s">
        <v>1398</v>
      </c>
      <c r="E923" s="8" t="s">
        <v>484</v>
      </c>
      <c r="F923" s="8"/>
      <c r="G923" s="18" t="s">
        <v>1131</v>
      </c>
      <c r="H923" s="14">
        <f>H924+H926</f>
        <v>5358.4</v>
      </c>
      <c r="I923" s="14">
        <f t="shared" ref="I923:L923" si="439">I924+I926</f>
        <v>5358.4</v>
      </c>
      <c r="J923" s="14">
        <f t="shared" si="439"/>
        <v>5356.9500000000007</v>
      </c>
      <c r="K923" s="78">
        <f t="shared" si="431"/>
        <v>99.972939683487624</v>
      </c>
      <c r="L923" s="14">
        <f t="shared" si="439"/>
        <v>0</v>
      </c>
      <c r="M923" s="50"/>
      <c r="N923" s="50"/>
    </row>
    <row r="924" spans="1:14" ht="31.2" x14ac:dyDescent="0.3">
      <c r="A924" s="8" t="s">
        <v>1271</v>
      </c>
      <c r="B924" s="62" t="s">
        <v>925</v>
      </c>
      <c r="C924" s="68" t="s">
        <v>1374</v>
      </c>
      <c r="D924" s="68" t="s">
        <v>1398</v>
      </c>
      <c r="E924" s="8" t="s">
        <v>484</v>
      </c>
      <c r="F924" s="45" t="s">
        <v>380</v>
      </c>
      <c r="G924" s="23" t="s">
        <v>809</v>
      </c>
      <c r="H924" s="14">
        <f t="shared" ref="H924:L924" si="440">H925</f>
        <v>5358.4</v>
      </c>
      <c r="I924" s="14">
        <f t="shared" si="440"/>
        <v>3470</v>
      </c>
      <c r="J924" s="14">
        <f t="shared" si="440"/>
        <v>3468.55</v>
      </c>
      <c r="K924" s="78">
        <f t="shared" si="431"/>
        <v>99.958213256484157</v>
      </c>
      <c r="L924" s="14">
        <f t="shared" si="440"/>
        <v>0</v>
      </c>
      <c r="M924" s="50"/>
      <c r="N924" s="50"/>
    </row>
    <row r="925" spans="1:14" ht="31.2" x14ac:dyDescent="0.3">
      <c r="A925" s="8" t="s">
        <v>1271</v>
      </c>
      <c r="B925" s="62" t="s">
        <v>925</v>
      </c>
      <c r="C925" s="68" t="s">
        <v>1374</v>
      </c>
      <c r="D925" s="68" t="s">
        <v>1398</v>
      </c>
      <c r="E925" s="8" t="s">
        <v>484</v>
      </c>
      <c r="F925" s="8" t="s">
        <v>247</v>
      </c>
      <c r="G925" s="23" t="s">
        <v>810</v>
      </c>
      <c r="H925" s="14">
        <v>5358.4</v>
      </c>
      <c r="I925" s="14">
        <v>3470</v>
      </c>
      <c r="J925" s="14">
        <v>3468.55</v>
      </c>
      <c r="K925" s="78">
        <f t="shared" si="431"/>
        <v>99.958213256484157</v>
      </c>
      <c r="L925" s="14"/>
      <c r="M925" s="50"/>
      <c r="N925" s="50"/>
    </row>
    <row r="926" spans="1:14" x14ac:dyDescent="0.3">
      <c r="A926" s="8" t="s">
        <v>1271</v>
      </c>
      <c r="B926" s="62" t="s">
        <v>925</v>
      </c>
      <c r="C926" s="68" t="s">
        <v>1374</v>
      </c>
      <c r="D926" s="68" t="s">
        <v>1398</v>
      </c>
      <c r="E926" s="8" t="s">
        <v>484</v>
      </c>
      <c r="F926" s="8" t="s">
        <v>404</v>
      </c>
      <c r="G926" s="13" t="s">
        <v>811</v>
      </c>
      <c r="H926" s="20">
        <f>H927</f>
        <v>0</v>
      </c>
      <c r="I926" s="20">
        <f t="shared" ref="I926:L926" si="441">I927</f>
        <v>1888.4</v>
      </c>
      <c r="J926" s="20">
        <f t="shared" si="441"/>
        <v>1888.4</v>
      </c>
      <c r="K926" s="77">
        <f t="shared" si="431"/>
        <v>100</v>
      </c>
      <c r="L926" s="20">
        <f t="shared" si="441"/>
        <v>0</v>
      </c>
      <c r="M926" s="50"/>
      <c r="N926" s="50"/>
    </row>
    <row r="927" spans="1:14" x14ac:dyDescent="0.3">
      <c r="A927" s="8" t="s">
        <v>1271</v>
      </c>
      <c r="B927" s="62" t="s">
        <v>925</v>
      </c>
      <c r="C927" s="68" t="s">
        <v>1374</v>
      </c>
      <c r="D927" s="68" t="s">
        <v>1398</v>
      </c>
      <c r="E927" s="8" t="s">
        <v>484</v>
      </c>
      <c r="F927" s="8" t="s">
        <v>723</v>
      </c>
      <c r="G927" s="13" t="s">
        <v>815</v>
      </c>
      <c r="H927" s="20">
        <v>0</v>
      </c>
      <c r="I927" s="14">
        <v>1888.4</v>
      </c>
      <c r="J927" s="14">
        <v>1888.4</v>
      </c>
      <c r="K927" s="78">
        <f t="shared" si="431"/>
        <v>100</v>
      </c>
      <c r="L927" s="14"/>
      <c r="M927" s="50"/>
      <c r="N927" s="50"/>
    </row>
    <row r="928" spans="1:14" ht="31.2" x14ac:dyDescent="0.3">
      <c r="A928" s="8" t="s">
        <v>1271</v>
      </c>
      <c r="B928" s="62" t="s">
        <v>925</v>
      </c>
      <c r="C928" s="68" t="s">
        <v>1374</v>
      </c>
      <c r="D928" s="68" t="s">
        <v>1398</v>
      </c>
      <c r="E928" s="8" t="s">
        <v>1185</v>
      </c>
      <c r="F928" s="8"/>
      <c r="G928" s="13" t="s">
        <v>962</v>
      </c>
      <c r="H928" s="20">
        <v>0</v>
      </c>
      <c r="I928" s="14">
        <f>I929</f>
        <v>137.69999999999999</v>
      </c>
      <c r="J928" s="14">
        <f t="shared" ref="J928:L930" si="442">J929</f>
        <v>134.48152999999999</v>
      </c>
      <c r="K928" s="78">
        <f t="shared" si="431"/>
        <v>97.662694262890355</v>
      </c>
      <c r="L928" s="14">
        <f t="shared" si="442"/>
        <v>0</v>
      </c>
      <c r="M928" s="50"/>
      <c r="N928" s="50"/>
    </row>
    <row r="929" spans="1:14" ht="31.2" x14ac:dyDescent="0.3">
      <c r="A929" s="8" t="s">
        <v>1271</v>
      </c>
      <c r="B929" s="62" t="s">
        <v>925</v>
      </c>
      <c r="C929" s="68" t="s">
        <v>1374</v>
      </c>
      <c r="D929" s="68" t="s">
        <v>1398</v>
      </c>
      <c r="E929" s="8" t="s">
        <v>240</v>
      </c>
      <c r="F929" s="8"/>
      <c r="G929" s="13" t="s">
        <v>1338</v>
      </c>
      <c r="H929" s="20">
        <v>0</v>
      </c>
      <c r="I929" s="14">
        <f>I930</f>
        <v>137.69999999999999</v>
      </c>
      <c r="J929" s="14">
        <f t="shared" si="442"/>
        <v>134.48152999999999</v>
      </c>
      <c r="K929" s="78">
        <f t="shared" si="431"/>
        <v>97.662694262890355</v>
      </c>
      <c r="L929" s="14">
        <f t="shared" si="442"/>
        <v>0</v>
      </c>
      <c r="M929" s="50"/>
      <c r="N929" s="50"/>
    </row>
    <row r="930" spans="1:14" ht="78" x14ac:dyDescent="0.3">
      <c r="A930" s="8" t="s">
        <v>1271</v>
      </c>
      <c r="B930" s="62" t="s">
        <v>925</v>
      </c>
      <c r="C930" s="68" t="s">
        <v>1374</v>
      </c>
      <c r="D930" s="68" t="s">
        <v>1398</v>
      </c>
      <c r="E930" s="8" t="s">
        <v>240</v>
      </c>
      <c r="F930" s="45" t="s">
        <v>431</v>
      </c>
      <c r="G930" s="23" t="s">
        <v>806</v>
      </c>
      <c r="H930" s="20">
        <v>0</v>
      </c>
      <c r="I930" s="14">
        <f>I931</f>
        <v>137.69999999999999</v>
      </c>
      <c r="J930" s="14">
        <f t="shared" si="442"/>
        <v>134.48152999999999</v>
      </c>
      <c r="K930" s="78">
        <f t="shared" si="431"/>
        <v>97.662694262890355</v>
      </c>
      <c r="L930" s="14">
        <f t="shared" si="442"/>
        <v>0</v>
      </c>
      <c r="M930" s="50"/>
      <c r="N930" s="50"/>
    </row>
    <row r="931" spans="1:14" ht="31.2" x14ac:dyDescent="0.3">
      <c r="A931" s="8" t="s">
        <v>1271</v>
      </c>
      <c r="B931" s="62" t="s">
        <v>925</v>
      </c>
      <c r="C931" s="68" t="s">
        <v>1374</v>
      </c>
      <c r="D931" s="68" t="s">
        <v>1398</v>
      </c>
      <c r="E931" s="8" t="s">
        <v>240</v>
      </c>
      <c r="F931" s="45" t="s">
        <v>233</v>
      </c>
      <c r="G931" s="23" t="s">
        <v>808</v>
      </c>
      <c r="H931" s="20">
        <v>0</v>
      </c>
      <c r="I931" s="14">
        <f>105.716+31.984</f>
        <v>137.69999999999999</v>
      </c>
      <c r="J931" s="14">
        <v>134.48152999999999</v>
      </c>
      <c r="K931" s="78">
        <f t="shared" si="431"/>
        <v>97.662694262890355</v>
      </c>
      <c r="L931" s="14"/>
      <c r="M931" s="50"/>
      <c r="N931" s="50"/>
    </row>
    <row r="932" spans="1:14" ht="31.2" x14ac:dyDescent="0.3">
      <c r="A932" s="8" t="s">
        <v>1271</v>
      </c>
      <c r="B932" s="62" t="s">
        <v>925</v>
      </c>
      <c r="C932" s="68" t="s">
        <v>1374</v>
      </c>
      <c r="D932" s="68" t="s">
        <v>1398</v>
      </c>
      <c r="E932" s="8" t="s">
        <v>1360</v>
      </c>
      <c r="F932" s="8"/>
      <c r="G932" s="23" t="s">
        <v>735</v>
      </c>
      <c r="H932" s="14">
        <f t="shared" ref="H932:L932" si="443">H933</f>
        <v>2988.6</v>
      </c>
      <c r="I932" s="14">
        <f t="shared" si="443"/>
        <v>2988.6</v>
      </c>
      <c r="J932" s="14">
        <f t="shared" si="443"/>
        <v>2988.6</v>
      </c>
      <c r="K932" s="78">
        <f t="shared" si="431"/>
        <v>100</v>
      </c>
      <c r="L932" s="14">
        <f t="shared" si="443"/>
        <v>0</v>
      </c>
      <c r="M932" s="50"/>
      <c r="N932" s="50"/>
    </row>
    <row r="933" spans="1:14" x14ac:dyDescent="0.3">
      <c r="A933" s="8" t="s">
        <v>1271</v>
      </c>
      <c r="B933" s="62" t="s">
        <v>925</v>
      </c>
      <c r="C933" s="68" t="s">
        <v>1374</v>
      </c>
      <c r="D933" s="68" t="s">
        <v>1398</v>
      </c>
      <c r="E933" s="8" t="s">
        <v>1361</v>
      </c>
      <c r="F933" s="8"/>
      <c r="G933" s="23" t="s">
        <v>736</v>
      </c>
      <c r="H933" s="14">
        <f>H936+H934</f>
        <v>2988.6</v>
      </c>
      <c r="I933" s="14">
        <f>I936+I934</f>
        <v>2988.6</v>
      </c>
      <c r="J933" s="14">
        <f t="shared" ref="J933" si="444">J936+J934</f>
        <v>2988.6</v>
      </c>
      <c r="K933" s="78">
        <f t="shared" si="431"/>
        <v>100</v>
      </c>
      <c r="L933" s="14">
        <f>L936+L934</f>
        <v>0</v>
      </c>
      <c r="M933" s="50"/>
      <c r="N933" s="50"/>
    </row>
    <row r="934" spans="1:14" ht="31.2" x14ac:dyDescent="0.3">
      <c r="A934" s="8" t="s">
        <v>1271</v>
      </c>
      <c r="B934" s="62" t="s">
        <v>925</v>
      </c>
      <c r="C934" s="68" t="s">
        <v>1374</v>
      </c>
      <c r="D934" s="68" t="s">
        <v>1398</v>
      </c>
      <c r="E934" s="8" t="s">
        <v>1361</v>
      </c>
      <c r="F934" s="45" t="s">
        <v>380</v>
      </c>
      <c r="G934" s="23" t="s">
        <v>809</v>
      </c>
      <c r="H934" s="14">
        <f t="shared" ref="H934:L934" si="445">H935</f>
        <v>115</v>
      </c>
      <c r="I934" s="14">
        <f t="shared" si="445"/>
        <v>115</v>
      </c>
      <c r="J934" s="14">
        <f t="shared" si="445"/>
        <v>115</v>
      </c>
      <c r="K934" s="78">
        <f t="shared" si="431"/>
        <v>100</v>
      </c>
      <c r="L934" s="14">
        <f t="shared" si="445"/>
        <v>0</v>
      </c>
      <c r="M934" s="50"/>
      <c r="N934" s="50"/>
    </row>
    <row r="935" spans="1:14" ht="31.2" x14ac:dyDescent="0.3">
      <c r="A935" s="8" t="s">
        <v>1271</v>
      </c>
      <c r="B935" s="62" t="s">
        <v>925</v>
      </c>
      <c r="C935" s="68" t="s">
        <v>1374</v>
      </c>
      <c r="D935" s="68" t="s">
        <v>1398</v>
      </c>
      <c r="E935" s="8" t="s">
        <v>1361</v>
      </c>
      <c r="F935" s="8" t="s">
        <v>247</v>
      </c>
      <c r="G935" s="23" t="s">
        <v>810</v>
      </c>
      <c r="H935" s="14">
        <v>115</v>
      </c>
      <c r="I935" s="14">
        <v>115</v>
      </c>
      <c r="J935" s="14">
        <v>115</v>
      </c>
      <c r="K935" s="78">
        <f t="shared" si="431"/>
        <v>100</v>
      </c>
      <c r="L935" s="14"/>
      <c r="M935" s="50"/>
      <c r="N935" s="50"/>
    </row>
    <row r="936" spans="1:14" x14ac:dyDescent="0.3">
      <c r="A936" s="8" t="s">
        <v>1271</v>
      </c>
      <c r="B936" s="62" t="s">
        <v>925</v>
      </c>
      <c r="C936" s="68" t="s">
        <v>1374</v>
      </c>
      <c r="D936" s="68" t="s">
        <v>1398</v>
      </c>
      <c r="E936" s="8" t="s">
        <v>1361</v>
      </c>
      <c r="F936" s="8" t="s">
        <v>404</v>
      </c>
      <c r="G936" s="13" t="s">
        <v>811</v>
      </c>
      <c r="H936" s="14">
        <f t="shared" ref="H936:L936" si="446">H937</f>
        <v>2873.6</v>
      </c>
      <c r="I936" s="14">
        <f t="shared" si="446"/>
        <v>2873.6</v>
      </c>
      <c r="J936" s="14">
        <f t="shared" si="446"/>
        <v>2873.6</v>
      </c>
      <c r="K936" s="78">
        <f t="shared" si="431"/>
        <v>100</v>
      </c>
      <c r="L936" s="14">
        <f t="shared" si="446"/>
        <v>0</v>
      </c>
      <c r="M936" s="50"/>
      <c r="N936" s="50"/>
    </row>
    <row r="937" spans="1:14" ht="31.2" x14ac:dyDescent="0.3">
      <c r="A937" s="8" t="s">
        <v>1271</v>
      </c>
      <c r="B937" s="62" t="s">
        <v>925</v>
      </c>
      <c r="C937" s="68" t="s">
        <v>1374</v>
      </c>
      <c r="D937" s="68" t="s">
        <v>1398</v>
      </c>
      <c r="E937" s="8" t="s">
        <v>1361</v>
      </c>
      <c r="F937" s="8" t="s">
        <v>721</v>
      </c>
      <c r="G937" s="13" t="s">
        <v>814</v>
      </c>
      <c r="H937" s="14">
        <v>2873.6</v>
      </c>
      <c r="I937" s="14">
        <v>2873.6</v>
      </c>
      <c r="J937" s="14">
        <v>2873.6</v>
      </c>
      <c r="K937" s="78">
        <f t="shared" si="431"/>
        <v>100</v>
      </c>
      <c r="L937" s="14"/>
      <c r="M937" s="50"/>
      <c r="N937" s="50"/>
    </row>
    <row r="938" spans="1:14" ht="31.2" x14ac:dyDescent="0.3">
      <c r="A938" s="8" t="s">
        <v>1271</v>
      </c>
      <c r="B938" s="62" t="s">
        <v>925</v>
      </c>
      <c r="C938" s="68" t="s">
        <v>1374</v>
      </c>
      <c r="D938" s="68" t="s">
        <v>1398</v>
      </c>
      <c r="E938" s="8" t="s">
        <v>429</v>
      </c>
      <c r="F938" s="8"/>
      <c r="G938" s="23" t="s">
        <v>1140</v>
      </c>
      <c r="H938" s="14">
        <f t="shared" ref="H938:L939" si="447">H939</f>
        <v>16.678999999999998</v>
      </c>
      <c r="I938" s="14">
        <f t="shared" si="447"/>
        <v>39605.797249999996</v>
      </c>
      <c r="J938" s="14">
        <f t="shared" si="447"/>
        <v>39605.797249999996</v>
      </c>
      <c r="K938" s="78">
        <f t="shared" si="431"/>
        <v>100</v>
      </c>
      <c r="L938" s="14">
        <f t="shared" si="447"/>
        <v>0</v>
      </c>
      <c r="M938" s="50"/>
      <c r="N938" s="50"/>
    </row>
    <row r="939" spans="1:14" ht="46.8" x14ac:dyDescent="0.3">
      <c r="A939" s="8" t="s">
        <v>1271</v>
      </c>
      <c r="B939" s="62" t="s">
        <v>925</v>
      </c>
      <c r="C939" s="68" t="s">
        <v>1374</v>
      </c>
      <c r="D939" s="68" t="s">
        <v>1398</v>
      </c>
      <c r="E939" s="8" t="s">
        <v>535</v>
      </c>
      <c r="F939" s="8"/>
      <c r="G939" s="31" t="s">
        <v>176</v>
      </c>
      <c r="H939" s="14">
        <f t="shared" si="447"/>
        <v>16.678999999999998</v>
      </c>
      <c r="I939" s="14">
        <f t="shared" si="447"/>
        <v>39605.797249999996</v>
      </c>
      <c r="J939" s="14">
        <f t="shared" si="447"/>
        <v>39605.797249999996</v>
      </c>
      <c r="K939" s="78">
        <f t="shared" si="431"/>
        <v>100</v>
      </c>
      <c r="L939" s="14">
        <f t="shared" si="447"/>
        <v>0</v>
      </c>
      <c r="M939" s="50"/>
      <c r="N939" s="50"/>
    </row>
    <row r="940" spans="1:14" ht="31.2" x14ac:dyDescent="0.3">
      <c r="A940" s="8" t="s">
        <v>1271</v>
      </c>
      <c r="B940" s="62" t="s">
        <v>925</v>
      </c>
      <c r="C940" s="68" t="s">
        <v>1374</v>
      </c>
      <c r="D940" s="68" t="s">
        <v>1398</v>
      </c>
      <c r="E940" s="8" t="s">
        <v>535</v>
      </c>
      <c r="F940" s="8" t="s">
        <v>402</v>
      </c>
      <c r="G940" s="23" t="s">
        <v>819</v>
      </c>
      <c r="H940" s="14">
        <f>H942</f>
        <v>16.678999999999998</v>
      </c>
      <c r="I940" s="14">
        <f>I942+I941</f>
        <v>39605.797249999996</v>
      </c>
      <c r="J940" s="14">
        <f t="shared" ref="J940:L940" si="448">J942+J941</f>
        <v>39605.797249999996</v>
      </c>
      <c r="K940" s="78">
        <f t="shared" si="431"/>
        <v>100</v>
      </c>
      <c r="L940" s="14">
        <f t="shared" si="448"/>
        <v>0</v>
      </c>
      <c r="M940" s="50"/>
      <c r="N940" s="50"/>
    </row>
    <row r="941" spans="1:14" x14ac:dyDescent="0.3">
      <c r="A941" s="8" t="s">
        <v>1271</v>
      </c>
      <c r="B941" s="62" t="s">
        <v>925</v>
      </c>
      <c r="C941" s="68" t="s">
        <v>1374</v>
      </c>
      <c r="D941" s="68" t="s">
        <v>1398</v>
      </c>
      <c r="E941" s="8" t="s">
        <v>535</v>
      </c>
      <c r="F941" s="8" t="s">
        <v>726</v>
      </c>
      <c r="G941" s="13" t="s">
        <v>820</v>
      </c>
      <c r="H941" s="20">
        <v>0</v>
      </c>
      <c r="I941" s="14">
        <v>1297.37177</v>
      </c>
      <c r="J941" s="14">
        <v>1297.37177</v>
      </c>
      <c r="K941" s="78">
        <f t="shared" si="431"/>
        <v>100</v>
      </c>
      <c r="L941" s="14"/>
      <c r="M941" s="50"/>
      <c r="N941" s="50"/>
    </row>
    <row r="942" spans="1:14" x14ac:dyDescent="0.3">
      <c r="A942" s="8" t="s">
        <v>1271</v>
      </c>
      <c r="B942" s="62" t="s">
        <v>925</v>
      </c>
      <c r="C942" s="68" t="s">
        <v>1374</v>
      </c>
      <c r="D942" s="68" t="s">
        <v>1398</v>
      </c>
      <c r="E942" s="8" t="s">
        <v>535</v>
      </c>
      <c r="F942" s="8" t="s">
        <v>223</v>
      </c>
      <c r="G942" s="18" t="s">
        <v>829</v>
      </c>
      <c r="H942" s="14">
        <v>16.678999999999998</v>
      </c>
      <c r="I942" s="14">
        <v>38308.425479999998</v>
      </c>
      <c r="J942" s="14">
        <v>38308.425479999998</v>
      </c>
      <c r="K942" s="78">
        <f t="shared" si="431"/>
        <v>100</v>
      </c>
      <c r="L942" s="14"/>
      <c r="M942" s="50"/>
      <c r="N942" s="50"/>
    </row>
    <row r="943" spans="1:14" ht="31.2" x14ac:dyDescent="0.3">
      <c r="A943" s="8" t="s">
        <v>1271</v>
      </c>
      <c r="B943" s="62" t="s">
        <v>925</v>
      </c>
      <c r="C943" s="68" t="s">
        <v>1374</v>
      </c>
      <c r="D943" s="68" t="s">
        <v>1398</v>
      </c>
      <c r="E943" s="8" t="s">
        <v>343</v>
      </c>
      <c r="F943" s="8"/>
      <c r="G943" s="23" t="s">
        <v>1157</v>
      </c>
      <c r="H943" s="14">
        <f t="shared" ref="H943:L943" si="449">H944</f>
        <v>98266.1</v>
      </c>
      <c r="I943" s="14">
        <f t="shared" si="449"/>
        <v>97634.6</v>
      </c>
      <c r="J943" s="14">
        <f t="shared" si="449"/>
        <v>97609.942299999995</v>
      </c>
      <c r="K943" s="78">
        <f t="shared" si="431"/>
        <v>99.974744916248937</v>
      </c>
      <c r="L943" s="14">
        <f t="shared" si="449"/>
        <v>0</v>
      </c>
      <c r="M943" s="50"/>
      <c r="N943" s="50"/>
    </row>
    <row r="944" spans="1:14" x14ac:dyDescent="0.3">
      <c r="A944" s="8" t="s">
        <v>1271</v>
      </c>
      <c r="B944" s="62" t="s">
        <v>925</v>
      </c>
      <c r="C944" s="68" t="s">
        <v>1374</v>
      </c>
      <c r="D944" s="68" t="s">
        <v>1398</v>
      </c>
      <c r="E944" s="8" t="s">
        <v>344</v>
      </c>
      <c r="F944" s="8"/>
      <c r="G944" s="23" t="s">
        <v>1159</v>
      </c>
      <c r="H944" s="14">
        <f>H945+H948</f>
        <v>98266.1</v>
      </c>
      <c r="I944" s="14">
        <f>I945+I948</f>
        <v>97634.6</v>
      </c>
      <c r="J944" s="14">
        <f t="shared" ref="J944" si="450">J945+J948</f>
        <v>97609.942299999995</v>
      </c>
      <c r="K944" s="78">
        <f t="shared" si="431"/>
        <v>99.974744916248937</v>
      </c>
      <c r="L944" s="14">
        <f>L945+L948</f>
        <v>0</v>
      </c>
      <c r="M944" s="50"/>
      <c r="N944" s="50"/>
    </row>
    <row r="945" spans="1:14" ht="31.2" x14ac:dyDescent="0.3">
      <c r="A945" s="8" t="s">
        <v>1271</v>
      </c>
      <c r="B945" s="62" t="s">
        <v>925</v>
      </c>
      <c r="C945" s="83" t="s">
        <v>1374</v>
      </c>
      <c r="D945" s="83" t="s">
        <v>1398</v>
      </c>
      <c r="E945" s="45" t="s">
        <v>345</v>
      </c>
      <c r="F945" s="8"/>
      <c r="G945" s="23" t="s">
        <v>1152</v>
      </c>
      <c r="H945" s="14">
        <f t="shared" ref="H945:L946" si="451">H946</f>
        <v>91282.3</v>
      </c>
      <c r="I945" s="14">
        <f t="shared" si="451"/>
        <v>91733.370280000003</v>
      </c>
      <c r="J945" s="14">
        <f t="shared" si="451"/>
        <v>91732.156260000003</v>
      </c>
      <c r="K945" s="78">
        <f t="shared" si="431"/>
        <v>99.99867657756792</v>
      </c>
      <c r="L945" s="14">
        <f t="shared" si="451"/>
        <v>0</v>
      </c>
      <c r="M945" s="50"/>
      <c r="N945" s="50"/>
    </row>
    <row r="946" spans="1:14" ht="78" x14ac:dyDescent="0.3">
      <c r="A946" s="8" t="s">
        <v>1271</v>
      </c>
      <c r="B946" s="62" t="s">
        <v>925</v>
      </c>
      <c r="C946" s="83" t="s">
        <v>1374</v>
      </c>
      <c r="D946" s="83" t="s">
        <v>1398</v>
      </c>
      <c r="E946" s="45" t="s">
        <v>345</v>
      </c>
      <c r="F946" s="45" t="s">
        <v>431</v>
      </c>
      <c r="G946" s="23" t="s">
        <v>806</v>
      </c>
      <c r="H946" s="14">
        <f t="shared" si="451"/>
        <v>91282.3</v>
      </c>
      <c r="I946" s="14">
        <f t="shared" si="451"/>
        <v>91733.370280000003</v>
      </c>
      <c r="J946" s="14">
        <f t="shared" si="451"/>
        <v>91732.156260000003</v>
      </c>
      <c r="K946" s="78">
        <f t="shared" si="431"/>
        <v>99.99867657756792</v>
      </c>
      <c r="L946" s="14">
        <f t="shared" si="451"/>
        <v>0</v>
      </c>
      <c r="M946" s="50"/>
      <c r="N946" s="50"/>
    </row>
    <row r="947" spans="1:14" ht="31.2" x14ac:dyDescent="0.3">
      <c r="A947" s="8" t="s">
        <v>1271</v>
      </c>
      <c r="B947" s="62" t="s">
        <v>925</v>
      </c>
      <c r="C947" s="83" t="s">
        <v>1374</v>
      </c>
      <c r="D947" s="83" t="s">
        <v>1398</v>
      </c>
      <c r="E947" s="45" t="s">
        <v>345</v>
      </c>
      <c r="F947" s="45" t="s">
        <v>233</v>
      </c>
      <c r="G947" s="23" t="s">
        <v>808</v>
      </c>
      <c r="H947" s="14">
        <v>91282.3</v>
      </c>
      <c r="I947" s="14">
        <v>91733.370280000003</v>
      </c>
      <c r="J947" s="14">
        <v>91732.156260000003</v>
      </c>
      <c r="K947" s="78">
        <f t="shared" si="431"/>
        <v>99.99867657756792</v>
      </c>
      <c r="L947" s="14"/>
      <c r="M947" s="50"/>
      <c r="N947" s="50"/>
    </row>
    <row r="948" spans="1:14" ht="31.2" x14ac:dyDescent="0.3">
      <c r="A948" s="8" t="s">
        <v>1271</v>
      </c>
      <c r="B948" s="62" t="s">
        <v>925</v>
      </c>
      <c r="C948" s="83" t="s">
        <v>1374</v>
      </c>
      <c r="D948" s="83" t="s">
        <v>1398</v>
      </c>
      <c r="E948" s="45" t="s">
        <v>346</v>
      </c>
      <c r="F948" s="8"/>
      <c r="G948" s="23" t="s">
        <v>1154</v>
      </c>
      <c r="H948" s="14">
        <f>H949+H951+H953</f>
        <v>6983.8</v>
      </c>
      <c r="I948" s="14">
        <f>I949+I951+I953</f>
        <v>5901.2297199999994</v>
      </c>
      <c r="J948" s="14">
        <f t="shared" ref="J948" si="452">J949+J951+J953</f>
        <v>5877.786039999999</v>
      </c>
      <c r="K948" s="78">
        <f t="shared" si="431"/>
        <v>99.602732292888945</v>
      </c>
      <c r="L948" s="14">
        <f>L949+L951+L953</f>
        <v>0</v>
      </c>
      <c r="M948" s="50"/>
      <c r="N948" s="50"/>
    </row>
    <row r="949" spans="1:14" ht="78" x14ac:dyDescent="0.3">
      <c r="A949" s="8" t="s">
        <v>1271</v>
      </c>
      <c r="B949" s="62" t="s">
        <v>925</v>
      </c>
      <c r="C949" s="83" t="s">
        <v>1374</v>
      </c>
      <c r="D949" s="83" t="s">
        <v>1398</v>
      </c>
      <c r="E949" s="45" t="s">
        <v>346</v>
      </c>
      <c r="F949" s="45" t="s">
        <v>431</v>
      </c>
      <c r="G949" s="23" t="s">
        <v>806</v>
      </c>
      <c r="H949" s="14">
        <f t="shared" ref="H949:L949" si="453">H950</f>
        <v>665</v>
      </c>
      <c r="I949" s="14">
        <f t="shared" si="453"/>
        <v>252.19</v>
      </c>
      <c r="J949" s="14">
        <f t="shared" si="453"/>
        <v>252.19</v>
      </c>
      <c r="K949" s="78">
        <f t="shared" si="431"/>
        <v>100</v>
      </c>
      <c r="L949" s="14">
        <f t="shared" si="453"/>
        <v>0</v>
      </c>
      <c r="M949" s="50"/>
      <c r="N949" s="50"/>
    </row>
    <row r="950" spans="1:14" ht="31.2" x14ac:dyDescent="0.3">
      <c r="A950" s="8" t="s">
        <v>1271</v>
      </c>
      <c r="B950" s="62" t="s">
        <v>925</v>
      </c>
      <c r="C950" s="83" t="s">
        <v>1374</v>
      </c>
      <c r="D950" s="83" t="s">
        <v>1398</v>
      </c>
      <c r="E950" s="45" t="s">
        <v>346</v>
      </c>
      <c r="F950" s="45" t="s">
        <v>233</v>
      </c>
      <c r="G950" s="23" t="s">
        <v>808</v>
      </c>
      <c r="H950" s="14">
        <v>665</v>
      </c>
      <c r="I950" s="14">
        <v>252.19</v>
      </c>
      <c r="J950" s="14">
        <v>252.19</v>
      </c>
      <c r="K950" s="78">
        <f t="shared" si="431"/>
        <v>100</v>
      </c>
      <c r="L950" s="14"/>
      <c r="M950" s="50"/>
      <c r="N950" s="50"/>
    </row>
    <row r="951" spans="1:14" ht="31.2" x14ac:dyDescent="0.3">
      <c r="A951" s="8" t="s">
        <v>1271</v>
      </c>
      <c r="B951" s="62" t="s">
        <v>925</v>
      </c>
      <c r="C951" s="83" t="s">
        <v>1374</v>
      </c>
      <c r="D951" s="83" t="s">
        <v>1398</v>
      </c>
      <c r="E951" s="45" t="s">
        <v>346</v>
      </c>
      <c r="F951" s="45" t="s">
        <v>380</v>
      </c>
      <c r="G951" s="23" t="s">
        <v>809</v>
      </c>
      <c r="H951" s="14">
        <f t="shared" ref="H951:L951" si="454">H952</f>
        <v>6318</v>
      </c>
      <c r="I951" s="14">
        <f t="shared" si="454"/>
        <v>5648.4167200000002</v>
      </c>
      <c r="J951" s="14">
        <f t="shared" si="454"/>
        <v>5624.9730399999999</v>
      </c>
      <c r="K951" s="78">
        <f t="shared" si="431"/>
        <v>99.58495130295556</v>
      </c>
      <c r="L951" s="14">
        <f t="shared" si="454"/>
        <v>0</v>
      </c>
      <c r="M951" s="50"/>
      <c r="N951" s="50"/>
    </row>
    <row r="952" spans="1:14" ht="31.2" x14ac:dyDescent="0.3">
      <c r="A952" s="8" t="s">
        <v>1271</v>
      </c>
      <c r="B952" s="62" t="s">
        <v>925</v>
      </c>
      <c r="C952" s="83" t="s">
        <v>1374</v>
      </c>
      <c r="D952" s="83" t="s">
        <v>1398</v>
      </c>
      <c r="E952" s="45" t="s">
        <v>346</v>
      </c>
      <c r="F952" s="8" t="s">
        <v>247</v>
      </c>
      <c r="G952" s="23" t="s">
        <v>810</v>
      </c>
      <c r="H952" s="14">
        <v>6318</v>
      </c>
      <c r="I952" s="14">
        <v>5648.4167200000002</v>
      </c>
      <c r="J952" s="14">
        <v>5624.9730399999999</v>
      </c>
      <c r="K952" s="78">
        <f t="shared" si="431"/>
        <v>99.58495130295556</v>
      </c>
      <c r="L952" s="14"/>
      <c r="M952" s="50"/>
      <c r="N952" s="50"/>
    </row>
    <row r="953" spans="1:14" x14ac:dyDescent="0.3">
      <c r="A953" s="8" t="s">
        <v>1271</v>
      </c>
      <c r="B953" s="62" t="s">
        <v>925</v>
      </c>
      <c r="C953" s="83" t="s">
        <v>1374</v>
      </c>
      <c r="D953" s="83" t="s">
        <v>1398</v>
      </c>
      <c r="E953" s="45" t="s">
        <v>346</v>
      </c>
      <c r="F953" s="45" t="s">
        <v>464</v>
      </c>
      <c r="G953" s="23" t="s">
        <v>822</v>
      </c>
      <c r="H953" s="14">
        <f t="shared" ref="H953:L953" si="455">H954</f>
        <v>0.8</v>
      </c>
      <c r="I953" s="14">
        <f t="shared" si="455"/>
        <v>0.623</v>
      </c>
      <c r="J953" s="14">
        <f t="shared" si="455"/>
        <v>0.623</v>
      </c>
      <c r="K953" s="78">
        <f t="shared" si="431"/>
        <v>100</v>
      </c>
      <c r="L953" s="14">
        <f t="shared" si="455"/>
        <v>0</v>
      </c>
      <c r="M953" s="50"/>
      <c r="N953" s="50"/>
    </row>
    <row r="954" spans="1:14" x14ac:dyDescent="0.3">
      <c r="A954" s="8" t="s">
        <v>1271</v>
      </c>
      <c r="B954" s="62" t="s">
        <v>925</v>
      </c>
      <c r="C954" s="83" t="s">
        <v>1374</v>
      </c>
      <c r="D954" s="83" t="s">
        <v>1398</v>
      </c>
      <c r="E954" s="45" t="s">
        <v>346</v>
      </c>
      <c r="F954" s="45" t="s">
        <v>729</v>
      </c>
      <c r="G954" s="23" t="s">
        <v>824</v>
      </c>
      <c r="H954" s="14">
        <v>0.8</v>
      </c>
      <c r="I954" s="14">
        <v>0.623</v>
      </c>
      <c r="J954" s="14">
        <v>0.623</v>
      </c>
      <c r="K954" s="78">
        <f t="shared" si="431"/>
        <v>100</v>
      </c>
      <c r="L954" s="14"/>
      <c r="M954" s="50"/>
      <c r="N954" s="50"/>
    </row>
    <row r="955" spans="1:14" ht="46.8" x14ac:dyDescent="0.3">
      <c r="A955" s="8" t="s">
        <v>1271</v>
      </c>
      <c r="B955" s="62" t="s">
        <v>925</v>
      </c>
      <c r="C955" s="83" t="s">
        <v>1374</v>
      </c>
      <c r="D955" s="83" t="s">
        <v>1398</v>
      </c>
      <c r="E955" s="45" t="s">
        <v>493</v>
      </c>
      <c r="F955" s="45"/>
      <c r="G955" s="23" t="s">
        <v>1160</v>
      </c>
      <c r="H955" s="14">
        <f>H956</f>
        <v>0</v>
      </c>
      <c r="I955" s="14">
        <f t="shared" ref="I955:L958" si="456">I956</f>
        <v>105.5</v>
      </c>
      <c r="J955" s="14">
        <f t="shared" si="456"/>
        <v>105.5</v>
      </c>
      <c r="K955" s="78">
        <f t="shared" si="431"/>
        <v>100</v>
      </c>
      <c r="L955" s="14">
        <f t="shared" si="456"/>
        <v>0</v>
      </c>
      <c r="M955" s="50"/>
      <c r="N955" s="50"/>
    </row>
    <row r="956" spans="1:14" ht="31.2" x14ac:dyDescent="0.3">
      <c r="A956" s="8" t="s">
        <v>1271</v>
      </c>
      <c r="B956" s="62" t="s">
        <v>925</v>
      </c>
      <c r="C956" s="83" t="s">
        <v>1374</v>
      </c>
      <c r="D956" s="83" t="s">
        <v>1398</v>
      </c>
      <c r="E956" s="45" t="s">
        <v>494</v>
      </c>
      <c r="F956" s="45"/>
      <c r="G956" s="23" t="s">
        <v>1161</v>
      </c>
      <c r="H956" s="14">
        <f>H957</f>
        <v>0</v>
      </c>
      <c r="I956" s="14">
        <f t="shared" si="456"/>
        <v>105.5</v>
      </c>
      <c r="J956" s="14">
        <f t="shared" si="456"/>
        <v>105.5</v>
      </c>
      <c r="K956" s="78">
        <f t="shared" si="431"/>
        <v>100</v>
      </c>
      <c r="L956" s="14">
        <f t="shared" si="456"/>
        <v>0</v>
      </c>
      <c r="M956" s="50"/>
      <c r="N956" s="50"/>
    </row>
    <row r="957" spans="1:14" ht="31.2" x14ac:dyDescent="0.3">
      <c r="A957" s="8" t="s">
        <v>1271</v>
      </c>
      <c r="B957" s="62" t="s">
        <v>925</v>
      </c>
      <c r="C957" s="83" t="s">
        <v>1374</v>
      </c>
      <c r="D957" s="83" t="s">
        <v>1398</v>
      </c>
      <c r="E957" s="45" t="s">
        <v>495</v>
      </c>
      <c r="F957" s="45"/>
      <c r="G957" s="23" t="s">
        <v>687</v>
      </c>
      <c r="H957" s="14">
        <f>H958</f>
        <v>0</v>
      </c>
      <c r="I957" s="14">
        <f t="shared" si="456"/>
        <v>105.5</v>
      </c>
      <c r="J957" s="14">
        <f t="shared" si="456"/>
        <v>105.5</v>
      </c>
      <c r="K957" s="78">
        <f t="shared" si="431"/>
        <v>100</v>
      </c>
      <c r="L957" s="14">
        <f t="shared" si="456"/>
        <v>0</v>
      </c>
      <c r="M957" s="50"/>
      <c r="N957" s="50"/>
    </row>
    <row r="958" spans="1:14" x14ac:dyDescent="0.3">
      <c r="A958" s="8" t="s">
        <v>1271</v>
      </c>
      <c r="B958" s="62" t="s">
        <v>925</v>
      </c>
      <c r="C958" s="83" t="s">
        <v>1374</v>
      </c>
      <c r="D958" s="83" t="s">
        <v>1398</v>
      </c>
      <c r="E958" s="45" t="s">
        <v>495</v>
      </c>
      <c r="F958" s="45" t="s">
        <v>464</v>
      </c>
      <c r="G958" s="23" t="s">
        <v>822</v>
      </c>
      <c r="H958" s="14">
        <f>H959</f>
        <v>0</v>
      </c>
      <c r="I958" s="14">
        <f t="shared" si="456"/>
        <v>105.5</v>
      </c>
      <c r="J958" s="14">
        <f t="shared" si="456"/>
        <v>105.5</v>
      </c>
      <c r="K958" s="78">
        <f t="shared" si="431"/>
        <v>100</v>
      </c>
      <c r="L958" s="14">
        <f t="shared" si="456"/>
        <v>0</v>
      </c>
      <c r="M958" s="50"/>
      <c r="N958" s="50"/>
    </row>
    <row r="959" spans="1:14" x14ac:dyDescent="0.3">
      <c r="A959" s="8" t="s">
        <v>1271</v>
      </c>
      <c r="B959" s="62" t="s">
        <v>925</v>
      </c>
      <c r="C959" s="83" t="s">
        <v>1374</v>
      </c>
      <c r="D959" s="83" t="s">
        <v>1398</v>
      </c>
      <c r="E959" s="45" t="s">
        <v>495</v>
      </c>
      <c r="F959" s="45" t="s">
        <v>728</v>
      </c>
      <c r="G959" s="23" t="s">
        <v>823</v>
      </c>
      <c r="H959" s="20">
        <v>0</v>
      </c>
      <c r="I959" s="14">
        <v>105.5</v>
      </c>
      <c r="J959" s="14">
        <v>105.5</v>
      </c>
      <c r="K959" s="78">
        <f t="shared" si="431"/>
        <v>100</v>
      </c>
      <c r="L959" s="14"/>
      <c r="M959" s="50"/>
      <c r="N959" s="50"/>
    </row>
    <row r="960" spans="1:14" s="3" customFormat="1" x14ac:dyDescent="0.3">
      <c r="A960" s="10" t="s">
        <v>1271</v>
      </c>
      <c r="B960" s="43" t="s">
        <v>1399</v>
      </c>
      <c r="C960" s="43" t="s">
        <v>1399</v>
      </c>
      <c r="D960" s="43" t="s">
        <v>915</v>
      </c>
      <c r="E960" s="10"/>
      <c r="F960" s="10"/>
      <c r="G960" s="5" t="s">
        <v>1400</v>
      </c>
      <c r="H960" s="15">
        <f t="shared" ref="H960:L960" si="457">H961+H1017+H1028</f>
        <v>456097.20699999999</v>
      </c>
      <c r="I960" s="15">
        <f t="shared" si="457"/>
        <v>397965.27224999998</v>
      </c>
      <c r="J960" s="15">
        <f t="shared" si="457"/>
        <v>378966.40097000008</v>
      </c>
      <c r="K960" s="81">
        <f t="shared" si="431"/>
        <v>95.225997692566281</v>
      </c>
      <c r="L960" s="15">
        <f t="shared" si="457"/>
        <v>0</v>
      </c>
      <c r="M960" s="65"/>
      <c r="N960" s="65"/>
    </row>
    <row r="961" spans="1:14" s="9" customFormat="1" ht="16.5" customHeight="1" x14ac:dyDescent="0.3">
      <c r="A961" s="11" t="s">
        <v>1271</v>
      </c>
      <c r="B961" s="48" t="s">
        <v>928</v>
      </c>
      <c r="C961" s="48" t="s">
        <v>1399</v>
      </c>
      <c r="D961" s="48" t="s">
        <v>1391</v>
      </c>
      <c r="E961" s="11"/>
      <c r="F961" s="11"/>
      <c r="G961" s="7" t="s">
        <v>1401</v>
      </c>
      <c r="H961" s="16">
        <f t="shared" ref="H961:L961" si="458">H962+H971</f>
        <v>204672.37699999998</v>
      </c>
      <c r="I961" s="16">
        <f t="shared" si="458"/>
        <v>181190.24224999998</v>
      </c>
      <c r="J961" s="16">
        <f t="shared" si="458"/>
        <v>176054.27229000002</v>
      </c>
      <c r="K961" s="82">
        <f t="shared" si="431"/>
        <v>97.165426848475917</v>
      </c>
      <c r="L961" s="16">
        <f t="shared" si="458"/>
        <v>0</v>
      </c>
      <c r="M961" s="65"/>
      <c r="N961" s="65"/>
    </row>
    <row r="962" spans="1:14" ht="31.2" x14ac:dyDescent="0.3">
      <c r="A962" s="8" t="s">
        <v>1271</v>
      </c>
      <c r="B962" s="62" t="s">
        <v>928</v>
      </c>
      <c r="C962" s="68" t="s">
        <v>1399</v>
      </c>
      <c r="D962" s="68" t="s">
        <v>1391</v>
      </c>
      <c r="E962" s="8" t="s">
        <v>406</v>
      </c>
      <c r="F962" s="8"/>
      <c r="G962" s="13" t="s">
        <v>848</v>
      </c>
      <c r="H962" s="14">
        <f t="shared" ref="H962:L964" si="459">H963</f>
        <v>4790.0769999999993</v>
      </c>
      <c r="I962" s="14">
        <f t="shared" si="459"/>
        <v>4790.0770000000002</v>
      </c>
      <c r="J962" s="14">
        <f t="shared" si="459"/>
        <v>4787.9748</v>
      </c>
      <c r="K962" s="78">
        <f t="shared" si="431"/>
        <v>99.956113440347622</v>
      </c>
      <c r="L962" s="14">
        <f t="shared" si="459"/>
        <v>0</v>
      </c>
      <c r="M962" s="50"/>
      <c r="N962" s="50"/>
    </row>
    <row r="963" spans="1:14" ht="62.4" x14ac:dyDescent="0.3">
      <c r="A963" s="8" t="s">
        <v>1271</v>
      </c>
      <c r="B963" s="62" t="s">
        <v>928</v>
      </c>
      <c r="C963" s="68" t="s">
        <v>1399</v>
      </c>
      <c r="D963" s="68" t="s">
        <v>1391</v>
      </c>
      <c r="E963" s="8" t="s">
        <v>407</v>
      </c>
      <c r="F963" s="8"/>
      <c r="G963" s="13" t="s">
        <v>1353</v>
      </c>
      <c r="H963" s="14">
        <f t="shared" si="459"/>
        <v>4790.0769999999993</v>
      </c>
      <c r="I963" s="14">
        <f t="shared" si="459"/>
        <v>4790.0770000000002</v>
      </c>
      <c r="J963" s="14">
        <f t="shared" si="459"/>
        <v>4787.9748</v>
      </c>
      <c r="K963" s="78">
        <f t="shared" si="431"/>
        <v>99.956113440347622</v>
      </c>
      <c r="L963" s="14">
        <f t="shared" si="459"/>
        <v>0</v>
      </c>
      <c r="M963" s="50"/>
      <c r="N963" s="50"/>
    </row>
    <row r="964" spans="1:14" ht="46.8" x14ac:dyDescent="0.3">
      <c r="A964" s="8" t="s">
        <v>1271</v>
      </c>
      <c r="B964" s="62" t="s">
        <v>928</v>
      </c>
      <c r="C964" s="68" t="s">
        <v>1399</v>
      </c>
      <c r="D964" s="68" t="s">
        <v>1391</v>
      </c>
      <c r="E964" s="8" t="s">
        <v>428</v>
      </c>
      <c r="F964" s="8"/>
      <c r="G964" s="13" t="s">
        <v>849</v>
      </c>
      <c r="H964" s="14">
        <f>H965</f>
        <v>4790.0769999999993</v>
      </c>
      <c r="I964" s="14">
        <f t="shared" si="459"/>
        <v>4790.0770000000002</v>
      </c>
      <c r="J964" s="14">
        <f t="shared" si="459"/>
        <v>4787.9748</v>
      </c>
      <c r="K964" s="78">
        <f t="shared" si="431"/>
        <v>99.956113440347622</v>
      </c>
      <c r="L964" s="14">
        <f t="shared" si="459"/>
        <v>0</v>
      </c>
      <c r="M964" s="50"/>
      <c r="N964" s="50"/>
    </row>
    <row r="965" spans="1:14" ht="46.8" x14ac:dyDescent="0.3">
      <c r="A965" s="8" t="s">
        <v>1271</v>
      </c>
      <c r="B965" s="62" t="s">
        <v>928</v>
      </c>
      <c r="C965" s="68" t="s">
        <v>1399</v>
      </c>
      <c r="D965" s="68" t="s">
        <v>1391</v>
      </c>
      <c r="E965" s="8" t="s">
        <v>692</v>
      </c>
      <c r="F965" s="45"/>
      <c r="G965" s="13" t="s">
        <v>291</v>
      </c>
      <c r="H965" s="14">
        <f>H968+H966</f>
        <v>4790.0769999999993</v>
      </c>
      <c r="I965" s="14">
        <f t="shared" ref="I965:L965" si="460">I968+I966</f>
        <v>4790.0770000000002</v>
      </c>
      <c r="J965" s="14">
        <f t="shared" si="460"/>
        <v>4787.9748</v>
      </c>
      <c r="K965" s="78">
        <f t="shared" si="431"/>
        <v>99.956113440347622</v>
      </c>
      <c r="L965" s="14">
        <f t="shared" si="460"/>
        <v>0</v>
      </c>
      <c r="M965" s="50"/>
      <c r="N965" s="50"/>
    </row>
    <row r="966" spans="1:14" x14ac:dyDescent="0.3">
      <c r="A966" s="8" t="s">
        <v>1271</v>
      </c>
      <c r="B966" s="62" t="s">
        <v>928</v>
      </c>
      <c r="C966" s="68" t="s">
        <v>1399</v>
      </c>
      <c r="D966" s="68" t="s">
        <v>1391</v>
      </c>
      <c r="E966" s="8" t="s">
        <v>692</v>
      </c>
      <c r="F966" s="8" t="s">
        <v>404</v>
      </c>
      <c r="G966" s="13" t="s">
        <v>811</v>
      </c>
      <c r="H966" s="14">
        <f>H967</f>
        <v>0</v>
      </c>
      <c r="I966" s="14">
        <f t="shared" ref="I966:L966" si="461">I967</f>
        <v>45.198</v>
      </c>
      <c r="J966" s="14">
        <f t="shared" si="461"/>
        <v>45.198</v>
      </c>
      <c r="K966" s="78">
        <f t="shared" si="431"/>
        <v>100</v>
      </c>
      <c r="L966" s="14">
        <f t="shared" si="461"/>
        <v>0</v>
      </c>
      <c r="M966" s="50"/>
      <c r="N966" s="50"/>
    </row>
    <row r="967" spans="1:14" ht="31.2" x14ac:dyDescent="0.3">
      <c r="A967" s="8" t="s">
        <v>1271</v>
      </c>
      <c r="B967" s="62" t="s">
        <v>928</v>
      </c>
      <c r="C967" s="68" t="s">
        <v>1399</v>
      </c>
      <c r="D967" s="68" t="s">
        <v>1391</v>
      </c>
      <c r="E967" s="8" t="s">
        <v>692</v>
      </c>
      <c r="F967" s="64" t="s">
        <v>234</v>
      </c>
      <c r="G967" s="13" t="s">
        <v>813</v>
      </c>
      <c r="H967" s="19">
        <v>0</v>
      </c>
      <c r="I967" s="14">
        <v>45.198</v>
      </c>
      <c r="J967" s="14">
        <v>45.198</v>
      </c>
      <c r="K967" s="78">
        <f t="shared" si="431"/>
        <v>100</v>
      </c>
      <c r="L967" s="14"/>
      <c r="M967" s="50"/>
      <c r="N967" s="50"/>
    </row>
    <row r="968" spans="1:14" ht="31.2" x14ac:dyDescent="0.3">
      <c r="A968" s="8" t="s">
        <v>1271</v>
      </c>
      <c r="B968" s="62" t="s">
        <v>928</v>
      </c>
      <c r="C968" s="68" t="s">
        <v>1399</v>
      </c>
      <c r="D968" s="68" t="s">
        <v>1391</v>
      </c>
      <c r="E968" s="8" t="s">
        <v>692</v>
      </c>
      <c r="F968" s="45" t="s">
        <v>402</v>
      </c>
      <c r="G968" s="23" t="s">
        <v>819</v>
      </c>
      <c r="H968" s="14">
        <f>H969+H970</f>
        <v>4790.0769999999993</v>
      </c>
      <c r="I968" s="14">
        <f>I969+I970</f>
        <v>4744.8789999999999</v>
      </c>
      <c r="J968" s="14">
        <f t="shared" ref="J968" si="462">J969+J970</f>
        <v>4742.7767999999996</v>
      </c>
      <c r="K968" s="78">
        <f t="shared" ref="K968:K1031" si="463">J968/I968*100</f>
        <v>99.955695392864598</v>
      </c>
      <c r="L968" s="14">
        <f>L969+L970</f>
        <v>0</v>
      </c>
      <c r="M968" s="50"/>
      <c r="N968" s="50"/>
    </row>
    <row r="969" spans="1:14" x14ac:dyDescent="0.3">
      <c r="A969" s="8" t="s">
        <v>1271</v>
      </c>
      <c r="B969" s="62" t="s">
        <v>928</v>
      </c>
      <c r="C969" s="68" t="s">
        <v>1399</v>
      </c>
      <c r="D969" s="68" t="s">
        <v>1391</v>
      </c>
      <c r="E969" s="8" t="s">
        <v>692</v>
      </c>
      <c r="F969" s="8" t="s">
        <v>726</v>
      </c>
      <c r="G969" s="13" t="s">
        <v>820</v>
      </c>
      <c r="H969" s="14">
        <v>727.2</v>
      </c>
      <c r="I969" s="14">
        <v>272.69459999999998</v>
      </c>
      <c r="J969" s="14">
        <v>272.69459999999998</v>
      </c>
      <c r="K969" s="78">
        <f t="shared" si="463"/>
        <v>100</v>
      </c>
      <c r="L969" s="14"/>
      <c r="M969" s="50"/>
      <c r="N969" s="50"/>
    </row>
    <row r="970" spans="1:14" x14ac:dyDescent="0.3">
      <c r="A970" s="8" t="s">
        <v>1271</v>
      </c>
      <c r="B970" s="62" t="s">
        <v>928</v>
      </c>
      <c r="C970" s="68" t="s">
        <v>1399</v>
      </c>
      <c r="D970" s="68" t="s">
        <v>1391</v>
      </c>
      <c r="E970" s="8" t="s">
        <v>692</v>
      </c>
      <c r="F970" s="64" t="s">
        <v>223</v>
      </c>
      <c r="G970" s="18" t="s">
        <v>829</v>
      </c>
      <c r="H970" s="14">
        <f>4167.9-105.023</f>
        <v>4062.8769999999995</v>
      </c>
      <c r="I970" s="14">
        <v>4472.1844000000001</v>
      </c>
      <c r="J970" s="14">
        <v>4470.0821999999998</v>
      </c>
      <c r="K970" s="78">
        <f t="shared" si="463"/>
        <v>99.952993888176877</v>
      </c>
      <c r="L970" s="14"/>
      <c r="M970" s="50"/>
      <c r="N970" s="50"/>
    </row>
    <row r="971" spans="1:14" ht="46.8" x14ac:dyDescent="0.3">
      <c r="A971" s="8" t="s">
        <v>1271</v>
      </c>
      <c r="B971" s="62" t="s">
        <v>928</v>
      </c>
      <c r="C971" s="68" t="s">
        <v>1399</v>
      </c>
      <c r="D971" s="68" t="s">
        <v>1391</v>
      </c>
      <c r="E971" s="8" t="s">
        <v>347</v>
      </c>
      <c r="F971" s="8"/>
      <c r="G971" s="18" t="s">
        <v>1114</v>
      </c>
      <c r="H971" s="14">
        <f>H972+H982+H1003+H996</f>
        <v>199882.3</v>
      </c>
      <c r="I971" s="14">
        <f>I972+I982+I1003+I996</f>
        <v>176400.16524999999</v>
      </c>
      <c r="J971" s="14">
        <f t="shared" ref="J971" si="464">J972+J982+J1003+J996</f>
        <v>171266.29749000003</v>
      </c>
      <c r="K971" s="78">
        <f t="shared" si="463"/>
        <v>97.0896468533779</v>
      </c>
      <c r="L971" s="14">
        <f>L972+L982+L1003+L996</f>
        <v>0</v>
      </c>
      <c r="M971" s="50"/>
      <c r="N971" s="50"/>
    </row>
    <row r="972" spans="1:14" ht="31.2" x14ac:dyDescent="0.3">
      <c r="A972" s="8" t="s">
        <v>1271</v>
      </c>
      <c r="B972" s="62" t="s">
        <v>928</v>
      </c>
      <c r="C972" s="68" t="s">
        <v>1399</v>
      </c>
      <c r="D972" s="68" t="s">
        <v>1391</v>
      </c>
      <c r="E972" s="8" t="s">
        <v>448</v>
      </c>
      <c r="F972" s="8"/>
      <c r="G972" s="18" t="s">
        <v>1115</v>
      </c>
      <c r="H972" s="14">
        <f t="shared" ref="H972:L973" si="465">H973</f>
        <v>2233</v>
      </c>
      <c r="I972" s="14">
        <f t="shared" si="465"/>
        <v>4641.7309399999995</v>
      </c>
      <c r="J972" s="14">
        <f t="shared" si="465"/>
        <v>4641.7309399999995</v>
      </c>
      <c r="K972" s="78">
        <f t="shared" si="463"/>
        <v>100</v>
      </c>
      <c r="L972" s="14">
        <f t="shared" si="465"/>
        <v>0</v>
      </c>
      <c r="M972" s="50"/>
      <c r="N972" s="50"/>
    </row>
    <row r="973" spans="1:14" ht="46.8" x14ac:dyDescent="0.3">
      <c r="A973" s="8" t="s">
        <v>1271</v>
      </c>
      <c r="B973" s="62" t="s">
        <v>928</v>
      </c>
      <c r="C973" s="68" t="s">
        <v>1399</v>
      </c>
      <c r="D973" s="68" t="s">
        <v>1391</v>
      </c>
      <c r="E973" s="8" t="s">
        <v>453</v>
      </c>
      <c r="F973" s="8"/>
      <c r="G973" s="18" t="s">
        <v>1117</v>
      </c>
      <c r="H973" s="14">
        <f t="shared" si="465"/>
        <v>2233</v>
      </c>
      <c r="I973" s="14">
        <f t="shared" si="465"/>
        <v>4641.7309399999995</v>
      </c>
      <c r="J973" s="14">
        <f t="shared" si="465"/>
        <v>4641.7309399999995</v>
      </c>
      <c r="K973" s="78">
        <f t="shared" si="463"/>
        <v>100</v>
      </c>
      <c r="L973" s="14">
        <f t="shared" si="465"/>
        <v>0</v>
      </c>
      <c r="M973" s="50"/>
      <c r="N973" s="50"/>
    </row>
    <row r="974" spans="1:14" ht="31.2" x14ac:dyDescent="0.3">
      <c r="A974" s="8" t="s">
        <v>1271</v>
      </c>
      <c r="B974" s="62" t="s">
        <v>928</v>
      </c>
      <c r="C974" s="68" t="s">
        <v>1399</v>
      </c>
      <c r="D974" s="68" t="s">
        <v>1391</v>
      </c>
      <c r="E974" s="64" t="s">
        <v>1176</v>
      </c>
      <c r="F974" s="8"/>
      <c r="G974" s="18" t="s">
        <v>1338</v>
      </c>
      <c r="H974" s="14">
        <f>H975+H979</f>
        <v>2233</v>
      </c>
      <c r="I974" s="14">
        <f>I975+I979+I977</f>
        <v>4641.7309399999995</v>
      </c>
      <c r="J974" s="14">
        <f t="shared" ref="J974:L974" si="466">J975+J979+J977</f>
        <v>4641.7309399999995</v>
      </c>
      <c r="K974" s="78">
        <f t="shared" si="463"/>
        <v>100</v>
      </c>
      <c r="L974" s="14">
        <f t="shared" si="466"/>
        <v>0</v>
      </c>
      <c r="M974" s="50"/>
      <c r="N974" s="50"/>
    </row>
    <row r="975" spans="1:14" ht="78" hidden="1" x14ac:dyDescent="0.3">
      <c r="A975" s="8" t="s">
        <v>1271</v>
      </c>
      <c r="B975" s="62" t="s">
        <v>928</v>
      </c>
      <c r="C975" s="68" t="s">
        <v>1399</v>
      </c>
      <c r="D975" s="68" t="s">
        <v>1391</v>
      </c>
      <c r="E975" s="64" t="s">
        <v>1176</v>
      </c>
      <c r="F975" s="45" t="s">
        <v>431</v>
      </c>
      <c r="G975" s="23" t="s">
        <v>806</v>
      </c>
      <c r="H975" s="14">
        <f t="shared" ref="H975:L975" si="467">H976</f>
        <v>33</v>
      </c>
      <c r="I975" s="14">
        <f t="shared" si="467"/>
        <v>0</v>
      </c>
      <c r="J975" s="14">
        <f t="shared" si="467"/>
        <v>0</v>
      </c>
      <c r="K975" s="78" t="e">
        <f t="shared" si="463"/>
        <v>#DIV/0!</v>
      </c>
      <c r="L975" s="14">
        <f t="shared" si="467"/>
        <v>0</v>
      </c>
      <c r="M975" s="50">
        <v>111</v>
      </c>
      <c r="N975" s="50"/>
    </row>
    <row r="976" spans="1:14" ht="31.2" hidden="1" x14ac:dyDescent="0.3">
      <c r="A976" s="8" t="s">
        <v>1271</v>
      </c>
      <c r="B976" s="62" t="s">
        <v>928</v>
      </c>
      <c r="C976" s="68" t="s">
        <v>1399</v>
      </c>
      <c r="D976" s="68" t="s">
        <v>1391</v>
      </c>
      <c r="E976" s="64" t="s">
        <v>1176</v>
      </c>
      <c r="F976" s="45" t="s">
        <v>233</v>
      </c>
      <c r="G976" s="23" t="s">
        <v>808</v>
      </c>
      <c r="H976" s="14">
        <v>33</v>
      </c>
      <c r="I976" s="14">
        <v>0</v>
      </c>
      <c r="J976" s="19">
        <v>0</v>
      </c>
      <c r="K976" s="75" t="e">
        <f t="shared" si="463"/>
        <v>#DIV/0!</v>
      </c>
      <c r="L976" s="14"/>
      <c r="M976" s="50">
        <v>111</v>
      </c>
      <c r="N976" s="50"/>
    </row>
    <row r="977" spans="1:14" x14ac:dyDescent="0.3">
      <c r="A977" s="8" t="s">
        <v>1271</v>
      </c>
      <c r="B977" s="62" t="s">
        <v>928</v>
      </c>
      <c r="C977" s="68" t="s">
        <v>1399</v>
      </c>
      <c r="D977" s="68" t="s">
        <v>1391</v>
      </c>
      <c r="E977" s="64" t="s">
        <v>1176</v>
      </c>
      <c r="F977" s="8" t="s">
        <v>404</v>
      </c>
      <c r="G977" s="13" t="s">
        <v>811</v>
      </c>
      <c r="H977" s="20">
        <v>0</v>
      </c>
      <c r="I977" s="14">
        <f>I978</f>
        <v>767.16525000000001</v>
      </c>
      <c r="J977" s="14">
        <f t="shared" ref="J977:L977" si="468">J978</f>
        <v>767.16525000000001</v>
      </c>
      <c r="K977" s="78">
        <f t="shared" si="463"/>
        <v>100</v>
      </c>
      <c r="L977" s="14">
        <f t="shared" si="468"/>
        <v>0</v>
      </c>
      <c r="M977" s="50"/>
      <c r="N977" s="50"/>
    </row>
    <row r="978" spans="1:14" ht="31.2" x14ac:dyDescent="0.3">
      <c r="A978" s="8" t="s">
        <v>1271</v>
      </c>
      <c r="B978" s="62" t="s">
        <v>928</v>
      </c>
      <c r="C978" s="68" t="s">
        <v>1399</v>
      </c>
      <c r="D978" s="68" t="s">
        <v>1391</v>
      </c>
      <c r="E978" s="64" t="s">
        <v>1176</v>
      </c>
      <c r="F978" s="64" t="s">
        <v>234</v>
      </c>
      <c r="G978" s="13" t="s">
        <v>813</v>
      </c>
      <c r="H978" s="20">
        <v>0</v>
      </c>
      <c r="I978" s="14">
        <v>767.16525000000001</v>
      </c>
      <c r="J978" s="14">
        <v>767.16525000000001</v>
      </c>
      <c r="K978" s="78">
        <f t="shared" si="463"/>
        <v>100</v>
      </c>
      <c r="L978" s="14"/>
      <c r="M978" s="50"/>
      <c r="N978" s="50"/>
    </row>
    <row r="979" spans="1:14" ht="31.2" x14ac:dyDescent="0.3">
      <c r="A979" s="8" t="s">
        <v>1271</v>
      </c>
      <c r="B979" s="62" t="s">
        <v>928</v>
      </c>
      <c r="C979" s="68" t="s">
        <v>1399</v>
      </c>
      <c r="D979" s="68" t="s">
        <v>1391</v>
      </c>
      <c r="E979" s="64" t="s">
        <v>1176</v>
      </c>
      <c r="F979" s="45" t="s">
        <v>402</v>
      </c>
      <c r="G979" s="23" t="s">
        <v>819</v>
      </c>
      <c r="H979" s="14">
        <f>H980+H981</f>
        <v>2200</v>
      </c>
      <c r="I979" s="14">
        <f>I980+I981</f>
        <v>3874.5656899999999</v>
      </c>
      <c r="J979" s="14">
        <f t="shared" ref="J979" si="469">J980+J981</f>
        <v>3874.5656899999999</v>
      </c>
      <c r="K979" s="78">
        <f t="shared" si="463"/>
        <v>100</v>
      </c>
      <c r="L979" s="14">
        <f>L980+L981</f>
        <v>0</v>
      </c>
      <c r="M979" s="50"/>
      <c r="N979" s="50"/>
    </row>
    <row r="980" spans="1:14" x14ac:dyDescent="0.3">
      <c r="A980" s="8" t="s">
        <v>1271</v>
      </c>
      <c r="B980" s="62" t="s">
        <v>928</v>
      </c>
      <c r="C980" s="68" t="s">
        <v>1399</v>
      </c>
      <c r="D980" s="68" t="s">
        <v>1391</v>
      </c>
      <c r="E980" s="64" t="s">
        <v>1176</v>
      </c>
      <c r="F980" s="8" t="s">
        <v>726</v>
      </c>
      <c r="G980" s="13" t="s">
        <v>820</v>
      </c>
      <c r="H980" s="14">
        <v>200</v>
      </c>
      <c r="I980" s="14">
        <v>100</v>
      </c>
      <c r="J980" s="14">
        <v>100</v>
      </c>
      <c r="K980" s="78">
        <f t="shared" si="463"/>
        <v>100</v>
      </c>
      <c r="L980" s="14"/>
      <c r="M980" s="50"/>
      <c r="N980" s="50"/>
    </row>
    <row r="981" spans="1:14" x14ac:dyDescent="0.3">
      <c r="A981" s="8" t="s">
        <v>1271</v>
      </c>
      <c r="B981" s="62" t="s">
        <v>928</v>
      </c>
      <c r="C981" s="68" t="s">
        <v>1399</v>
      </c>
      <c r="D981" s="68" t="s">
        <v>1391</v>
      </c>
      <c r="E981" s="64" t="s">
        <v>1176</v>
      </c>
      <c r="F981" s="64" t="s">
        <v>223</v>
      </c>
      <c r="G981" s="18" t="s">
        <v>829</v>
      </c>
      <c r="H981" s="14">
        <v>2000</v>
      </c>
      <c r="I981" s="14">
        <v>3774.5656899999999</v>
      </c>
      <c r="J981" s="14">
        <v>3774.5656899999999</v>
      </c>
      <c r="K981" s="78">
        <f t="shared" si="463"/>
        <v>100</v>
      </c>
      <c r="L981" s="14"/>
      <c r="M981" s="50"/>
      <c r="N981" s="50"/>
    </row>
    <row r="982" spans="1:14" ht="31.2" x14ac:dyDescent="0.3">
      <c r="A982" s="8" t="s">
        <v>1271</v>
      </c>
      <c r="B982" s="62" t="s">
        <v>928</v>
      </c>
      <c r="C982" s="68" t="s">
        <v>1399</v>
      </c>
      <c r="D982" s="68" t="s">
        <v>1391</v>
      </c>
      <c r="E982" s="8" t="s">
        <v>465</v>
      </c>
      <c r="F982" s="8"/>
      <c r="G982" s="18" t="s">
        <v>1119</v>
      </c>
      <c r="H982" s="14">
        <f t="shared" ref="H982:L982" si="470">H983</f>
        <v>171836.79999999999</v>
      </c>
      <c r="I982" s="14">
        <f t="shared" si="470"/>
        <v>162130.93430999998</v>
      </c>
      <c r="J982" s="14">
        <f t="shared" si="470"/>
        <v>157332.98146000001</v>
      </c>
      <c r="K982" s="78">
        <f t="shared" si="463"/>
        <v>97.040692530133626</v>
      </c>
      <c r="L982" s="14">
        <f t="shared" si="470"/>
        <v>0</v>
      </c>
      <c r="M982" s="50"/>
      <c r="N982" s="50"/>
    </row>
    <row r="983" spans="1:14" ht="46.8" x14ac:dyDescent="0.3">
      <c r="A983" s="8" t="s">
        <v>1271</v>
      </c>
      <c r="B983" s="62" t="s">
        <v>928</v>
      </c>
      <c r="C983" s="68" t="s">
        <v>1399</v>
      </c>
      <c r="D983" s="68" t="s">
        <v>1391</v>
      </c>
      <c r="E983" s="8" t="s">
        <v>471</v>
      </c>
      <c r="F983" s="8"/>
      <c r="G983" s="18" t="s">
        <v>1122</v>
      </c>
      <c r="H983" s="14">
        <f>H991+H984</f>
        <v>171836.79999999999</v>
      </c>
      <c r="I983" s="14">
        <f>I991+I984</f>
        <v>162130.93430999998</v>
      </c>
      <c r="J983" s="14">
        <f t="shared" ref="J983" si="471">J991+J984</f>
        <v>157332.98146000001</v>
      </c>
      <c r="K983" s="78">
        <f t="shared" si="463"/>
        <v>97.040692530133626</v>
      </c>
      <c r="L983" s="14">
        <f>L991+L984</f>
        <v>0</v>
      </c>
      <c r="M983" s="50"/>
      <c r="N983" s="50"/>
    </row>
    <row r="984" spans="1:14" ht="31.2" x14ac:dyDescent="0.3">
      <c r="A984" s="8" t="s">
        <v>1271</v>
      </c>
      <c r="B984" s="62" t="s">
        <v>928</v>
      </c>
      <c r="C984" s="68" t="s">
        <v>1399</v>
      </c>
      <c r="D984" s="68" t="s">
        <v>1391</v>
      </c>
      <c r="E984" s="8" t="s">
        <v>235</v>
      </c>
      <c r="F984" s="8"/>
      <c r="G984" s="18" t="s">
        <v>1338</v>
      </c>
      <c r="H984" s="14">
        <f>H987+H985</f>
        <v>171246</v>
      </c>
      <c r="I984" s="14">
        <f>I987+I985</f>
        <v>161540.13430999999</v>
      </c>
      <c r="J984" s="14">
        <f t="shared" ref="J984" si="472">J987+J985</f>
        <v>156801.46479</v>
      </c>
      <c r="K984" s="78">
        <f t="shared" si="463"/>
        <v>97.066568292616154</v>
      </c>
      <c r="L984" s="14">
        <f>L987+L985</f>
        <v>0</v>
      </c>
      <c r="M984" s="50"/>
      <c r="N984" s="50"/>
    </row>
    <row r="985" spans="1:14" ht="78" hidden="1" x14ac:dyDescent="0.3">
      <c r="A985" s="8" t="s">
        <v>1271</v>
      </c>
      <c r="B985" s="62" t="s">
        <v>928</v>
      </c>
      <c r="C985" s="68" t="s">
        <v>1399</v>
      </c>
      <c r="D985" s="68" t="s">
        <v>1391</v>
      </c>
      <c r="E985" s="8" t="s">
        <v>235</v>
      </c>
      <c r="F985" s="45" t="s">
        <v>431</v>
      </c>
      <c r="G985" s="23" t="s">
        <v>806</v>
      </c>
      <c r="H985" s="14">
        <f t="shared" ref="H985:L985" si="473">H986</f>
        <v>175.1</v>
      </c>
      <c r="I985" s="14">
        <f t="shared" si="473"/>
        <v>0</v>
      </c>
      <c r="J985" s="14">
        <f t="shared" si="473"/>
        <v>0</v>
      </c>
      <c r="K985" s="78" t="e">
        <f t="shared" si="463"/>
        <v>#DIV/0!</v>
      </c>
      <c r="L985" s="14">
        <f t="shared" si="473"/>
        <v>0</v>
      </c>
      <c r="M985" s="50">
        <v>111</v>
      </c>
      <c r="N985" s="50"/>
    </row>
    <row r="986" spans="1:14" ht="31.2" hidden="1" x14ac:dyDescent="0.3">
      <c r="A986" s="8" t="s">
        <v>1271</v>
      </c>
      <c r="B986" s="62" t="s">
        <v>928</v>
      </c>
      <c r="C986" s="68" t="s">
        <v>1399</v>
      </c>
      <c r="D986" s="68" t="s">
        <v>1391</v>
      </c>
      <c r="E986" s="8" t="s">
        <v>235</v>
      </c>
      <c r="F986" s="45" t="s">
        <v>233</v>
      </c>
      <c r="G986" s="23" t="s">
        <v>808</v>
      </c>
      <c r="H986" s="14">
        <v>175.1</v>
      </c>
      <c r="I986" s="14">
        <v>0</v>
      </c>
      <c r="J986" s="19">
        <v>0</v>
      </c>
      <c r="K986" s="75" t="e">
        <f t="shared" si="463"/>
        <v>#DIV/0!</v>
      </c>
      <c r="L986" s="14"/>
      <c r="M986" s="50">
        <v>111</v>
      </c>
      <c r="N986" s="50"/>
    </row>
    <row r="987" spans="1:14" ht="31.2" x14ac:dyDescent="0.3">
      <c r="A987" s="8" t="s">
        <v>1271</v>
      </c>
      <c r="B987" s="62" t="s">
        <v>928</v>
      </c>
      <c r="C987" s="68" t="s">
        <v>1399</v>
      </c>
      <c r="D987" s="68" t="s">
        <v>1391</v>
      </c>
      <c r="E987" s="8" t="s">
        <v>235</v>
      </c>
      <c r="F987" s="45" t="s">
        <v>402</v>
      </c>
      <c r="G987" s="23" t="s">
        <v>819</v>
      </c>
      <c r="H987" s="14">
        <f>H988+H989+H990</f>
        <v>171070.9</v>
      </c>
      <c r="I987" s="14">
        <f>I988+I989+I990</f>
        <v>161540.13430999999</v>
      </c>
      <c r="J987" s="14">
        <f t="shared" ref="J987" si="474">J988+J989+J990</f>
        <v>156801.46479</v>
      </c>
      <c r="K987" s="78">
        <f t="shared" si="463"/>
        <v>97.066568292616154</v>
      </c>
      <c r="L987" s="14">
        <f>L988+L989+L990</f>
        <v>0</v>
      </c>
      <c r="M987" s="50"/>
      <c r="N987" s="50"/>
    </row>
    <row r="988" spans="1:14" x14ac:dyDescent="0.3">
      <c r="A988" s="8" t="s">
        <v>1271</v>
      </c>
      <c r="B988" s="62" t="s">
        <v>928</v>
      </c>
      <c r="C988" s="68" t="s">
        <v>1399</v>
      </c>
      <c r="D988" s="68" t="s">
        <v>1391</v>
      </c>
      <c r="E988" s="8" t="s">
        <v>235</v>
      </c>
      <c r="F988" s="8" t="s">
        <v>726</v>
      </c>
      <c r="G988" s="13" t="s">
        <v>820</v>
      </c>
      <c r="H988" s="14">
        <v>10725.4</v>
      </c>
      <c r="I988" s="14">
        <v>6153.87</v>
      </c>
      <c r="J988" s="14">
        <v>4831.8010000000004</v>
      </c>
      <c r="K988" s="78">
        <f t="shared" si="463"/>
        <v>78.516461998709758</v>
      </c>
      <c r="L988" s="14"/>
      <c r="M988" s="50"/>
      <c r="N988" s="50"/>
    </row>
    <row r="989" spans="1:14" x14ac:dyDescent="0.3">
      <c r="A989" s="8" t="s">
        <v>1271</v>
      </c>
      <c r="B989" s="62" t="s">
        <v>928</v>
      </c>
      <c r="C989" s="68" t="s">
        <v>1399</v>
      </c>
      <c r="D989" s="68" t="s">
        <v>1391</v>
      </c>
      <c r="E989" s="8" t="s">
        <v>235</v>
      </c>
      <c r="F989" s="64" t="s">
        <v>223</v>
      </c>
      <c r="G989" s="18" t="s">
        <v>829</v>
      </c>
      <c r="H989" s="14">
        <v>159701.70000000001</v>
      </c>
      <c r="I989" s="14">
        <v>154742.46431000001</v>
      </c>
      <c r="J989" s="14">
        <v>151411.12338</v>
      </c>
      <c r="K989" s="78">
        <f t="shared" si="463"/>
        <v>97.847170817102764</v>
      </c>
      <c r="L989" s="14"/>
      <c r="M989" s="50"/>
      <c r="N989" s="50"/>
    </row>
    <row r="990" spans="1:14" ht="46.8" x14ac:dyDescent="0.3">
      <c r="A990" s="8" t="s">
        <v>1271</v>
      </c>
      <c r="B990" s="62" t="s">
        <v>928</v>
      </c>
      <c r="C990" s="68" t="s">
        <v>1399</v>
      </c>
      <c r="D990" s="68" t="s">
        <v>1391</v>
      </c>
      <c r="E990" s="8" t="s">
        <v>235</v>
      </c>
      <c r="F990" s="45" t="s">
        <v>280</v>
      </c>
      <c r="G990" s="23" t="s">
        <v>821</v>
      </c>
      <c r="H990" s="14">
        <v>643.79999999999995</v>
      </c>
      <c r="I990" s="14">
        <v>643.79999999999995</v>
      </c>
      <c r="J990" s="14">
        <v>558.54040999999995</v>
      </c>
      <c r="K990" s="78">
        <f t="shared" si="463"/>
        <v>86.756820441130785</v>
      </c>
      <c r="L990" s="14"/>
      <c r="M990" s="50"/>
      <c r="N990" s="50"/>
    </row>
    <row r="991" spans="1:14" ht="109.2" x14ac:dyDescent="0.3">
      <c r="A991" s="8" t="s">
        <v>1271</v>
      </c>
      <c r="B991" s="62" t="s">
        <v>928</v>
      </c>
      <c r="C991" s="68" t="s">
        <v>1399</v>
      </c>
      <c r="D991" s="68" t="s">
        <v>1391</v>
      </c>
      <c r="E991" s="8" t="s">
        <v>1339</v>
      </c>
      <c r="F991" s="45"/>
      <c r="G991" s="60" t="s">
        <v>975</v>
      </c>
      <c r="H991" s="14">
        <f>H992+H994</f>
        <v>590.79999999999995</v>
      </c>
      <c r="I991" s="14">
        <f>I992+I994</f>
        <v>590.79999999999995</v>
      </c>
      <c r="J991" s="14">
        <f t="shared" ref="J991" si="475">J992+J994</f>
        <v>531.51666999999998</v>
      </c>
      <c r="K991" s="78">
        <f t="shared" si="463"/>
        <v>89.965583953960731</v>
      </c>
      <c r="L991" s="14">
        <f>L992+L994</f>
        <v>0</v>
      </c>
      <c r="M991" s="50"/>
      <c r="N991" s="50"/>
    </row>
    <row r="992" spans="1:14" x14ac:dyDescent="0.3">
      <c r="A992" s="8" t="s">
        <v>1271</v>
      </c>
      <c r="B992" s="62" t="s">
        <v>928</v>
      </c>
      <c r="C992" s="68" t="s">
        <v>1399</v>
      </c>
      <c r="D992" s="68" t="s">
        <v>1391</v>
      </c>
      <c r="E992" s="8" t="s">
        <v>1339</v>
      </c>
      <c r="F992" s="8" t="s">
        <v>404</v>
      </c>
      <c r="G992" s="13" t="s">
        <v>811</v>
      </c>
      <c r="H992" s="14">
        <f t="shared" ref="H992:L992" si="476">H993</f>
        <v>489.3</v>
      </c>
      <c r="I992" s="14">
        <f t="shared" si="476"/>
        <v>489.3</v>
      </c>
      <c r="J992" s="14">
        <f t="shared" si="476"/>
        <v>430.01666999999998</v>
      </c>
      <c r="K992" s="78">
        <f t="shared" si="463"/>
        <v>87.884052728387488</v>
      </c>
      <c r="L992" s="14">
        <f t="shared" si="476"/>
        <v>0</v>
      </c>
      <c r="M992" s="50"/>
      <c r="N992" s="50"/>
    </row>
    <row r="993" spans="1:14" ht="31.2" x14ac:dyDescent="0.3">
      <c r="A993" s="8" t="s">
        <v>1271</v>
      </c>
      <c r="B993" s="62" t="s">
        <v>928</v>
      </c>
      <c r="C993" s="68" t="s">
        <v>1399</v>
      </c>
      <c r="D993" s="68" t="s">
        <v>1391</v>
      </c>
      <c r="E993" s="8" t="s">
        <v>1339</v>
      </c>
      <c r="F993" s="64" t="s">
        <v>234</v>
      </c>
      <c r="G993" s="13" t="s">
        <v>813</v>
      </c>
      <c r="H993" s="14">
        <v>489.3</v>
      </c>
      <c r="I993" s="14">
        <v>489.3</v>
      </c>
      <c r="J993" s="14">
        <v>430.01666999999998</v>
      </c>
      <c r="K993" s="78">
        <f t="shared" si="463"/>
        <v>87.884052728387488</v>
      </c>
      <c r="L993" s="14"/>
      <c r="M993" s="50"/>
      <c r="N993" s="50"/>
    </row>
    <row r="994" spans="1:14" ht="31.2" x14ac:dyDescent="0.3">
      <c r="A994" s="8" t="s">
        <v>1271</v>
      </c>
      <c r="B994" s="62" t="s">
        <v>928</v>
      </c>
      <c r="C994" s="68" t="s">
        <v>1399</v>
      </c>
      <c r="D994" s="68" t="s">
        <v>1391</v>
      </c>
      <c r="E994" s="8" t="s">
        <v>1339</v>
      </c>
      <c r="F994" s="45" t="s">
        <v>402</v>
      </c>
      <c r="G994" s="23" t="s">
        <v>819</v>
      </c>
      <c r="H994" s="14">
        <f t="shared" ref="H994:L994" si="477">H995</f>
        <v>101.5</v>
      </c>
      <c r="I994" s="14">
        <f t="shared" si="477"/>
        <v>101.5</v>
      </c>
      <c r="J994" s="14">
        <f t="shared" si="477"/>
        <v>101.5</v>
      </c>
      <c r="K994" s="78">
        <f t="shared" si="463"/>
        <v>100</v>
      </c>
      <c r="L994" s="14">
        <f t="shared" si="477"/>
        <v>0</v>
      </c>
      <c r="M994" s="50"/>
      <c r="N994" s="50"/>
    </row>
    <row r="995" spans="1:14" x14ac:dyDescent="0.3">
      <c r="A995" s="8" t="s">
        <v>1271</v>
      </c>
      <c r="B995" s="62" t="s">
        <v>928</v>
      </c>
      <c r="C995" s="68" t="s">
        <v>1399</v>
      </c>
      <c r="D995" s="68" t="s">
        <v>1391</v>
      </c>
      <c r="E995" s="8" t="s">
        <v>1339</v>
      </c>
      <c r="F995" s="64" t="s">
        <v>223</v>
      </c>
      <c r="G995" s="18" t="s">
        <v>829</v>
      </c>
      <c r="H995" s="14">
        <v>101.5</v>
      </c>
      <c r="I995" s="14">
        <v>101.5</v>
      </c>
      <c r="J995" s="14">
        <v>101.5</v>
      </c>
      <c r="K995" s="78">
        <f t="shared" si="463"/>
        <v>100</v>
      </c>
      <c r="L995" s="14"/>
      <c r="M995" s="50"/>
      <c r="N995" s="50"/>
    </row>
    <row r="996" spans="1:14" ht="31.2" x14ac:dyDescent="0.3">
      <c r="A996" s="8" t="s">
        <v>1271</v>
      </c>
      <c r="B996" s="62" t="s">
        <v>928</v>
      </c>
      <c r="C996" s="68" t="s">
        <v>1399</v>
      </c>
      <c r="D996" s="68" t="s">
        <v>1391</v>
      </c>
      <c r="E996" s="8" t="s">
        <v>472</v>
      </c>
      <c r="F996" s="8"/>
      <c r="G996" s="18" t="s">
        <v>1123</v>
      </c>
      <c r="H996" s="14">
        <f t="shared" ref="H996:L996" si="478">H997</f>
        <v>14677.2</v>
      </c>
      <c r="I996" s="14">
        <f t="shared" si="478"/>
        <v>450</v>
      </c>
      <c r="J996" s="14">
        <f t="shared" si="478"/>
        <v>450</v>
      </c>
      <c r="K996" s="78">
        <f t="shared" si="463"/>
        <v>100</v>
      </c>
      <c r="L996" s="14">
        <f t="shared" si="478"/>
        <v>0</v>
      </c>
      <c r="M996" s="50"/>
      <c r="N996" s="50"/>
    </row>
    <row r="997" spans="1:14" ht="31.2" x14ac:dyDescent="0.3">
      <c r="A997" s="8" t="s">
        <v>1271</v>
      </c>
      <c r="B997" s="62" t="s">
        <v>928</v>
      </c>
      <c r="C997" s="68" t="s">
        <v>1399</v>
      </c>
      <c r="D997" s="68" t="s">
        <v>1391</v>
      </c>
      <c r="E997" s="8" t="s">
        <v>473</v>
      </c>
      <c r="F997" s="8"/>
      <c r="G997" s="18" t="s">
        <v>1124</v>
      </c>
      <c r="H997" s="14">
        <f t="shared" ref="H997:L997" si="479">H998</f>
        <v>14677.2</v>
      </c>
      <c r="I997" s="14">
        <f t="shared" si="479"/>
        <v>450</v>
      </c>
      <c r="J997" s="14">
        <f t="shared" si="479"/>
        <v>450</v>
      </c>
      <c r="K997" s="78">
        <f t="shared" si="463"/>
        <v>100</v>
      </c>
      <c r="L997" s="14">
        <f t="shared" si="479"/>
        <v>0</v>
      </c>
      <c r="M997" s="50"/>
      <c r="N997" s="50"/>
    </row>
    <row r="998" spans="1:14" ht="46.8" x14ac:dyDescent="0.3">
      <c r="A998" s="8" t="s">
        <v>1271</v>
      </c>
      <c r="B998" s="62" t="s">
        <v>928</v>
      </c>
      <c r="C998" s="68" t="s">
        <v>1399</v>
      </c>
      <c r="D998" s="68" t="s">
        <v>1391</v>
      </c>
      <c r="E998" s="8" t="s">
        <v>65</v>
      </c>
      <c r="F998" s="8"/>
      <c r="G998" s="18" t="s">
        <v>1118</v>
      </c>
      <c r="H998" s="14">
        <f>H999+H1001</f>
        <v>14677.2</v>
      </c>
      <c r="I998" s="14">
        <f>I999+I1001</f>
        <v>450</v>
      </c>
      <c r="J998" s="14">
        <f t="shared" ref="J998" si="480">J999+J1001</f>
        <v>450</v>
      </c>
      <c r="K998" s="78">
        <f t="shared" si="463"/>
        <v>100</v>
      </c>
      <c r="L998" s="14">
        <f>L999+L1001</f>
        <v>0</v>
      </c>
      <c r="M998" s="50"/>
      <c r="N998" s="50"/>
    </row>
    <row r="999" spans="1:14" ht="78" x14ac:dyDescent="0.3">
      <c r="A999" s="8" t="s">
        <v>1271</v>
      </c>
      <c r="B999" s="62" t="s">
        <v>928</v>
      </c>
      <c r="C999" s="68" t="s">
        <v>1399</v>
      </c>
      <c r="D999" s="68" t="s">
        <v>1391</v>
      </c>
      <c r="E999" s="8" t="s">
        <v>65</v>
      </c>
      <c r="F999" s="45" t="s">
        <v>431</v>
      </c>
      <c r="G999" s="23" t="s">
        <v>806</v>
      </c>
      <c r="H999" s="14">
        <f t="shared" ref="H999:L999" si="481">H1000</f>
        <v>168.2</v>
      </c>
      <c r="I999" s="14">
        <f t="shared" si="481"/>
        <v>50</v>
      </c>
      <c r="J999" s="14">
        <f t="shared" si="481"/>
        <v>50</v>
      </c>
      <c r="K999" s="78">
        <f t="shared" si="463"/>
        <v>100</v>
      </c>
      <c r="L999" s="14">
        <f t="shared" si="481"/>
        <v>0</v>
      </c>
      <c r="M999" s="50"/>
      <c r="N999" s="50"/>
    </row>
    <row r="1000" spans="1:14" x14ac:dyDescent="0.3">
      <c r="A1000" s="8" t="s">
        <v>1271</v>
      </c>
      <c r="B1000" s="62" t="s">
        <v>928</v>
      </c>
      <c r="C1000" s="68" t="s">
        <v>1399</v>
      </c>
      <c r="D1000" s="68" t="s">
        <v>1391</v>
      </c>
      <c r="E1000" s="8" t="s">
        <v>65</v>
      </c>
      <c r="F1000" s="8" t="s">
        <v>719</v>
      </c>
      <c r="G1000" s="23" t="s">
        <v>807</v>
      </c>
      <c r="H1000" s="14">
        <v>168.2</v>
      </c>
      <c r="I1000" s="14">
        <v>50</v>
      </c>
      <c r="J1000" s="19">
        <v>50</v>
      </c>
      <c r="K1000" s="75">
        <f t="shared" si="463"/>
        <v>100</v>
      </c>
      <c r="L1000" s="14"/>
      <c r="M1000" s="50"/>
      <c r="N1000" s="50"/>
    </row>
    <row r="1001" spans="1:14" ht="31.2" x14ac:dyDescent="0.3">
      <c r="A1001" s="8" t="s">
        <v>1271</v>
      </c>
      <c r="B1001" s="62" t="s">
        <v>928</v>
      </c>
      <c r="C1001" s="68" t="s">
        <v>1399</v>
      </c>
      <c r="D1001" s="68" t="s">
        <v>1391</v>
      </c>
      <c r="E1001" s="8" t="s">
        <v>65</v>
      </c>
      <c r="F1001" s="45" t="s">
        <v>402</v>
      </c>
      <c r="G1001" s="23" t="s">
        <v>819</v>
      </c>
      <c r="H1001" s="14">
        <f t="shared" ref="H1001:L1001" si="482">H1002</f>
        <v>14509</v>
      </c>
      <c r="I1001" s="14">
        <f t="shared" si="482"/>
        <v>400</v>
      </c>
      <c r="J1001" s="14">
        <f t="shared" si="482"/>
        <v>400</v>
      </c>
      <c r="K1001" s="78">
        <f t="shared" si="463"/>
        <v>100</v>
      </c>
      <c r="L1001" s="14">
        <f t="shared" si="482"/>
        <v>0</v>
      </c>
      <c r="M1001" s="50"/>
      <c r="N1001" s="50"/>
    </row>
    <row r="1002" spans="1:14" x14ac:dyDescent="0.3">
      <c r="A1002" s="8" t="s">
        <v>1271</v>
      </c>
      <c r="B1002" s="62" t="s">
        <v>928</v>
      </c>
      <c r="C1002" s="68" t="s">
        <v>1399</v>
      </c>
      <c r="D1002" s="68" t="s">
        <v>1391</v>
      </c>
      <c r="E1002" s="8" t="s">
        <v>65</v>
      </c>
      <c r="F1002" s="64" t="s">
        <v>223</v>
      </c>
      <c r="G1002" s="18" t="s">
        <v>829</v>
      </c>
      <c r="H1002" s="14">
        <v>14509</v>
      </c>
      <c r="I1002" s="14">
        <v>400</v>
      </c>
      <c r="J1002" s="14">
        <v>400</v>
      </c>
      <c r="K1002" s="78">
        <f t="shared" si="463"/>
        <v>100</v>
      </c>
      <c r="L1002" s="14"/>
      <c r="M1002" s="50"/>
      <c r="N1002" s="50"/>
    </row>
    <row r="1003" spans="1:14" ht="31.2" x14ac:dyDescent="0.3">
      <c r="A1003" s="8" t="s">
        <v>1271</v>
      </c>
      <c r="B1003" s="62" t="s">
        <v>928</v>
      </c>
      <c r="C1003" s="68" t="s">
        <v>1399</v>
      </c>
      <c r="D1003" s="68" t="s">
        <v>1391</v>
      </c>
      <c r="E1003" s="8" t="s">
        <v>348</v>
      </c>
      <c r="F1003" s="8"/>
      <c r="G1003" s="18" t="s">
        <v>1125</v>
      </c>
      <c r="H1003" s="14">
        <f>H1004+H1009</f>
        <v>11135.300000000001</v>
      </c>
      <c r="I1003" s="14">
        <f>I1004+I1009</f>
        <v>9177.5</v>
      </c>
      <c r="J1003" s="14">
        <f t="shared" ref="J1003" si="483">J1004+J1009</f>
        <v>8841.5850900000005</v>
      </c>
      <c r="K1003" s="78">
        <f t="shared" si="463"/>
        <v>96.339799400708259</v>
      </c>
      <c r="L1003" s="14">
        <f>L1004+L1009</f>
        <v>0</v>
      </c>
      <c r="M1003" s="50"/>
      <c r="N1003" s="50"/>
    </row>
    <row r="1004" spans="1:14" ht="46.8" hidden="1" x14ac:dyDescent="0.3">
      <c r="A1004" s="8" t="s">
        <v>1271</v>
      </c>
      <c r="B1004" s="62" t="s">
        <v>928</v>
      </c>
      <c r="C1004" s="68" t="s">
        <v>1399</v>
      </c>
      <c r="D1004" s="68" t="s">
        <v>1391</v>
      </c>
      <c r="E1004" s="8" t="s">
        <v>488</v>
      </c>
      <c r="F1004" s="8"/>
      <c r="G1004" s="13" t="s">
        <v>1126</v>
      </c>
      <c r="H1004" s="14">
        <f t="shared" ref="H1004:L1005" si="484">H1005</f>
        <v>2120.9</v>
      </c>
      <c r="I1004" s="14">
        <f t="shared" si="484"/>
        <v>0</v>
      </c>
      <c r="J1004" s="14">
        <f t="shared" si="484"/>
        <v>0</v>
      </c>
      <c r="K1004" s="78" t="e">
        <f t="shared" si="463"/>
        <v>#DIV/0!</v>
      </c>
      <c r="L1004" s="14">
        <f t="shared" si="484"/>
        <v>0</v>
      </c>
      <c r="M1004" s="50">
        <v>111</v>
      </c>
      <c r="N1004" s="50"/>
    </row>
    <row r="1005" spans="1:14" ht="46.8" hidden="1" x14ac:dyDescent="0.3">
      <c r="A1005" s="8" t="s">
        <v>1271</v>
      </c>
      <c r="B1005" s="62" t="s">
        <v>928</v>
      </c>
      <c r="C1005" s="68" t="s">
        <v>1399</v>
      </c>
      <c r="D1005" s="68" t="s">
        <v>1391</v>
      </c>
      <c r="E1005" s="8" t="s">
        <v>66</v>
      </c>
      <c r="F1005" s="8"/>
      <c r="G1005" s="23" t="s">
        <v>1118</v>
      </c>
      <c r="H1005" s="14">
        <f t="shared" si="484"/>
        <v>2120.9</v>
      </c>
      <c r="I1005" s="14">
        <f t="shared" si="484"/>
        <v>0</v>
      </c>
      <c r="J1005" s="14">
        <f t="shared" si="484"/>
        <v>0</v>
      </c>
      <c r="K1005" s="78" t="e">
        <f t="shared" si="463"/>
        <v>#DIV/0!</v>
      </c>
      <c r="L1005" s="14">
        <f t="shared" si="484"/>
        <v>0</v>
      </c>
      <c r="M1005" s="50">
        <v>111</v>
      </c>
      <c r="N1005" s="50"/>
    </row>
    <row r="1006" spans="1:14" ht="31.2" hidden="1" x14ac:dyDescent="0.3">
      <c r="A1006" s="8" t="s">
        <v>1271</v>
      </c>
      <c r="B1006" s="62" t="s">
        <v>928</v>
      </c>
      <c r="C1006" s="68" t="s">
        <v>1399</v>
      </c>
      <c r="D1006" s="68" t="s">
        <v>1391</v>
      </c>
      <c r="E1006" s="8" t="s">
        <v>66</v>
      </c>
      <c r="F1006" s="45" t="s">
        <v>402</v>
      </c>
      <c r="G1006" s="23" t="s">
        <v>819</v>
      </c>
      <c r="H1006" s="14">
        <f>H1007+H1008</f>
        <v>2120.9</v>
      </c>
      <c r="I1006" s="14">
        <f>I1007+I1008</f>
        <v>0</v>
      </c>
      <c r="J1006" s="14">
        <f t="shared" ref="J1006" si="485">J1007+J1008</f>
        <v>0</v>
      </c>
      <c r="K1006" s="78" t="e">
        <f t="shared" si="463"/>
        <v>#DIV/0!</v>
      </c>
      <c r="L1006" s="14">
        <f>L1007+L1008</f>
        <v>0</v>
      </c>
      <c r="M1006" s="50">
        <v>111</v>
      </c>
      <c r="N1006" s="50"/>
    </row>
    <row r="1007" spans="1:14" hidden="1" x14ac:dyDescent="0.3">
      <c r="A1007" s="8" t="s">
        <v>1271</v>
      </c>
      <c r="B1007" s="62" t="s">
        <v>928</v>
      </c>
      <c r="C1007" s="68" t="s">
        <v>1399</v>
      </c>
      <c r="D1007" s="68" t="s">
        <v>1391</v>
      </c>
      <c r="E1007" s="8" t="s">
        <v>66</v>
      </c>
      <c r="F1007" s="8" t="s">
        <v>726</v>
      </c>
      <c r="G1007" s="13" t="s">
        <v>820</v>
      </c>
      <c r="H1007" s="14">
        <v>1934</v>
      </c>
      <c r="I1007" s="14">
        <v>0</v>
      </c>
      <c r="J1007" s="19">
        <v>0</v>
      </c>
      <c r="K1007" s="75" t="e">
        <f t="shared" si="463"/>
        <v>#DIV/0!</v>
      </c>
      <c r="L1007" s="14"/>
      <c r="M1007" s="50">
        <v>111</v>
      </c>
      <c r="N1007" s="50"/>
    </row>
    <row r="1008" spans="1:14" hidden="1" x14ac:dyDescent="0.3">
      <c r="A1008" s="8" t="s">
        <v>1271</v>
      </c>
      <c r="B1008" s="62" t="s">
        <v>928</v>
      </c>
      <c r="C1008" s="68" t="s">
        <v>1399</v>
      </c>
      <c r="D1008" s="68" t="s">
        <v>1391</v>
      </c>
      <c r="E1008" s="8" t="s">
        <v>66</v>
      </c>
      <c r="F1008" s="64" t="s">
        <v>223</v>
      </c>
      <c r="G1008" s="18" t="s">
        <v>829</v>
      </c>
      <c r="H1008" s="14">
        <v>186.9</v>
      </c>
      <c r="I1008" s="14">
        <v>0</v>
      </c>
      <c r="J1008" s="19">
        <v>0</v>
      </c>
      <c r="K1008" s="75" t="e">
        <f t="shared" si="463"/>
        <v>#DIV/0!</v>
      </c>
      <c r="L1008" s="14"/>
      <c r="M1008" s="50">
        <v>111</v>
      </c>
      <c r="N1008" s="50"/>
    </row>
    <row r="1009" spans="1:14" ht="31.2" x14ac:dyDescent="0.3">
      <c r="A1009" s="8" t="s">
        <v>1271</v>
      </c>
      <c r="B1009" s="62" t="s">
        <v>928</v>
      </c>
      <c r="C1009" s="68" t="s">
        <v>1399</v>
      </c>
      <c r="D1009" s="68" t="s">
        <v>1391</v>
      </c>
      <c r="E1009" s="8" t="s">
        <v>1185</v>
      </c>
      <c r="F1009" s="8"/>
      <c r="G1009" s="13" t="s">
        <v>1132</v>
      </c>
      <c r="H1009" s="14">
        <f t="shared" ref="H1009:L1009" si="486">H1010</f>
        <v>9014.4000000000015</v>
      </c>
      <c r="I1009" s="14">
        <f t="shared" si="486"/>
        <v>9177.5</v>
      </c>
      <c r="J1009" s="14">
        <f t="shared" si="486"/>
        <v>8841.5850900000005</v>
      </c>
      <c r="K1009" s="78">
        <f t="shared" si="463"/>
        <v>96.339799400708259</v>
      </c>
      <c r="L1009" s="14">
        <f t="shared" si="486"/>
        <v>0</v>
      </c>
      <c r="M1009" s="50"/>
      <c r="N1009" s="50"/>
    </row>
    <row r="1010" spans="1:14" ht="31.2" x14ac:dyDescent="0.3">
      <c r="A1010" s="8" t="s">
        <v>1271</v>
      </c>
      <c r="B1010" s="62" t="s">
        <v>928</v>
      </c>
      <c r="C1010" s="68" t="s">
        <v>1399</v>
      </c>
      <c r="D1010" s="68" t="s">
        <v>1391</v>
      </c>
      <c r="E1010" s="8" t="s">
        <v>240</v>
      </c>
      <c r="F1010" s="8"/>
      <c r="G1010" s="13" t="s">
        <v>1338</v>
      </c>
      <c r="H1010" s="14">
        <f>H1011+H1013</f>
        <v>9014.4000000000015</v>
      </c>
      <c r="I1010" s="14">
        <f>I1011+I1013</f>
        <v>9177.5</v>
      </c>
      <c r="J1010" s="14">
        <f t="shared" ref="J1010" si="487">J1011+J1013</f>
        <v>8841.5850900000005</v>
      </c>
      <c r="K1010" s="78">
        <f t="shared" si="463"/>
        <v>96.339799400708259</v>
      </c>
      <c r="L1010" s="14">
        <f>L1011+L1013</f>
        <v>0</v>
      </c>
      <c r="M1010" s="50"/>
      <c r="N1010" s="50"/>
    </row>
    <row r="1011" spans="1:14" ht="78" hidden="1" x14ac:dyDescent="0.3">
      <c r="A1011" s="8" t="s">
        <v>1271</v>
      </c>
      <c r="B1011" s="62" t="s">
        <v>928</v>
      </c>
      <c r="C1011" s="68" t="s">
        <v>1399</v>
      </c>
      <c r="D1011" s="68" t="s">
        <v>1391</v>
      </c>
      <c r="E1011" s="8" t="s">
        <v>240</v>
      </c>
      <c r="F1011" s="45" t="s">
        <v>431</v>
      </c>
      <c r="G1011" s="23" t="s">
        <v>806</v>
      </c>
      <c r="H1011" s="14">
        <f t="shared" ref="H1011:L1011" si="488">H1012</f>
        <v>135.19999999999999</v>
      </c>
      <c r="I1011" s="14">
        <f t="shared" si="488"/>
        <v>0</v>
      </c>
      <c r="J1011" s="14">
        <f t="shared" si="488"/>
        <v>0</v>
      </c>
      <c r="K1011" s="78" t="e">
        <f t="shared" si="463"/>
        <v>#DIV/0!</v>
      </c>
      <c r="L1011" s="14">
        <f t="shared" si="488"/>
        <v>0</v>
      </c>
      <c r="M1011" s="50">
        <v>111</v>
      </c>
      <c r="N1011" s="50"/>
    </row>
    <row r="1012" spans="1:14" ht="31.2" hidden="1" x14ac:dyDescent="0.3">
      <c r="A1012" s="8" t="s">
        <v>1271</v>
      </c>
      <c r="B1012" s="62" t="s">
        <v>928</v>
      </c>
      <c r="C1012" s="68" t="s">
        <v>1399</v>
      </c>
      <c r="D1012" s="68" t="s">
        <v>1391</v>
      </c>
      <c r="E1012" s="8" t="s">
        <v>240</v>
      </c>
      <c r="F1012" s="45" t="s">
        <v>233</v>
      </c>
      <c r="G1012" s="23" t="s">
        <v>808</v>
      </c>
      <c r="H1012" s="14">
        <v>135.19999999999999</v>
      </c>
      <c r="I1012" s="14">
        <v>0</v>
      </c>
      <c r="J1012" s="19">
        <v>0</v>
      </c>
      <c r="K1012" s="75" t="e">
        <f t="shared" si="463"/>
        <v>#DIV/0!</v>
      </c>
      <c r="L1012" s="14"/>
      <c r="M1012" s="50">
        <v>111</v>
      </c>
      <c r="N1012" s="50"/>
    </row>
    <row r="1013" spans="1:14" ht="31.2" x14ac:dyDescent="0.3">
      <c r="A1013" s="8" t="s">
        <v>1271</v>
      </c>
      <c r="B1013" s="62" t="s">
        <v>928</v>
      </c>
      <c r="C1013" s="68" t="s">
        <v>1399</v>
      </c>
      <c r="D1013" s="68" t="s">
        <v>1391</v>
      </c>
      <c r="E1013" s="8" t="s">
        <v>240</v>
      </c>
      <c r="F1013" s="45" t="s">
        <v>402</v>
      </c>
      <c r="G1013" s="23" t="s">
        <v>819</v>
      </c>
      <c r="H1013" s="14">
        <f>H1014+H1015+H1016</f>
        <v>8879.2000000000007</v>
      </c>
      <c r="I1013" s="14">
        <f>I1014+I1015+I1016</f>
        <v>9177.5</v>
      </c>
      <c r="J1013" s="14">
        <f>J1014+J1015+J1016</f>
        <v>8841.5850900000005</v>
      </c>
      <c r="K1013" s="78">
        <f t="shared" si="463"/>
        <v>96.339799400708259</v>
      </c>
      <c r="L1013" s="14">
        <f>L1014+L1015+L1016</f>
        <v>0</v>
      </c>
      <c r="M1013" s="50"/>
      <c r="N1013" s="50"/>
    </row>
    <row r="1014" spans="1:14" x14ac:dyDescent="0.3">
      <c r="A1014" s="8" t="s">
        <v>1271</v>
      </c>
      <c r="B1014" s="62" t="s">
        <v>928</v>
      </c>
      <c r="C1014" s="68" t="s">
        <v>1399</v>
      </c>
      <c r="D1014" s="68" t="s">
        <v>1391</v>
      </c>
      <c r="E1014" s="8" t="s">
        <v>240</v>
      </c>
      <c r="F1014" s="8" t="s">
        <v>726</v>
      </c>
      <c r="G1014" s="13" t="s">
        <v>820</v>
      </c>
      <c r="H1014" s="14">
        <v>2355.4</v>
      </c>
      <c r="I1014" s="14">
        <v>2168.1140500000001</v>
      </c>
      <c r="J1014" s="14">
        <v>2036.4468099999999</v>
      </c>
      <c r="K1014" s="78">
        <f t="shared" si="463"/>
        <v>93.92710729400973</v>
      </c>
      <c r="L1014" s="14"/>
      <c r="M1014" s="50"/>
      <c r="N1014" s="50"/>
    </row>
    <row r="1015" spans="1:14" x14ac:dyDescent="0.3">
      <c r="A1015" s="8" t="s">
        <v>1271</v>
      </c>
      <c r="B1015" s="62" t="s">
        <v>928</v>
      </c>
      <c r="C1015" s="68" t="s">
        <v>1399</v>
      </c>
      <c r="D1015" s="68" t="s">
        <v>1391</v>
      </c>
      <c r="E1015" s="8" t="s">
        <v>240</v>
      </c>
      <c r="F1015" s="64" t="s">
        <v>223</v>
      </c>
      <c r="G1015" s="18" t="s">
        <v>829</v>
      </c>
      <c r="H1015" s="14">
        <v>6403.8</v>
      </c>
      <c r="I1015" s="14">
        <v>6889.3859499999999</v>
      </c>
      <c r="J1015" s="14">
        <v>6685.1382800000001</v>
      </c>
      <c r="K1015" s="78">
        <f t="shared" si="463"/>
        <v>97.035328380753597</v>
      </c>
      <c r="L1015" s="14"/>
      <c r="M1015" s="50"/>
      <c r="N1015" s="50"/>
    </row>
    <row r="1016" spans="1:14" ht="46.8" x14ac:dyDescent="0.3">
      <c r="A1016" s="8" t="s">
        <v>1271</v>
      </c>
      <c r="B1016" s="62" t="s">
        <v>928</v>
      </c>
      <c r="C1016" s="68" t="s">
        <v>1399</v>
      </c>
      <c r="D1016" s="68" t="s">
        <v>1391</v>
      </c>
      <c r="E1016" s="8" t="s">
        <v>240</v>
      </c>
      <c r="F1016" s="45" t="s">
        <v>280</v>
      </c>
      <c r="G1016" s="23" t="s">
        <v>821</v>
      </c>
      <c r="H1016" s="14">
        <v>120</v>
      </c>
      <c r="I1016" s="14">
        <v>120</v>
      </c>
      <c r="J1016" s="14">
        <v>120</v>
      </c>
      <c r="K1016" s="78">
        <f t="shared" si="463"/>
        <v>100</v>
      </c>
      <c r="L1016" s="14"/>
      <c r="M1016" s="50"/>
      <c r="N1016" s="50"/>
    </row>
    <row r="1017" spans="1:14" s="9" customFormat="1" ht="16.5" customHeight="1" x14ac:dyDescent="0.3">
      <c r="A1017" s="11" t="s">
        <v>1271</v>
      </c>
      <c r="B1017" s="48" t="s">
        <v>931</v>
      </c>
      <c r="C1017" s="48" t="s">
        <v>1399</v>
      </c>
      <c r="D1017" s="48" t="s">
        <v>1386</v>
      </c>
      <c r="E1017" s="11"/>
      <c r="F1017" s="11"/>
      <c r="G1017" s="7" t="s">
        <v>1409</v>
      </c>
      <c r="H1017" s="16">
        <f t="shared" ref="H1017:L1020" si="489">H1018</f>
        <v>113889.20000000001</v>
      </c>
      <c r="I1017" s="16">
        <f t="shared" si="489"/>
        <v>79239.399999999994</v>
      </c>
      <c r="J1017" s="16">
        <f t="shared" si="489"/>
        <v>65412.37444</v>
      </c>
      <c r="K1017" s="82">
        <f t="shared" si="463"/>
        <v>82.550315171492969</v>
      </c>
      <c r="L1017" s="16">
        <f t="shared" si="489"/>
        <v>0</v>
      </c>
      <c r="M1017" s="65"/>
      <c r="N1017" s="65"/>
    </row>
    <row r="1018" spans="1:14" ht="46.8" x14ac:dyDescent="0.3">
      <c r="A1018" s="8" t="s">
        <v>1271</v>
      </c>
      <c r="B1018" s="62" t="s">
        <v>931</v>
      </c>
      <c r="C1018" s="68" t="s">
        <v>1399</v>
      </c>
      <c r="D1018" s="68" t="s">
        <v>1386</v>
      </c>
      <c r="E1018" s="8" t="s">
        <v>347</v>
      </c>
      <c r="F1018" s="8"/>
      <c r="G1018" s="18" t="s">
        <v>1114</v>
      </c>
      <c r="H1018" s="14">
        <f t="shared" si="489"/>
        <v>113889.20000000001</v>
      </c>
      <c r="I1018" s="14">
        <f t="shared" si="489"/>
        <v>79239.399999999994</v>
      </c>
      <c r="J1018" s="14">
        <f t="shared" si="489"/>
        <v>65412.37444</v>
      </c>
      <c r="K1018" s="78">
        <f t="shared" si="463"/>
        <v>82.550315171492969</v>
      </c>
      <c r="L1018" s="14">
        <f t="shared" si="489"/>
        <v>0</v>
      </c>
      <c r="M1018" s="50"/>
      <c r="N1018" s="50"/>
    </row>
    <row r="1019" spans="1:14" ht="31.2" x14ac:dyDescent="0.3">
      <c r="A1019" s="8" t="s">
        <v>1271</v>
      </c>
      <c r="B1019" s="62" t="s">
        <v>931</v>
      </c>
      <c r="C1019" s="68" t="s">
        <v>1399</v>
      </c>
      <c r="D1019" s="68" t="s">
        <v>1386</v>
      </c>
      <c r="E1019" s="8" t="s">
        <v>448</v>
      </c>
      <c r="F1019" s="8"/>
      <c r="G1019" s="18" t="s">
        <v>1115</v>
      </c>
      <c r="H1019" s="14">
        <f t="shared" si="489"/>
        <v>113889.20000000001</v>
      </c>
      <c r="I1019" s="14">
        <f t="shared" si="489"/>
        <v>79239.399999999994</v>
      </c>
      <c r="J1019" s="14">
        <f t="shared" si="489"/>
        <v>65412.37444</v>
      </c>
      <c r="K1019" s="78">
        <f t="shared" si="463"/>
        <v>82.550315171492969</v>
      </c>
      <c r="L1019" s="14">
        <f t="shared" si="489"/>
        <v>0</v>
      </c>
      <c r="M1019" s="50"/>
      <c r="N1019" s="50"/>
    </row>
    <row r="1020" spans="1:14" ht="46.8" x14ac:dyDescent="0.3">
      <c r="A1020" s="8" t="s">
        <v>1271</v>
      </c>
      <c r="B1020" s="62" t="s">
        <v>931</v>
      </c>
      <c r="C1020" s="68" t="s">
        <v>1399</v>
      </c>
      <c r="D1020" s="68" t="s">
        <v>1386</v>
      </c>
      <c r="E1020" s="8" t="s">
        <v>453</v>
      </c>
      <c r="F1020" s="8"/>
      <c r="G1020" s="18" t="s">
        <v>1117</v>
      </c>
      <c r="H1020" s="14">
        <f t="shared" si="489"/>
        <v>113889.20000000001</v>
      </c>
      <c r="I1020" s="14">
        <f t="shared" si="489"/>
        <v>79239.399999999994</v>
      </c>
      <c r="J1020" s="14">
        <f t="shared" si="489"/>
        <v>65412.37444</v>
      </c>
      <c r="K1020" s="78">
        <f t="shared" si="463"/>
        <v>82.550315171492969</v>
      </c>
      <c r="L1020" s="14">
        <f t="shared" si="489"/>
        <v>0</v>
      </c>
      <c r="M1020" s="50"/>
      <c r="N1020" s="50"/>
    </row>
    <row r="1021" spans="1:14" ht="31.2" x14ac:dyDescent="0.3">
      <c r="A1021" s="8" t="s">
        <v>1271</v>
      </c>
      <c r="B1021" s="62" t="s">
        <v>931</v>
      </c>
      <c r="C1021" s="68" t="s">
        <v>1399</v>
      </c>
      <c r="D1021" s="68" t="s">
        <v>1386</v>
      </c>
      <c r="E1021" s="8" t="s">
        <v>1176</v>
      </c>
      <c r="F1021" s="8"/>
      <c r="G1021" s="18" t="s">
        <v>1338</v>
      </c>
      <c r="H1021" s="14">
        <f>H1022+H1024+H1026</f>
        <v>113889.20000000001</v>
      </c>
      <c r="I1021" s="14">
        <f>I1022+I1024+I1026</f>
        <v>79239.399999999994</v>
      </c>
      <c r="J1021" s="14">
        <f t="shared" ref="J1021" si="490">J1022+J1024+J1026</f>
        <v>65412.37444</v>
      </c>
      <c r="K1021" s="78">
        <f t="shared" si="463"/>
        <v>82.550315171492969</v>
      </c>
      <c r="L1021" s="14">
        <f>L1022+L1024+L1026</f>
        <v>0</v>
      </c>
      <c r="M1021" s="50"/>
      <c r="N1021" s="50"/>
    </row>
    <row r="1022" spans="1:14" ht="78" hidden="1" x14ac:dyDescent="0.3">
      <c r="A1022" s="8" t="s">
        <v>1271</v>
      </c>
      <c r="B1022" s="62" t="s">
        <v>931</v>
      </c>
      <c r="C1022" s="68" t="s">
        <v>1399</v>
      </c>
      <c r="D1022" s="68" t="s">
        <v>1386</v>
      </c>
      <c r="E1022" s="8" t="s">
        <v>1176</v>
      </c>
      <c r="F1022" s="45" t="s">
        <v>431</v>
      </c>
      <c r="G1022" s="23" t="s">
        <v>806</v>
      </c>
      <c r="H1022" s="14">
        <f t="shared" ref="H1022:L1022" si="491">H1023</f>
        <v>3462.3</v>
      </c>
      <c r="I1022" s="14">
        <f t="shared" si="491"/>
        <v>0</v>
      </c>
      <c r="J1022" s="14">
        <f t="shared" si="491"/>
        <v>0</v>
      </c>
      <c r="K1022" s="78" t="e">
        <f t="shared" si="463"/>
        <v>#DIV/0!</v>
      </c>
      <c r="L1022" s="14">
        <f t="shared" si="491"/>
        <v>0</v>
      </c>
      <c r="M1022" s="50">
        <v>111</v>
      </c>
      <c r="N1022" s="50"/>
    </row>
    <row r="1023" spans="1:14" ht="31.2" hidden="1" x14ac:dyDescent="0.3">
      <c r="A1023" s="8" t="s">
        <v>1271</v>
      </c>
      <c r="B1023" s="62" t="s">
        <v>931</v>
      </c>
      <c r="C1023" s="68" t="s">
        <v>1399</v>
      </c>
      <c r="D1023" s="68" t="s">
        <v>1386</v>
      </c>
      <c r="E1023" s="8" t="s">
        <v>1176</v>
      </c>
      <c r="F1023" s="45" t="s">
        <v>233</v>
      </c>
      <c r="G1023" s="23" t="s">
        <v>808</v>
      </c>
      <c r="H1023" s="14">
        <v>3462.3</v>
      </c>
      <c r="I1023" s="14">
        <v>0</v>
      </c>
      <c r="J1023" s="19">
        <v>0</v>
      </c>
      <c r="K1023" s="75" t="e">
        <f t="shared" si="463"/>
        <v>#DIV/0!</v>
      </c>
      <c r="L1023" s="14"/>
      <c r="M1023" s="50">
        <v>111</v>
      </c>
      <c r="N1023" s="50"/>
    </row>
    <row r="1024" spans="1:14" ht="31.2" hidden="1" x14ac:dyDescent="0.3">
      <c r="A1024" s="8" t="s">
        <v>1271</v>
      </c>
      <c r="B1024" s="62" t="s">
        <v>931</v>
      </c>
      <c r="C1024" s="68" t="s">
        <v>1399</v>
      </c>
      <c r="D1024" s="68" t="s">
        <v>1386</v>
      </c>
      <c r="E1024" s="8" t="s">
        <v>1176</v>
      </c>
      <c r="F1024" s="45" t="s">
        <v>380</v>
      </c>
      <c r="G1024" s="23" t="s">
        <v>809</v>
      </c>
      <c r="H1024" s="14">
        <f t="shared" ref="H1024:L1024" si="492">H1025</f>
        <v>1093.3</v>
      </c>
      <c r="I1024" s="14">
        <f t="shared" si="492"/>
        <v>0</v>
      </c>
      <c r="J1024" s="14">
        <f t="shared" si="492"/>
        <v>0</v>
      </c>
      <c r="K1024" s="78" t="e">
        <f t="shared" si="463"/>
        <v>#DIV/0!</v>
      </c>
      <c r="L1024" s="14">
        <f t="shared" si="492"/>
        <v>0</v>
      </c>
      <c r="M1024" s="50">
        <v>111</v>
      </c>
      <c r="N1024" s="50"/>
    </row>
    <row r="1025" spans="1:14" ht="31.2" hidden="1" x14ac:dyDescent="0.3">
      <c r="A1025" s="8" t="s">
        <v>1271</v>
      </c>
      <c r="B1025" s="62" t="s">
        <v>931</v>
      </c>
      <c r="C1025" s="68" t="s">
        <v>1399</v>
      </c>
      <c r="D1025" s="68" t="s">
        <v>1386</v>
      </c>
      <c r="E1025" s="8" t="s">
        <v>1176</v>
      </c>
      <c r="F1025" s="8" t="s">
        <v>247</v>
      </c>
      <c r="G1025" s="23" t="s">
        <v>810</v>
      </c>
      <c r="H1025" s="14">
        <v>1093.3</v>
      </c>
      <c r="I1025" s="14">
        <v>0</v>
      </c>
      <c r="J1025" s="19">
        <v>0</v>
      </c>
      <c r="K1025" s="75" t="e">
        <f t="shared" si="463"/>
        <v>#DIV/0!</v>
      </c>
      <c r="L1025" s="14"/>
      <c r="M1025" s="50">
        <v>111</v>
      </c>
      <c r="N1025" s="50"/>
    </row>
    <row r="1026" spans="1:14" x14ac:dyDescent="0.3">
      <c r="A1026" s="8" t="s">
        <v>1271</v>
      </c>
      <c r="B1026" s="62" t="s">
        <v>931</v>
      </c>
      <c r="C1026" s="68" t="s">
        <v>1399</v>
      </c>
      <c r="D1026" s="68" t="s">
        <v>1386</v>
      </c>
      <c r="E1026" s="8" t="s">
        <v>1176</v>
      </c>
      <c r="F1026" s="8" t="s">
        <v>404</v>
      </c>
      <c r="G1026" s="13" t="s">
        <v>811</v>
      </c>
      <c r="H1026" s="14">
        <f t="shared" ref="H1026:L1026" si="493">H1027</f>
        <v>109333.6</v>
      </c>
      <c r="I1026" s="14">
        <f t="shared" si="493"/>
        <v>79239.399999999994</v>
      </c>
      <c r="J1026" s="14">
        <f>J1027</f>
        <v>65412.37444</v>
      </c>
      <c r="K1026" s="78">
        <f t="shared" si="463"/>
        <v>82.550315171492969</v>
      </c>
      <c r="L1026" s="14">
        <f t="shared" si="493"/>
        <v>0</v>
      </c>
      <c r="M1026" s="50"/>
      <c r="N1026" s="50"/>
    </row>
    <row r="1027" spans="1:14" ht="31.2" x14ac:dyDescent="0.3">
      <c r="A1027" s="8" t="s">
        <v>1271</v>
      </c>
      <c r="B1027" s="62" t="s">
        <v>931</v>
      </c>
      <c r="C1027" s="68" t="s">
        <v>1399</v>
      </c>
      <c r="D1027" s="68" t="s">
        <v>1386</v>
      </c>
      <c r="E1027" s="8" t="s">
        <v>1176</v>
      </c>
      <c r="F1027" s="64" t="s">
        <v>234</v>
      </c>
      <c r="G1027" s="13" t="s">
        <v>813</v>
      </c>
      <c r="H1027" s="14">
        <v>109333.6</v>
      </c>
      <c r="I1027" s="14">
        <v>79239.399999999994</v>
      </c>
      <c r="J1027" s="14">
        <v>65412.37444</v>
      </c>
      <c r="K1027" s="78">
        <f t="shared" si="463"/>
        <v>82.550315171492969</v>
      </c>
      <c r="L1027" s="14"/>
      <c r="M1027" s="50"/>
      <c r="N1027" s="50"/>
    </row>
    <row r="1028" spans="1:14" s="9" customFormat="1" x14ac:dyDescent="0.3">
      <c r="A1028" s="11" t="s">
        <v>1271</v>
      </c>
      <c r="B1028" s="48" t="s">
        <v>932</v>
      </c>
      <c r="C1028" s="48" t="s">
        <v>1399</v>
      </c>
      <c r="D1028" s="48" t="s">
        <v>1381</v>
      </c>
      <c r="E1028" s="11"/>
      <c r="F1028" s="11"/>
      <c r="G1028" s="7" t="s">
        <v>1408</v>
      </c>
      <c r="H1028" s="16">
        <f t="shared" ref="H1028:L1032" si="494">H1029</f>
        <v>137535.63</v>
      </c>
      <c r="I1028" s="16">
        <f t="shared" si="494"/>
        <v>137535.63</v>
      </c>
      <c r="J1028" s="16">
        <f t="shared" si="494"/>
        <v>137499.75424000001</v>
      </c>
      <c r="K1028" s="82">
        <f t="shared" si="463"/>
        <v>99.973915297439646</v>
      </c>
      <c r="L1028" s="16">
        <f t="shared" si="494"/>
        <v>0</v>
      </c>
      <c r="M1028" s="65"/>
      <c r="N1028" s="65"/>
    </row>
    <row r="1029" spans="1:14" ht="46.8" x14ac:dyDescent="0.3">
      <c r="A1029" s="8" t="s">
        <v>1271</v>
      </c>
      <c r="B1029" s="62" t="s">
        <v>932</v>
      </c>
      <c r="C1029" s="68" t="s">
        <v>1399</v>
      </c>
      <c r="D1029" s="68" t="s">
        <v>1381</v>
      </c>
      <c r="E1029" s="8" t="s">
        <v>347</v>
      </c>
      <c r="F1029" s="8"/>
      <c r="G1029" s="18" t="s">
        <v>1114</v>
      </c>
      <c r="H1029" s="14">
        <f>H1030+H1040</f>
        <v>137535.63</v>
      </c>
      <c r="I1029" s="14">
        <f>I1030+I1040</f>
        <v>137535.63</v>
      </c>
      <c r="J1029" s="14">
        <f t="shared" ref="J1029" si="495">J1030+J1040</f>
        <v>137499.75424000001</v>
      </c>
      <c r="K1029" s="78">
        <f t="shared" si="463"/>
        <v>99.973915297439646</v>
      </c>
      <c r="L1029" s="14">
        <f>L1030+L1040</f>
        <v>0</v>
      </c>
      <c r="M1029" s="50"/>
      <c r="N1029" s="50"/>
    </row>
    <row r="1030" spans="1:14" ht="31.2" x14ac:dyDescent="0.3">
      <c r="A1030" s="8" t="s">
        <v>1271</v>
      </c>
      <c r="B1030" s="62" t="s">
        <v>932</v>
      </c>
      <c r="C1030" s="68" t="s">
        <v>1399</v>
      </c>
      <c r="D1030" s="68" t="s">
        <v>1381</v>
      </c>
      <c r="E1030" s="8" t="s">
        <v>465</v>
      </c>
      <c r="F1030" s="8"/>
      <c r="G1030" s="18" t="s">
        <v>1119</v>
      </c>
      <c r="H1030" s="14">
        <f t="shared" si="494"/>
        <v>136621.59100000001</v>
      </c>
      <c r="I1030" s="14">
        <f t="shared" si="494"/>
        <v>136621.59100000001</v>
      </c>
      <c r="J1030" s="14">
        <f t="shared" si="494"/>
        <v>136601.59100000001</v>
      </c>
      <c r="K1030" s="78">
        <f t="shared" si="463"/>
        <v>99.985361025403378</v>
      </c>
      <c r="L1030" s="14">
        <f t="shared" si="494"/>
        <v>0</v>
      </c>
      <c r="M1030" s="50"/>
      <c r="N1030" s="50"/>
    </row>
    <row r="1031" spans="1:14" ht="62.4" x14ac:dyDescent="0.3">
      <c r="A1031" s="8" t="s">
        <v>1271</v>
      </c>
      <c r="B1031" s="62" t="s">
        <v>932</v>
      </c>
      <c r="C1031" s="68" t="s">
        <v>1399</v>
      </c>
      <c r="D1031" s="68" t="s">
        <v>1381</v>
      </c>
      <c r="E1031" s="8" t="s">
        <v>466</v>
      </c>
      <c r="F1031" s="8"/>
      <c r="G1031" s="18" t="s">
        <v>1170</v>
      </c>
      <c r="H1031" s="14">
        <f>H1032+H1036</f>
        <v>136621.59100000001</v>
      </c>
      <c r="I1031" s="14">
        <f>I1032+I1036</f>
        <v>136621.59100000001</v>
      </c>
      <c r="J1031" s="14">
        <f t="shared" ref="J1031" si="496">J1032+J1036</f>
        <v>136601.59100000001</v>
      </c>
      <c r="K1031" s="78">
        <f t="shared" si="463"/>
        <v>99.985361025403378</v>
      </c>
      <c r="L1031" s="14">
        <f>L1032+L1036</f>
        <v>0</v>
      </c>
      <c r="M1031" s="50"/>
      <c r="N1031" s="50"/>
    </row>
    <row r="1032" spans="1:14" ht="46.8" x14ac:dyDescent="0.3">
      <c r="A1032" s="8" t="s">
        <v>1271</v>
      </c>
      <c r="B1032" s="62" t="s">
        <v>932</v>
      </c>
      <c r="C1032" s="68" t="s">
        <v>1399</v>
      </c>
      <c r="D1032" s="68" t="s">
        <v>1381</v>
      </c>
      <c r="E1032" s="8" t="s">
        <v>492</v>
      </c>
      <c r="F1032" s="8"/>
      <c r="G1032" s="13" t="s">
        <v>1121</v>
      </c>
      <c r="H1032" s="14">
        <f t="shared" si="494"/>
        <v>111837.231</v>
      </c>
      <c r="I1032" s="14">
        <f t="shared" si="494"/>
        <v>111837.231</v>
      </c>
      <c r="J1032" s="14">
        <f t="shared" si="494"/>
        <v>111837.231</v>
      </c>
      <c r="K1032" s="78">
        <f t="shared" ref="K1032:K1095" si="497">J1032/I1032*100</f>
        <v>100</v>
      </c>
      <c r="L1032" s="14">
        <f t="shared" si="494"/>
        <v>0</v>
      </c>
      <c r="M1032" s="50"/>
      <c r="N1032" s="50"/>
    </row>
    <row r="1033" spans="1:14" ht="31.2" x14ac:dyDescent="0.3">
      <c r="A1033" s="8" t="s">
        <v>1271</v>
      </c>
      <c r="B1033" s="62" t="s">
        <v>932</v>
      </c>
      <c r="C1033" s="68" t="s">
        <v>1399</v>
      </c>
      <c r="D1033" s="68" t="s">
        <v>1381</v>
      </c>
      <c r="E1033" s="8" t="s">
        <v>492</v>
      </c>
      <c r="F1033" s="45" t="s">
        <v>402</v>
      </c>
      <c r="G1033" s="23" t="s">
        <v>819</v>
      </c>
      <c r="H1033" s="14">
        <f>H1034+H1035</f>
        <v>111837.231</v>
      </c>
      <c r="I1033" s="14">
        <f>I1034+I1035</f>
        <v>111837.231</v>
      </c>
      <c r="J1033" s="14">
        <f t="shared" ref="J1033" si="498">J1034+J1035</f>
        <v>111837.231</v>
      </c>
      <c r="K1033" s="78">
        <f t="shared" si="497"/>
        <v>100</v>
      </c>
      <c r="L1033" s="14">
        <f>L1034+L1035</f>
        <v>0</v>
      </c>
      <c r="M1033" s="50"/>
      <c r="N1033" s="50"/>
    </row>
    <row r="1034" spans="1:14" x14ac:dyDescent="0.3">
      <c r="A1034" s="8" t="s">
        <v>1271</v>
      </c>
      <c r="B1034" s="62" t="s">
        <v>932</v>
      </c>
      <c r="C1034" s="68" t="s">
        <v>1399</v>
      </c>
      <c r="D1034" s="68" t="s">
        <v>1381</v>
      </c>
      <c r="E1034" s="8" t="s">
        <v>492</v>
      </c>
      <c r="F1034" s="8" t="s">
        <v>726</v>
      </c>
      <c r="G1034" s="13" t="s">
        <v>820</v>
      </c>
      <c r="H1034" s="14">
        <v>5334.5</v>
      </c>
      <c r="I1034" s="14">
        <v>5252.1128200000003</v>
      </c>
      <c r="J1034" s="14">
        <v>5252.1128200000003</v>
      </c>
      <c r="K1034" s="78">
        <f t="shared" si="497"/>
        <v>100</v>
      </c>
      <c r="L1034" s="14"/>
      <c r="M1034" s="50"/>
      <c r="N1034" s="50"/>
    </row>
    <row r="1035" spans="1:14" x14ac:dyDescent="0.3">
      <c r="A1035" s="8" t="s">
        <v>1271</v>
      </c>
      <c r="B1035" s="62" t="s">
        <v>932</v>
      </c>
      <c r="C1035" s="68" t="s">
        <v>1399</v>
      </c>
      <c r="D1035" s="68" t="s">
        <v>1381</v>
      </c>
      <c r="E1035" s="8" t="s">
        <v>492</v>
      </c>
      <c r="F1035" s="64" t="s">
        <v>223</v>
      </c>
      <c r="G1035" s="18" t="s">
        <v>829</v>
      </c>
      <c r="H1035" s="14">
        <f>96797.5+9705.231</f>
        <v>106502.731</v>
      </c>
      <c r="I1035" s="14">
        <v>106585.11818</v>
      </c>
      <c r="J1035" s="14">
        <v>106585.11818</v>
      </c>
      <c r="K1035" s="78">
        <f t="shared" si="497"/>
        <v>100</v>
      </c>
      <c r="L1035" s="14"/>
      <c r="M1035" s="50"/>
      <c r="N1035" s="50"/>
    </row>
    <row r="1036" spans="1:14" ht="46.8" x14ac:dyDescent="0.3">
      <c r="A1036" s="8" t="s">
        <v>1271</v>
      </c>
      <c r="B1036" s="62" t="s">
        <v>932</v>
      </c>
      <c r="C1036" s="68" t="s">
        <v>1399</v>
      </c>
      <c r="D1036" s="68" t="s">
        <v>1381</v>
      </c>
      <c r="E1036" s="8" t="s">
        <v>1356</v>
      </c>
      <c r="F1036" s="45"/>
      <c r="G1036" s="18" t="s">
        <v>1357</v>
      </c>
      <c r="H1036" s="14">
        <f t="shared" ref="H1036:L1036" si="499">H1037</f>
        <v>24784.36</v>
      </c>
      <c r="I1036" s="14">
        <f t="shared" si="499"/>
        <v>24784.36</v>
      </c>
      <c r="J1036" s="14">
        <f t="shared" si="499"/>
        <v>24764.36</v>
      </c>
      <c r="K1036" s="78">
        <f t="shared" si="497"/>
        <v>99.919303948135024</v>
      </c>
      <c r="L1036" s="14">
        <f t="shared" si="499"/>
        <v>0</v>
      </c>
      <c r="M1036" s="50"/>
      <c r="N1036" s="50"/>
    </row>
    <row r="1037" spans="1:14" ht="31.2" x14ac:dyDescent="0.3">
      <c r="A1037" s="8" t="s">
        <v>1271</v>
      </c>
      <c r="B1037" s="62" t="s">
        <v>932</v>
      </c>
      <c r="C1037" s="68" t="s">
        <v>1399</v>
      </c>
      <c r="D1037" s="68" t="s">
        <v>1381</v>
      </c>
      <c r="E1037" s="8" t="s">
        <v>1356</v>
      </c>
      <c r="F1037" s="45" t="s">
        <v>402</v>
      </c>
      <c r="G1037" s="23" t="s">
        <v>819</v>
      </c>
      <c r="H1037" s="14">
        <f>H1038+H1039</f>
        <v>24784.36</v>
      </c>
      <c r="I1037" s="14">
        <f>I1038+I1039</f>
        <v>24784.36</v>
      </c>
      <c r="J1037" s="14">
        <f t="shared" ref="J1037" si="500">J1038+J1039</f>
        <v>24764.36</v>
      </c>
      <c r="K1037" s="78">
        <f t="shared" si="497"/>
        <v>99.919303948135024</v>
      </c>
      <c r="L1037" s="14">
        <f>L1038+L1039</f>
        <v>0</v>
      </c>
      <c r="M1037" s="50"/>
      <c r="N1037" s="50"/>
    </row>
    <row r="1038" spans="1:14" x14ac:dyDescent="0.3">
      <c r="A1038" s="8" t="s">
        <v>1271</v>
      </c>
      <c r="B1038" s="62" t="s">
        <v>932</v>
      </c>
      <c r="C1038" s="68" t="s">
        <v>1399</v>
      </c>
      <c r="D1038" s="68" t="s">
        <v>1381</v>
      </c>
      <c r="E1038" s="8" t="s">
        <v>1356</v>
      </c>
      <c r="F1038" s="8" t="s">
        <v>726</v>
      </c>
      <c r="G1038" s="13" t="s">
        <v>820</v>
      </c>
      <c r="H1038" s="14">
        <v>2506</v>
      </c>
      <c r="I1038" s="14">
        <v>906</v>
      </c>
      <c r="J1038" s="14">
        <v>906</v>
      </c>
      <c r="K1038" s="78">
        <f t="shared" si="497"/>
        <v>100</v>
      </c>
      <c r="L1038" s="14"/>
      <c r="M1038" s="50"/>
      <c r="N1038" s="50"/>
    </row>
    <row r="1039" spans="1:14" x14ac:dyDescent="0.3">
      <c r="A1039" s="8" t="s">
        <v>1271</v>
      </c>
      <c r="B1039" s="62" t="s">
        <v>932</v>
      </c>
      <c r="C1039" s="68" t="s">
        <v>1399</v>
      </c>
      <c r="D1039" s="68" t="s">
        <v>1381</v>
      </c>
      <c r="E1039" s="8" t="s">
        <v>1356</v>
      </c>
      <c r="F1039" s="64" t="s">
        <v>223</v>
      </c>
      <c r="G1039" s="18" t="s">
        <v>829</v>
      </c>
      <c r="H1039" s="14">
        <f>16257+6021.36</f>
        <v>22278.36</v>
      </c>
      <c r="I1039" s="14">
        <v>23878.36</v>
      </c>
      <c r="J1039" s="14">
        <v>23858.36</v>
      </c>
      <c r="K1039" s="78">
        <f t="shared" si="497"/>
        <v>99.916242153983774</v>
      </c>
      <c r="L1039" s="14"/>
      <c r="M1039" s="50"/>
      <c r="N1039" s="50"/>
    </row>
    <row r="1040" spans="1:14" ht="31.2" x14ac:dyDescent="0.3">
      <c r="A1040" s="8" t="s">
        <v>1271</v>
      </c>
      <c r="B1040" s="62" t="s">
        <v>932</v>
      </c>
      <c r="C1040" s="68" t="s">
        <v>1399</v>
      </c>
      <c r="D1040" s="68" t="s">
        <v>1381</v>
      </c>
      <c r="E1040" s="64" t="s">
        <v>454</v>
      </c>
      <c r="F1040" s="64"/>
      <c r="G1040" s="18" t="s">
        <v>1133</v>
      </c>
      <c r="H1040" s="14">
        <f t="shared" ref="H1040:L1040" si="501">H1041</f>
        <v>914.0390000000001</v>
      </c>
      <c r="I1040" s="14">
        <f t="shared" si="501"/>
        <v>914.03899999999999</v>
      </c>
      <c r="J1040" s="14">
        <f t="shared" si="501"/>
        <v>898.16323999999997</v>
      </c>
      <c r="K1040" s="78">
        <f t="shared" si="497"/>
        <v>98.26312006380472</v>
      </c>
      <c r="L1040" s="14">
        <f t="shared" si="501"/>
        <v>0</v>
      </c>
      <c r="M1040" s="50"/>
      <c r="N1040" s="50"/>
    </row>
    <row r="1041" spans="1:14" ht="46.8" x14ac:dyDescent="0.3">
      <c r="A1041" s="8" t="s">
        <v>1271</v>
      </c>
      <c r="B1041" s="62" t="s">
        <v>932</v>
      </c>
      <c r="C1041" s="68" t="s">
        <v>1399</v>
      </c>
      <c r="D1041" s="68" t="s">
        <v>1381</v>
      </c>
      <c r="E1041" s="64" t="s">
        <v>455</v>
      </c>
      <c r="F1041" s="64"/>
      <c r="G1041" s="18" t="s">
        <v>1134</v>
      </c>
      <c r="H1041" s="14">
        <f>H1042+H1045</f>
        <v>914.0390000000001</v>
      </c>
      <c r="I1041" s="14">
        <f>I1042+I1045</f>
        <v>914.03899999999999</v>
      </c>
      <c r="J1041" s="14">
        <f t="shared" ref="J1041" si="502">J1042+J1045</f>
        <v>898.16323999999997</v>
      </c>
      <c r="K1041" s="78">
        <f t="shared" si="497"/>
        <v>98.26312006380472</v>
      </c>
      <c r="L1041" s="14">
        <f>L1042+L1045</f>
        <v>0</v>
      </c>
      <c r="M1041" s="50"/>
      <c r="N1041" s="50"/>
    </row>
    <row r="1042" spans="1:14" ht="46.8" x14ac:dyDescent="0.3">
      <c r="A1042" s="8" t="s">
        <v>1271</v>
      </c>
      <c r="B1042" s="62" t="s">
        <v>932</v>
      </c>
      <c r="C1042" s="68" t="s">
        <v>1399</v>
      </c>
      <c r="D1042" s="68" t="s">
        <v>1381</v>
      </c>
      <c r="E1042" s="64" t="s">
        <v>236</v>
      </c>
      <c r="F1042" s="45"/>
      <c r="G1042" s="23" t="s">
        <v>1324</v>
      </c>
      <c r="H1042" s="14">
        <f t="shared" ref="H1042:L1043" si="503">H1043</f>
        <v>793.20900000000006</v>
      </c>
      <c r="I1042" s="14">
        <f t="shared" si="503"/>
        <v>793.20899999999995</v>
      </c>
      <c r="J1042" s="14">
        <f t="shared" si="503"/>
        <v>777.58227999999997</v>
      </c>
      <c r="K1042" s="78">
        <f t="shared" si="497"/>
        <v>98.029936624521412</v>
      </c>
      <c r="L1042" s="14">
        <f t="shared" si="503"/>
        <v>0</v>
      </c>
      <c r="M1042" s="50"/>
      <c r="N1042" s="50"/>
    </row>
    <row r="1043" spans="1:14" ht="31.2" x14ac:dyDescent="0.3">
      <c r="A1043" s="8" t="s">
        <v>1271</v>
      </c>
      <c r="B1043" s="62" t="s">
        <v>932</v>
      </c>
      <c r="C1043" s="68" t="s">
        <v>1399</v>
      </c>
      <c r="D1043" s="68" t="s">
        <v>1381</v>
      </c>
      <c r="E1043" s="64" t="s">
        <v>236</v>
      </c>
      <c r="F1043" s="45" t="s">
        <v>402</v>
      </c>
      <c r="G1043" s="23" t="s">
        <v>819</v>
      </c>
      <c r="H1043" s="14">
        <f t="shared" si="503"/>
        <v>793.20900000000006</v>
      </c>
      <c r="I1043" s="14">
        <f t="shared" si="503"/>
        <v>793.20899999999995</v>
      </c>
      <c r="J1043" s="14">
        <f t="shared" si="503"/>
        <v>777.58227999999997</v>
      </c>
      <c r="K1043" s="78">
        <f t="shared" si="497"/>
        <v>98.029936624521412</v>
      </c>
      <c r="L1043" s="14">
        <f t="shared" si="503"/>
        <v>0</v>
      </c>
      <c r="M1043" s="50"/>
      <c r="N1043" s="50"/>
    </row>
    <row r="1044" spans="1:14" ht="46.8" x14ac:dyDescent="0.3">
      <c r="A1044" s="8" t="s">
        <v>1271</v>
      </c>
      <c r="B1044" s="62" t="s">
        <v>932</v>
      </c>
      <c r="C1044" s="68" t="s">
        <v>1399</v>
      </c>
      <c r="D1044" s="68" t="s">
        <v>1381</v>
      </c>
      <c r="E1044" s="64" t="s">
        <v>236</v>
      </c>
      <c r="F1044" s="45" t="s">
        <v>280</v>
      </c>
      <c r="G1044" s="23" t="s">
        <v>821</v>
      </c>
      <c r="H1044" s="14">
        <f>902.1-108.891</f>
        <v>793.20900000000006</v>
      </c>
      <c r="I1044" s="14">
        <v>793.20899999999995</v>
      </c>
      <c r="J1044" s="19">
        <v>777.58227999999997</v>
      </c>
      <c r="K1044" s="75">
        <f t="shared" si="497"/>
        <v>98.029936624521412</v>
      </c>
      <c r="L1044" s="14"/>
      <c r="M1044" s="50"/>
      <c r="N1044" s="50"/>
    </row>
    <row r="1045" spans="1:14" ht="46.8" x14ac:dyDescent="0.3">
      <c r="A1045" s="8" t="s">
        <v>1271</v>
      </c>
      <c r="B1045" s="62" t="s">
        <v>932</v>
      </c>
      <c r="C1045" s="68" t="s">
        <v>1399</v>
      </c>
      <c r="D1045" s="68" t="s">
        <v>1381</v>
      </c>
      <c r="E1045" s="64" t="s">
        <v>1358</v>
      </c>
      <c r="F1045" s="45"/>
      <c r="G1045" s="23" t="s">
        <v>1359</v>
      </c>
      <c r="H1045" s="14">
        <f t="shared" ref="H1045:L1046" si="504">H1046</f>
        <v>120.83</v>
      </c>
      <c r="I1045" s="14">
        <f t="shared" si="504"/>
        <v>120.83</v>
      </c>
      <c r="J1045" s="14">
        <f t="shared" si="504"/>
        <v>120.58096</v>
      </c>
      <c r="K1045" s="78">
        <f t="shared" si="497"/>
        <v>99.793892245303326</v>
      </c>
      <c r="L1045" s="14">
        <f t="shared" si="504"/>
        <v>0</v>
      </c>
      <c r="M1045" s="50"/>
      <c r="N1045" s="50"/>
    </row>
    <row r="1046" spans="1:14" ht="31.2" x14ac:dyDescent="0.3">
      <c r="A1046" s="8" t="s">
        <v>1271</v>
      </c>
      <c r="B1046" s="62" t="s">
        <v>932</v>
      </c>
      <c r="C1046" s="68" t="s">
        <v>1399</v>
      </c>
      <c r="D1046" s="68" t="s">
        <v>1381</v>
      </c>
      <c r="E1046" s="64" t="s">
        <v>1358</v>
      </c>
      <c r="F1046" s="45" t="s">
        <v>402</v>
      </c>
      <c r="G1046" s="23" t="s">
        <v>819</v>
      </c>
      <c r="H1046" s="14">
        <f t="shared" si="504"/>
        <v>120.83</v>
      </c>
      <c r="I1046" s="14">
        <f t="shared" si="504"/>
        <v>120.83</v>
      </c>
      <c r="J1046" s="14">
        <f t="shared" si="504"/>
        <v>120.58096</v>
      </c>
      <c r="K1046" s="78">
        <f t="shared" si="497"/>
        <v>99.793892245303326</v>
      </c>
      <c r="L1046" s="14">
        <f t="shared" si="504"/>
        <v>0</v>
      </c>
      <c r="M1046" s="50"/>
      <c r="N1046" s="50"/>
    </row>
    <row r="1047" spans="1:14" ht="46.8" x14ac:dyDescent="0.3">
      <c r="A1047" s="8" t="s">
        <v>1271</v>
      </c>
      <c r="B1047" s="62" t="s">
        <v>932</v>
      </c>
      <c r="C1047" s="68" t="s">
        <v>1399</v>
      </c>
      <c r="D1047" s="68" t="s">
        <v>1381</v>
      </c>
      <c r="E1047" s="64" t="s">
        <v>1358</v>
      </c>
      <c r="F1047" s="45" t="s">
        <v>280</v>
      </c>
      <c r="G1047" s="23" t="s">
        <v>821</v>
      </c>
      <c r="H1047" s="14">
        <f>93.1+27.73</f>
        <v>120.83</v>
      </c>
      <c r="I1047" s="14">
        <v>120.83</v>
      </c>
      <c r="J1047" s="19">
        <v>120.58096</v>
      </c>
      <c r="K1047" s="75">
        <f t="shared" si="497"/>
        <v>99.793892245303326</v>
      </c>
      <c r="L1047" s="14"/>
      <c r="M1047" s="50"/>
      <c r="N1047" s="50"/>
    </row>
    <row r="1048" spans="1:14" s="3" customFormat="1" x14ac:dyDescent="0.3">
      <c r="A1048" s="10" t="s">
        <v>1271</v>
      </c>
      <c r="B1048" s="43" t="s">
        <v>1382</v>
      </c>
      <c r="C1048" s="43" t="s">
        <v>1382</v>
      </c>
      <c r="D1048" s="43" t="s">
        <v>915</v>
      </c>
      <c r="E1048" s="10"/>
      <c r="F1048" s="26"/>
      <c r="G1048" s="5" t="s">
        <v>1417</v>
      </c>
      <c r="H1048" s="15">
        <f>H1049+H1056</f>
        <v>1122.8999999999999</v>
      </c>
      <c r="I1048" s="15">
        <f t="shared" ref="I1048:L1048" si="505">I1049+I1056</f>
        <v>5307.9431999999997</v>
      </c>
      <c r="J1048" s="15">
        <f t="shared" si="505"/>
        <v>5307.9283500000001</v>
      </c>
      <c r="K1048" s="81">
        <f t="shared" si="497"/>
        <v>99.999720230615878</v>
      </c>
      <c r="L1048" s="15">
        <f t="shared" si="505"/>
        <v>0</v>
      </c>
      <c r="M1048" s="65"/>
      <c r="N1048" s="65"/>
    </row>
    <row r="1049" spans="1:14" s="9" customFormat="1" x14ac:dyDescent="0.3">
      <c r="A1049" s="11" t="s">
        <v>1271</v>
      </c>
      <c r="B1049" s="48" t="s">
        <v>933</v>
      </c>
      <c r="C1049" s="48" t="s">
        <v>1382</v>
      </c>
      <c r="D1049" s="48" t="s">
        <v>1372</v>
      </c>
      <c r="E1049" s="11"/>
      <c r="F1049" s="29"/>
      <c r="G1049" s="7" t="s">
        <v>1453</v>
      </c>
      <c r="H1049" s="16">
        <f t="shared" ref="H1049:L1054" si="506">H1050</f>
        <v>1122.8999999999999</v>
      </c>
      <c r="I1049" s="16">
        <f t="shared" si="506"/>
        <v>1122.8999999999999</v>
      </c>
      <c r="J1049" s="16">
        <f t="shared" si="506"/>
        <v>1122.8851500000001</v>
      </c>
      <c r="K1049" s="82">
        <f t="shared" si="497"/>
        <v>99.998677531391962</v>
      </c>
      <c r="L1049" s="16">
        <f t="shared" si="506"/>
        <v>0</v>
      </c>
      <c r="M1049" s="65"/>
      <c r="N1049" s="65"/>
    </row>
    <row r="1050" spans="1:14" ht="31.2" x14ac:dyDescent="0.3">
      <c r="A1050" s="8" t="s">
        <v>1271</v>
      </c>
      <c r="B1050" s="62" t="s">
        <v>933</v>
      </c>
      <c r="C1050" s="68" t="s">
        <v>1382</v>
      </c>
      <c r="D1050" s="68" t="s">
        <v>1372</v>
      </c>
      <c r="E1050" s="8" t="s">
        <v>446</v>
      </c>
      <c r="F1050" s="45"/>
      <c r="G1050" s="23" t="s">
        <v>864</v>
      </c>
      <c r="H1050" s="14">
        <f t="shared" si="506"/>
        <v>1122.8999999999999</v>
      </c>
      <c r="I1050" s="14">
        <f t="shared" si="506"/>
        <v>1122.8999999999999</v>
      </c>
      <c r="J1050" s="14">
        <f t="shared" si="506"/>
        <v>1122.8851500000001</v>
      </c>
      <c r="K1050" s="78">
        <f t="shared" si="497"/>
        <v>99.998677531391962</v>
      </c>
      <c r="L1050" s="14">
        <f t="shared" si="506"/>
        <v>0</v>
      </c>
      <c r="M1050" s="50"/>
      <c r="N1050" s="50"/>
    </row>
    <row r="1051" spans="1:14" ht="31.2" x14ac:dyDescent="0.3">
      <c r="A1051" s="8" t="s">
        <v>1271</v>
      </c>
      <c r="B1051" s="62" t="s">
        <v>933</v>
      </c>
      <c r="C1051" s="68" t="s">
        <v>1382</v>
      </c>
      <c r="D1051" s="68" t="s">
        <v>1372</v>
      </c>
      <c r="E1051" s="8" t="s">
        <v>447</v>
      </c>
      <c r="F1051" s="45"/>
      <c r="G1051" s="23" t="s">
        <v>865</v>
      </c>
      <c r="H1051" s="14">
        <f t="shared" si="506"/>
        <v>1122.8999999999999</v>
      </c>
      <c r="I1051" s="14">
        <f t="shared" si="506"/>
        <v>1122.8999999999999</v>
      </c>
      <c r="J1051" s="14">
        <f t="shared" si="506"/>
        <v>1122.8851500000001</v>
      </c>
      <c r="K1051" s="78">
        <f t="shared" si="497"/>
        <v>99.998677531391962</v>
      </c>
      <c r="L1051" s="14">
        <f t="shared" si="506"/>
        <v>0</v>
      </c>
      <c r="M1051" s="50"/>
      <c r="N1051" s="50"/>
    </row>
    <row r="1052" spans="1:14" ht="62.4" x14ac:dyDescent="0.3">
      <c r="A1052" s="8" t="s">
        <v>1271</v>
      </c>
      <c r="B1052" s="62" t="s">
        <v>933</v>
      </c>
      <c r="C1052" s="68" t="s">
        <v>1382</v>
      </c>
      <c r="D1052" s="68" t="s">
        <v>1372</v>
      </c>
      <c r="E1052" s="8" t="s">
        <v>479</v>
      </c>
      <c r="F1052" s="45"/>
      <c r="G1052" s="18" t="s">
        <v>1206</v>
      </c>
      <c r="H1052" s="14">
        <f t="shared" si="506"/>
        <v>1122.8999999999999</v>
      </c>
      <c r="I1052" s="14">
        <f t="shared" si="506"/>
        <v>1122.8999999999999</v>
      </c>
      <c r="J1052" s="14">
        <f t="shared" si="506"/>
        <v>1122.8851500000001</v>
      </c>
      <c r="K1052" s="78">
        <f t="shared" si="497"/>
        <v>99.998677531391962</v>
      </c>
      <c r="L1052" s="14">
        <f t="shared" si="506"/>
        <v>0</v>
      </c>
      <c r="M1052" s="50"/>
      <c r="N1052" s="50"/>
    </row>
    <row r="1053" spans="1:14" ht="62.4" x14ac:dyDescent="0.3">
      <c r="A1053" s="8" t="s">
        <v>1271</v>
      </c>
      <c r="B1053" s="62" t="s">
        <v>933</v>
      </c>
      <c r="C1053" s="68" t="s">
        <v>1382</v>
      </c>
      <c r="D1053" s="68" t="s">
        <v>1372</v>
      </c>
      <c r="E1053" s="8" t="s">
        <v>480</v>
      </c>
      <c r="F1053" s="45"/>
      <c r="G1053" s="23" t="s">
        <v>1291</v>
      </c>
      <c r="H1053" s="14">
        <f t="shared" si="506"/>
        <v>1122.8999999999999</v>
      </c>
      <c r="I1053" s="14">
        <f t="shared" si="506"/>
        <v>1122.8999999999999</v>
      </c>
      <c r="J1053" s="14">
        <f t="shared" si="506"/>
        <v>1122.8851500000001</v>
      </c>
      <c r="K1053" s="78">
        <f t="shared" si="497"/>
        <v>99.998677531391962</v>
      </c>
      <c r="L1053" s="14">
        <f t="shared" si="506"/>
        <v>0</v>
      </c>
      <c r="M1053" s="50"/>
      <c r="N1053" s="50"/>
    </row>
    <row r="1054" spans="1:14" ht="31.2" x14ac:dyDescent="0.3">
      <c r="A1054" s="8" t="s">
        <v>1271</v>
      </c>
      <c r="B1054" s="62" t="s">
        <v>933</v>
      </c>
      <c r="C1054" s="68" t="s">
        <v>1382</v>
      </c>
      <c r="D1054" s="68" t="s">
        <v>1372</v>
      </c>
      <c r="E1054" s="8" t="s">
        <v>480</v>
      </c>
      <c r="F1054" s="45" t="s">
        <v>402</v>
      </c>
      <c r="G1054" s="23" t="s">
        <v>819</v>
      </c>
      <c r="H1054" s="14">
        <f t="shared" si="506"/>
        <v>1122.8999999999999</v>
      </c>
      <c r="I1054" s="14">
        <f t="shared" si="506"/>
        <v>1122.8999999999999</v>
      </c>
      <c r="J1054" s="14">
        <f t="shared" si="506"/>
        <v>1122.8851500000001</v>
      </c>
      <c r="K1054" s="78">
        <f t="shared" si="497"/>
        <v>99.998677531391962</v>
      </c>
      <c r="L1054" s="14">
        <f t="shared" si="506"/>
        <v>0</v>
      </c>
      <c r="M1054" s="50"/>
      <c r="N1054" s="50"/>
    </row>
    <row r="1055" spans="1:14" x14ac:dyDescent="0.3">
      <c r="A1055" s="8" t="s">
        <v>1271</v>
      </c>
      <c r="B1055" s="62" t="s">
        <v>933</v>
      </c>
      <c r="C1055" s="68" t="s">
        <v>1382</v>
      </c>
      <c r="D1055" s="68" t="s">
        <v>1372</v>
      </c>
      <c r="E1055" s="8" t="s">
        <v>480</v>
      </c>
      <c r="F1055" s="64" t="s">
        <v>223</v>
      </c>
      <c r="G1055" s="18" t="s">
        <v>829</v>
      </c>
      <c r="H1055" s="14">
        <v>1122.8999999999999</v>
      </c>
      <c r="I1055" s="14">
        <v>1122.8999999999999</v>
      </c>
      <c r="J1055" s="14">
        <v>1122.8851500000001</v>
      </c>
      <c r="K1055" s="78">
        <f t="shared" si="497"/>
        <v>99.998677531391962</v>
      </c>
      <c r="L1055" s="14"/>
      <c r="M1055" s="50"/>
      <c r="N1055" s="50"/>
    </row>
    <row r="1056" spans="1:14" ht="16.5" customHeight="1" x14ac:dyDescent="0.3">
      <c r="A1056" s="8" t="s">
        <v>1271</v>
      </c>
      <c r="B1056" s="48">
        <v>1102</v>
      </c>
      <c r="C1056" s="48" t="s">
        <v>1382</v>
      </c>
      <c r="D1056" s="48" t="s">
        <v>1478</v>
      </c>
      <c r="E1056" s="8"/>
      <c r="F1056" s="64"/>
      <c r="G1056" s="7" t="s">
        <v>1425</v>
      </c>
      <c r="H1056" s="14">
        <f>H1057</f>
        <v>0</v>
      </c>
      <c r="I1056" s="14">
        <f t="shared" ref="I1056:L1059" si="507">I1057</f>
        <v>4185.0432000000001</v>
      </c>
      <c r="J1056" s="14">
        <f t="shared" si="507"/>
        <v>4185.0432000000001</v>
      </c>
      <c r="K1056" s="78">
        <f t="shared" si="497"/>
        <v>100</v>
      </c>
      <c r="L1056" s="14">
        <f t="shared" si="507"/>
        <v>0</v>
      </c>
      <c r="M1056" s="65"/>
      <c r="N1056" s="65"/>
    </row>
    <row r="1057" spans="1:14" ht="31.2" x14ac:dyDescent="0.3">
      <c r="A1057" s="8" t="s">
        <v>1271</v>
      </c>
      <c r="B1057" s="62">
        <v>1102</v>
      </c>
      <c r="C1057" s="83" t="s">
        <v>1382</v>
      </c>
      <c r="D1057" s="83" t="s">
        <v>1478</v>
      </c>
      <c r="E1057" s="45" t="s">
        <v>429</v>
      </c>
      <c r="F1057" s="45"/>
      <c r="G1057" s="23" t="s">
        <v>1140</v>
      </c>
      <c r="H1057" s="14">
        <f>H1058</f>
        <v>0</v>
      </c>
      <c r="I1057" s="14">
        <f t="shared" si="507"/>
        <v>4185.0432000000001</v>
      </c>
      <c r="J1057" s="14">
        <f t="shared" si="507"/>
        <v>4185.0432000000001</v>
      </c>
      <c r="K1057" s="78">
        <f t="shared" si="497"/>
        <v>100</v>
      </c>
      <c r="L1057" s="14">
        <f t="shared" si="507"/>
        <v>0</v>
      </c>
      <c r="M1057" s="50"/>
      <c r="N1057" s="50"/>
    </row>
    <row r="1058" spans="1:14" x14ac:dyDescent="0.3">
      <c r="A1058" s="8" t="s">
        <v>1271</v>
      </c>
      <c r="B1058" s="62">
        <v>1102</v>
      </c>
      <c r="C1058" s="83" t="s">
        <v>1382</v>
      </c>
      <c r="D1058" s="83" t="s">
        <v>1478</v>
      </c>
      <c r="E1058" s="45" t="s">
        <v>430</v>
      </c>
      <c r="F1058" s="45"/>
      <c r="G1058" s="23" t="s">
        <v>1141</v>
      </c>
      <c r="H1058" s="14">
        <f>H1059</f>
        <v>0</v>
      </c>
      <c r="I1058" s="14">
        <f t="shared" si="507"/>
        <v>4185.0432000000001</v>
      </c>
      <c r="J1058" s="14">
        <f t="shared" si="507"/>
        <v>4185.0432000000001</v>
      </c>
      <c r="K1058" s="78">
        <f t="shared" si="497"/>
        <v>100</v>
      </c>
      <c r="L1058" s="14">
        <f t="shared" si="507"/>
        <v>0</v>
      </c>
      <c r="M1058" s="50"/>
      <c r="N1058" s="50"/>
    </row>
    <row r="1059" spans="1:14" ht="31.2" x14ac:dyDescent="0.3">
      <c r="A1059" s="8" t="s">
        <v>1271</v>
      </c>
      <c r="B1059" s="62">
        <v>1102</v>
      </c>
      <c r="C1059" s="83" t="s">
        <v>1382</v>
      </c>
      <c r="D1059" s="83" t="s">
        <v>1478</v>
      </c>
      <c r="E1059" s="45" t="s">
        <v>13</v>
      </c>
      <c r="F1059" s="45"/>
      <c r="G1059" s="23" t="s">
        <v>14</v>
      </c>
      <c r="H1059" s="14">
        <f>H1060</f>
        <v>0</v>
      </c>
      <c r="I1059" s="14">
        <f t="shared" si="507"/>
        <v>4185.0432000000001</v>
      </c>
      <c r="J1059" s="14">
        <f t="shared" si="507"/>
        <v>4185.0432000000001</v>
      </c>
      <c r="K1059" s="78">
        <f t="shared" si="497"/>
        <v>100</v>
      </c>
      <c r="L1059" s="14">
        <f t="shared" si="507"/>
        <v>0</v>
      </c>
      <c r="M1059" s="50"/>
      <c r="N1059" s="50"/>
    </row>
    <row r="1060" spans="1:14" ht="31.2" x14ac:dyDescent="0.3">
      <c r="A1060" s="8" t="s">
        <v>1271</v>
      </c>
      <c r="B1060" s="62">
        <v>1102</v>
      </c>
      <c r="C1060" s="83" t="s">
        <v>1382</v>
      </c>
      <c r="D1060" s="83" t="s">
        <v>1478</v>
      </c>
      <c r="E1060" s="45" t="s">
        <v>13</v>
      </c>
      <c r="F1060" s="45" t="s">
        <v>402</v>
      </c>
      <c r="G1060" s="23" t="s">
        <v>819</v>
      </c>
      <c r="H1060" s="14">
        <f>H1061+H1062</f>
        <v>0</v>
      </c>
      <c r="I1060" s="14">
        <f t="shared" ref="I1060:L1060" si="508">I1061+I1062</f>
        <v>4185.0432000000001</v>
      </c>
      <c r="J1060" s="14">
        <f t="shared" si="508"/>
        <v>4185.0432000000001</v>
      </c>
      <c r="K1060" s="78">
        <f t="shared" si="497"/>
        <v>100</v>
      </c>
      <c r="L1060" s="14">
        <f t="shared" si="508"/>
        <v>0</v>
      </c>
      <c r="M1060" s="50"/>
      <c r="N1060" s="50"/>
    </row>
    <row r="1061" spans="1:14" x14ac:dyDescent="0.3">
      <c r="A1061" s="8" t="s">
        <v>1271</v>
      </c>
      <c r="B1061" s="62">
        <v>1102</v>
      </c>
      <c r="C1061" s="83" t="s">
        <v>1382</v>
      </c>
      <c r="D1061" s="83" t="s">
        <v>1478</v>
      </c>
      <c r="E1061" s="45" t="s">
        <v>13</v>
      </c>
      <c r="F1061" s="45" t="s">
        <v>726</v>
      </c>
      <c r="G1061" s="13" t="s">
        <v>820</v>
      </c>
      <c r="H1061" s="20">
        <v>0</v>
      </c>
      <c r="I1061" s="14">
        <v>174.3768</v>
      </c>
      <c r="J1061" s="14">
        <v>174.3768</v>
      </c>
      <c r="K1061" s="78">
        <f t="shared" si="497"/>
        <v>100</v>
      </c>
      <c r="L1061" s="14"/>
      <c r="M1061" s="50"/>
      <c r="N1061" s="50"/>
    </row>
    <row r="1062" spans="1:14" x14ac:dyDescent="0.3">
      <c r="A1062" s="8" t="s">
        <v>1271</v>
      </c>
      <c r="B1062" s="62">
        <v>1102</v>
      </c>
      <c r="C1062" s="83" t="s">
        <v>1382</v>
      </c>
      <c r="D1062" s="83" t="s">
        <v>1478</v>
      </c>
      <c r="E1062" s="45" t="s">
        <v>13</v>
      </c>
      <c r="F1062" s="64" t="s">
        <v>223</v>
      </c>
      <c r="G1062" s="18" t="s">
        <v>829</v>
      </c>
      <c r="H1062" s="20">
        <v>0</v>
      </c>
      <c r="I1062" s="14">
        <v>4010.6664000000001</v>
      </c>
      <c r="J1062" s="14">
        <v>4010.6664000000001</v>
      </c>
      <c r="K1062" s="78">
        <f t="shared" si="497"/>
        <v>100</v>
      </c>
      <c r="L1062" s="14"/>
      <c r="M1062" s="50"/>
      <c r="N1062" s="50"/>
    </row>
    <row r="1063" spans="1:14" s="3" customFormat="1" ht="18" customHeight="1" x14ac:dyDescent="0.3">
      <c r="A1063" s="10" t="s">
        <v>710</v>
      </c>
      <c r="B1063" s="43" t="s">
        <v>915</v>
      </c>
      <c r="C1063" s="43" t="s">
        <v>915</v>
      </c>
      <c r="D1063" s="43" t="s">
        <v>915</v>
      </c>
      <c r="E1063" s="10"/>
      <c r="F1063" s="10"/>
      <c r="G1063" s="5" t="s">
        <v>1410</v>
      </c>
      <c r="H1063" s="15">
        <f>H1064+H1159+H1219+H1289+H1123+H1301+H1309+H1326</f>
        <v>344049.52999999997</v>
      </c>
      <c r="I1063" s="15">
        <f>I1064+I1159+I1219+I1289+I1123+I1301+I1309+I1326</f>
        <v>481003.45631000015</v>
      </c>
      <c r="J1063" s="15">
        <f t="shared" ref="J1063" si="509">J1064+J1159+J1219+J1289+J1123+J1301+J1309+J1326</f>
        <v>480044.72369000001</v>
      </c>
      <c r="K1063" s="81">
        <f t="shared" si="497"/>
        <v>99.80068072122495</v>
      </c>
      <c r="L1063" s="15">
        <f>L1064+L1159+L1219+L1289+L1123+L1301+L1309+L1326</f>
        <v>0</v>
      </c>
      <c r="M1063" s="65"/>
      <c r="N1063" s="65"/>
    </row>
    <row r="1064" spans="1:14" s="3" customFormat="1" x14ac:dyDescent="0.3">
      <c r="A1064" s="10" t="s">
        <v>710</v>
      </c>
      <c r="B1064" s="43" t="s">
        <v>1372</v>
      </c>
      <c r="C1064" s="43" t="s">
        <v>1372</v>
      </c>
      <c r="D1064" s="43" t="s">
        <v>915</v>
      </c>
      <c r="E1064" s="10"/>
      <c r="F1064" s="10"/>
      <c r="G1064" s="5" t="s">
        <v>1376</v>
      </c>
      <c r="H1064" s="15">
        <f>H1065+H1086</f>
        <v>42769.042000000009</v>
      </c>
      <c r="I1064" s="15">
        <f>I1065+I1086</f>
        <v>43016.142000000007</v>
      </c>
      <c r="J1064" s="15">
        <f t="shared" ref="J1064" si="510">J1065+J1086</f>
        <v>42717.063719999998</v>
      </c>
      <c r="K1064" s="81">
        <f t="shared" si="497"/>
        <v>99.304730117359171</v>
      </c>
      <c r="L1064" s="15">
        <f>L1065+L1086</f>
        <v>0</v>
      </c>
      <c r="M1064" s="65"/>
      <c r="N1064" s="65"/>
    </row>
    <row r="1065" spans="1:14" s="9" customFormat="1" ht="62.4" x14ac:dyDescent="0.3">
      <c r="A1065" s="11" t="s">
        <v>710</v>
      </c>
      <c r="B1065" s="48" t="s">
        <v>934</v>
      </c>
      <c r="C1065" s="48" t="s">
        <v>1372</v>
      </c>
      <c r="D1065" s="48" t="s">
        <v>1386</v>
      </c>
      <c r="E1065" s="11"/>
      <c r="F1065" s="11"/>
      <c r="G1065" s="7" t="s">
        <v>1418</v>
      </c>
      <c r="H1065" s="16">
        <f>H1074+H1066</f>
        <v>37310.600000000006</v>
      </c>
      <c r="I1065" s="16">
        <f>I1074+I1066</f>
        <v>37510.700000000004</v>
      </c>
      <c r="J1065" s="16">
        <f t="shared" ref="J1065" si="511">J1074+J1066</f>
        <v>37488.3511</v>
      </c>
      <c r="K1065" s="82">
        <f t="shared" si="497"/>
        <v>99.940419933512288</v>
      </c>
      <c r="L1065" s="16">
        <f>L1074+L1066</f>
        <v>0</v>
      </c>
      <c r="M1065" s="65"/>
      <c r="N1065" s="65"/>
    </row>
    <row r="1066" spans="1:14" ht="31.2" x14ac:dyDescent="0.3">
      <c r="A1066" s="8" t="s">
        <v>710</v>
      </c>
      <c r="B1066" s="62" t="s">
        <v>934</v>
      </c>
      <c r="C1066" s="68" t="s">
        <v>1372</v>
      </c>
      <c r="D1066" s="68" t="s">
        <v>1386</v>
      </c>
      <c r="E1066" s="8" t="s">
        <v>396</v>
      </c>
      <c r="F1066" s="8"/>
      <c r="G1066" s="13" t="s">
        <v>876</v>
      </c>
      <c r="H1066" s="14">
        <f t="shared" ref="H1066:L1066" si="512">H1067</f>
        <v>1545.9</v>
      </c>
      <c r="I1066" s="14">
        <f t="shared" si="512"/>
        <v>1688.9</v>
      </c>
      <c r="J1066" s="14">
        <f t="shared" si="512"/>
        <v>1688.9</v>
      </c>
      <c r="K1066" s="78">
        <f t="shared" si="497"/>
        <v>100</v>
      </c>
      <c r="L1066" s="14">
        <f t="shared" si="512"/>
        <v>0</v>
      </c>
      <c r="M1066" s="50"/>
      <c r="N1066" s="50"/>
    </row>
    <row r="1067" spans="1:14" ht="31.2" x14ac:dyDescent="0.3">
      <c r="A1067" s="8" t="s">
        <v>710</v>
      </c>
      <c r="B1067" s="62" t="s">
        <v>934</v>
      </c>
      <c r="C1067" s="68" t="s">
        <v>1372</v>
      </c>
      <c r="D1067" s="68" t="s">
        <v>1386</v>
      </c>
      <c r="E1067" s="8" t="s">
        <v>485</v>
      </c>
      <c r="F1067" s="8"/>
      <c r="G1067" s="13" t="s">
        <v>877</v>
      </c>
      <c r="H1067" s="14">
        <f t="shared" ref="H1067:L1070" si="513">H1068</f>
        <v>1545.9</v>
      </c>
      <c r="I1067" s="14">
        <f t="shared" si="513"/>
        <v>1688.9</v>
      </c>
      <c r="J1067" s="14">
        <f t="shared" si="513"/>
        <v>1688.9</v>
      </c>
      <c r="K1067" s="78">
        <f t="shared" si="497"/>
        <v>100</v>
      </c>
      <c r="L1067" s="14">
        <f t="shared" si="513"/>
        <v>0</v>
      </c>
      <c r="M1067" s="50"/>
      <c r="N1067" s="50"/>
    </row>
    <row r="1068" spans="1:14" ht="62.4" x14ac:dyDescent="0.3">
      <c r="A1068" s="8" t="s">
        <v>710</v>
      </c>
      <c r="B1068" s="62" t="s">
        <v>934</v>
      </c>
      <c r="C1068" s="68" t="s">
        <v>1372</v>
      </c>
      <c r="D1068" s="68" t="s">
        <v>1386</v>
      </c>
      <c r="E1068" s="8" t="s">
        <v>518</v>
      </c>
      <c r="F1068" s="8"/>
      <c r="G1068" s="18" t="s">
        <v>878</v>
      </c>
      <c r="H1068" s="14">
        <f t="shared" si="513"/>
        <v>1545.9</v>
      </c>
      <c r="I1068" s="14">
        <f t="shared" si="513"/>
        <v>1688.9</v>
      </c>
      <c r="J1068" s="14">
        <f t="shared" si="513"/>
        <v>1688.9</v>
      </c>
      <c r="K1068" s="78">
        <f t="shared" si="497"/>
        <v>100</v>
      </c>
      <c r="L1068" s="14">
        <f t="shared" si="513"/>
        <v>0</v>
      </c>
      <c r="M1068" s="50"/>
      <c r="N1068" s="50"/>
    </row>
    <row r="1069" spans="1:14" ht="31.2" x14ac:dyDescent="0.3">
      <c r="A1069" s="8" t="s">
        <v>710</v>
      </c>
      <c r="B1069" s="62" t="s">
        <v>934</v>
      </c>
      <c r="C1069" s="68" t="s">
        <v>1372</v>
      </c>
      <c r="D1069" s="68" t="s">
        <v>1386</v>
      </c>
      <c r="E1069" s="8" t="s">
        <v>244</v>
      </c>
      <c r="F1069" s="8"/>
      <c r="G1069" s="18" t="s">
        <v>879</v>
      </c>
      <c r="H1069" s="14">
        <f>H1070+H1072</f>
        <v>1545.9</v>
      </c>
      <c r="I1069" s="14">
        <f t="shared" ref="I1069:L1069" si="514">I1070+I1072</f>
        <v>1688.9</v>
      </c>
      <c r="J1069" s="14">
        <f t="shared" si="514"/>
        <v>1688.9</v>
      </c>
      <c r="K1069" s="78">
        <f t="shared" si="497"/>
        <v>100</v>
      </c>
      <c r="L1069" s="14">
        <f t="shared" si="514"/>
        <v>0</v>
      </c>
      <c r="M1069" s="50"/>
      <c r="N1069" s="50"/>
    </row>
    <row r="1070" spans="1:14" ht="78" x14ac:dyDescent="0.3">
      <c r="A1070" s="8" t="s">
        <v>710</v>
      </c>
      <c r="B1070" s="62" t="s">
        <v>934</v>
      </c>
      <c r="C1070" s="68" t="s">
        <v>1372</v>
      </c>
      <c r="D1070" s="68" t="s">
        <v>1386</v>
      </c>
      <c r="E1070" s="8" t="s">
        <v>244</v>
      </c>
      <c r="F1070" s="45" t="s">
        <v>431</v>
      </c>
      <c r="G1070" s="23" t="s">
        <v>806</v>
      </c>
      <c r="H1070" s="14">
        <f t="shared" si="513"/>
        <v>1545.9</v>
      </c>
      <c r="I1070" s="14">
        <f t="shared" si="513"/>
        <v>1642.7836400000001</v>
      </c>
      <c r="J1070" s="14">
        <f t="shared" si="513"/>
        <v>1642.7836400000001</v>
      </c>
      <c r="K1070" s="78">
        <f t="shared" si="497"/>
        <v>100</v>
      </c>
      <c r="L1070" s="14">
        <f t="shared" si="513"/>
        <v>0</v>
      </c>
      <c r="M1070" s="50"/>
      <c r="N1070" s="50"/>
    </row>
    <row r="1071" spans="1:14" ht="31.2" x14ac:dyDescent="0.3">
      <c r="A1071" s="8" t="s">
        <v>710</v>
      </c>
      <c r="B1071" s="62" t="s">
        <v>934</v>
      </c>
      <c r="C1071" s="68" t="s">
        <v>1372</v>
      </c>
      <c r="D1071" s="68" t="s">
        <v>1386</v>
      </c>
      <c r="E1071" s="8" t="s">
        <v>244</v>
      </c>
      <c r="F1071" s="45" t="s">
        <v>233</v>
      </c>
      <c r="G1071" s="23" t="s">
        <v>808</v>
      </c>
      <c r="H1071" s="14">
        <v>1545.9</v>
      </c>
      <c r="I1071" s="14">
        <v>1642.7836400000001</v>
      </c>
      <c r="J1071" s="14">
        <v>1642.7836400000001</v>
      </c>
      <c r="K1071" s="78">
        <f t="shared" si="497"/>
        <v>100</v>
      </c>
      <c r="L1071" s="14"/>
      <c r="M1071" s="50"/>
      <c r="N1071" s="50"/>
    </row>
    <row r="1072" spans="1:14" ht="31.2" x14ac:dyDescent="0.3">
      <c r="A1072" s="8" t="s">
        <v>710</v>
      </c>
      <c r="B1072" s="62" t="s">
        <v>934</v>
      </c>
      <c r="C1072" s="68" t="s">
        <v>1372</v>
      </c>
      <c r="D1072" s="68" t="s">
        <v>1386</v>
      </c>
      <c r="E1072" s="8" t="s">
        <v>244</v>
      </c>
      <c r="F1072" s="45" t="s">
        <v>380</v>
      </c>
      <c r="G1072" s="23" t="s">
        <v>809</v>
      </c>
      <c r="H1072" s="14">
        <f>H1073</f>
        <v>0</v>
      </c>
      <c r="I1072" s="14">
        <f t="shared" ref="I1072:L1072" si="515">I1073</f>
        <v>46.11636</v>
      </c>
      <c r="J1072" s="14">
        <f t="shared" si="515"/>
        <v>46.11636</v>
      </c>
      <c r="K1072" s="78">
        <f t="shared" si="497"/>
        <v>100</v>
      </c>
      <c r="L1072" s="14">
        <f t="shared" si="515"/>
        <v>0</v>
      </c>
      <c r="M1072" s="50"/>
      <c r="N1072" s="50"/>
    </row>
    <row r="1073" spans="1:14" ht="31.2" x14ac:dyDescent="0.3">
      <c r="A1073" s="8" t="s">
        <v>710</v>
      </c>
      <c r="B1073" s="62" t="s">
        <v>934</v>
      </c>
      <c r="C1073" s="68" t="s">
        <v>1372</v>
      </c>
      <c r="D1073" s="68" t="s">
        <v>1386</v>
      </c>
      <c r="E1073" s="8" t="s">
        <v>244</v>
      </c>
      <c r="F1073" s="8" t="s">
        <v>247</v>
      </c>
      <c r="G1073" s="23" t="s">
        <v>810</v>
      </c>
      <c r="H1073" s="19">
        <v>0</v>
      </c>
      <c r="I1073" s="14">
        <v>46.11636</v>
      </c>
      <c r="J1073" s="20">
        <v>46.11636</v>
      </c>
      <c r="K1073" s="77">
        <f t="shared" si="497"/>
        <v>100</v>
      </c>
      <c r="L1073" s="14"/>
      <c r="M1073" s="50"/>
      <c r="N1073" s="50"/>
    </row>
    <row r="1074" spans="1:14" ht="31.2" x14ac:dyDescent="0.3">
      <c r="A1074" s="8" t="s">
        <v>710</v>
      </c>
      <c r="B1074" s="62" t="s">
        <v>934</v>
      </c>
      <c r="C1074" s="68" t="s">
        <v>1372</v>
      </c>
      <c r="D1074" s="68" t="s">
        <v>1386</v>
      </c>
      <c r="E1074" s="8" t="s">
        <v>343</v>
      </c>
      <c r="F1074" s="8"/>
      <c r="G1074" s="23" t="s">
        <v>1157</v>
      </c>
      <c r="H1074" s="14">
        <f t="shared" ref="H1074:L1074" si="516">H1075</f>
        <v>35764.700000000004</v>
      </c>
      <c r="I1074" s="14">
        <f t="shared" si="516"/>
        <v>35821.800000000003</v>
      </c>
      <c r="J1074" s="14">
        <f t="shared" si="516"/>
        <v>35799.451099999998</v>
      </c>
      <c r="K1074" s="78">
        <f t="shared" si="497"/>
        <v>99.937610896158191</v>
      </c>
      <c r="L1074" s="14">
        <f t="shared" si="516"/>
        <v>0</v>
      </c>
      <c r="M1074" s="50"/>
      <c r="N1074" s="50"/>
    </row>
    <row r="1075" spans="1:14" x14ac:dyDescent="0.3">
      <c r="A1075" s="8" t="s">
        <v>710</v>
      </c>
      <c r="B1075" s="62" t="s">
        <v>934</v>
      </c>
      <c r="C1075" s="68" t="s">
        <v>1372</v>
      </c>
      <c r="D1075" s="68" t="s">
        <v>1386</v>
      </c>
      <c r="E1075" s="8" t="s">
        <v>351</v>
      </c>
      <c r="F1075" s="8"/>
      <c r="G1075" s="13" t="s">
        <v>1158</v>
      </c>
      <c r="H1075" s="14">
        <f>H1076+H1079</f>
        <v>35764.700000000004</v>
      </c>
      <c r="I1075" s="14">
        <f>I1076+I1079</f>
        <v>35821.800000000003</v>
      </c>
      <c r="J1075" s="14">
        <f t="shared" ref="J1075" si="517">J1076+J1079</f>
        <v>35799.451099999998</v>
      </c>
      <c r="K1075" s="78">
        <f t="shared" si="497"/>
        <v>99.937610896158191</v>
      </c>
      <c r="L1075" s="14">
        <f>L1076+L1079</f>
        <v>0</v>
      </c>
      <c r="M1075" s="50"/>
      <c r="N1075" s="50"/>
    </row>
    <row r="1076" spans="1:14" ht="31.2" x14ac:dyDescent="0.3">
      <c r="A1076" s="8" t="s">
        <v>710</v>
      </c>
      <c r="B1076" s="62" t="s">
        <v>934</v>
      </c>
      <c r="C1076" s="68" t="s">
        <v>1372</v>
      </c>
      <c r="D1076" s="68" t="s">
        <v>1386</v>
      </c>
      <c r="E1076" s="8" t="s">
        <v>352</v>
      </c>
      <c r="F1076" s="8"/>
      <c r="G1076" s="13" t="s">
        <v>1152</v>
      </c>
      <c r="H1076" s="14">
        <f t="shared" ref="H1076:L1077" si="518">H1077</f>
        <v>32486.9</v>
      </c>
      <c r="I1076" s="14">
        <f t="shared" si="518"/>
        <v>32843.329360000003</v>
      </c>
      <c r="J1076" s="14">
        <f t="shared" si="518"/>
        <v>32839.979959999997</v>
      </c>
      <c r="K1076" s="78">
        <f t="shared" si="497"/>
        <v>99.989801886516148</v>
      </c>
      <c r="L1076" s="14">
        <f t="shared" si="518"/>
        <v>0</v>
      </c>
      <c r="M1076" s="50"/>
      <c r="N1076" s="50"/>
    </row>
    <row r="1077" spans="1:14" ht="78" x14ac:dyDescent="0.3">
      <c r="A1077" s="8" t="s">
        <v>710</v>
      </c>
      <c r="B1077" s="62" t="s">
        <v>934</v>
      </c>
      <c r="C1077" s="68" t="s">
        <v>1372</v>
      </c>
      <c r="D1077" s="68" t="s">
        <v>1386</v>
      </c>
      <c r="E1077" s="8" t="s">
        <v>352</v>
      </c>
      <c r="F1077" s="45" t="s">
        <v>431</v>
      </c>
      <c r="G1077" s="23" t="s">
        <v>806</v>
      </c>
      <c r="H1077" s="14">
        <f t="shared" si="518"/>
        <v>32486.9</v>
      </c>
      <c r="I1077" s="14">
        <f t="shared" si="518"/>
        <v>32843.329360000003</v>
      </c>
      <c r="J1077" s="14">
        <f t="shared" si="518"/>
        <v>32839.979959999997</v>
      </c>
      <c r="K1077" s="78">
        <f t="shared" si="497"/>
        <v>99.989801886516148</v>
      </c>
      <c r="L1077" s="14">
        <f t="shared" si="518"/>
        <v>0</v>
      </c>
      <c r="M1077" s="50"/>
      <c r="N1077" s="50"/>
    </row>
    <row r="1078" spans="1:14" ht="31.2" x14ac:dyDescent="0.3">
      <c r="A1078" s="8" t="s">
        <v>710</v>
      </c>
      <c r="B1078" s="62" t="s">
        <v>934</v>
      </c>
      <c r="C1078" s="68" t="s">
        <v>1372</v>
      </c>
      <c r="D1078" s="68" t="s">
        <v>1386</v>
      </c>
      <c r="E1078" s="8" t="s">
        <v>352</v>
      </c>
      <c r="F1078" s="45" t="s">
        <v>233</v>
      </c>
      <c r="G1078" s="23" t="s">
        <v>808</v>
      </c>
      <c r="H1078" s="14">
        <v>32486.9</v>
      </c>
      <c r="I1078" s="14">
        <v>32843.329360000003</v>
      </c>
      <c r="J1078" s="14">
        <v>32839.979959999997</v>
      </c>
      <c r="K1078" s="78">
        <f t="shared" si="497"/>
        <v>99.989801886516148</v>
      </c>
      <c r="L1078" s="14"/>
      <c r="M1078" s="50"/>
      <c r="N1078" s="50"/>
    </row>
    <row r="1079" spans="1:14" ht="31.2" x14ac:dyDescent="0.3">
      <c r="A1079" s="8" t="s">
        <v>710</v>
      </c>
      <c r="B1079" s="62" t="s">
        <v>934</v>
      </c>
      <c r="C1079" s="68" t="s">
        <v>1372</v>
      </c>
      <c r="D1079" s="68" t="s">
        <v>1386</v>
      </c>
      <c r="E1079" s="8" t="s">
        <v>353</v>
      </c>
      <c r="F1079" s="8"/>
      <c r="G1079" s="13" t="s">
        <v>1154</v>
      </c>
      <c r="H1079" s="14">
        <f>H1082+H1084+H1080</f>
        <v>3277.8</v>
      </c>
      <c r="I1079" s="14">
        <f>I1082+I1084+I1080</f>
        <v>2978.47064</v>
      </c>
      <c r="J1079" s="14">
        <f t="shared" ref="J1079" si="519">J1082+J1084+J1080</f>
        <v>2959.4711400000001</v>
      </c>
      <c r="K1079" s="78">
        <f t="shared" si="497"/>
        <v>99.362105513318085</v>
      </c>
      <c r="L1079" s="14">
        <f>L1082+L1084+L1080</f>
        <v>0</v>
      </c>
      <c r="M1079" s="50"/>
      <c r="N1079" s="50"/>
    </row>
    <row r="1080" spans="1:14" ht="78" x14ac:dyDescent="0.3">
      <c r="A1080" s="8" t="s">
        <v>710</v>
      </c>
      <c r="B1080" s="62" t="s">
        <v>934</v>
      </c>
      <c r="C1080" s="68" t="s">
        <v>1372</v>
      </c>
      <c r="D1080" s="68" t="s">
        <v>1386</v>
      </c>
      <c r="E1080" s="8" t="s">
        <v>353</v>
      </c>
      <c r="F1080" s="45" t="s">
        <v>431</v>
      </c>
      <c r="G1080" s="23" t="s">
        <v>806</v>
      </c>
      <c r="H1080" s="14">
        <f t="shared" ref="H1080:L1080" si="520">H1081</f>
        <v>3.9</v>
      </c>
      <c r="I1080" s="14">
        <f t="shared" si="520"/>
        <v>11.294750000000001</v>
      </c>
      <c r="J1080" s="14">
        <f t="shared" si="520"/>
        <v>11.294750000000001</v>
      </c>
      <c r="K1080" s="78">
        <f t="shared" si="497"/>
        <v>100</v>
      </c>
      <c r="L1080" s="14">
        <f t="shared" si="520"/>
        <v>0</v>
      </c>
      <c r="M1080" s="50"/>
      <c r="N1080" s="50"/>
    </row>
    <row r="1081" spans="1:14" ht="31.2" x14ac:dyDescent="0.3">
      <c r="A1081" s="8" t="s">
        <v>710</v>
      </c>
      <c r="B1081" s="62" t="s">
        <v>934</v>
      </c>
      <c r="C1081" s="68" t="s">
        <v>1372</v>
      </c>
      <c r="D1081" s="68" t="s">
        <v>1386</v>
      </c>
      <c r="E1081" s="8" t="s">
        <v>353</v>
      </c>
      <c r="F1081" s="45" t="s">
        <v>233</v>
      </c>
      <c r="G1081" s="23" t="s">
        <v>808</v>
      </c>
      <c r="H1081" s="14">
        <v>3.9</v>
      </c>
      <c r="I1081" s="14">
        <v>11.294750000000001</v>
      </c>
      <c r="J1081" s="14">
        <v>11.294750000000001</v>
      </c>
      <c r="K1081" s="78">
        <f t="shared" si="497"/>
        <v>100</v>
      </c>
      <c r="L1081" s="14"/>
      <c r="M1081" s="50"/>
      <c r="N1081" s="50"/>
    </row>
    <row r="1082" spans="1:14" ht="31.2" x14ac:dyDescent="0.3">
      <c r="A1082" s="8" t="s">
        <v>710</v>
      </c>
      <c r="B1082" s="62" t="s">
        <v>934</v>
      </c>
      <c r="C1082" s="68" t="s">
        <v>1372</v>
      </c>
      <c r="D1082" s="68" t="s">
        <v>1386</v>
      </c>
      <c r="E1082" s="8" t="s">
        <v>353</v>
      </c>
      <c r="F1082" s="45" t="s">
        <v>380</v>
      </c>
      <c r="G1082" s="23" t="s">
        <v>809</v>
      </c>
      <c r="H1082" s="14">
        <f t="shared" ref="H1082:L1082" si="521">H1083</f>
        <v>3269.1</v>
      </c>
      <c r="I1082" s="14">
        <f t="shared" si="521"/>
        <v>2966.29889</v>
      </c>
      <c r="J1082" s="14">
        <f t="shared" si="521"/>
        <v>2947.2993900000001</v>
      </c>
      <c r="K1082" s="78">
        <f t="shared" si="497"/>
        <v>99.35948801167504</v>
      </c>
      <c r="L1082" s="14">
        <f t="shared" si="521"/>
        <v>0</v>
      </c>
      <c r="M1082" s="50"/>
      <c r="N1082" s="50"/>
    </row>
    <row r="1083" spans="1:14" ht="31.2" x14ac:dyDescent="0.3">
      <c r="A1083" s="8" t="s">
        <v>710</v>
      </c>
      <c r="B1083" s="62" t="s">
        <v>934</v>
      </c>
      <c r="C1083" s="68" t="s">
        <v>1372</v>
      </c>
      <c r="D1083" s="68" t="s">
        <v>1386</v>
      </c>
      <c r="E1083" s="8" t="s">
        <v>353</v>
      </c>
      <c r="F1083" s="8" t="s">
        <v>247</v>
      </c>
      <c r="G1083" s="23" t="s">
        <v>810</v>
      </c>
      <c r="H1083" s="14">
        <v>3269.1</v>
      </c>
      <c r="I1083" s="14">
        <v>2966.29889</v>
      </c>
      <c r="J1083" s="14">
        <v>2947.2993900000001</v>
      </c>
      <c r="K1083" s="78">
        <f t="shared" si="497"/>
        <v>99.35948801167504</v>
      </c>
      <c r="L1083" s="14"/>
      <c r="M1083" s="50"/>
      <c r="N1083" s="50"/>
    </row>
    <row r="1084" spans="1:14" x14ac:dyDescent="0.3">
      <c r="A1084" s="8" t="s">
        <v>710</v>
      </c>
      <c r="B1084" s="62" t="s">
        <v>934</v>
      </c>
      <c r="C1084" s="68" t="s">
        <v>1372</v>
      </c>
      <c r="D1084" s="68" t="s">
        <v>1386</v>
      </c>
      <c r="E1084" s="8" t="s">
        <v>353</v>
      </c>
      <c r="F1084" s="45" t="s">
        <v>464</v>
      </c>
      <c r="G1084" s="23" t="s">
        <v>822</v>
      </c>
      <c r="H1084" s="14">
        <f t="shared" ref="H1084:L1084" si="522">H1085</f>
        <v>4.8</v>
      </c>
      <c r="I1084" s="14">
        <f t="shared" si="522"/>
        <v>0.877</v>
      </c>
      <c r="J1084" s="14">
        <f t="shared" si="522"/>
        <v>0.877</v>
      </c>
      <c r="K1084" s="78">
        <f t="shared" si="497"/>
        <v>100</v>
      </c>
      <c r="L1084" s="14">
        <f t="shared" si="522"/>
        <v>0</v>
      </c>
      <c r="M1084" s="50"/>
      <c r="N1084" s="50"/>
    </row>
    <row r="1085" spans="1:14" x14ac:dyDescent="0.3">
      <c r="A1085" s="8" t="s">
        <v>710</v>
      </c>
      <c r="B1085" s="62" t="s">
        <v>934</v>
      </c>
      <c r="C1085" s="68" t="s">
        <v>1372</v>
      </c>
      <c r="D1085" s="68" t="s">
        <v>1386</v>
      </c>
      <c r="E1085" s="8" t="s">
        <v>353</v>
      </c>
      <c r="F1085" s="45" t="s">
        <v>729</v>
      </c>
      <c r="G1085" s="23" t="s">
        <v>824</v>
      </c>
      <c r="H1085" s="14">
        <v>4.8</v>
      </c>
      <c r="I1085" s="14">
        <v>0.877</v>
      </c>
      <c r="J1085" s="14">
        <v>0.877</v>
      </c>
      <c r="K1085" s="78">
        <f t="shared" si="497"/>
        <v>100</v>
      </c>
      <c r="L1085" s="14"/>
      <c r="M1085" s="50"/>
      <c r="N1085" s="50"/>
    </row>
    <row r="1086" spans="1:14" s="9" customFormat="1" x14ac:dyDescent="0.3">
      <c r="A1086" s="11" t="s">
        <v>710</v>
      </c>
      <c r="B1086" s="48" t="s">
        <v>912</v>
      </c>
      <c r="C1086" s="48" t="s">
        <v>1372</v>
      </c>
      <c r="D1086" s="48" t="s">
        <v>1477</v>
      </c>
      <c r="E1086" s="11"/>
      <c r="F1086" s="11"/>
      <c r="G1086" s="7" t="s">
        <v>1377</v>
      </c>
      <c r="H1086" s="16">
        <f>H1087+H1096+H1118</f>
        <v>5458.442</v>
      </c>
      <c r="I1086" s="16">
        <f t="shared" ref="I1086:L1086" si="523">I1087+I1096+I1118</f>
        <v>5505.4419999999991</v>
      </c>
      <c r="J1086" s="16">
        <f t="shared" si="523"/>
        <v>5228.7126200000002</v>
      </c>
      <c r="K1086" s="82">
        <f t="shared" si="497"/>
        <v>94.973530190673173</v>
      </c>
      <c r="L1086" s="16">
        <f t="shared" si="523"/>
        <v>0</v>
      </c>
      <c r="M1086" s="65"/>
      <c r="N1086" s="65"/>
    </row>
    <row r="1087" spans="1:14" ht="46.8" x14ac:dyDescent="0.3">
      <c r="A1087" s="8" t="s">
        <v>710</v>
      </c>
      <c r="B1087" s="62" t="s">
        <v>912</v>
      </c>
      <c r="C1087" s="68" t="s">
        <v>1372</v>
      </c>
      <c r="D1087" s="68" t="s">
        <v>1477</v>
      </c>
      <c r="E1087" s="8" t="s">
        <v>338</v>
      </c>
      <c r="F1087" s="8"/>
      <c r="G1087" s="13" t="s">
        <v>843</v>
      </c>
      <c r="H1087" s="14">
        <f>H1088+H1092</f>
        <v>120</v>
      </c>
      <c r="I1087" s="14">
        <f>I1088+I1092</f>
        <v>120</v>
      </c>
      <c r="J1087" s="14">
        <f t="shared" ref="J1087" si="524">J1088+J1092</f>
        <v>120</v>
      </c>
      <c r="K1087" s="78">
        <f t="shared" si="497"/>
        <v>100</v>
      </c>
      <c r="L1087" s="14">
        <f>L1088+L1092</f>
        <v>0</v>
      </c>
      <c r="M1087" s="50"/>
      <c r="N1087" s="50"/>
    </row>
    <row r="1088" spans="1:14" ht="46.8" x14ac:dyDescent="0.3">
      <c r="A1088" s="8" t="s">
        <v>710</v>
      </c>
      <c r="B1088" s="62" t="s">
        <v>912</v>
      </c>
      <c r="C1088" s="68" t="s">
        <v>1372</v>
      </c>
      <c r="D1088" s="68" t="s">
        <v>1477</v>
      </c>
      <c r="E1088" s="8" t="s">
        <v>339</v>
      </c>
      <c r="F1088" s="8"/>
      <c r="G1088" s="13" t="s">
        <v>844</v>
      </c>
      <c r="H1088" s="14">
        <f t="shared" ref="H1088:L1090" si="525">H1089</f>
        <v>95</v>
      </c>
      <c r="I1088" s="14">
        <f t="shared" si="525"/>
        <v>95</v>
      </c>
      <c r="J1088" s="14">
        <f t="shared" si="525"/>
        <v>95</v>
      </c>
      <c r="K1088" s="78">
        <f t="shared" si="497"/>
        <v>100</v>
      </c>
      <c r="L1088" s="14">
        <f t="shared" si="525"/>
        <v>0</v>
      </c>
      <c r="M1088" s="50"/>
      <c r="N1088" s="50"/>
    </row>
    <row r="1089" spans="1:14" ht="62.4" x14ac:dyDescent="0.3">
      <c r="A1089" s="8" t="s">
        <v>710</v>
      </c>
      <c r="B1089" s="62" t="s">
        <v>912</v>
      </c>
      <c r="C1089" s="68" t="s">
        <v>1372</v>
      </c>
      <c r="D1089" s="68" t="s">
        <v>1477</v>
      </c>
      <c r="E1089" s="8" t="s">
        <v>340</v>
      </c>
      <c r="F1089" s="8"/>
      <c r="G1089" s="13" t="s">
        <v>845</v>
      </c>
      <c r="H1089" s="14">
        <f t="shared" si="525"/>
        <v>95</v>
      </c>
      <c r="I1089" s="14">
        <f t="shared" si="525"/>
        <v>95</v>
      </c>
      <c r="J1089" s="14">
        <f t="shared" si="525"/>
        <v>95</v>
      </c>
      <c r="K1089" s="78">
        <f t="shared" si="497"/>
        <v>100</v>
      </c>
      <c r="L1089" s="14">
        <f t="shared" si="525"/>
        <v>0</v>
      </c>
      <c r="M1089" s="50"/>
      <c r="N1089" s="50"/>
    </row>
    <row r="1090" spans="1:14" ht="31.2" x14ac:dyDescent="0.3">
      <c r="A1090" s="8" t="s">
        <v>710</v>
      </c>
      <c r="B1090" s="62" t="s">
        <v>912</v>
      </c>
      <c r="C1090" s="68" t="s">
        <v>1372</v>
      </c>
      <c r="D1090" s="68" t="s">
        <v>1477</v>
      </c>
      <c r="E1090" s="8" t="s">
        <v>340</v>
      </c>
      <c r="F1090" s="45" t="s">
        <v>402</v>
      </c>
      <c r="G1090" s="23" t="s">
        <v>819</v>
      </c>
      <c r="H1090" s="14">
        <f t="shared" si="525"/>
        <v>95</v>
      </c>
      <c r="I1090" s="14">
        <f t="shared" si="525"/>
        <v>95</v>
      </c>
      <c r="J1090" s="14">
        <f t="shared" si="525"/>
        <v>95</v>
      </c>
      <c r="K1090" s="78">
        <f t="shared" si="497"/>
        <v>100</v>
      </c>
      <c r="L1090" s="14">
        <f t="shared" si="525"/>
        <v>0</v>
      </c>
      <c r="M1090" s="50"/>
      <c r="N1090" s="50"/>
    </row>
    <row r="1091" spans="1:14" ht="46.8" x14ac:dyDescent="0.3">
      <c r="A1091" s="8" t="s">
        <v>710</v>
      </c>
      <c r="B1091" s="62" t="s">
        <v>912</v>
      </c>
      <c r="C1091" s="68" t="s">
        <v>1372</v>
      </c>
      <c r="D1091" s="68" t="s">
        <v>1477</v>
      </c>
      <c r="E1091" s="8" t="s">
        <v>340</v>
      </c>
      <c r="F1091" s="45" t="s">
        <v>280</v>
      </c>
      <c r="G1091" s="23" t="s">
        <v>821</v>
      </c>
      <c r="H1091" s="14">
        <v>95</v>
      </c>
      <c r="I1091" s="14">
        <v>95</v>
      </c>
      <c r="J1091" s="14">
        <v>95</v>
      </c>
      <c r="K1091" s="78">
        <f t="shared" si="497"/>
        <v>100</v>
      </c>
      <c r="L1091" s="14"/>
      <c r="M1091" s="50"/>
      <c r="N1091" s="50"/>
    </row>
    <row r="1092" spans="1:14" ht="46.8" x14ac:dyDescent="0.3">
      <c r="A1092" s="8" t="s">
        <v>710</v>
      </c>
      <c r="B1092" s="62" t="s">
        <v>912</v>
      </c>
      <c r="C1092" s="68" t="s">
        <v>1372</v>
      </c>
      <c r="D1092" s="68" t="s">
        <v>1477</v>
      </c>
      <c r="E1092" s="8" t="s">
        <v>341</v>
      </c>
      <c r="F1092" s="8"/>
      <c r="G1092" s="13" t="s">
        <v>846</v>
      </c>
      <c r="H1092" s="14">
        <f t="shared" ref="H1092:L1094" si="526">H1093</f>
        <v>25</v>
      </c>
      <c r="I1092" s="14">
        <f t="shared" si="526"/>
        <v>25</v>
      </c>
      <c r="J1092" s="14">
        <f t="shared" si="526"/>
        <v>25</v>
      </c>
      <c r="K1092" s="78">
        <f t="shared" si="497"/>
        <v>100</v>
      </c>
      <c r="L1092" s="14">
        <f t="shared" si="526"/>
        <v>0</v>
      </c>
      <c r="M1092" s="50"/>
      <c r="N1092" s="50"/>
    </row>
    <row r="1093" spans="1:14" ht="62.4" x14ac:dyDescent="0.3">
      <c r="A1093" s="8" t="s">
        <v>710</v>
      </c>
      <c r="B1093" s="62" t="s">
        <v>912</v>
      </c>
      <c r="C1093" s="68" t="s">
        <v>1372</v>
      </c>
      <c r="D1093" s="68" t="s">
        <v>1477</v>
      </c>
      <c r="E1093" s="8" t="s">
        <v>342</v>
      </c>
      <c r="F1093" s="8"/>
      <c r="G1093" s="13" t="s">
        <v>847</v>
      </c>
      <c r="H1093" s="14">
        <f t="shared" si="526"/>
        <v>25</v>
      </c>
      <c r="I1093" s="14">
        <f t="shared" si="526"/>
        <v>25</v>
      </c>
      <c r="J1093" s="14">
        <f t="shared" si="526"/>
        <v>25</v>
      </c>
      <c r="K1093" s="78">
        <f t="shared" si="497"/>
        <v>100</v>
      </c>
      <c r="L1093" s="14">
        <f t="shared" si="526"/>
        <v>0</v>
      </c>
      <c r="M1093" s="50"/>
      <c r="N1093" s="50"/>
    </row>
    <row r="1094" spans="1:14" ht="31.2" x14ac:dyDescent="0.3">
      <c r="A1094" s="8" t="s">
        <v>710</v>
      </c>
      <c r="B1094" s="62" t="s">
        <v>912</v>
      </c>
      <c r="C1094" s="68" t="s">
        <v>1372</v>
      </c>
      <c r="D1094" s="68" t="s">
        <v>1477</v>
      </c>
      <c r="E1094" s="8" t="s">
        <v>342</v>
      </c>
      <c r="F1094" s="45" t="s">
        <v>402</v>
      </c>
      <c r="G1094" s="23" t="s">
        <v>819</v>
      </c>
      <c r="H1094" s="14">
        <f t="shared" si="526"/>
        <v>25</v>
      </c>
      <c r="I1094" s="14">
        <f t="shared" si="526"/>
        <v>25</v>
      </c>
      <c r="J1094" s="14">
        <f t="shared" si="526"/>
        <v>25</v>
      </c>
      <c r="K1094" s="78">
        <f t="shared" si="497"/>
        <v>100</v>
      </c>
      <c r="L1094" s="14">
        <f t="shared" si="526"/>
        <v>0</v>
      </c>
      <c r="M1094" s="50"/>
      <c r="N1094" s="50"/>
    </row>
    <row r="1095" spans="1:14" ht="46.8" x14ac:dyDescent="0.3">
      <c r="A1095" s="8" t="s">
        <v>710</v>
      </c>
      <c r="B1095" s="62" t="s">
        <v>912</v>
      </c>
      <c r="C1095" s="68" t="s">
        <v>1372</v>
      </c>
      <c r="D1095" s="68" t="s">
        <v>1477</v>
      </c>
      <c r="E1095" s="8" t="s">
        <v>342</v>
      </c>
      <c r="F1095" s="45" t="s">
        <v>280</v>
      </c>
      <c r="G1095" s="23" t="s">
        <v>821</v>
      </c>
      <c r="H1095" s="14">
        <v>25</v>
      </c>
      <c r="I1095" s="14">
        <v>25</v>
      </c>
      <c r="J1095" s="14">
        <v>25</v>
      </c>
      <c r="K1095" s="78">
        <f t="shared" si="497"/>
        <v>100</v>
      </c>
      <c r="L1095" s="14"/>
      <c r="M1095" s="50"/>
      <c r="N1095" s="50"/>
    </row>
    <row r="1096" spans="1:14" x14ac:dyDescent="0.3">
      <c r="A1096" s="8" t="s">
        <v>710</v>
      </c>
      <c r="B1096" s="62" t="s">
        <v>912</v>
      </c>
      <c r="C1096" s="68" t="s">
        <v>1372</v>
      </c>
      <c r="D1096" s="68" t="s">
        <v>1477</v>
      </c>
      <c r="E1096" s="8" t="s">
        <v>354</v>
      </c>
      <c r="F1096" s="8"/>
      <c r="G1096" s="13" t="s">
        <v>869</v>
      </c>
      <c r="H1096" s="14">
        <f>H1097+H1108</f>
        <v>5338.442</v>
      </c>
      <c r="I1096" s="14">
        <f>I1097+I1108</f>
        <v>5338.4419999999991</v>
      </c>
      <c r="J1096" s="14">
        <f t="shared" ref="J1096" si="527">J1097+J1108</f>
        <v>5061.7126200000002</v>
      </c>
      <c r="K1096" s="78">
        <f t="shared" ref="K1096:K1159" si="528">J1096/I1096*100</f>
        <v>94.816289471722285</v>
      </c>
      <c r="L1096" s="14">
        <f>L1097+L1108</f>
        <v>0</v>
      </c>
      <c r="M1096" s="50"/>
      <c r="N1096" s="50"/>
    </row>
    <row r="1097" spans="1:14" ht="46.8" x14ac:dyDescent="0.3">
      <c r="A1097" s="8" t="s">
        <v>710</v>
      </c>
      <c r="B1097" s="62" t="s">
        <v>912</v>
      </c>
      <c r="C1097" s="68" t="s">
        <v>1372</v>
      </c>
      <c r="D1097" s="68" t="s">
        <v>1477</v>
      </c>
      <c r="E1097" s="8" t="s">
        <v>648</v>
      </c>
      <c r="F1097" s="8"/>
      <c r="G1097" s="13" t="s">
        <v>870</v>
      </c>
      <c r="H1097" s="14">
        <f t="shared" ref="H1097:L1097" si="529">H1098</f>
        <v>1967.1999999999998</v>
      </c>
      <c r="I1097" s="14">
        <f t="shared" si="529"/>
        <v>1967.1999999999998</v>
      </c>
      <c r="J1097" s="14">
        <f t="shared" si="529"/>
        <v>1967.1999999999998</v>
      </c>
      <c r="K1097" s="78">
        <f t="shared" si="528"/>
        <v>100</v>
      </c>
      <c r="L1097" s="14">
        <f t="shared" si="529"/>
        <v>0</v>
      </c>
      <c r="M1097" s="50"/>
      <c r="N1097" s="50"/>
    </row>
    <row r="1098" spans="1:14" ht="46.8" x14ac:dyDescent="0.3">
      <c r="A1098" s="8" t="s">
        <v>710</v>
      </c>
      <c r="B1098" s="62" t="s">
        <v>912</v>
      </c>
      <c r="C1098" s="68" t="s">
        <v>1372</v>
      </c>
      <c r="D1098" s="68" t="s">
        <v>1477</v>
      </c>
      <c r="E1098" s="8" t="s">
        <v>1305</v>
      </c>
      <c r="F1098" s="8"/>
      <c r="G1098" s="18" t="s">
        <v>115</v>
      </c>
      <c r="H1098" s="14">
        <f>H1099+H1102+H1105</f>
        <v>1967.1999999999998</v>
      </c>
      <c r="I1098" s="14">
        <f>I1099+I1102+I1105</f>
        <v>1967.1999999999998</v>
      </c>
      <c r="J1098" s="14">
        <f t="shared" ref="J1098" si="530">J1099+J1102+J1105</f>
        <v>1967.1999999999998</v>
      </c>
      <c r="K1098" s="78">
        <f t="shared" si="528"/>
        <v>100</v>
      </c>
      <c r="L1098" s="14">
        <f>L1099+L1102+L1105</f>
        <v>0</v>
      </c>
      <c r="M1098" s="50"/>
      <c r="N1098" s="50"/>
    </row>
    <row r="1099" spans="1:14" ht="31.2" x14ac:dyDescent="0.3">
      <c r="A1099" s="8" t="s">
        <v>710</v>
      </c>
      <c r="B1099" s="62" t="s">
        <v>912</v>
      </c>
      <c r="C1099" s="68" t="s">
        <v>1372</v>
      </c>
      <c r="D1099" s="68" t="s">
        <v>1477</v>
      </c>
      <c r="E1099" s="8" t="s">
        <v>1306</v>
      </c>
      <c r="F1099" s="8"/>
      <c r="G1099" s="13" t="s">
        <v>872</v>
      </c>
      <c r="H1099" s="14">
        <f t="shared" ref="H1099:L1100" si="531">H1100</f>
        <v>1462.1</v>
      </c>
      <c r="I1099" s="14">
        <f t="shared" si="531"/>
        <v>1462.1</v>
      </c>
      <c r="J1099" s="14">
        <f t="shared" si="531"/>
        <v>1462.1</v>
      </c>
      <c r="K1099" s="78">
        <f t="shared" si="528"/>
        <v>100</v>
      </c>
      <c r="L1099" s="14">
        <f t="shared" si="531"/>
        <v>0</v>
      </c>
      <c r="M1099" s="50"/>
      <c r="N1099" s="50"/>
    </row>
    <row r="1100" spans="1:14" ht="31.2" x14ac:dyDescent="0.3">
      <c r="A1100" s="8" t="s">
        <v>710</v>
      </c>
      <c r="B1100" s="62" t="s">
        <v>912</v>
      </c>
      <c r="C1100" s="68" t="s">
        <v>1372</v>
      </c>
      <c r="D1100" s="68" t="s">
        <v>1477</v>
      </c>
      <c r="E1100" s="8" t="s">
        <v>1306</v>
      </c>
      <c r="F1100" s="45" t="s">
        <v>402</v>
      </c>
      <c r="G1100" s="23" t="s">
        <v>819</v>
      </c>
      <c r="H1100" s="14">
        <f t="shared" si="531"/>
        <v>1462.1</v>
      </c>
      <c r="I1100" s="14">
        <f t="shared" si="531"/>
        <v>1462.1</v>
      </c>
      <c r="J1100" s="14">
        <f t="shared" si="531"/>
        <v>1462.1</v>
      </c>
      <c r="K1100" s="78">
        <f t="shared" si="528"/>
        <v>100</v>
      </c>
      <c r="L1100" s="14">
        <f t="shared" si="531"/>
        <v>0</v>
      </c>
      <c r="M1100" s="50"/>
      <c r="N1100" s="50"/>
    </row>
    <row r="1101" spans="1:14" ht="46.8" x14ac:dyDescent="0.3">
      <c r="A1101" s="8" t="s">
        <v>710</v>
      </c>
      <c r="B1101" s="62" t="s">
        <v>912</v>
      </c>
      <c r="C1101" s="68" t="s">
        <v>1372</v>
      </c>
      <c r="D1101" s="68" t="s">
        <v>1477</v>
      </c>
      <c r="E1101" s="8" t="s">
        <v>1306</v>
      </c>
      <c r="F1101" s="45" t="s">
        <v>280</v>
      </c>
      <c r="G1101" s="23" t="s">
        <v>821</v>
      </c>
      <c r="H1101" s="14">
        <f>1644.3-182.2</f>
        <v>1462.1</v>
      </c>
      <c r="I1101" s="14">
        <v>1462.1</v>
      </c>
      <c r="J1101" s="14">
        <v>1462.1</v>
      </c>
      <c r="K1101" s="78">
        <f t="shared" si="528"/>
        <v>100</v>
      </c>
      <c r="L1101" s="14"/>
      <c r="M1101" s="50"/>
      <c r="N1101" s="50"/>
    </row>
    <row r="1102" spans="1:14" ht="31.2" x14ac:dyDescent="0.3">
      <c r="A1102" s="8" t="s">
        <v>710</v>
      </c>
      <c r="B1102" s="62" t="s">
        <v>912</v>
      </c>
      <c r="C1102" s="68" t="s">
        <v>1372</v>
      </c>
      <c r="D1102" s="68" t="s">
        <v>1477</v>
      </c>
      <c r="E1102" s="8" t="s">
        <v>1307</v>
      </c>
      <c r="F1102" s="8"/>
      <c r="G1102" s="18" t="s">
        <v>758</v>
      </c>
      <c r="H1102" s="14">
        <f t="shared" ref="H1102:L1103" si="532">H1103</f>
        <v>274.10000000000002</v>
      </c>
      <c r="I1102" s="14">
        <f t="shared" si="532"/>
        <v>274.10000000000002</v>
      </c>
      <c r="J1102" s="14">
        <f t="shared" si="532"/>
        <v>274.10000000000002</v>
      </c>
      <c r="K1102" s="78">
        <f t="shared" si="528"/>
        <v>100</v>
      </c>
      <c r="L1102" s="14">
        <f t="shared" si="532"/>
        <v>0</v>
      </c>
      <c r="M1102" s="50"/>
      <c r="N1102" s="50"/>
    </row>
    <row r="1103" spans="1:14" ht="31.2" x14ac:dyDescent="0.3">
      <c r="A1103" s="8" t="s">
        <v>710</v>
      </c>
      <c r="B1103" s="62" t="s">
        <v>912</v>
      </c>
      <c r="C1103" s="68" t="s">
        <v>1372</v>
      </c>
      <c r="D1103" s="68" t="s">
        <v>1477</v>
      </c>
      <c r="E1103" s="8" t="s">
        <v>1307</v>
      </c>
      <c r="F1103" s="45" t="s">
        <v>402</v>
      </c>
      <c r="G1103" s="23" t="s">
        <v>819</v>
      </c>
      <c r="H1103" s="14">
        <f t="shared" si="532"/>
        <v>274.10000000000002</v>
      </c>
      <c r="I1103" s="14">
        <f t="shared" si="532"/>
        <v>274.10000000000002</v>
      </c>
      <c r="J1103" s="14">
        <f t="shared" si="532"/>
        <v>274.10000000000002</v>
      </c>
      <c r="K1103" s="78">
        <f t="shared" si="528"/>
        <v>100</v>
      </c>
      <c r="L1103" s="14">
        <f t="shared" si="532"/>
        <v>0</v>
      </c>
      <c r="M1103" s="50"/>
      <c r="N1103" s="50"/>
    </row>
    <row r="1104" spans="1:14" ht="46.8" x14ac:dyDescent="0.3">
      <c r="A1104" s="8" t="s">
        <v>710</v>
      </c>
      <c r="B1104" s="62" t="s">
        <v>912</v>
      </c>
      <c r="C1104" s="68" t="s">
        <v>1372</v>
      </c>
      <c r="D1104" s="68" t="s">
        <v>1477</v>
      </c>
      <c r="E1104" s="8" t="s">
        <v>1307</v>
      </c>
      <c r="F1104" s="45" t="s">
        <v>280</v>
      </c>
      <c r="G1104" s="23" t="s">
        <v>821</v>
      </c>
      <c r="H1104" s="14">
        <v>274.10000000000002</v>
      </c>
      <c r="I1104" s="14">
        <v>274.10000000000002</v>
      </c>
      <c r="J1104" s="14">
        <v>274.10000000000002</v>
      </c>
      <c r="K1104" s="78">
        <f t="shared" si="528"/>
        <v>100</v>
      </c>
      <c r="L1104" s="14"/>
      <c r="M1104" s="50"/>
      <c r="N1104" s="50"/>
    </row>
    <row r="1105" spans="1:14" ht="62.4" x14ac:dyDescent="0.3">
      <c r="A1105" s="8" t="s">
        <v>710</v>
      </c>
      <c r="B1105" s="62" t="s">
        <v>912</v>
      </c>
      <c r="C1105" s="68" t="s">
        <v>1372</v>
      </c>
      <c r="D1105" s="68" t="s">
        <v>1477</v>
      </c>
      <c r="E1105" s="8" t="s">
        <v>1308</v>
      </c>
      <c r="F1105" s="8"/>
      <c r="G1105" s="13" t="s">
        <v>301</v>
      </c>
      <c r="H1105" s="14">
        <f t="shared" ref="H1105:L1106" si="533">H1106</f>
        <v>231</v>
      </c>
      <c r="I1105" s="14">
        <f t="shared" si="533"/>
        <v>231</v>
      </c>
      <c r="J1105" s="14">
        <f t="shared" si="533"/>
        <v>231</v>
      </c>
      <c r="K1105" s="78">
        <f t="shared" si="528"/>
        <v>100</v>
      </c>
      <c r="L1105" s="14">
        <f t="shared" si="533"/>
        <v>0</v>
      </c>
      <c r="M1105" s="50"/>
      <c r="N1105" s="50"/>
    </row>
    <row r="1106" spans="1:14" ht="31.2" x14ac:dyDescent="0.3">
      <c r="A1106" s="8" t="s">
        <v>710</v>
      </c>
      <c r="B1106" s="62" t="s">
        <v>912</v>
      </c>
      <c r="C1106" s="68" t="s">
        <v>1372</v>
      </c>
      <c r="D1106" s="68" t="s">
        <v>1477</v>
      </c>
      <c r="E1106" s="8" t="s">
        <v>1308</v>
      </c>
      <c r="F1106" s="45" t="s">
        <v>402</v>
      </c>
      <c r="G1106" s="23" t="s">
        <v>819</v>
      </c>
      <c r="H1106" s="14">
        <f t="shared" si="533"/>
        <v>231</v>
      </c>
      <c r="I1106" s="14">
        <f t="shared" si="533"/>
        <v>231</v>
      </c>
      <c r="J1106" s="14">
        <f t="shared" si="533"/>
        <v>231</v>
      </c>
      <c r="K1106" s="78">
        <f t="shared" si="528"/>
        <v>100</v>
      </c>
      <c r="L1106" s="14">
        <f t="shared" si="533"/>
        <v>0</v>
      </c>
      <c r="M1106" s="50"/>
      <c r="N1106" s="50"/>
    </row>
    <row r="1107" spans="1:14" ht="46.8" x14ac:dyDescent="0.3">
      <c r="A1107" s="8" t="s">
        <v>710</v>
      </c>
      <c r="B1107" s="62" t="s">
        <v>912</v>
      </c>
      <c r="C1107" s="68" t="s">
        <v>1372</v>
      </c>
      <c r="D1107" s="68" t="s">
        <v>1477</v>
      </c>
      <c r="E1107" s="8" t="s">
        <v>1308</v>
      </c>
      <c r="F1107" s="45" t="s">
        <v>280</v>
      </c>
      <c r="G1107" s="23" t="s">
        <v>821</v>
      </c>
      <c r="H1107" s="14">
        <v>231</v>
      </c>
      <c r="I1107" s="14">
        <v>231</v>
      </c>
      <c r="J1107" s="14">
        <v>231</v>
      </c>
      <c r="K1107" s="78">
        <f t="shared" si="528"/>
        <v>100</v>
      </c>
      <c r="L1107" s="14"/>
      <c r="M1107" s="50"/>
      <c r="N1107" s="50"/>
    </row>
    <row r="1108" spans="1:14" ht="31.2" x14ac:dyDescent="0.3">
      <c r="A1108" s="8" t="s">
        <v>710</v>
      </c>
      <c r="B1108" s="62" t="s">
        <v>912</v>
      </c>
      <c r="C1108" s="68" t="s">
        <v>1372</v>
      </c>
      <c r="D1108" s="68" t="s">
        <v>1477</v>
      </c>
      <c r="E1108" s="8" t="s">
        <v>1310</v>
      </c>
      <c r="F1108" s="8"/>
      <c r="G1108" s="18" t="s">
        <v>116</v>
      </c>
      <c r="H1108" s="14">
        <f t="shared" ref="H1108:L1108" si="534">H1109</f>
        <v>3371.2420000000002</v>
      </c>
      <c r="I1108" s="14">
        <f t="shared" si="534"/>
        <v>3371.2419999999997</v>
      </c>
      <c r="J1108" s="14">
        <f t="shared" si="534"/>
        <v>3094.51262</v>
      </c>
      <c r="K1108" s="78">
        <f t="shared" si="528"/>
        <v>91.791470917839774</v>
      </c>
      <c r="L1108" s="14">
        <f t="shared" si="534"/>
        <v>0</v>
      </c>
      <c r="M1108" s="50"/>
      <c r="N1108" s="50"/>
    </row>
    <row r="1109" spans="1:14" ht="78" x14ac:dyDescent="0.3">
      <c r="A1109" s="8" t="s">
        <v>710</v>
      </c>
      <c r="B1109" s="62" t="s">
        <v>912</v>
      </c>
      <c r="C1109" s="68" t="s">
        <v>1372</v>
      </c>
      <c r="D1109" s="68" t="s">
        <v>1477</v>
      </c>
      <c r="E1109" s="8" t="s">
        <v>1311</v>
      </c>
      <c r="F1109" s="8"/>
      <c r="G1109" s="13" t="s">
        <v>873</v>
      </c>
      <c r="H1109" s="14">
        <f>H1110+H1115</f>
        <v>3371.2420000000002</v>
      </c>
      <c r="I1109" s="14">
        <f>I1110+I1115</f>
        <v>3371.2419999999997</v>
      </c>
      <c r="J1109" s="14">
        <f t="shared" ref="J1109" si="535">J1110+J1115</f>
        <v>3094.51262</v>
      </c>
      <c r="K1109" s="78">
        <f t="shared" si="528"/>
        <v>91.791470917839774</v>
      </c>
      <c r="L1109" s="14">
        <f>L1110+L1115</f>
        <v>0</v>
      </c>
      <c r="M1109" s="50"/>
      <c r="N1109" s="50"/>
    </row>
    <row r="1110" spans="1:14" ht="31.2" x14ac:dyDescent="0.3">
      <c r="A1110" s="8" t="s">
        <v>710</v>
      </c>
      <c r="B1110" s="62" t="s">
        <v>912</v>
      </c>
      <c r="C1110" s="68" t="s">
        <v>1372</v>
      </c>
      <c r="D1110" s="68" t="s">
        <v>1477</v>
      </c>
      <c r="E1110" s="8" t="s">
        <v>1312</v>
      </c>
      <c r="F1110" s="8"/>
      <c r="G1110" s="13" t="s">
        <v>874</v>
      </c>
      <c r="H1110" s="14">
        <f>H1111+H1113</f>
        <v>3150.2420000000002</v>
      </c>
      <c r="I1110" s="14">
        <f>I1111+I1113</f>
        <v>3150.2419999999997</v>
      </c>
      <c r="J1110" s="14">
        <f t="shared" ref="J1110" si="536">J1111+J1113</f>
        <v>2873.51262</v>
      </c>
      <c r="K1110" s="78">
        <f t="shared" si="528"/>
        <v>91.215615181309886</v>
      </c>
      <c r="L1110" s="14">
        <f>L1111+L1113</f>
        <v>0</v>
      </c>
      <c r="M1110" s="50"/>
      <c r="N1110" s="50"/>
    </row>
    <row r="1111" spans="1:14" ht="31.2" x14ac:dyDescent="0.3">
      <c r="A1111" s="8" t="s">
        <v>710</v>
      </c>
      <c r="B1111" s="62" t="s">
        <v>912</v>
      </c>
      <c r="C1111" s="68" t="s">
        <v>1372</v>
      </c>
      <c r="D1111" s="68" t="s">
        <v>1477</v>
      </c>
      <c r="E1111" s="8" t="s">
        <v>1312</v>
      </c>
      <c r="F1111" s="45" t="s">
        <v>380</v>
      </c>
      <c r="G1111" s="23" t="s">
        <v>809</v>
      </c>
      <c r="H1111" s="14">
        <f t="shared" ref="H1111:L1111" si="537">H1112</f>
        <v>3049.2420000000002</v>
      </c>
      <c r="I1111" s="14">
        <f t="shared" si="537"/>
        <v>3048.89</v>
      </c>
      <c r="J1111" s="14">
        <f t="shared" si="537"/>
        <v>2772.1606200000001</v>
      </c>
      <c r="K1111" s="78">
        <f t="shared" si="528"/>
        <v>90.923602360203233</v>
      </c>
      <c r="L1111" s="14">
        <f t="shared" si="537"/>
        <v>0</v>
      </c>
      <c r="M1111" s="50"/>
      <c r="N1111" s="50"/>
    </row>
    <row r="1112" spans="1:14" ht="31.2" x14ac:dyDescent="0.3">
      <c r="A1112" s="8" t="s">
        <v>710</v>
      </c>
      <c r="B1112" s="62" t="s">
        <v>912</v>
      </c>
      <c r="C1112" s="68" t="s">
        <v>1372</v>
      </c>
      <c r="D1112" s="68" t="s">
        <v>1477</v>
      </c>
      <c r="E1112" s="8" t="s">
        <v>1312</v>
      </c>
      <c r="F1112" s="8" t="s">
        <v>247</v>
      </c>
      <c r="G1112" s="23" t="s">
        <v>810</v>
      </c>
      <c r="H1112" s="14">
        <f>3084.7-32.43-3.028</f>
        <v>3049.2420000000002</v>
      </c>
      <c r="I1112" s="14">
        <v>3048.89</v>
      </c>
      <c r="J1112" s="14">
        <v>2772.1606200000001</v>
      </c>
      <c r="K1112" s="78">
        <f t="shared" si="528"/>
        <v>90.923602360203233</v>
      </c>
      <c r="L1112" s="14"/>
      <c r="M1112" s="50"/>
      <c r="N1112" s="50"/>
    </row>
    <row r="1113" spans="1:14" x14ac:dyDescent="0.3">
      <c r="A1113" s="8" t="s">
        <v>710</v>
      </c>
      <c r="B1113" s="62" t="s">
        <v>912</v>
      </c>
      <c r="C1113" s="68" t="s">
        <v>1372</v>
      </c>
      <c r="D1113" s="68" t="s">
        <v>1477</v>
      </c>
      <c r="E1113" s="8" t="s">
        <v>1312</v>
      </c>
      <c r="F1113" s="45" t="s">
        <v>464</v>
      </c>
      <c r="G1113" s="23" t="s">
        <v>822</v>
      </c>
      <c r="H1113" s="14">
        <f t="shared" ref="H1113:L1113" si="538">H1114</f>
        <v>101</v>
      </c>
      <c r="I1113" s="14">
        <f t="shared" si="538"/>
        <v>101.352</v>
      </c>
      <c r="J1113" s="14">
        <f t="shared" si="538"/>
        <v>101.352</v>
      </c>
      <c r="K1113" s="78">
        <f t="shared" si="528"/>
        <v>100</v>
      </c>
      <c r="L1113" s="14">
        <f t="shared" si="538"/>
        <v>0</v>
      </c>
      <c r="M1113" s="50"/>
      <c r="N1113" s="50"/>
    </row>
    <row r="1114" spans="1:14" x14ac:dyDescent="0.3">
      <c r="A1114" s="8" t="s">
        <v>710</v>
      </c>
      <c r="B1114" s="62" t="s">
        <v>912</v>
      </c>
      <c r="C1114" s="68" t="s">
        <v>1372</v>
      </c>
      <c r="D1114" s="68" t="s">
        <v>1477</v>
      </c>
      <c r="E1114" s="8" t="s">
        <v>1312</v>
      </c>
      <c r="F1114" s="45" t="s">
        <v>729</v>
      </c>
      <c r="G1114" s="23" t="s">
        <v>824</v>
      </c>
      <c r="H1114" s="14">
        <v>101</v>
      </c>
      <c r="I1114" s="14">
        <v>101.352</v>
      </c>
      <c r="J1114" s="14">
        <v>101.352</v>
      </c>
      <c r="K1114" s="78">
        <f t="shared" si="528"/>
        <v>100</v>
      </c>
      <c r="L1114" s="14"/>
      <c r="M1114" s="50"/>
      <c r="N1114" s="50"/>
    </row>
    <row r="1115" spans="1:14" ht="78" x14ac:dyDescent="0.3">
      <c r="A1115" s="8" t="s">
        <v>710</v>
      </c>
      <c r="B1115" s="62" t="s">
        <v>912</v>
      </c>
      <c r="C1115" s="68" t="s">
        <v>1372</v>
      </c>
      <c r="D1115" s="68" t="s">
        <v>1477</v>
      </c>
      <c r="E1115" s="8" t="s">
        <v>1313</v>
      </c>
      <c r="F1115" s="8"/>
      <c r="G1115" s="13" t="s">
        <v>875</v>
      </c>
      <c r="H1115" s="14">
        <f t="shared" ref="H1115:L1116" si="539">H1116</f>
        <v>221</v>
      </c>
      <c r="I1115" s="14">
        <f t="shared" si="539"/>
        <v>221</v>
      </c>
      <c r="J1115" s="14">
        <f t="shared" si="539"/>
        <v>221</v>
      </c>
      <c r="K1115" s="78">
        <f t="shared" si="528"/>
        <v>100</v>
      </c>
      <c r="L1115" s="14">
        <f t="shared" si="539"/>
        <v>0</v>
      </c>
      <c r="M1115" s="50"/>
      <c r="N1115" s="50"/>
    </row>
    <row r="1116" spans="1:14" ht="31.2" x14ac:dyDescent="0.3">
      <c r="A1116" s="8" t="s">
        <v>710</v>
      </c>
      <c r="B1116" s="62" t="s">
        <v>912</v>
      </c>
      <c r="C1116" s="68" t="s">
        <v>1372</v>
      </c>
      <c r="D1116" s="68" t="s">
        <v>1477</v>
      </c>
      <c r="E1116" s="8" t="s">
        <v>1313</v>
      </c>
      <c r="F1116" s="45" t="s">
        <v>380</v>
      </c>
      <c r="G1116" s="23" t="s">
        <v>809</v>
      </c>
      <c r="H1116" s="14">
        <f t="shared" si="539"/>
        <v>221</v>
      </c>
      <c r="I1116" s="14">
        <f t="shared" si="539"/>
        <v>221</v>
      </c>
      <c r="J1116" s="14">
        <f t="shared" si="539"/>
        <v>221</v>
      </c>
      <c r="K1116" s="78">
        <f t="shared" si="528"/>
        <v>100</v>
      </c>
      <c r="L1116" s="14">
        <f t="shared" si="539"/>
        <v>0</v>
      </c>
      <c r="M1116" s="50"/>
      <c r="N1116" s="50"/>
    </row>
    <row r="1117" spans="1:14" ht="31.2" x14ac:dyDescent="0.3">
      <c r="A1117" s="8" t="s">
        <v>710</v>
      </c>
      <c r="B1117" s="62" t="s">
        <v>912</v>
      </c>
      <c r="C1117" s="68" t="s">
        <v>1372</v>
      </c>
      <c r="D1117" s="68" t="s">
        <v>1477</v>
      </c>
      <c r="E1117" s="8" t="s">
        <v>1313</v>
      </c>
      <c r="F1117" s="8" t="s">
        <v>247</v>
      </c>
      <c r="G1117" s="23" t="s">
        <v>810</v>
      </c>
      <c r="H1117" s="14">
        <v>221</v>
      </c>
      <c r="I1117" s="14">
        <v>221</v>
      </c>
      <c r="J1117" s="14">
        <v>221</v>
      </c>
      <c r="K1117" s="78">
        <f t="shared" si="528"/>
        <v>100</v>
      </c>
      <c r="L1117" s="14"/>
      <c r="M1117" s="50"/>
      <c r="N1117" s="50"/>
    </row>
    <row r="1118" spans="1:14" ht="46.8" x14ac:dyDescent="0.3">
      <c r="A1118" s="8" t="s">
        <v>710</v>
      </c>
      <c r="B1118" s="62" t="s">
        <v>912</v>
      </c>
      <c r="C1118" s="83" t="s">
        <v>1372</v>
      </c>
      <c r="D1118" s="83" t="s">
        <v>1477</v>
      </c>
      <c r="E1118" s="45" t="s">
        <v>493</v>
      </c>
      <c r="F1118" s="45"/>
      <c r="G1118" s="23" t="s">
        <v>1160</v>
      </c>
      <c r="H1118" s="14">
        <f>H1119</f>
        <v>0</v>
      </c>
      <c r="I1118" s="14">
        <f t="shared" ref="I1118:L1121" si="540">I1119</f>
        <v>47</v>
      </c>
      <c r="J1118" s="14">
        <f t="shared" si="540"/>
        <v>47</v>
      </c>
      <c r="K1118" s="78">
        <f t="shared" si="528"/>
        <v>100</v>
      </c>
      <c r="L1118" s="14">
        <f t="shared" si="540"/>
        <v>0</v>
      </c>
      <c r="M1118" s="50"/>
      <c r="N1118" s="50"/>
    </row>
    <row r="1119" spans="1:14" ht="31.2" x14ac:dyDescent="0.3">
      <c r="A1119" s="8" t="s">
        <v>710</v>
      </c>
      <c r="B1119" s="62" t="s">
        <v>912</v>
      </c>
      <c r="C1119" s="83" t="s">
        <v>1372</v>
      </c>
      <c r="D1119" s="83" t="s">
        <v>1477</v>
      </c>
      <c r="E1119" s="45" t="s">
        <v>494</v>
      </c>
      <c r="F1119" s="45"/>
      <c r="G1119" s="23" t="s">
        <v>1161</v>
      </c>
      <c r="H1119" s="14">
        <f>H1120</f>
        <v>0</v>
      </c>
      <c r="I1119" s="14">
        <f t="shared" si="540"/>
        <v>47</v>
      </c>
      <c r="J1119" s="14">
        <f t="shared" si="540"/>
        <v>47</v>
      </c>
      <c r="K1119" s="78">
        <f t="shared" si="528"/>
        <v>100</v>
      </c>
      <c r="L1119" s="14">
        <f t="shared" si="540"/>
        <v>0</v>
      </c>
      <c r="M1119" s="50"/>
      <c r="N1119" s="50"/>
    </row>
    <row r="1120" spans="1:14" ht="31.2" x14ac:dyDescent="0.3">
      <c r="A1120" s="8" t="s">
        <v>710</v>
      </c>
      <c r="B1120" s="62" t="s">
        <v>912</v>
      </c>
      <c r="C1120" s="83" t="s">
        <v>1372</v>
      </c>
      <c r="D1120" s="83" t="s">
        <v>1477</v>
      </c>
      <c r="E1120" s="45" t="s">
        <v>495</v>
      </c>
      <c r="F1120" s="45"/>
      <c r="G1120" s="23" t="s">
        <v>687</v>
      </c>
      <c r="H1120" s="14">
        <f>H1121</f>
        <v>0</v>
      </c>
      <c r="I1120" s="14">
        <f t="shared" si="540"/>
        <v>47</v>
      </c>
      <c r="J1120" s="14">
        <f t="shared" si="540"/>
        <v>47</v>
      </c>
      <c r="K1120" s="78">
        <f t="shared" si="528"/>
        <v>100</v>
      </c>
      <c r="L1120" s="14">
        <f t="shared" si="540"/>
        <v>0</v>
      </c>
      <c r="M1120" s="50"/>
      <c r="N1120" s="50"/>
    </row>
    <row r="1121" spans="1:14" x14ac:dyDescent="0.3">
      <c r="A1121" s="8" t="s">
        <v>710</v>
      </c>
      <c r="B1121" s="62" t="s">
        <v>912</v>
      </c>
      <c r="C1121" s="83" t="s">
        <v>1372</v>
      </c>
      <c r="D1121" s="83" t="s">
        <v>1477</v>
      </c>
      <c r="E1121" s="45" t="s">
        <v>495</v>
      </c>
      <c r="F1121" s="45" t="s">
        <v>464</v>
      </c>
      <c r="G1121" s="23" t="s">
        <v>822</v>
      </c>
      <c r="H1121" s="14">
        <f>H1122</f>
        <v>0</v>
      </c>
      <c r="I1121" s="14">
        <f t="shared" si="540"/>
        <v>47</v>
      </c>
      <c r="J1121" s="14">
        <f t="shared" si="540"/>
        <v>47</v>
      </c>
      <c r="K1121" s="78">
        <f t="shared" si="528"/>
        <v>100</v>
      </c>
      <c r="L1121" s="14">
        <f t="shared" si="540"/>
        <v>0</v>
      </c>
      <c r="M1121" s="50"/>
      <c r="N1121" s="50"/>
    </row>
    <row r="1122" spans="1:14" x14ac:dyDescent="0.3">
      <c r="A1122" s="8" t="s">
        <v>710</v>
      </c>
      <c r="B1122" s="62" t="s">
        <v>912</v>
      </c>
      <c r="C1122" s="83" t="s">
        <v>1372</v>
      </c>
      <c r="D1122" s="83" t="s">
        <v>1477</v>
      </c>
      <c r="E1122" s="45" t="s">
        <v>495</v>
      </c>
      <c r="F1122" s="45" t="s">
        <v>728</v>
      </c>
      <c r="G1122" s="23" t="s">
        <v>823</v>
      </c>
      <c r="H1122" s="20">
        <v>0</v>
      </c>
      <c r="I1122" s="14">
        <v>47</v>
      </c>
      <c r="J1122" s="14">
        <v>47</v>
      </c>
      <c r="K1122" s="78">
        <f t="shared" si="528"/>
        <v>100</v>
      </c>
      <c r="L1122" s="14"/>
      <c r="M1122" s="50"/>
      <c r="N1122" s="50"/>
    </row>
    <row r="1123" spans="1:14" s="3" customFormat="1" ht="31.2" x14ac:dyDescent="0.3">
      <c r="A1123" s="10" t="s">
        <v>710</v>
      </c>
      <c r="B1123" s="43" t="s">
        <v>1391</v>
      </c>
      <c r="C1123" s="43" t="s">
        <v>1391</v>
      </c>
      <c r="D1123" s="43" t="s">
        <v>915</v>
      </c>
      <c r="E1123" s="10"/>
      <c r="F1123" s="10"/>
      <c r="G1123" s="5" t="s">
        <v>1415</v>
      </c>
      <c r="H1123" s="15">
        <f>H1136+H1124</f>
        <v>751.09899999999993</v>
      </c>
      <c r="I1123" s="15">
        <f>I1136+I1124</f>
        <v>1142.7919999999999</v>
      </c>
      <c r="J1123" s="15">
        <f t="shared" ref="J1123" si="541">J1136+J1124</f>
        <v>1021.49398</v>
      </c>
      <c r="K1123" s="81">
        <f t="shared" si="528"/>
        <v>89.385818241639782</v>
      </c>
      <c r="L1123" s="15">
        <f>L1136+L1124</f>
        <v>0</v>
      </c>
      <c r="M1123" s="65"/>
      <c r="N1123" s="65"/>
    </row>
    <row r="1124" spans="1:14" s="9" customFormat="1" ht="46.8" x14ac:dyDescent="0.3">
      <c r="A1124" s="11" t="s">
        <v>710</v>
      </c>
      <c r="B1124" s="48" t="s">
        <v>935</v>
      </c>
      <c r="C1124" s="48" t="s">
        <v>1391</v>
      </c>
      <c r="D1124" s="48" t="s">
        <v>1398</v>
      </c>
      <c r="E1124" s="11"/>
      <c r="F1124" s="11"/>
      <c r="G1124" s="7" t="s">
        <v>1420</v>
      </c>
      <c r="H1124" s="16">
        <f t="shared" ref="H1124:L1129" si="542">H1125</f>
        <v>0</v>
      </c>
      <c r="I1124" s="16">
        <f>I1125+I1131</f>
        <v>28.8</v>
      </c>
      <c r="J1124" s="16">
        <f t="shared" ref="J1124:L1124" si="543">J1125+J1131</f>
        <v>28.8</v>
      </c>
      <c r="K1124" s="82">
        <f t="shared" si="528"/>
        <v>100</v>
      </c>
      <c r="L1124" s="16">
        <f t="shared" si="543"/>
        <v>0</v>
      </c>
      <c r="M1124" s="65"/>
      <c r="N1124" s="65"/>
    </row>
    <row r="1125" spans="1:14" ht="46.8" hidden="1" x14ac:dyDescent="0.3">
      <c r="A1125" s="8" t="s">
        <v>710</v>
      </c>
      <c r="B1125" s="62" t="s">
        <v>935</v>
      </c>
      <c r="C1125" s="68" t="s">
        <v>1391</v>
      </c>
      <c r="D1125" s="68" t="s">
        <v>1398</v>
      </c>
      <c r="E1125" s="8" t="s">
        <v>381</v>
      </c>
      <c r="F1125" s="8"/>
      <c r="G1125" s="18" t="s">
        <v>1061</v>
      </c>
      <c r="H1125" s="14">
        <f t="shared" si="542"/>
        <v>0</v>
      </c>
      <c r="I1125" s="14">
        <f t="shared" si="542"/>
        <v>0</v>
      </c>
      <c r="J1125" s="14">
        <f t="shared" si="542"/>
        <v>0</v>
      </c>
      <c r="K1125" s="78" t="e">
        <f t="shared" si="528"/>
        <v>#DIV/0!</v>
      </c>
      <c r="L1125" s="14">
        <f t="shared" si="542"/>
        <v>0</v>
      </c>
      <c r="M1125" s="50">
        <v>111</v>
      </c>
      <c r="N1125" s="50"/>
    </row>
    <row r="1126" spans="1:14" ht="62.4" hidden="1" x14ac:dyDescent="0.3">
      <c r="A1126" s="8" t="s">
        <v>710</v>
      </c>
      <c r="B1126" s="62" t="s">
        <v>935</v>
      </c>
      <c r="C1126" s="68" t="s">
        <v>1391</v>
      </c>
      <c r="D1126" s="68" t="s">
        <v>1398</v>
      </c>
      <c r="E1126" s="8" t="s">
        <v>382</v>
      </c>
      <c r="F1126" s="8"/>
      <c r="G1126" s="18" t="s">
        <v>1062</v>
      </c>
      <c r="H1126" s="14">
        <f t="shared" si="542"/>
        <v>0</v>
      </c>
      <c r="I1126" s="14">
        <f t="shared" si="542"/>
        <v>0</v>
      </c>
      <c r="J1126" s="14">
        <f t="shared" si="542"/>
        <v>0</v>
      </c>
      <c r="K1126" s="78" t="e">
        <f t="shared" si="528"/>
        <v>#DIV/0!</v>
      </c>
      <c r="L1126" s="14">
        <f t="shared" si="542"/>
        <v>0</v>
      </c>
      <c r="M1126" s="50">
        <v>111</v>
      </c>
      <c r="N1126" s="50"/>
    </row>
    <row r="1127" spans="1:14" ht="46.8" hidden="1" x14ac:dyDescent="0.3">
      <c r="A1127" s="8" t="s">
        <v>710</v>
      </c>
      <c r="B1127" s="62" t="s">
        <v>935</v>
      </c>
      <c r="C1127" s="68" t="s">
        <v>1391</v>
      </c>
      <c r="D1127" s="68" t="s">
        <v>1398</v>
      </c>
      <c r="E1127" s="8" t="s">
        <v>53</v>
      </c>
      <c r="F1127" s="8"/>
      <c r="G1127" s="31" t="s">
        <v>1318</v>
      </c>
      <c r="H1127" s="14">
        <f t="shared" si="542"/>
        <v>0</v>
      </c>
      <c r="I1127" s="14">
        <f t="shared" si="542"/>
        <v>0</v>
      </c>
      <c r="J1127" s="14">
        <f t="shared" si="542"/>
        <v>0</v>
      </c>
      <c r="K1127" s="78" t="e">
        <f t="shared" si="528"/>
        <v>#DIV/0!</v>
      </c>
      <c r="L1127" s="14">
        <f t="shared" si="542"/>
        <v>0</v>
      </c>
      <c r="M1127" s="50">
        <v>111</v>
      </c>
      <c r="N1127" s="50"/>
    </row>
    <row r="1128" spans="1:14" ht="31.2" hidden="1" x14ac:dyDescent="0.3">
      <c r="A1128" s="8" t="s">
        <v>710</v>
      </c>
      <c r="B1128" s="62" t="s">
        <v>935</v>
      </c>
      <c r="C1128" s="68" t="s">
        <v>1391</v>
      </c>
      <c r="D1128" s="68" t="s">
        <v>1398</v>
      </c>
      <c r="E1128" s="8" t="s">
        <v>93</v>
      </c>
      <c r="F1128" s="8"/>
      <c r="G1128" s="23" t="s">
        <v>161</v>
      </c>
      <c r="H1128" s="14">
        <f t="shared" si="542"/>
        <v>0</v>
      </c>
      <c r="I1128" s="14">
        <f t="shared" si="542"/>
        <v>0</v>
      </c>
      <c r="J1128" s="14">
        <f t="shared" si="542"/>
        <v>0</v>
      </c>
      <c r="K1128" s="78" t="e">
        <f t="shared" si="528"/>
        <v>#DIV/0!</v>
      </c>
      <c r="L1128" s="14">
        <f t="shared" si="542"/>
        <v>0</v>
      </c>
      <c r="M1128" s="50">
        <v>111</v>
      </c>
      <c r="N1128" s="50"/>
    </row>
    <row r="1129" spans="1:14" ht="31.2" hidden="1" x14ac:dyDescent="0.3">
      <c r="A1129" s="8" t="s">
        <v>710</v>
      </c>
      <c r="B1129" s="62" t="s">
        <v>935</v>
      </c>
      <c r="C1129" s="68" t="s">
        <v>1391</v>
      </c>
      <c r="D1129" s="68" t="s">
        <v>1398</v>
      </c>
      <c r="E1129" s="8" t="s">
        <v>93</v>
      </c>
      <c r="F1129" s="45" t="s">
        <v>380</v>
      </c>
      <c r="G1129" s="23" t="s">
        <v>809</v>
      </c>
      <c r="H1129" s="14">
        <f t="shared" si="542"/>
        <v>0</v>
      </c>
      <c r="I1129" s="14">
        <f t="shared" si="542"/>
        <v>0</v>
      </c>
      <c r="J1129" s="14">
        <f t="shared" si="542"/>
        <v>0</v>
      </c>
      <c r="K1129" s="78" t="e">
        <f t="shared" si="528"/>
        <v>#DIV/0!</v>
      </c>
      <c r="L1129" s="14">
        <f t="shared" si="542"/>
        <v>0</v>
      </c>
      <c r="M1129" s="50">
        <v>111</v>
      </c>
      <c r="N1129" s="50"/>
    </row>
    <row r="1130" spans="1:14" ht="31.2" hidden="1" x14ac:dyDescent="0.3">
      <c r="A1130" s="8" t="s">
        <v>710</v>
      </c>
      <c r="B1130" s="62" t="s">
        <v>935</v>
      </c>
      <c r="C1130" s="68" t="s">
        <v>1391</v>
      </c>
      <c r="D1130" s="68" t="s">
        <v>1398</v>
      </c>
      <c r="E1130" s="8" t="s">
        <v>93</v>
      </c>
      <c r="F1130" s="8" t="s">
        <v>247</v>
      </c>
      <c r="G1130" s="23" t="s">
        <v>810</v>
      </c>
      <c r="H1130" s="14">
        <v>0</v>
      </c>
      <c r="I1130" s="14">
        <v>0</v>
      </c>
      <c r="J1130" s="14">
        <v>0</v>
      </c>
      <c r="K1130" s="78" t="e">
        <f t="shared" si="528"/>
        <v>#DIV/0!</v>
      </c>
      <c r="L1130" s="14"/>
      <c r="M1130" s="50">
        <v>111</v>
      </c>
      <c r="N1130" s="50"/>
    </row>
    <row r="1131" spans="1:14" ht="46.8" x14ac:dyDescent="0.3">
      <c r="A1131" s="8" t="s">
        <v>710</v>
      </c>
      <c r="B1131" s="62" t="s">
        <v>935</v>
      </c>
      <c r="C1131" s="68" t="s">
        <v>1391</v>
      </c>
      <c r="D1131" s="68" t="s">
        <v>1398</v>
      </c>
      <c r="E1131" s="8" t="s">
        <v>493</v>
      </c>
      <c r="F1131" s="8"/>
      <c r="G1131" s="13" t="s">
        <v>1160</v>
      </c>
      <c r="H1131" s="20">
        <v>0</v>
      </c>
      <c r="I1131" s="14">
        <f>I1132</f>
        <v>28.8</v>
      </c>
      <c r="J1131" s="14">
        <f t="shared" ref="J1131:L1134" si="544">J1132</f>
        <v>28.8</v>
      </c>
      <c r="K1131" s="78">
        <f t="shared" si="528"/>
        <v>100</v>
      </c>
      <c r="L1131" s="14">
        <f t="shared" si="544"/>
        <v>0</v>
      </c>
      <c r="M1131" s="50"/>
      <c r="N1131" s="50"/>
    </row>
    <row r="1132" spans="1:14" x14ac:dyDescent="0.3">
      <c r="A1132" s="8" t="s">
        <v>710</v>
      </c>
      <c r="B1132" s="62" t="s">
        <v>935</v>
      </c>
      <c r="C1132" s="68" t="s">
        <v>1391</v>
      </c>
      <c r="D1132" s="68" t="s">
        <v>1398</v>
      </c>
      <c r="E1132" s="8" t="s">
        <v>533</v>
      </c>
      <c r="F1132" s="8"/>
      <c r="G1132" s="13" t="s">
        <v>1162</v>
      </c>
      <c r="H1132" s="20">
        <v>0</v>
      </c>
      <c r="I1132" s="14">
        <f>I1133</f>
        <v>28.8</v>
      </c>
      <c r="J1132" s="14">
        <f t="shared" si="544"/>
        <v>28.8</v>
      </c>
      <c r="K1132" s="78">
        <f t="shared" si="528"/>
        <v>100</v>
      </c>
      <c r="L1132" s="14">
        <f t="shared" si="544"/>
        <v>0</v>
      </c>
      <c r="M1132" s="50"/>
      <c r="N1132" s="50"/>
    </row>
    <row r="1133" spans="1:14" x14ac:dyDescent="0.3">
      <c r="A1133" s="8" t="s">
        <v>710</v>
      </c>
      <c r="B1133" s="62" t="s">
        <v>935</v>
      </c>
      <c r="C1133" s="68" t="s">
        <v>1391</v>
      </c>
      <c r="D1133" s="68" t="s">
        <v>1398</v>
      </c>
      <c r="E1133" s="8" t="s">
        <v>534</v>
      </c>
      <c r="F1133" s="8"/>
      <c r="G1133" s="13" t="s">
        <v>1163</v>
      </c>
      <c r="H1133" s="20">
        <v>0</v>
      </c>
      <c r="I1133" s="14">
        <f>I1134</f>
        <v>28.8</v>
      </c>
      <c r="J1133" s="14">
        <f t="shared" si="544"/>
        <v>28.8</v>
      </c>
      <c r="K1133" s="78">
        <f t="shared" si="528"/>
        <v>100</v>
      </c>
      <c r="L1133" s="14">
        <f t="shared" si="544"/>
        <v>0</v>
      </c>
      <c r="M1133" s="50"/>
      <c r="N1133" s="50"/>
    </row>
    <row r="1134" spans="1:14" ht="31.2" x14ac:dyDescent="0.3">
      <c r="A1134" s="8" t="s">
        <v>710</v>
      </c>
      <c r="B1134" s="62" t="s">
        <v>935</v>
      </c>
      <c r="C1134" s="68" t="s">
        <v>1391</v>
      </c>
      <c r="D1134" s="68" t="s">
        <v>1398</v>
      </c>
      <c r="E1134" s="8" t="s">
        <v>534</v>
      </c>
      <c r="F1134" s="45" t="s">
        <v>380</v>
      </c>
      <c r="G1134" s="23" t="s">
        <v>809</v>
      </c>
      <c r="H1134" s="20">
        <v>0</v>
      </c>
      <c r="I1134" s="14">
        <f>I1135</f>
        <v>28.8</v>
      </c>
      <c r="J1134" s="14">
        <f t="shared" si="544"/>
        <v>28.8</v>
      </c>
      <c r="K1134" s="78">
        <f t="shared" si="528"/>
        <v>100</v>
      </c>
      <c r="L1134" s="14">
        <f t="shared" si="544"/>
        <v>0</v>
      </c>
      <c r="M1134" s="50"/>
      <c r="N1134" s="50"/>
    </row>
    <row r="1135" spans="1:14" ht="31.2" x14ac:dyDescent="0.3">
      <c r="A1135" s="8" t="s">
        <v>710</v>
      </c>
      <c r="B1135" s="62" t="s">
        <v>935</v>
      </c>
      <c r="C1135" s="68" t="s">
        <v>1391</v>
      </c>
      <c r="D1135" s="68" t="s">
        <v>1398</v>
      </c>
      <c r="E1135" s="8" t="s">
        <v>534</v>
      </c>
      <c r="F1135" s="8" t="s">
        <v>247</v>
      </c>
      <c r="G1135" s="23" t="s">
        <v>810</v>
      </c>
      <c r="H1135" s="20">
        <v>0</v>
      </c>
      <c r="I1135" s="14">
        <v>28.8</v>
      </c>
      <c r="J1135" s="14">
        <v>28.8</v>
      </c>
      <c r="K1135" s="78">
        <f t="shared" si="528"/>
        <v>100</v>
      </c>
      <c r="L1135" s="14"/>
      <c r="M1135" s="50"/>
      <c r="N1135" s="50"/>
    </row>
    <row r="1136" spans="1:14" s="9" customFormat="1" ht="31.2" x14ac:dyDescent="0.3">
      <c r="A1136" s="11" t="s">
        <v>710</v>
      </c>
      <c r="B1136" s="48" t="s">
        <v>936</v>
      </c>
      <c r="C1136" s="48" t="s">
        <v>1391</v>
      </c>
      <c r="D1136" s="48" t="s">
        <v>1480</v>
      </c>
      <c r="E1136" s="11"/>
      <c r="F1136" s="11"/>
      <c r="G1136" s="7" t="s">
        <v>1421</v>
      </c>
      <c r="H1136" s="16">
        <f>H1137+H1143</f>
        <v>751.09899999999993</v>
      </c>
      <c r="I1136" s="16">
        <f>I1137+I1143+I1149</f>
        <v>1113.992</v>
      </c>
      <c r="J1136" s="16">
        <f t="shared" ref="J1136:L1136" si="545">J1137+J1143+J1149</f>
        <v>992.69398000000001</v>
      </c>
      <c r="K1136" s="82">
        <f t="shared" si="528"/>
        <v>89.1114101357999</v>
      </c>
      <c r="L1136" s="16">
        <f t="shared" si="545"/>
        <v>0</v>
      </c>
      <c r="M1136" s="65"/>
      <c r="N1136" s="65"/>
    </row>
    <row r="1137" spans="1:14" ht="31.2" x14ac:dyDescent="0.3">
      <c r="A1137" s="8" t="s">
        <v>710</v>
      </c>
      <c r="B1137" s="62" t="s">
        <v>936</v>
      </c>
      <c r="C1137" s="68" t="s">
        <v>1391</v>
      </c>
      <c r="D1137" s="68" t="s">
        <v>1480</v>
      </c>
      <c r="E1137" s="8" t="s">
        <v>383</v>
      </c>
      <c r="F1137" s="8"/>
      <c r="G1137" s="13" t="s">
        <v>1055</v>
      </c>
      <c r="H1137" s="14">
        <f t="shared" ref="H1137:L1141" si="546">H1138</f>
        <v>99</v>
      </c>
      <c r="I1137" s="14">
        <f t="shared" si="546"/>
        <v>99</v>
      </c>
      <c r="J1137" s="14">
        <f t="shared" si="546"/>
        <v>99</v>
      </c>
      <c r="K1137" s="78">
        <f t="shared" si="528"/>
        <v>100</v>
      </c>
      <c r="L1137" s="14">
        <f t="shared" si="546"/>
        <v>0</v>
      </c>
      <c r="M1137" s="50"/>
      <c r="N1137" s="50"/>
    </row>
    <row r="1138" spans="1:14" ht="46.8" x14ac:dyDescent="0.3">
      <c r="A1138" s="8" t="s">
        <v>710</v>
      </c>
      <c r="B1138" s="62" t="s">
        <v>936</v>
      </c>
      <c r="C1138" s="68" t="s">
        <v>1391</v>
      </c>
      <c r="D1138" s="68" t="s">
        <v>1480</v>
      </c>
      <c r="E1138" s="8" t="s">
        <v>432</v>
      </c>
      <c r="F1138" s="8"/>
      <c r="G1138" s="13" t="s">
        <v>1056</v>
      </c>
      <c r="H1138" s="14">
        <f t="shared" si="546"/>
        <v>99</v>
      </c>
      <c r="I1138" s="14">
        <f t="shared" si="546"/>
        <v>99</v>
      </c>
      <c r="J1138" s="14">
        <f t="shared" si="546"/>
        <v>99</v>
      </c>
      <c r="K1138" s="78">
        <f t="shared" si="528"/>
        <v>100</v>
      </c>
      <c r="L1138" s="14">
        <f t="shared" si="546"/>
        <v>0</v>
      </c>
      <c r="M1138" s="50"/>
      <c r="N1138" s="50"/>
    </row>
    <row r="1139" spans="1:14" ht="46.8" x14ac:dyDescent="0.3">
      <c r="A1139" s="8" t="s">
        <v>710</v>
      </c>
      <c r="B1139" s="62" t="s">
        <v>936</v>
      </c>
      <c r="C1139" s="68" t="s">
        <v>1391</v>
      </c>
      <c r="D1139" s="68" t="s">
        <v>1480</v>
      </c>
      <c r="E1139" s="8" t="s">
        <v>433</v>
      </c>
      <c r="F1139" s="8"/>
      <c r="G1139" s="18" t="s">
        <v>132</v>
      </c>
      <c r="H1139" s="14">
        <f t="shared" si="546"/>
        <v>99</v>
      </c>
      <c r="I1139" s="14">
        <f t="shared" si="546"/>
        <v>99</v>
      </c>
      <c r="J1139" s="14">
        <f t="shared" si="546"/>
        <v>99</v>
      </c>
      <c r="K1139" s="78">
        <f t="shared" si="528"/>
        <v>100</v>
      </c>
      <c r="L1139" s="14">
        <f t="shared" si="546"/>
        <v>0</v>
      </c>
      <c r="M1139" s="50"/>
      <c r="N1139" s="50"/>
    </row>
    <row r="1140" spans="1:14" ht="31.2" x14ac:dyDescent="0.3">
      <c r="A1140" s="8" t="s">
        <v>710</v>
      </c>
      <c r="B1140" s="62" t="s">
        <v>936</v>
      </c>
      <c r="C1140" s="68" t="s">
        <v>1391</v>
      </c>
      <c r="D1140" s="68" t="s">
        <v>1480</v>
      </c>
      <c r="E1140" s="8" t="s">
        <v>434</v>
      </c>
      <c r="F1140" s="8"/>
      <c r="G1140" s="13" t="s">
        <v>1058</v>
      </c>
      <c r="H1140" s="14">
        <f t="shared" si="546"/>
        <v>99</v>
      </c>
      <c r="I1140" s="14">
        <f t="shared" si="546"/>
        <v>99</v>
      </c>
      <c r="J1140" s="14">
        <f t="shared" si="546"/>
        <v>99</v>
      </c>
      <c r="K1140" s="78">
        <f t="shared" si="528"/>
        <v>100</v>
      </c>
      <c r="L1140" s="14">
        <f t="shared" si="546"/>
        <v>0</v>
      </c>
      <c r="M1140" s="50"/>
      <c r="N1140" s="50"/>
    </row>
    <row r="1141" spans="1:14" ht="31.2" x14ac:dyDescent="0.3">
      <c r="A1141" s="8" t="s">
        <v>710</v>
      </c>
      <c r="B1141" s="62" t="s">
        <v>936</v>
      </c>
      <c r="C1141" s="68" t="s">
        <v>1391</v>
      </c>
      <c r="D1141" s="68" t="s">
        <v>1480</v>
      </c>
      <c r="E1141" s="8" t="s">
        <v>434</v>
      </c>
      <c r="F1141" s="45" t="s">
        <v>380</v>
      </c>
      <c r="G1141" s="23" t="s">
        <v>809</v>
      </c>
      <c r="H1141" s="14">
        <f t="shared" si="546"/>
        <v>99</v>
      </c>
      <c r="I1141" s="14">
        <f t="shared" si="546"/>
        <v>99</v>
      </c>
      <c r="J1141" s="14">
        <f t="shared" si="546"/>
        <v>99</v>
      </c>
      <c r="K1141" s="78">
        <f t="shared" si="528"/>
        <v>100</v>
      </c>
      <c r="L1141" s="14">
        <f t="shared" si="546"/>
        <v>0</v>
      </c>
      <c r="M1141" s="50"/>
      <c r="N1141" s="50"/>
    </row>
    <row r="1142" spans="1:14" ht="31.2" x14ac:dyDescent="0.3">
      <c r="A1142" s="8" t="s">
        <v>710</v>
      </c>
      <c r="B1142" s="62" t="s">
        <v>936</v>
      </c>
      <c r="C1142" s="68" t="s">
        <v>1391</v>
      </c>
      <c r="D1142" s="68" t="s">
        <v>1480</v>
      </c>
      <c r="E1142" s="8" t="s">
        <v>434</v>
      </c>
      <c r="F1142" s="8" t="s">
        <v>247</v>
      </c>
      <c r="G1142" s="23" t="s">
        <v>810</v>
      </c>
      <c r="H1142" s="14">
        <f>100-1</f>
        <v>99</v>
      </c>
      <c r="I1142" s="14">
        <v>99</v>
      </c>
      <c r="J1142" s="14">
        <v>99</v>
      </c>
      <c r="K1142" s="78">
        <f t="shared" si="528"/>
        <v>100</v>
      </c>
      <c r="L1142" s="14"/>
      <c r="M1142" s="50"/>
      <c r="N1142" s="50"/>
    </row>
    <row r="1143" spans="1:14" ht="46.8" x14ac:dyDescent="0.3">
      <c r="A1143" s="8" t="s">
        <v>710</v>
      </c>
      <c r="B1143" s="62" t="s">
        <v>936</v>
      </c>
      <c r="C1143" s="68" t="s">
        <v>1391</v>
      </c>
      <c r="D1143" s="68" t="s">
        <v>1480</v>
      </c>
      <c r="E1143" s="8" t="s">
        <v>381</v>
      </c>
      <c r="F1143" s="8"/>
      <c r="G1143" s="18" t="s">
        <v>1061</v>
      </c>
      <c r="H1143" s="14">
        <f t="shared" ref="H1143:L1147" si="547">H1144</f>
        <v>652.09899999999993</v>
      </c>
      <c r="I1143" s="14">
        <f t="shared" si="547"/>
        <v>652.09900000000005</v>
      </c>
      <c r="J1143" s="14">
        <f t="shared" si="547"/>
        <v>530.80097999999998</v>
      </c>
      <c r="K1143" s="78">
        <f t="shared" si="528"/>
        <v>81.398833612687639</v>
      </c>
      <c r="L1143" s="14">
        <f t="shared" si="547"/>
        <v>0</v>
      </c>
      <c r="M1143" s="50"/>
      <c r="N1143" s="50"/>
    </row>
    <row r="1144" spans="1:14" ht="31.2" x14ac:dyDescent="0.3">
      <c r="A1144" s="8" t="s">
        <v>710</v>
      </c>
      <c r="B1144" s="62" t="s">
        <v>936</v>
      </c>
      <c r="C1144" s="68" t="s">
        <v>1391</v>
      </c>
      <c r="D1144" s="68" t="s">
        <v>1480</v>
      </c>
      <c r="E1144" s="8" t="s">
        <v>435</v>
      </c>
      <c r="F1144" s="8"/>
      <c r="G1144" s="13" t="s">
        <v>1064</v>
      </c>
      <c r="H1144" s="14">
        <f t="shared" si="547"/>
        <v>652.09899999999993</v>
      </c>
      <c r="I1144" s="14">
        <f t="shared" si="547"/>
        <v>652.09900000000005</v>
      </c>
      <c r="J1144" s="14">
        <f t="shared" si="547"/>
        <v>530.80097999999998</v>
      </c>
      <c r="K1144" s="78">
        <f t="shared" si="528"/>
        <v>81.398833612687639</v>
      </c>
      <c r="L1144" s="14">
        <f t="shared" si="547"/>
        <v>0</v>
      </c>
      <c r="M1144" s="50"/>
      <c r="N1144" s="50"/>
    </row>
    <row r="1145" spans="1:14" ht="46.8" x14ac:dyDescent="0.3">
      <c r="A1145" s="8" t="s">
        <v>710</v>
      </c>
      <c r="B1145" s="62" t="s">
        <v>936</v>
      </c>
      <c r="C1145" s="68" t="s">
        <v>1391</v>
      </c>
      <c r="D1145" s="68" t="s">
        <v>1480</v>
      </c>
      <c r="E1145" s="8" t="s">
        <v>436</v>
      </c>
      <c r="F1145" s="8"/>
      <c r="G1145" s="13" t="s">
        <v>1211</v>
      </c>
      <c r="H1145" s="14">
        <f t="shared" si="547"/>
        <v>652.09899999999993</v>
      </c>
      <c r="I1145" s="14">
        <f t="shared" si="547"/>
        <v>652.09900000000005</v>
      </c>
      <c r="J1145" s="14">
        <f t="shared" si="547"/>
        <v>530.80097999999998</v>
      </c>
      <c r="K1145" s="78">
        <f t="shared" si="528"/>
        <v>81.398833612687639</v>
      </c>
      <c r="L1145" s="14">
        <f t="shared" si="547"/>
        <v>0</v>
      </c>
      <c r="M1145" s="50"/>
      <c r="N1145" s="50"/>
    </row>
    <row r="1146" spans="1:14" ht="46.8" x14ac:dyDescent="0.3">
      <c r="A1146" s="8" t="s">
        <v>710</v>
      </c>
      <c r="B1146" s="62" t="s">
        <v>936</v>
      </c>
      <c r="C1146" s="68" t="s">
        <v>1391</v>
      </c>
      <c r="D1146" s="68" t="s">
        <v>1480</v>
      </c>
      <c r="E1146" s="8" t="s">
        <v>437</v>
      </c>
      <c r="F1146" s="8"/>
      <c r="G1146" s="18" t="s">
        <v>19</v>
      </c>
      <c r="H1146" s="14">
        <f t="shared" si="547"/>
        <v>652.09899999999993</v>
      </c>
      <c r="I1146" s="14">
        <f t="shared" si="547"/>
        <v>652.09900000000005</v>
      </c>
      <c r="J1146" s="14">
        <f t="shared" si="547"/>
        <v>530.80097999999998</v>
      </c>
      <c r="K1146" s="78">
        <f t="shared" si="528"/>
        <v>81.398833612687639</v>
      </c>
      <c r="L1146" s="14">
        <f t="shared" si="547"/>
        <v>0</v>
      </c>
      <c r="M1146" s="50"/>
      <c r="N1146" s="50"/>
    </row>
    <row r="1147" spans="1:14" ht="31.2" x14ac:dyDescent="0.3">
      <c r="A1147" s="8" t="s">
        <v>710</v>
      </c>
      <c r="B1147" s="62" t="s">
        <v>936</v>
      </c>
      <c r="C1147" s="68" t="s">
        <v>1391</v>
      </c>
      <c r="D1147" s="68" t="s">
        <v>1480</v>
      </c>
      <c r="E1147" s="8" t="s">
        <v>437</v>
      </c>
      <c r="F1147" s="45" t="s">
        <v>380</v>
      </c>
      <c r="G1147" s="23" t="s">
        <v>809</v>
      </c>
      <c r="H1147" s="14">
        <f t="shared" si="547"/>
        <v>652.09899999999993</v>
      </c>
      <c r="I1147" s="14">
        <f t="shared" si="547"/>
        <v>652.09900000000005</v>
      </c>
      <c r="J1147" s="14">
        <f t="shared" si="547"/>
        <v>530.80097999999998</v>
      </c>
      <c r="K1147" s="78">
        <f t="shared" si="528"/>
        <v>81.398833612687639</v>
      </c>
      <c r="L1147" s="14">
        <f t="shared" si="547"/>
        <v>0</v>
      </c>
      <c r="M1147" s="50"/>
      <c r="N1147" s="50"/>
    </row>
    <row r="1148" spans="1:14" ht="31.2" x14ac:dyDescent="0.3">
      <c r="A1148" s="8" t="s">
        <v>710</v>
      </c>
      <c r="B1148" s="62" t="s">
        <v>936</v>
      </c>
      <c r="C1148" s="68" t="s">
        <v>1391</v>
      </c>
      <c r="D1148" s="68" t="s">
        <v>1480</v>
      </c>
      <c r="E1148" s="8" t="s">
        <v>437</v>
      </c>
      <c r="F1148" s="8" t="s">
        <v>247</v>
      </c>
      <c r="G1148" s="23" t="s">
        <v>810</v>
      </c>
      <c r="H1148" s="14">
        <f>1209-641.811+88.392-3.482</f>
        <v>652.09899999999993</v>
      </c>
      <c r="I1148" s="14">
        <v>652.09900000000005</v>
      </c>
      <c r="J1148" s="14">
        <v>530.80097999999998</v>
      </c>
      <c r="K1148" s="78">
        <f t="shared" si="528"/>
        <v>81.398833612687639</v>
      </c>
      <c r="L1148" s="14"/>
      <c r="M1148" s="50"/>
      <c r="N1148" s="50"/>
    </row>
    <row r="1149" spans="1:14" ht="31.2" x14ac:dyDescent="0.3">
      <c r="A1149" s="8" t="s">
        <v>710</v>
      </c>
      <c r="B1149" s="62" t="s">
        <v>936</v>
      </c>
      <c r="C1149" s="68" t="s">
        <v>1391</v>
      </c>
      <c r="D1149" s="68" t="s">
        <v>1480</v>
      </c>
      <c r="E1149" s="8" t="s">
        <v>429</v>
      </c>
      <c r="F1149" s="8"/>
      <c r="G1149" s="13" t="s">
        <v>1140</v>
      </c>
      <c r="H1149" s="20">
        <v>0</v>
      </c>
      <c r="I1149" s="14">
        <f>I1150</f>
        <v>362.89299999999997</v>
      </c>
      <c r="J1149" s="14">
        <f t="shared" ref="J1149:L1149" si="548">J1150</f>
        <v>362.89299999999997</v>
      </c>
      <c r="K1149" s="78">
        <f t="shared" si="528"/>
        <v>100</v>
      </c>
      <c r="L1149" s="14">
        <f t="shared" si="548"/>
        <v>0</v>
      </c>
      <c r="M1149" s="50"/>
      <c r="N1149" s="50"/>
    </row>
    <row r="1150" spans="1:14" x14ac:dyDescent="0.3">
      <c r="A1150" s="8" t="s">
        <v>710</v>
      </c>
      <c r="B1150" s="62" t="s">
        <v>936</v>
      </c>
      <c r="C1150" s="68" t="s">
        <v>1391</v>
      </c>
      <c r="D1150" s="68" t="s">
        <v>1480</v>
      </c>
      <c r="E1150" s="8" t="s">
        <v>430</v>
      </c>
      <c r="F1150" s="8"/>
      <c r="G1150" s="13" t="s">
        <v>1141</v>
      </c>
      <c r="H1150" s="20">
        <v>0</v>
      </c>
      <c r="I1150" s="14">
        <f>I1151+I1154</f>
        <v>362.89299999999997</v>
      </c>
      <c r="J1150" s="14">
        <f t="shared" ref="J1150:L1150" si="549">J1151+J1154</f>
        <v>362.89299999999997</v>
      </c>
      <c r="K1150" s="78">
        <f t="shared" si="528"/>
        <v>100</v>
      </c>
      <c r="L1150" s="14">
        <f t="shared" si="549"/>
        <v>0</v>
      </c>
      <c r="M1150" s="50"/>
      <c r="N1150" s="50"/>
    </row>
    <row r="1151" spans="1:14" ht="31.2" x14ac:dyDescent="0.3">
      <c r="A1151" s="8" t="s">
        <v>710</v>
      </c>
      <c r="B1151" s="62" t="s">
        <v>936</v>
      </c>
      <c r="C1151" s="68" t="s">
        <v>1391</v>
      </c>
      <c r="D1151" s="68" t="s">
        <v>1480</v>
      </c>
      <c r="E1151" s="8" t="s">
        <v>209</v>
      </c>
      <c r="F1151" s="8"/>
      <c r="G1151" s="13" t="s">
        <v>1147</v>
      </c>
      <c r="H1151" s="20">
        <v>0</v>
      </c>
      <c r="I1151" s="14">
        <f>I1152</f>
        <v>70.031999999999996</v>
      </c>
      <c r="J1151" s="14">
        <f t="shared" ref="J1151:L1152" si="550">J1152</f>
        <v>70.031999999999996</v>
      </c>
      <c r="K1151" s="78">
        <f t="shared" si="528"/>
        <v>100</v>
      </c>
      <c r="L1151" s="14">
        <f t="shared" si="550"/>
        <v>0</v>
      </c>
      <c r="M1151" s="50"/>
      <c r="N1151" s="50"/>
    </row>
    <row r="1152" spans="1:14" ht="31.2" x14ac:dyDescent="0.3">
      <c r="A1152" s="8" t="s">
        <v>710</v>
      </c>
      <c r="B1152" s="62" t="s">
        <v>936</v>
      </c>
      <c r="C1152" s="68" t="s">
        <v>1391</v>
      </c>
      <c r="D1152" s="68" t="s">
        <v>1480</v>
      </c>
      <c r="E1152" s="8" t="s">
        <v>209</v>
      </c>
      <c r="F1152" s="45" t="s">
        <v>380</v>
      </c>
      <c r="G1152" s="23" t="s">
        <v>809</v>
      </c>
      <c r="H1152" s="20">
        <v>0</v>
      </c>
      <c r="I1152" s="14">
        <f>I1153</f>
        <v>70.031999999999996</v>
      </c>
      <c r="J1152" s="14">
        <f t="shared" si="550"/>
        <v>70.031999999999996</v>
      </c>
      <c r="K1152" s="78">
        <f t="shared" si="528"/>
        <v>100</v>
      </c>
      <c r="L1152" s="14">
        <f t="shared" si="550"/>
        <v>0</v>
      </c>
      <c r="M1152" s="50"/>
      <c r="N1152" s="50"/>
    </row>
    <row r="1153" spans="1:14" ht="31.2" x14ac:dyDescent="0.3">
      <c r="A1153" s="8" t="s">
        <v>710</v>
      </c>
      <c r="B1153" s="62" t="s">
        <v>936</v>
      </c>
      <c r="C1153" s="68" t="s">
        <v>1391</v>
      </c>
      <c r="D1153" s="68" t="s">
        <v>1480</v>
      </c>
      <c r="E1153" s="8" t="s">
        <v>209</v>
      </c>
      <c r="F1153" s="8" t="s">
        <v>247</v>
      </c>
      <c r="G1153" s="23" t="s">
        <v>810</v>
      </c>
      <c r="H1153" s="20">
        <v>0</v>
      </c>
      <c r="I1153" s="14">
        <v>70.031999999999996</v>
      </c>
      <c r="J1153" s="14">
        <v>70.031999999999996</v>
      </c>
      <c r="K1153" s="78">
        <f t="shared" si="528"/>
        <v>100</v>
      </c>
      <c r="L1153" s="14"/>
      <c r="M1153" s="50"/>
      <c r="N1153" s="50"/>
    </row>
    <row r="1154" spans="1:14" ht="31.2" x14ac:dyDescent="0.3">
      <c r="A1154" s="8" t="s">
        <v>710</v>
      </c>
      <c r="B1154" s="62" t="s">
        <v>936</v>
      </c>
      <c r="C1154" s="68" t="s">
        <v>1391</v>
      </c>
      <c r="D1154" s="68" t="s">
        <v>1480</v>
      </c>
      <c r="E1154" s="8" t="s">
        <v>210</v>
      </c>
      <c r="F1154" s="8"/>
      <c r="G1154" s="13" t="s">
        <v>1183</v>
      </c>
      <c r="H1154" s="20">
        <v>0</v>
      </c>
      <c r="I1154" s="14">
        <f>I1155+I1157</f>
        <v>292.86099999999999</v>
      </c>
      <c r="J1154" s="14">
        <f t="shared" ref="J1154:L1154" si="551">J1155+J1157</f>
        <v>292.86099999999999</v>
      </c>
      <c r="K1154" s="78">
        <f t="shared" si="528"/>
        <v>100</v>
      </c>
      <c r="L1154" s="14">
        <f t="shared" si="551"/>
        <v>0</v>
      </c>
      <c r="M1154" s="50"/>
      <c r="N1154" s="50"/>
    </row>
    <row r="1155" spans="1:14" ht="78" x14ac:dyDescent="0.3">
      <c r="A1155" s="8" t="s">
        <v>710</v>
      </c>
      <c r="B1155" s="62" t="s">
        <v>936</v>
      </c>
      <c r="C1155" s="68" t="s">
        <v>1391</v>
      </c>
      <c r="D1155" s="68" t="s">
        <v>1480</v>
      </c>
      <c r="E1155" s="8" t="s">
        <v>210</v>
      </c>
      <c r="F1155" s="45" t="s">
        <v>431</v>
      </c>
      <c r="G1155" s="23" t="s">
        <v>806</v>
      </c>
      <c r="H1155" s="20">
        <v>0</v>
      </c>
      <c r="I1155" s="14">
        <f>I1156</f>
        <v>105.2811</v>
      </c>
      <c r="J1155" s="14">
        <f t="shared" ref="J1155:L1155" si="552">J1156</f>
        <v>105.2811</v>
      </c>
      <c r="K1155" s="78">
        <f t="shared" si="528"/>
        <v>100</v>
      </c>
      <c r="L1155" s="14">
        <f t="shared" si="552"/>
        <v>0</v>
      </c>
      <c r="M1155" s="50"/>
      <c r="N1155" s="50"/>
    </row>
    <row r="1156" spans="1:14" ht="31.2" x14ac:dyDescent="0.3">
      <c r="A1156" s="8" t="s">
        <v>710</v>
      </c>
      <c r="B1156" s="62" t="s">
        <v>936</v>
      </c>
      <c r="C1156" s="68" t="s">
        <v>1391</v>
      </c>
      <c r="D1156" s="68" t="s">
        <v>1480</v>
      </c>
      <c r="E1156" s="8" t="s">
        <v>210</v>
      </c>
      <c r="F1156" s="45" t="s">
        <v>233</v>
      </c>
      <c r="G1156" s="23" t="s">
        <v>808</v>
      </c>
      <c r="H1156" s="20">
        <v>0</v>
      </c>
      <c r="I1156" s="14">
        <v>105.2811</v>
      </c>
      <c r="J1156" s="14">
        <v>105.2811</v>
      </c>
      <c r="K1156" s="78">
        <f t="shared" si="528"/>
        <v>100</v>
      </c>
      <c r="L1156" s="14"/>
      <c r="M1156" s="50"/>
      <c r="N1156" s="50"/>
    </row>
    <row r="1157" spans="1:14" ht="31.2" x14ac:dyDescent="0.3">
      <c r="A1157" s="8" t="s">
        <v>710</v>
      </c>
      <c r="B1157" s="62" t="s">
        <v>936</v>
      </c>
      <c r="C1157" s="68" t="s">
        <v>1391</v>
      </c>
      <c r="D1157" s="68" t="s">
        <v>1480</v>
      </c>
      <c r="E1157" s="8" t="s">
        <v>210</v>
      </c>
      <c r="F1157" s="45" t="s">
        <v>380</v>
      </c>
      <c r="G1157" s="23" t="s">
        <v>809</v>
      </c>
      <c r="H1157" s="20">
        <v>0</v>
      </c>
      <c r="I1157" s="14">
        <f>I1158</f>
        <v>187.57990000000001</v>
      </c>
      <c r="J1157" s="14">
        <f t="shared" ref="J1157:L1157" si="553">J1158</f>
        <v>187.57990000000001</v>
      </c>
      <c r="K1157" s="78">
        <f t="shared" si="528"/>
        <v>100</v>
      </c>
      <c r="L1157" s="14">
        <f t="shared" si="553"/>
        <v>0</v>
      </c>
      <c r="M1157" s="50"/>
      <c r="N1157" s="50"/>
    </row>
    <row r="1158" spans="1:14" ht="31.2" x14ac:dyDescent="0.3">
      <c r="A1158" s="8" t="s">
        <v>710</v>
      </c>
      <c r="B1158" s="62" t="s">
        <v>936</v>
      </c>
      <c r="C1158" s="68" t="s">
        <v>1391</v>
      </c>
      <c r="D1158" s="68" t="s">
        <v>1480</v>
      </c>
      <c r="E1158" s="8" t="s">
        <v>210</v>
      </c>
      <c r="F1158" s="8" t="s">
        <v>247</v>
      </c>
      <c r="G1158" s="23" t="s">
        <v>810</v>
      </c>
      <c r="H1158" s="20">
        <v>0</v>
      </c>
      <c r="I1158" s="14">
        <v>187.57990000000001</v>
      </c>
      <c r="J1158" s="14">
        <v>187.57990000000001</v>
      </c>
      <c r="K1158" s="78">
        <f t="shared" si="528"/>
        <v>100</v>
      </c>
      <c r="L1158" s="14"/>
      <c r="M1158" s="50"/>
      <c r="N1158" s="50"/>
    </row>
    <row r="1159" spans="1:14" s="3" customFormat="1" x14ac:dyDescent="0.3">
      <c r="A1159" s="10" t="s">
        <v>710</v>
      </c>
      <c r="B1159" s="43" t="s">
        <v>1386</v>
      </c>
      <c r="C1159" s="43" t="s">
        <v>1386</v>
      </c>
      <c r="D1159" s="43" t="s">
        <v>915</v>
      </c>
      <c r="E1159" s="10"/>
      <c r="F1159" s="10"/>
      <c r="G1159" s="5" t="s">
        <v>1388</v>
      </c>
      <c r="H1159" s="15">
        <f>H1160+H1199</f>
        <v>258578.14599999998</v>
      </c>
      <c r="I1159" s="15">
        <f>I1160+I1199</f>
        <v>353766.39674000011</v>
      </c>
      <c r="J1159" s="15">
        <f t="shared" ref="J1159" si="554">J1160+J1199</f>
        <v>353336.93007999996</v>
      </c>
      <c r="K1159" s="81">
        <f t="shared" si="528"/>
        <v>99.878601624134532</v>
      </c>
      <c r="L1159" s="15">
        <f>L1160+L1199</f>
        <v>0</v>
      </c>
      <c r="M1159" s="65"/>
      <c r="N1159" s="65"/>
    </row>
    <row r="1160" spans="1:14" s="9" customFormat="1" ht="16.5" customHeight="1" x14ac:dyDescent="0.3">
      <c r="A1160" s="11" t="s">
        <v>710</v>
      </c>
      <c r="B1160" s="48" t="s">
        <v>937</v>
      </c>
      <c r="C1160" s="48" t="s">
        <v>1386</v>
      </c>
      <c r="D1160" s="48" t="s">
        <v>1398</v>
      </c>
      <c r="E1160" s="11"/>
      <c r="F1160" s="11"/>
      <c r="G1160" s="7" t="s">
        <v>1419</v>
      </c>
      <c r="H1160" s="16">
        <f>H1161+H1176+H1181+H1187+H1195</f>
        <v>257991.30499999999</v>
      </c>
      <c r="I1160" s="16">
        <f>I1161+I1176+I1181+I1187+I1195</f>
        <v>352909.5557400001</v>
      </c>
      <c r="J1160" s="16">
        <f t="shared" ref="J1160" si="555">J1161+J1176+J1181+J1187+J1195</f>
        <v>352701.32223999995</v>
      </c>
      <c r="K1160" s="82">
        <f t="shared" ref="K1160:K1223" si="556">J1160/I1160*100</f>
        <v>99.940995221973083</v>
      </c>
      <c r="L1160" s="16">
        <f>L1161+L1176+L1181+L1187+L1195</f>
        <v>0</v>
      </c>
      <c r="M1160" s="65"/>
      <c r="N1160" s="65"/>
    </row>
    <row r="1161" spans="1:14" ht="31.2" x14ac:dyDescent="0.3">
      <c r="A1161" s="8" t="s">
        <v>710</v>
      </c>
      <c r="B1161" s="62" t="s">
        <v>937</v>
      </c>
      <c r="C1161" s="68" t="s">
        <v>1386</v>
      </c>
      <c r="D1161" s="68" t="s">
        <v>1398</v>
      </c>
      <c r="E1161" s="8" t="s">
        <v>355</v>
      </c>
      <c r="F1161" s="8"/>
      <c r="G1161" s="13" t="s">
        <v>893</v>
      </c>
      <c r="H1161" s="14">
        <f t="shared" ref="H1161:L1162" si="557">H1162</f>
        <v>250221.989</v>
      </c>
      <c r="I1161" s="14">
        <f t="shared" si="557"/>
        <v>344815.88490000006</v>
      </c>
      <c r="J1161" s="14">
        <f t="shared" si="557"/>
        <v>344627.59887999995</v>
      </c>
      <c r="K1161" s="78">
        <f t="shared" si="556"/>
        <v>99.945395201252197</v>
      </c>
      <c r="L1161" s="14">
        <f t="shared" si="557"/>
        <v>0</v>
      </c>
      <c r="M1161" s="50"/>
      <c r="N1161" s="50"/>
    </row>
    <row r="1162" spans="1:14" ht="31.2" x14ac:dyDescent="0.3">
      <c r="A1162" s="8" t="s">
        <v>710</v>
      </c>
      <c r="B1162" s="62" t="s">
        <v>937</v>
      </c>
      <c r="C1162" s="68" t="s">
        <v>1386</v>
      </c>
      <c r="D1162" s="68" t="s">
        <v>1398</v>
      </c>
      <c r="E1162" s="8" t="s">
        <v>356</v>
      </c>
      <c r="F1162" s="8"/>
      <c r="G1162" s="13" t="s">
        <v>894</v>
      </c>
      <c r="H1162" s="14">
        <f t="shared" si="557"/>
        <v>250221.989</v>
      </c>
      <c r="I1162" s="14">
        <f t="shared" si="557"/>
        <v>344815.88490000006</v>
      </c>
      <c r="J1162" s="14">
        <f t="shared" si="557"/>
        <v>344627.59887999995</v>
      </c>
      <c r="K1162" s="78">
        <f t="shared" si="556"/>
        <v>99.945395201252197</v>
      </c>
      <c r="L1162" s="14">
        <f t="shared" si="557"/>
        <v>0</v>
      </c>
      <c r="M1162" s="50"/>
      <c r="N1162" s="50"/>
    </row>
    <row r="1163" spans="1:14" ht="46.8" x14ac:dyDescent="0.3">
      <c r="A1163" s="8" t="s">
        <v>710</v>
      </c>
      <c r="B1163" s="62" t="s">
        <v>937</v>
      </c>
      <c r="C1163" s="68" t="s">
        <v>1386</v>
      </c>
      <c r="D1163" s="68" t="s">
        <v>1398</v>
      </c>
      <c r="E1163" s="8" t="s">
        <v>357</v>
      </c>
      <c r="F1163" s="8"/>
      <c r="G1163" s="18" t="s">
        <v>121</v>
      </c>
      <c r="H1163" s="14">
        <f>H1164+H1167+H1170</f>
        <v>250221.989</v>
      </c>
      <c r="I1163" s="14">
        <f>I1164+I1167+I1170+I1173</f>
        <v>344815.88490000006</v>
      </c>
      <c r="J1163" s="14">
        <f t="shared" ref="J1163:L1163" si="558">J1164+J1167+J1170+J1173</f>
        <v>344627.59887999995</v>
      </c>
      <c r="K1163" s="78">
        <f t="shared" si="556"/>
        <v>99.945395201252197</v>
      </c>
      <c r="L1163" s="14">
        <f t="shared" si="558"/>
        <v>0</v>
      </c>
      <c r="M1163" s="50"/>
      <c r="N1163" s="50"/>
    </row>
    <row r="1164" spans="1:14" x14ac:dyDescent="0.3">
      <c r="A1164" s="8" t="s">
        <v>710</v>
      </c>
      <c r="B1164" s="62" t="s">
        <v>937</v>
      </c>
      <c r="C1164" s="68" t="s">
        <v>1386</v>
      </c>
      <c r="D1164" s="68" t="s">
        <v>1398</v>
      </c>
      <c r="E1164" s="8" t="s">
        <v>67</v>
      </c>
      <c r="F1164" s="8"/>
      <c r="G1164" s="23" t="s">
        <v>155</v>
      </c>
      <c r="H1164" s="14">
        <f t="shared" ref="H1164:L1165" si="559">H1165</f>
        <v>245707.35499999998</v>
      </c>
      <c r="I1164" s="14">
        <f t="shared" si="559"/>
        <v>248551.11636000001</v>
      </c>
      <c r="J1164" s="14">
        <f t="shared" si="559"/>
        <v>248362.91868999999</v>
      </c>
      <c r="K1164" s="78">
        <f t="shared" si="556"/>
        <v>99.924282106330423</v>
      </c>
      <c r="L1164" s="14">
        <f t="shared" si="559"/>
        <v>0</v>
      </c>
      <c r="M1164" s="50"/>
      <c r="N1164" s="50"/>
    </row>
    <row r="1165" spans="1:14" ht="31.2" x14ac:dyDescent="0.3">
      <c r="A1165" s="8" t="s">
        <v>710</v>
      </c>
      <c r="B1165" s="62" t="s">
        <v>937</v>
      </c>
      <c r="C1165" s="68" t="s">
        <v>1386</v>
      </c>
      <c r="D1165" s="68" t="s">
        <v>1398</v>
      </c>
      <c r="E1165" s="8" t="s">
        <v>67</v>
      </c>
      <c r="F1165" s="45" t="s">
        <v>380</v>
      </c>
      <c r="G1165" s="23" t="s">
        <v>809</v>
      </c>
      <c r="H1165" s="14">
        <f t="shared" si="559"/>
        <v>245707.35499999998</v>
      </c>
      <c r="I1165" s="14">
        <f t="shared" si="559"/>
        <v>248551.11636000001</v>
      </c>
      <c r="J1165" s="14">
        <f t="shared" si="559"/>
        <v>248362.91868999999</v>
      </c>
      <c r="K1165" s="78">
        <f t="shared" si="556"/>
        <v>99.924282106330423</v>
      </c>
      <c r="L1165" s="14">
        <f t="shared" si="559"/>
        <v>0</v>
      </c>
      <c r="M1165" s="50"/>
      <c r="N1165" s="50"/>
    </row>
    <row r="1166" spans="1:14" ht="31.2" x14ac:dyDescent="0.3">
      <c r="A1166" s="8" t="s">
        <v>710</v>
      </c>
      <c r="B1166" s="62" t="s">
        <v>937</v>
      </c>
      <c r="C1166" s="68" t="s">
        <v>1386</v>
      </c>
      <c r="D1166" s="68" t="s">
        <v>1398</v>
      </c>
      <c r="E1166" s="8" t="s">
        <v>67</v>
      </c>
      <c r="F1166" s="8" t="s">
        <v>247</v>
      </c>
      <c r="G1166" s="23" t="s">
        <v>810</v>
      </c>
      <c r="H1166" s="14">
        <f>235298.5+10550.941-4.34-133.85-3.896</f>
        <v>245707.35499999998</v>
      </c>
      <c r="I1166" s="14">
        <v>248551.11636000001</v>
      </c>
      <c r="J1166" s="14">
        <v>248362.91868999999</v>
      </c>
      <c r="K1166" s="78">
        <f t="shared" si="556"/>
        <v>99.924282106330423</v>
      </c>
      <c r="L1166" s="14"/>
      <c r="M1166" s="50"/>
      <c r="N1166" s="50"/>
    </row>
    <row r="1167" spans="1:14" ht="31.2" x14ac:dyDescent="0.3">
      <c r="A1167" s="8" t="s">
        <v>710</v>
      </c>
      <c r="B1167" s="62" t="s">
        <v>937</v>
      </c>
      <c r="C1167" s="68" t="s">
        <v>1386</v>
      </c>
      <c r="D1167" s="68" t="s">
        <v>1398</v>
      </c>
      <c r="E1167" s="8" t="s">
        <v>68</v>
      </c>
      <c r="F1167" s="8"/>
      <c r="G1167" s="23" t="s">
        <v>182</v>
      </c>
      <c r="H1167" s="14">
        <f t="shared" ref="H1167:L1168" si="560">H1168</f>
        <v>4485.2460000000001</v>
      </c>
      <c r="I1167" s="14">
        <f t="shared" si="560"/>
        <v>4485.2460000000001</v>
      </c>
      <c r="J1167" s="14">
        <f t="shared" si="560"/>
        <v>4485.2456499999998</v>
      </c>
      <c r="K1167" s="78">
        <f t="shared" si="556"/>
        <v>99.999992196637592</v>
      </c>
      <c r="L1167" s="14">
        <f t="shared" si="560"/>
        <v>0</v>
      </c>
      <c r="M1167" s="50"/>
      <c r="N1167" s="50"/>
    </row>
    <row r="1168" spans="1:14" ht="31.2" x14ac:dyDescent="0.3">
      <c r="A1168" s="8" t="s">
        <v>710</v>
      </c>
      <c r="B1168" s="62" t="s">
        <v>937</v>
      </c>
      <c r="C1168" s="68" t="s">
        <v>1386</v>
      </c>
      <c r="D1168" s="68" t="s">
        <v>1398</v>
      </c>
      <c r="E1168" s="8" t="s">
        <v>68</v>
      </c>
      <c r="F1168" s="45" t="s">
        <v>380</v>
      </c>
      <c r="G1168" s="23" t="s">
        <v>809</v>
      </c>
      <c r="H1168" s="14">
        <f t="shared" si="560"/>
        <v>4485.2460000000001</v>
      </c>
      <c r="I1168" s="14">
        <f t="shared" si="560"/>
        <v>4485.2460000000001</v>
      </c>
      <c r="J1168" s="14">
        <f t="shared" si="560"/>
        <v>4485.2456499999998</v>
      </c>
      <c r="K1168" s="78">
        <f t="shared" si="556"/>
        <v>99.999992196637592</v>
      </c>
      <c r="L1168" s="14">
        <f t="shared" si="560"/>
        <v>0</v>
      </c>
      <c r="M1168" s="50"/>
      <c r="N1168" s="50"/>
    </row>
    <row r="1169" spans="1:14" ht="31.2" x14ac:dyDescent="0.3">
      <c r="A1169" s="8" t="s">
        <v>710</v>
      </c>
      <c r="B1169" s="62" t="s">
        <v>937</v>
      </c>
      <c r="C1169" s="68" t="s">
        <v>1386</v>
      </c>
      <c r="D1169" s="68" t="s">
        <v>1398</v>
      </c>
      <c r="E1169" s="8" t="s">
        <v>68</v>
      </c>
      <c r="F1169" s="8" t="s">
        <v>247</v>
      </c>
      <c r="G1169" s="23" t="s">
        <v>810</v>
      </c>
      <c r="H1169" s="14">
        <f>14828.3-9672.918-222.034-448.102</f>
        <v>4485.2460000000001</v>
      </c>
      <c r="I1169" s="14">
        <v>4485.2460000000001</v>
      </c>
      <c r="J1169" s="14">
        <v>4485.2456499999998</v>
      </c>
      <c r="K1169" s="78">
        <f t="shared" si="556"/>
        <v>99.999992196637592</v>
      </c>
      <c r="L1169" s="14"/>
      <c r="M1169" s="50"/>
      <c r="N1169" s="50"/>
    </row>
    <row r="1170" spans="1:14" ht="31.2" x14ac:dyDescent="0.3">
      <c r="A1170" s="8" t="s">
        <v>710</v>
      </c>
      <c r="B1170" s="62" t="s">
        <v>937</v>
      </c>
      <c r="C1170" s="68" t="s">
        <v>1386</v>
      </c>
      <c r="D1170" s="68" t="s">
        <v>1398</v>
      </c>
      <c r="E1170" s="8" t="s">
        <v>245</v>
      </c>
      <c r="F1170" s="8"/>
      <c r="G1170" s="23" t="s">
        <v>306</v>
      </c>
      <c r="H1170" s="14">
        <f t="shared" ref="H1170:L1171" si="561">H1171</f>
        <v>29.387999999999998</v>
      </c>
      <c r="I1170" s="14">
        <f t="shared" si="561"/>
        <v>29.387999999999998</v>
      </c>
      <c r="J1170" s="14">
        <f t="shared" si="561"/>
        <v>29.3</v>
      </c>
      <c r="K1170" s="78">
        <f t="shared" si="556"/>
        <v>99.700558050905144</v>
      </c>
      <c r="L1170" s="14">
        <f t="shared" si="561"/>
        <v>0</v>
      </c>
      <c r="M1170" s="50"/>
      <c r="N1170" s="50"/>
    </row>
    <row r="1171" spans="1:14" ht="31.2" x14ac:dyDescent="0.3">
      <c r="A1171" s="8" t="s">
        <v>710</v>
      </c>
      <c r="B1171" s="62" t="s">
        <v>937</v>
      </c>
      <c r="C1171" s="68" t="s">
        <v>1386</v>
      </c>
      <c r="D1171" s="68" t="s">
        <v>1398</v>
      </c>
      <c r="E1171" s="8" t="s">
        <v>245</v>
      </c>
      <c r="F1171" s="45" t="s">
        <v>380</v>
      </c>
      <c r="G1171" s="23" t="s">
        <v>809</v>
      </c>
      <c r="H1171" s="14">
        <f t="shared" si="561"/>
        <v>29.387999999999998</v>
      </c>
      <c r="I1171" s="14">
        <f t="shared" si="561"/>
        <v>29.387999999999998</v>
      </c>
      <c r="J1171" s="14">
        <f t="shared" si="561"/>
        <v>29.3</v>
      </c>
      <c r="K1171" s="78">
        <f t="shared" si="556"/>
        <v>99.700558050905144</v>
      </c>
      <c r="L1171" s="14">
        <f t="shared" si="561"/>
        <v>0</v>
      </c>
      <c r="M1171" s="50"/>
      <c r="N1171" s="50"/>
    </row>
    <row r="1172" spans="1:14" ht="31.2" x14ac:dyDescent="0.3">
      <c r="A1172" s="8" t="s">
        <v>710</v>
      </c>
      <c r="B1172" s="62" t="s">
        <v>937</v>
      </c>
      <c r="C1172" s="68" t="s">
        <v>1386</v>
      </c>
      <c r="D1172" s="68" t="s">
        <v>1398</v>
      </c>
      <c r="E1172" s="8" t="s">
        <v>245</v>
      </c>
      <c r="F1172" s="8" t="s">
        <v>247</v>
      </c>
      <c r="G1172" s="23" t="s">
        <v>810</v>
      </c>
      <c r="H1172" s="14">
        <v>29.387999999999998</v>
      </c>
      <c r="I1172" s="14">
        <v>29.387999999999998</v>
      </c>
      <c r="J1172" s="14">
        <v>29.3</v>
      </c>
      <c r="K1172" s="78">
        <f t="shared" si="556"/>
        <v>99.700558050905144</v>
      </c>
      <c r="L1172" s="14"/>
      <c r="M1172" s="50"/>
      <c r="N1172" s="50"/>
    </row>
    <row r="1173" spans="1:14" ht="62.4" x14ac:dyDescent="0.3">
      <c r="A1173" s="8" t="s">
        <v>710</v>
      </c>
      <c r="B1173" s="62" t="s">
        <v>937</v>
      </c>
      <c r="C1173" s="68" t="s">
        <v>1386</v>
      </c>
      <c r="D1173" s="68" t="s">
        <v>1398</v>
      </c>
      <c r="E1173" s="8" t="s">
        <v>963</v>
      </c>
      <c r="F1173" s="8"/>
      <c r="G1173" s="13" t="s">
        <v>964</v>
      </c>
      <c r="H1173" s="20">
        <v>0</v>
      </c>
      <c r="I1173" s="14">
        <f>I1174</f>
        <v>91750.134539999999</v>
      </c>
      <c r="J1173" s="14">
        <f t="shared" ref="J1173:L1174" si="562">J1174</f>
        <v>91750.134539999999</v>
      </c>
      <c r="K1173" s="78">
        <f t="shared" si="556"/>
        <v>100</v>
      </c>
      <c r="L1173" s="14">
        <f t="shared" si="562"/>
        <v>0</v>
      </c>
      <c r="M1173" s="50"/>
      <c r="N1173" s="50"/>
    </row>
    <row r="1174" spans="1:14" ht="31.2" x14ac:dyDescent="0.3">
      <c r="A1174" s="8" t="s">
        <v>710</v>
      </c>
      <c r="B1174" s="62" t="s">
        <v>937</v>
      </c>
      <c r="C1174" s="68" t="s">
        <v>1386</v>
      </c>
      <c r="D1174" s="68" t="s">
        <v>1398</v>
      </c>
      <c r="E1174" s="8" t="s">
        <v>963</v>
      </c>
      <c r="F1174" s="45" t="s">
        <v>380</v>
      </c>
      <c r="G1174" s="23" t="s">
        <v>809</v>
      </c>
      <c r="H1174" s="20">
        <v>0</v>
      </c>
      <c r="I1174" s="14">
        <f>I1175</f>
        <v>91750.134539999999</v>
      </c>
      <c r="J1174" s="14">
        <f t="shared" si="562"/>
        <v>91750.134539999999</v>
      </c>
      <c r="K1174" s="78">
        <f t="shared" si="556"/>
        <v>100</v>
      </c>
      <c r="L1174" s="14">
        <f t="shared" si="562"/>
        <v>0</v>
      </c>
      <c r="M1174" s="50"/>
      <c r="N1174" s="50"/>
    </row>
    <row r="1175" spans="1:14" ht="31.2" x14ac:dyDescent="0.3">
      <c r="A1175" s="8" t="s">
        <v>710</v>
      </c>
      <c r="B1175" s="62" t="s">
        <v>937</v>
      </c>
      <c r="C1175" s="68" t="s">
        <v>1386</v>
      </c>
      <c r="D1175" s="68" t="s">
        <v>1398</v>
      </c>
      <c r="E1175" s="8" t="s">
        <v>963</v>
      </c>
      <c r="F1175" s="8" t="s">
        <v>247</v>
      </c>
      <c r="G1175" s="23" t="s">
        <v>810</v>
      </c>
      <c r="H1175" s="20">
        <v>0</v>
      </c>
      <c r="I1175" s="14">
        <v>91750.134539999999</v>
      </c>
      <c r="J1175" s="14">
        <v>91750.134539999999</v>
      </c>
      <c r="K1175" s="78">
        <f t="shared" si="556"/>
        <v>100</v>
      </c>
      <c r="L1175" s="14"/>
      <c r="M1175" s="50"/>
      <c r="N1175" s="50"/>
    </row>
    <row r="1176" spans="1:14" ht="62.4" x14ac:dyDescent="0.3">
      <c r="A1176" s="8" t="s">
        <v>710</v>
      </c>
      <c r="B1176" s="62" t="s">
        <v>937</v>
      </c>
      <c r="C1176" s="68" t="s">
        <v>1386</v>
      </c>
      <c r="D1176" s="68" t="s">
        <v>1398</v>
      </c>
      <c r="E1176" s="8" t="s">
        <v>358</v>
      </c>
      <c r="F1176" s="8"/>
      <c r="G1176" s="13" t="s">
        <v>1040</v>
      </c>
      <c r="H1176" s="14">
        <f t="shared" ref="H1176:L1179" si="563">H1177</f>
        <v>271.3</v>
      </c>
      <c r="I1176" s="14">
        <f t="shared" si="563"/>
        <v>271.3</v>
      </c>
      <c r="J1176" s="14">
        <f t="shared" si="563"/>
        <v>252.16049000000001</v>
      </c>
      <c r="K1176" s="78">
        <f t="shared" si="556"/>
        <v>92.945259859933643</v>
      </c>
      <c r="L1176" s="14">
        <f t="shared" si="563"/>
        <v>0</v>
      </c>
      <c r="M1176" s="50"/>
      <c r="N1176" s="50"/>
    </row>
    <row r="1177" spans="1:14" ht="31.2" x14ac:dyDescent="0.3">
      <c r="A1177" s="8" t="s">
        <v>710</v>
      </c>
      <c r="B1177" s="62" t="s">
        <v>937</v>
      </c>
      <c r="C1177" s="68" t="s">
        <v>1386</v>
      </c>
      <c r="D1177" s="68" t="s">
        <v>1398</v>
      </c>
      <c r="E1177" s="8" t="s">
        <v>359</v>
      </c>
      <c r="F1177" s="8"/>
      <c r="G1177" s="13" t="s">
        <v>1041</v>
      </c>
      <c r="H1177" s="14">
        <f t="shared" si="563"/>
        <v>271.3</v>
      </c>
      <c r="I1177" s="14">
        <f t="shared" si="563"/>
        <v>271.3</v>
      </c>
      <c r="J1177" s="14">
        <f t="shared" si="563"/>
        <v>252.16049000000001</v>
      </c>
      <c r="K1177" s="78">
        <f t="shared" si="556"/>
        <v>92.945259859933643</v>
      </c>
      <c r="L1177" s="14">
        <f t="shared" si="563"/>
        <v>0</v>
      </c>
      <c r="M1177" s="50"/>
      <c r="N1177" s="50"/>
    </row>
    <row r="1178" spans="1:14" ht="46.8" x14ac:dyDescent="0.3">
      <c r="A1178" s="8" t="s">
        <v>710</v>
      </c>
      <c r="B1178" s="62" t="s">
        <v>937</v>
      </c>
      <c r="C1178" s="68" t="s">
        <v>1386</v>
      </c>
      <c r="D1178" s="68" t="s">
        <v>1398</v>
      </c>
      <c r="E1178" s="8" t="s">
        <v>360</v>
      </c>
      <c r="F1178" s="8"/>
      <c r="G1178" s="18" t="s">
        <v>313</v>
      </c>
      <c r="H1178" s="14">
        <f t="shared" si="563"/>
        <v>271.3</v>
      </c>
      <c r="I1178" s="14">
        <f t="shared" si="563"/>
        <v>271.3</v>
      </c>
      <c r="J1178" s="14">
        <f t="shared" si="563"/>
        <v>252.16049000000001</v>
      </c>
      <c r="K1178" s="78">
        <f t="shared" si="556"/>
        <v>92.945259859933643</v>
      </c>
      <c r="L1178" s="14">
        <f t="shared" si="563"/>
        <v>0</v>
      </c>
      <c r="M1178" s="50"/>
      <c r="N1178" s="50"/>
    </row>
    <row r="1179" spans="1:14" ht="31.2" x14ac:dyDescent="0.3">
      <c r="A1179" s="8" t="s">
        <v>710</v>
      </c>
      <c r="B1179" s="62" t="s">
        <v>937</v>
      </c>
      <c r="C1179" s="68" t="s">
        <v>1386</v>
      </c>
      <c r="D1179" s="68" t="s">
        <v>1398</v>
      </c>
      <c r="E1179" s="8" t="s">
        <v>360</v>
      </c>
      <c r="F1179" s="45" t="s">
        <v>380</v>
      </c>
      <c r="G1179" s="23" t="s">
        <v>809</v>
      </c>
      <c r="H1179" s="14">
        <f t="shared" si="563"/>
        <v>271.3</v>
      </c>
      <c r="I1179" s="14">
        <f t="shared" si="563"/>
        <v>271.3</v>
      </c>
      <c r="J1179" s="14">
        <f t="shared" si="563"/>
        <v>252.16049000000001</v>
      </c>
      <c r="K1179" s="78">
        <f t="shared" si="556"/>
        <v>92.945259859933643</v>
      </c>
      <c r="L1179" s="14">
        <f t="shared" si="563"/>
        <v>0</v>
      </c>
      <c r="M1179" s="50"/>
      <c r="N1179" s="50"/>
    </row>
    <row r="1180" spans="1:14" ht="31.2" x14ac:dyDescent="0.3">
      <c r="A1180" s="8" t="s">
        <v>710</v>
      </c>
      <c r="B1180" s="62" t="s">
        <v>937</v>
      </c>
      <c r="C1180" s="68" t="s">
        <v>1386</v>
      </c>
      <c r="D1180" s="68" t="s">
        <v>1398</v>
      </c>
      <c r="E1180" s="8" t="s">
        <v>360</v>
      </c>
      <c r="F1180" s="8" t="s">
        <v>247</v>
      </c>
      <c r="G1180" s="23" t="s">
        <v>810</v>
      </c>
      <c r="H1180" s="14">
        <v>271.3</v>
      </c>
      <c r="I1180" s="14">
        <v>271.3</v>
      </c>
      <c r="J1180" s="14">
        <v>252.16049000000001</v>
      </c>
      <c r="K1180" s="78">
        <f t="shared" si="556"/>
        <v>92.945259859933643</v>
      </c>
      <c r="L1180" s="14"/>
      <c r="M1180" s="50"/>
      <c r="N1180" s="50"/>
    </row>
    <row r="1181" spans="1:14" ht="62.4" x14ac:dyDescent="0.3">
      <c r="A1181" s="8" t="s">
        <v>710</v>
      </c>
      <c r="B1181" s="62" t="s">
        <v>937</v>
      </c>
      <c r="C1181" s="68" t="s">
        <v>1386</v>
      </c>
      <c r="D1181" s="68" t="s">
        <v>1398</v>
      </c>
      <c r="E1181" s="8" t="s">
        <v>361</v>
      </c>
      <c r="F1181" s="8"/>
      <c r="G1181" s="18" t="s">
        <v>1191</v>
      </c>
      <c r="H1181" s="14">
        <f t="shared" ref="H1181:L1185" si="564">H1182</f>
        <v>3969.7</v>
      </c>
      <c r="I1181" s="14">
        <f t="shared" si="564"/>
        <v>3969.7</v>
      </c>
      <c r="J1181" s="14">
        <f t="shared" si="564"/>
        <v>3969.6999700000001</v>
      </c>
      <c r="K1181" s="78">
        <f t="shared" si="556"/>
        <v>99.999999244275401</v>
      </c>
      <c r="L1181" s="14">
        <f t="shared" si="564"/>
        <v>0</v>
      </c>
      <c r="M1181" s="50"/>
      <c r="N1181" s="50"/>
    </row>
    <row r="1182" spans="1:14" ht="46.8" x14ac:dyDescent="0.3">
      <c r="A1182" s="8" t="s">
        <v>710</v>
      </c>
      <c r="B1182" s="62" t="s">
        <v>937</v>
      </c>
      <c r="C1182" s="68" t="s">
        <v>1386</v>
      </c>
      <c r="D1182" s="68" t="s">
        <v>1398</v>
      </c>
      <c r="E1182" s="8" t="s">
        <v>362</v>
      </c>
      <c r="F1182" s="8"/>
      <c r="G1182" s="18" t="s">
        <v>1209</v>
      </c>
      <c r="H1182" s="14">
        <f t="shared" si="564"/>
        <v>3969.7</v>
      </c>
      <c r="I1182" s="14">
        <f t="shared" si="564"/>
        <v>3969.7</v>
      </c>
      <c r="J1182" s="14">
        <f t="shared" si="564"/>
        <v>3969.6999700000001</v>
      </c>
      <c r="K1182" s="78">
        <f t="shared" si="556"/>
        <v>99.999999244275401</v>
      </c>
      <c r="L1182" s="14">
        <f t="shared" si="564"/>
        <v>0</v>
      </c>
      <c r="M1182" s="50"/>
      <c r="N1182" s="50"/>
    </row>
    <row r="1183" spans="1:14" ht="62.4" x14ac:dyDescent="0.3">
      <c r="A1183" s="8" t="s">
        <v>710</v>
      </c>
      <c r="B1183" s="62" t="s">
        <v>937</v>
      </c>
      <c r="C1183" s="68" t="s">
        <v>1386</v>
      </c>
      <c r="D1183" s="68" t="s">
        <v>1398</v>
      </c>
      <c r="E1183" s="8" t="s">
        <v>363</v>
      </c>
      <c r="F1183" s="8"/>
      <c r="G1183" s="13" t="s">
        <v>1053</v>
      </c>
      <c r="H1183" s="14">
        <f t="shared" si="564"/>
        <v>3969.7</v>
      </c>
      <c r="I1183" s="14">
        <f t="shared" si="564"/>
        <v>3969.7</v>
      </c>
      <c r="J1183" s="14">
        <f t="shared" si="564"/>
        <v>3969.6999700000001</v>
      </c>
      <c r="K1183" s="78">
        <f t="shared" si="556"/>
        <v>99.999999244275401</v>
      </c>
      <c r="L1183" s="14">
        <f t="shared" si="564"/>
        <v>0</v>
      </c>
      <c r="M1183" s="50"/>
      <c r="N1183" s="50"/>
    </row>
    <row r="1184" spans="1:14" x14ac:dyDescent="0.3">
      <c r="A1184" s="8" t="s">
        <v>710</v>
      </c>
      <c r="B1184" s="62" t="s">
        <v>937</v>
      </c>
      <c r="C1184" s="68" t="s">
        <v>1386</v>
      </c>
      <c r="D1184" s="68" t="s">
        <v>1398</v>
      </c>
      <c r="E1184" s="8" t="s">
        <v>364</v>
      </c>
      <c r="F1184" s="8"/>
      <c r="G1184" s="13" t="s">
        <v>1054</v>
      </c>
      <c r="H1184" s="14">
        <f t="shared" si="564"/>
        <v>3969.7</v>
      </c>
      <c r="I1184" s="14">
        <f t="shared" si="564"/>
        <v>3969.7</v>
      </c>
      <c r="J1184" s="14">
        <f t="shared" si="564"/>
        <v>3969.6999700000001</v>
      </c>
      <c r="K1184" s="78">
        <f t="shared" si="556"/>
        <v>99.999999244275401</v>
      </c>
      <c r="L1184" s="14">
        <f t="shared" si="564"/>
        <v>0</v>
      </c>
      <c r="M1184" s="50"/>
      <c r="N1184" s="50"/>
    </row>
    <row r="1185" spans="1:14" ht="31.2" x14ac:dyDescent="0.3">
      <c r="A1185" s="8" t="s">
        <v>710</v>
      </c>
      <c r="B1185" s="62" t="s">
        <v>937</v>
      </c>
      <c r="C1185" s="68" t="s">
        <v>1386</v>
      </c>
      <c r="D1185" s="68" t="s">
        <v>1398</v>
      </c>
      <c r="E1185" s="8" t="s">
        <v>364</v>
      </c>
      <c r="F1185" s="45" t="s">
        <v>380</v>
      </c>
      <c r="G1185" s="23" t="s">
        <v>809</v>
      </c>
      <c r="H1185" s="14">
        <f t="shared" si="564"/>
        <v>3969.7</v>
      </c>
      <c r="I1185" s="14">
        <f t="shared" si="564"/>
        <v>3969.7</v>
      </c>
      <c r="J1185" s="14">
        <f t="shared" si="564"/>
        <v>3969.6999700000001</v>
      </c>
      <c r="K1185" s="78">
        <f t="shared" si="556"/>
        <v>99.999999244275401</v>
      </c>
      <c r="L1185" s="14">
        <f t="shared" si="564"/>
        <v>0</v>
      </c>
      <c r="M1185" s="50"/>
      <c r="N1185" s="50"/>
    </row>
    <row r="1186" spans="1:14" ht="31.2" x14ac:dyDescent="0.3">
      <c r="A1186" s="8" t="s">
        <v>710</v>
      </c>
      <c r="B1186" s="62" t="s">
        <v>937</v>
      </c>
      <c r="C1186" s="68" t="s">
        <v>1386</v>
      </c>
      <c r="D1186" s="68" t="s">
        <v>1398</v>
      </c>
      <c r="E1186" s="8" t="s">
        <v>364</v>
      </c>
      <c r="F1186" s="8" t="s">
        <v>247</v>
      </c>
      <c r="G1186" s="23" t="s">
        <v>810</v>
      </c>
      <c r="H1186" s="14">
        <v>3969.7</v>
      </c>
      <c r="I1186" s="14">
        <v>3969.7</v>
      </c>
      <c r="J1186" s="14">
        <v>3969.6999700000001</v>
      </c>
      <c r="K1186" s="78">
        <f t="shared" si="556"/>
        <v>99.999999244275401</v>
      </c>
      <c r="L1186" s="14"/>
      <c r="M1186" s="50"/>
      <c r="N1186" s="50"/>
    </row>
    <row r="1187" spans="1:14" ht="31.2" x14ac:dyDescent="0.3">
      <c r="A1187" s="8" t="s">
        <v>710</v>
      </c>
      <c r="B1187" s="62" t="s">
        <v>937</v>
      </c>
      <c r="C1187" s="68" t="s">
        <v>1386</v>
      </c>
      <c r="D1187" s="68" t="s">
        <v>1398</v>
      </c>
      <c r="E1187" s="8" t="s">
        <v>368</v>
      </c>
      <c r="F1187" s="8"/>
      <c r="G1187" s="13" t="s">
        <v>1079</v>
      </c>
      <c r="H1187" s="14">
        <f t="shared" ref="H1187:L1193" si="565">H1188</f>
        <v>3409.1</v>
      </c>
      <c r="I1187" s="14">
        <f t="shared" si="565"/>
        <v>2233.4549999999999</v>
      </c>
      <c r="J1187" s="14">
        <f t="shared" si="565"/>
        <v>2233.4549999999999</v>
      </c>
      <c r="K1187" s="78">
        <f t="shared" si="556"/>
        <v>100</v>
      </c>
      <c r="L1187" s="14">
        <f t="shared" si="565"/>
        <v>0</v>
      </c>
      <c r="M1187" s="50"/>
      <c r="N1187" s="50"/>
    </row>
    <row r="1188" spans="1:14" ht="31.2" x14ac:dyDescent="0.3">
      <c r="A1188" s="8" t="s">
        <v>710</v>
      </c>
      <c r="B1188" s="62" t="s">
        <v>937</v>
      </c>
      <c r="C1188" s="68" t="s">
        <v>1386</v>
      </c>
      <c r="D1188" s="68" t="s">
        <v>1398</v>
      </c>
      <c r="E1188" s="8" t="s">
        <v>369</v>
      </c>
      <c r="F1188" s="8"/>
      <c r="G1188" s="13" t="s">
        <v>1088</v>
      </c>
      <c r="H1188" s="14">
        <f t="shared" si="565"/>
        <v>3409.1</v>
      </c>
      <c r="I1188" s="14">
        <f t="shared" si="565"/>
        <v>2233.4549999999999</v>
      </c>
      <c r="J1188" s="14">
        <f t="shared" si="565"/>
        <v>2233.4549999999999</v>
      </c>
      <c r="K1188" s="78">
        <f t="shared" si="556"/>
        <v>100</v>
      </c>
      <c r="L1188" s="14">
        <f t="shared" si="565"/>
        <v>0</v>
      </c>
      <c r="M1188" s="50"/>
      <c r="N1188" s="50"/>
    </row>
    <row r="1189" spans="1:14" ht="46.8" x14ac:dyDescent="0.3">
      <c r="A1189" s="8" t="s">
        <v>710</v>
      </c>
      <c r="B1189" s="62" t="s">
        <v>937</v>
      </c>
      <c r="C1189" s="68" t="s">
        <v>1386</v>
      </c>
      <c r="D1189" s="68" t="s">
        <v>1398</v>
      </c>
      <c r="E1189" s="8" t="s">
        <v>514</v>
      </c>
      <c r="F1189" s="8"/>
      <c r="G1189" s="18" t="s">
        <v>1090</v>
      </c>
      <c r="H1189" s="14">
        <f t="shared" si="565"/>
        <v>3409.1</v>
      </c>
      <c r="I1189" s="14">
        <f t="shared" si="565"/>
        <v>2233.4549999999999</v>
      </c>
      <c r="J1189" s="14">
        <f t="shared" si="565"/>
        <v>2233.4549999999999</v>
      </c>
      <c r="K1189" s="78">
        <f t="shared" si="556"/>
        <v>100</v>
      </c>
      <c r="L1189" s="14">
        <f t="shared" si="565"/>
        <v>0</v>
      </c>
      <c r="M1189" s="50"/>
      <c r="N1189" s="50"/>
    </row>
    <row r="1190" spans="1:14" ht="46.8" x14ac:dyDescent="0.3">
      <c r="A1190" s="8" t="s">
        <v>710</v>
      </c>
      <c r="B1190" s="62" t="s">
        <v>937</v>
      </c>
      <c r="C1190" s="68" t="s">
        <v>1386</v>
      </c>
      <c r="D1190" s="68" t="s">
        <v>1398</v>
      </c>
      <c r="E1190" s="8" t="s">
        <v>69</v>
      </c>
      <c r="F1190" s="8"/>
      <c r="G1190" s="23" t="s">
        <v>1267</v>
      </c>
      <c r="H1190" s="14">
        <f>H1193+H1191</f>
        <v>3409.1</v>
      </c>
      <c r="I1190" s="14">
        <f t="shared" ref="I1190:L1190" si="566">I1193+I1191</f>
        <v>2233.4549999999999</v>
      </c>
      <c r="J1190" s="14">
        <f t="shared" si="566"/>
        <v>2233.4549999999999</v>
      </c>
      <c r="K1190" s="78">
        <f t="shared" si="556"/>
        <v>100</v>
      </c>
      <c r="L1190" s="14">
        <f t="shared" si="566"/>
        <v>0</v>
      </c>
      <c r="M1190" s="50"/>
      <c r="N1190" s="50"/>
    </row>
    <row r="1191" spans="1:14" ht="31.2" x14ac:dyDescent="0.3">
      <c r="A1191" s="8" t="s">
        <v>710</v>
      </c>
      <c r="B1191" s="62" t="s">
        <v>937</v>
      </c>
      <c r="C1191" s="68" t="s">
        <v>1386</v>
      </c>
      <c r="D1191" s="68" t="s">
        <v>1398</v>
      </c>
      <c r="E1191" s="8" t="s">
        <v>69</v>
      </c>
      <c r="F1191" s="45" t="s">
        <v>402</v>
      </c>
      <c r="G1191" s="23" t="s">
        <v>819</v>
      </c>
      <c r="H1191" s="14">
        <f>H1192</f>
        <v>0</v>
      </c>
      <c r="I1191" s="14">
        <f t="shared" ref="I1191:L1191" si="567">I1192</f>
        <v>1342.175</v>
      </c>
      <c r="J1191" s="14">
        <f t="shared" si="567"/>
        <v>1342.175</v>
      </c>
      <c r="K1191" s="78">
        <f t="shared" si="556"/>
        <v>100</v>
      </c>
      <c r="L1191" s="14">
        <f t="shared" si="567"/>
        <v>0</v>
      </c>
      <c r="M1191" s="50"/>
      <c r="N1191" s="50"/>
    </row>
    <row r="1192" spans="1:14" ht="46.8" x14ac:dyDescent="0.3">
      <c r="A1192" s="8" t="s">
        <v>710</v>
      </c>
      <c r="B1192" s="62" t="s">
        <v>937</v>
      </c>
      <c r="C1192" s="68" t="s">
        <v>1386</v>
      </c>
      <c r="D1192" s="68" t="s">
        <v>1398</v>
      </c>
      <c r="E1192" s="8" t="s">
        <v>69</v>
      </c>
      <c r="F1192" s="45" t="s">
        <v>280</v>
      </c>
      <c r="G1192" s="23" t="s">
        <v>821</v>
      </c>
      <c r="H1192" s="20">
        <v>0</v>
      </c>
      <c r="I1192" s="14">
        <v>1342.175</v>
      </c>
      <c r="J1192" s="14">
        <v>1342.175</v>
      </c>
      <c r="K1192" s="78">
        <f t="shared" si="556"/>
        <v>100</v>
      </c>
      <c r="L1192" s="14"/>
      <c r="M1192" s="50"/>
      <c r="N1192" s="50"/>
    </row>
    <row r="1193" spans="1:14" ht="16.5" customHeight="1" x14ac:dyDescent="0.3">
      <c r="A1193" s="8" t="s">
        <v>710</v>
      </c>
      <c r="B1193" s="62" t="s">
        <v>937</v>
      </c>
      <c r="C1193" s="68" t="s">
        <v>1386</v>
      </c>
      <c r="D1193" s="68" t="s">
        <v>1398</v>
      </c>
      <c r="E1193" s="8" t="s">
        <v>69</v>
      </c>
      <c r="F1193" s="45" t="s">
        <v>464</v>
      </c>
      <c r="G1193" s="23" t="s">
        <v>822</v>
      </c>
      <c r="H1193" s="14">
        <f t="shared" si="565"/>
        <v>3409.1</v>
      </c>
      <c r="I1193" s="14">
        <f t="shared" si="565"/>
        <v>891.28</v>
      </c>
      <c r="J1193" s="14">
        <f t="shared" si="565"/>
        <v>891.28</v>
      </c>
      <c r="K1193" s="78">
        <f t="shared" si="556"/>
        <v>100</v>
      </c>
      <c r="L1193" s="14">
        <f t="shared" si="565"/>
        <v>0</v>
      </c>
      <c r="M1193" s="50"/>
      <c r="N1193" s="50"/>
    </row>
    <row r="1194" spans="1:14" ht="62.4" x14ac:dyDescent="0.3">
      <c r="A1194" s="8" t="s">
        <v>710</v>
      </c>
      <c r="B1194" s="62" t="s">
        <v>937</v>
      </c>
      <c r="C1194" s="68" t="s">
        <v>1386</v>
      </c>
      <c r="D1194" s="68" t="s">
        <v>1398</v>
      </c>
      <c r="E1194" s="8" t="s">
        <v>69</v>
      </c>
      <c r="F1194" s="45" t="s">
        <v>727</v>
      </c>
      <c r="G1194" s="18" t="s">
        <v>830</v>
      </c>
      <c r="H1194" s="14">
        <v>3409.1</v>
      </c>
      <c r="I1194" s="14">
        <v>891.28</v>
      </c>
      <c r="J1194" s="14">
        <v>891.28</v>
      </c>
      <c r="K1194" s="78">
        <f t="shared" si="556"/>
        <v>100</v>
      </c>
      <c r="L1194" s="14"/>
      <c r="M1194" s="50"/>
      <c r="N1194" s="50"/>
    </row>
    <row r="1195" spans="1:14" ht="31.2" x14ac:dyDescent="0.3">
      <c r="A1195" s="8" t="s">
        <v>710</v>
      </c>
      <c r="B1195" s="62" t="s">
        <v>937</v>
      </c>
      <c r="C1195" s="68" t="s">
        <v>1386</v>
      </c>
      <c r="D1195" s="68" t="s">
        <v>1398</v>
      </c>
      <c r="E1195" s="8" t="s">
        <v>429</v>
      </c>
      <c r="F1195" s="45"/>
      <c r="G1195" s="23" t="s">
        <v>1140</v>
      </c>
      <c r="H1195" s="14">
        <f t="shared" ref="H1195:L1197" si="568">H1196</f>
        <v>119.21599999999999</v>
      </c>
      <c r="I1195" s="14">
        <f t="shared" si="568"/>
        <v>1619.2158400000001</v>
      </c>
      <c r="J1195" s="14">
        <f t="shared" si="568"/>
        <v>1618.4078999999999</v>
      </c>
      <c r="K1195" s="78">
        <f t="shared" si="556"/>
        <v>99.950103007885588</v>
      </c>
      <c r="L1195" s="14">
        <f t="shared" si="568"/>
        <v>0</v>
      </c>
      <c r="M1195" s="50"/>
      <c r="N1195" s="50"/>
    </row>
    <row r="1196" spans="1:14" ht="46.8" x14ac:dyDescent="0.3">
      <c r="A1196" s="8" t="s">
        <v>710</v>
      </c>
      <c r="B1196" s="62" t="s">
        <v>937</v>
      </c>
      <c r="C1196" s="68" t="s">
        <v>1386</v>
      </c>
      <c r="D1196" s="68" t="s">
        <v>1398</v>
      </c>
      <c r="E1196" s="8" t="s">
        <v>535</v>
      </c>
      <c r="F1196" s="45"/>
      <c r="G1196" s="31" t="s">
        <v>176</v>
      </c>
      <c r="H1196" s="14">
        <f t="shared" si="568"/>
        <v>119.21599999999999</v>
      </c>
      <c r="I1196" s="14">
        <f t="shared" si="568"/>
        <v>1619.2158400000001</v>
      </c>
      <c r="J1196" s="14">
        <f t="shared" si="568"/>
        <v>1618.4078999999999</v>
      </c>
      <c r="K1196" s="78">
        <f t="shared" si="556"/>
        <v>99.950103007885588</v>
      </c>
      <c r="L1196" s="14">
        <f t="shared" si="568"/>
        <v>0</v>
      </c>
      <c r="M1196" s="50"/>
      <c r="N1196" s="50"/>
    </row>
    <row r="1197" spans="1:14" ht="31.2" x14ac:dyDescent="0.3">
      <c r="A1197" s="8" t="s">
        <v>710</v>
      </c>
      <c r="B1197" s="62" t="s">
        <v>937</v>
      </c>
      <c r="C1197" s="68" t="s">
        <v>1386</v>
      </c>
      <c r="D1197" s="68" t="s">
        <v>1398</v>
      </c>
      <c r="E1197" s="8" t="s">
        <v>535</v>
      </c>
      <c r="F1197" s="45" t="s">
        <v>380</v>
      </c>
      <c r="G1197" s="23" t="s">
        <v>809</v>
      </c>
      <c r="H1197" s="14">
        <f t="shared" si="568"/>
        <v>119.21599999999999</v>
      </c>
      <c r="I1197" s="14">
        <f t="shared" si="568"/>
        <v>1619.2158400000001</v>
      </c>
      <c r="J1197" s="14">
        <f t="shared" si="568"/>
        <v>1618.4078999999999</v>
      </c>
      <c r="K1197" s="78">
        <f t="shared" si="556"/>
        <v>99.950103007885588</v>
      </c>
      <c r="L1197" s="14">
        <f t="shared" si="568"/>
        <v>0</v>
      </c>
      <c r="M1197" s="50"/>
      <c r="N1197" s="50"/>
    </row>
    <row r="1198" spans="1:14" ht="31.2" x14ac:dyDescent="0.3">
      <c r="A1198" s="8" t="s">
        <v>710</v>
      </c>
      <c r="B1198" s="62" t="s">
        <v>937</v>
      </c>
      <c r="C1198" s="68" t="s">
        <v>1386</v>
      </c>
      <c r="D1198" s="68" t="s">
        <v>1398</v>
      </c>
      <c r="E1198" s="8" t="s">
        <v>535</v>
      </c>
      <c r="F1198" s="8" t="s">
        <v>247</v>
      </c>
      <c r="G1198" s="23" t="s">
        <v>810</v>
      </c>
      <c r="H1198" s="14">
        <v>119.21599999999999</v>
      </c>
      <c r="I1198" s="14">
        <v>1619.2158400000001</v>
      </c>
      <c r="J1198" s="14">
        <v>1618.4078999999999</v>
      </c>
      <c r="K1198" s="78">
        <f t="shared" si="556"/>
        <v>99.950103007885588</v>
      </c>
      <c r="L1198" s="14"/>
      <c r="M1198" s="50"/>
      <c r="N1198" s="50"/>
    </row>
    <row r="1199" spans="1:14" s="9" customFormat="1" x14ac:dyDescent="0.3">
      <c r="A1199" s="11" t="s">
        <v>710</v>
      </c>
      <c r="B1199" s="48" t="s">
        <v>918</v>
      </c>
      <c r="C1199" s="48" t="s">
        <v>1386</v>
      </c>
      <c r="D1199" s="48" t="s">
        <v>1479</v>
      </c>
      <c r="E1199" s="11"/>
      <c r="F1199" s="11"/>
      <c r="G1199" s="7" t="s">
        <v>1389</v>
      </c>
      <c r="H1199" s="16">
        <f>H1200+H1209+H1214</f>
        <v>586.84100000000012</v>
      </c>
      <c r="I1199" s="16">
        <f t="shared" ref="I1199:L1199" si="569">I1200+I1209+I1214</f>
        <v>856.84100000000012</v>
      </c>
      <c r="J1199" s="16">
        <f t="shared" si="569"/>
        <v>635.60784000000001</v>
      </c>
      <c r="K1199" s="82">
        <f t="shared" si="556"/>
        <v>74.180371854288012</v>
      </c>
      <c r="L1199" s="16">
        <f t="shared" si="569"/>
        <v>0</v>
      </c>
      <c r="M1199" s="65"/>
      <c r="N1199" s="65"/>
    </row>
    <row r="1200" spans="1:14" ht="31.2" x14ac:dyDescent="0.3">
      <c r="A1200" s="8" t="s">
        <v>710</v>
      </c>
      <c r="B1200" s="62" t="s">
        <v>918</v>
      </c>
      <c r="C1200" s="68" t="s">
        <v>1386</v>
      </c>
      <c r="D1200" s="68" t="s">
        <v>1479</v>
      </c>
      <c r="E1200" s="8" t="s">
        <v>438</v>
      </c>
      <c r="F1200" s="8"/>
      <c r="G1200" s="18" t="s">
        <v>891</v>
      </c>
      <c r="H1200" s="14">
        <f t="shared" ref="H1200:L1204" si="570">H1201</f>
        <v>560.14100000000008</v>
      </c>
      <c r="I1200" s="14">
        <f t="shared" si="570"/>
        <v>560.14100000000008</v>
      </c>
      <c r="J1200" s="14">
        <f t="shared" si="570"/>
        <v>338.90784000000002</v>
      </c>
      <c r="K1200" s="78">
        <f t="shared" si="556"/>
        <v>60.504023094185214</v>
      </c>
      <c r="L1200" s="14">
        <f t="shared" si="570"/>
        <v>0</v>
      </c>
      <c r="M1200" s="50"/>
      <c r="N1200" s="50"/>
    </row>
    <row r="1201" spans="1:14" ht="46.8" x14ac:dyDescent="0.3">
      <c r="A1201" s="8" t="s">
        <v>710</v>
      </c>
      <c r="B1201" s="62" t="s">
        <v>918</v>
      </c>
      <c r="C1201" s="68" t="s">
        <v>1386</v>
      </c>
      <c r="D1201" s="68" t="s">
        <v>1479</v>
      </c>
      <c r="E1201" s="8" t="s">
        <v>439</v>
      </c>
      <c r="F1201" s="8"/>
      <c r="G1201" s="18" t="s">
        <v>119</v>
      </c>
      <c r="H1201" s="14">
        <f t="shared" si="570"/>
        <v>560.14100000000008</v>
      </c>
      <c r="I1201" s="14">
        <f t="shared" si="570"/>
        <v>560.14100000000008</v>
      </c>
      <c r="J1201" s="14">
        <f t="shared" si="570"/>
        <v>338.90784000000002</v>
      </c>
      <c r="K1201" s="78">
        <f t="shared" si="556"/>
        <v>60.504023094185214</v>
      </c>
      <c r="L1201" s="14">
        <f t="shared" si="570"/>
        <v>0</v>
      </c>
      <c r="M1201" s="50"/>
      <c r="N1201" s="50"/>
    </row>
    <row r="1202" spans="1:14" ht="46.8" x14ac:dyDescent="0.3">
      <c r="A1202" s="8" t="s">
        <v>710</v>
      </c>
      <c r="B1202" s="62" t="s">
        <v>918</v>
      </c>
      <c r="C1202" s="68" t="s">
        <v>1386</v>
      </c>
      <c r="D1202" s="68" t="s">
        <v>1479</v>
      </c>
      <c r="E1202" s="8" t="s">
        <v>440</v>
      </c>
      <c r="F1202" s="8"/>
      <c r="G1202" s="18" t="s">
        <v>120</v>
      </c>
      <c r="H1202" s="14">
        <f>H1203+H1206</f>
        <v>560.14100000000008</v>
      </c>
      <c r="I1202" s="14">
        <f>I1203+I1206</f>
        <v>560.14100000000008</v>
      </c>
      <c r="J1202" s="14">
        <f t="shared" ref="J1202" si="571">J1203+J1206</f>
        <v>338.90784000000002</v>
      </c>
      <c r="K1202" s="78">
        <f t="shared" si="556"/>
        <v>60.504023094185214</v>
      </c>
      <c r="L1202" s="14">
        <f>L1203+L1206</f>
        <v>0</v>
      </c>
      <c r="M1202" s="50"/>
      <c r="N1202" s="50"/>
    </row>
    <row r="1203" spans="1:14" ht="46.8" x14ac:dyDescent="0.3">
      <c r="A1203" s="8" t="s">
        <v>710</v>
      </c>
      <c r="B1203" s="62" t="s">
        <v>918</v>
      </c>
      <c r="C1203" s="68" t="s">
        <v>1386</v>
      </c>
      <c r="D1203" s="68" t="s">
        <v>1479</v>
      </c>
      <c r="E1203" s="8" t="s">
        <v>441</v>
      </c>
      <c r="F1203" s="8"/>
      <c r="G1203" s="18" t="s">
        <v>761</v>
      </c>
      <c r="H1203" s="14">
        <f t="shared" si="570"/>
        <v>332.90800000000002</v>
      </c>
      <c r="I1203" s="14">
        <f t="shared" si="570"/>
        <v>332.90800000000002</v>
      </c>
      <c r="J1203" s="14">
        <f t="shared" si="570"/>
        <v>276.90784000000002</v>
      </c>
      <c r="K1203" s="78">
        <f t="shared" si="556"/>
        <v>83.178487750369484</v>
      </c>
      <c r="L1203" s="14">
        <f t="shared" si="570"/>
        <v>0</v>
      </c>
      <c r="M1203" s="50"/>
      <c r="N1203" s="50"/>
    </row>
    <row r="1204" spans="1:14" ht="31.2" x14ac:dyDescent="0.3">
      <c r="A1204" s="8" t="s">
        <v>710</v>
      </c>
      <c r="B1204" s="62" t="s">
        <v>918</v>
      </c>
      <c r="C1204" s="68" t="s">
        <v>1386</v>
      </c>
      <c r="D1204" s="68" t="s">
        <v>1479</v>
      </c>
      <c r="E1204" s="8" t="s">
        <v>441</v>
      </c>
      <c r="F1204" s="45" t="s">
        <v>380</v>
      </c>
      <c r="G1204" s="23" t="s">
        <v>809</v>
      </c>
      <c r="H1204" s="14">
        <f t="shared" si="570"/>
        <v>332.90800000000002</v>
      </c>
      <c r="I1204" s="14">
        <f t="shared" si="570"/>
        <v>332.90800000000002</v>
      </c>
      <c r="J1204" s="14">
        <f t="shared" si="570"/>
        <v>276.90784000000002</v>
      </c>
      <c r="K1204" s="78">
        <f t="shared" si="556"/>
        <v>83.178487750369484</v>
      </c>
      <c r="L1204" s="14">
        <f t="shared" si="570"/>
        <v>0</v>
      </c>
      <c r="M1204" s="50"/>
      <c r="N1204" s="50"/>
    </row>
    <row r="1205" spans="1:14" ht="31.2" x14ac:dyDescent="0.3">
      <c r="A1205" s="8" t="s">
        <v>710</v>
      </c>
      <c r="B1205" s="62" t="s">
        <v>918</v>
      </c>
      <c r="C1205" s="68" t="s">
        <v>1386</v>
      </c>
      <c r="D1205" s="68" t="s">
        <v>1479</v>
      </c>
      <c r="E1205" s="8" t="s">
        <v>441</v>
      </c>
      <c r="F1205" s="8" t="s">
        <v>247</v>
      </c>
      <c r="G1205" s="23" t="s">
        <v>810</v>
      </c>
      <c r="H1205" s="14">
        <f>450.3-15-0.092-102.3</f>
        <v>332.90800000000002</v>
      </c>
      <c r="I1205" s="14">
        <v>332.90800000000002</v>
      </c>
      <c r="J1205" s="14">
        <v>276.90784000000002</v>
      </c>
      <c r="K1205" s="78">
        <f t="shared" si="556"/>
        <v>83.178487750369484</v>
      </c>
      <c r="L1205" s="14"/>
      <c r="M1205" s="50"/>
      <c r="N1205" s="50"/>
    </row>
    <row r="1206" spans="1:14" ht="31.2" x14ac:dyDescent="0.3">
      <c r="A1206" s="8" t="s">
        <v>710</v>
      </c>
      <c r="B1206" s="62" t="s">
        <v>918</v>
      </c>
      <c r="C1206" s="68" t="s">
        <v>1386</v>
      </c>
      <c r="D1206" s="68" t="s">
        <v>1479</v>
      </c>
      <c r="E1206" s="8" t="s">
        <v>246</v>
      </c>
      <c r="F1206" s="8"/>
      <c r="G1206" s="23" t="s">
        <v>305</v>
      </c>
      <c r="H1206" s="14">
        <f t="shared" ref="H1206:L1207" si="572">H1207</f>
        <v>227.233</v>
      </c>
      <c r="I1206" s="14">
        <f t="shared" si="572"/>
        <v>227.233</v>
      </c>
      <c r="J1206" s="14">
        <f t="shared" si="572"/>
        <v>62</v>
      </c>
      <c r="K1206" s="78">
        <f t="shared" si="556"/>
        <v>27.284769377687219</v>
      </c>
      <c r="L1206" s="14">
        <f t="shared" si="572"/>
        <v>0</v>
      </c>
      <c r="M1206" s="50"/>
      <c r="N1206" s="50"/>
    </row>
    <row r="1207" spans="1:14" ht="31.2" x14ac:dyDescent="0.3">
      <c r="A1207" s="8" t="s">
        <v>710</v>
      </c>
      <c r="B1207" s="62" t="s">
        <v>918</v>
      </c>
      <c r="C1207" s="68" t="s">
        <v>1386</v>
      </c>
      <c r="D1207" s="68" t="s">
        <v>1479</v>
      </c>
      <c r="E1207" s="8" t="s">
        <v>246</v>
      </c>
      <c r="F1207" s="45" t="s">
        <v>380</v>
      </c>
      <c r="G1207" s="23" t="s">
        <v>809</v>
      </c>
      <c r="H1207" s="14">
        <f t="shared" si="572"/>
        <v>227.233</v>
      </c>
      <c r="I1207" s="14">
        <f t="shared" si="572"/>
        <v>227.233</v>
      </c>
      <c r="J1207" s="14">
        <f t="shared" si="572"/>
        <v>62</v>
      </c>
      <c r="K1207" s="78">
        <f t="shared" si="556"/>
        <v>27.284769377687219</v>
      </c>
      <c r="L1207" s="14">
        <f t="shared" si="572"/>
        <v>0</v>
      </c>
      <c r="M1207" s="50"/>
      <c r="N1207" s="50"/>
    </row>
    <row r="1208" spans="1:14" ht="31.2" x14ac:dyDescent="0.3">
      <c r="A1208" s="8" t="s">
        <v>710</v>
      </c>
      <c r="B1208" s="62" t="s">
        <v>918</v>
      </c>
      <c r="C1208" s="68" t="s">
        <v>1386</v>
      </c>
      <c r="D1208" s="68" t="s">
        <v>1479</v>
      </c>
      <c r="E1208" s="8" t="s">
        <v>246</v>
      </c>
      <c r="F1208" s="8" t="s">
        <v>247</v>
      </c>
      <c r="G1208" s="23" t="s">
        <v>810</v>
      </c>
      <c r="H1208" s="14">
        <f>212.9+15-0.667</f>
        <v>227.233</v>
      </c>
      <c r="I1208" s="14">
        <v>227.233</v>
      </c>
      <c r="J1208" s="14">
        <v>62</v>
      </c>
      <c r="K1208" s="78">
        <f t="shared" si="556"/>
        <v>27.284769377687219</v>
      </c>
      <c r="L1208" s="14"/>
      <c r="M1208" s="50"/>
      <c r="N1208" s="50"/>
    </row>
    <row r="1209" spans="1:14" ht="62.4" x14ac:dyDescent="0.3">
      <c r="A1209" s="8" t="s">
        <v>710</v>
      </c>
      <c r="B1209" s="62" t="s">
        <v>918</v>
      </c>
      <c r="C1209" s="68" t="s">
        <v>1386</v>
      </c>
      <c r="D1209" s="68" t="s">
        <v>1479</v>
      </c>
      <c r="E1209" s="8" t="s">
        <v>358</v>
      </c>
      <c r="F1209" s="8"/>
      <c r="G1209" s="13" t="s">
        <v>1040</v>
      </c>
      <c r="H1209" s="14">
        <f t="shared" ref="H1209:L1212" si="573">H1210</f>
        <v>26.7</v>
      </c>
      <c r="I1209" s="14">
        <f t="shared" si="573"/>
        <v>26.7</v>
      </c>
      <c r="J1209" s="14">
        <f t="shared" si="573"/>
        <v>26.7</v>
      </c>
      <c r="K1209" s="78">
        <f t="shared" si="556"/>
        <v>100</v>
      </c>
      <c r="L1209" s="14">
        <f t="shared" si="573"/>
        <v>0</v>
      </c>
      <c r="M1209" s="50"/>
      <c r="N1209" s="50"/>
    </row>
    <row r="1210" spans="1:14" ht="31.2" x14ac:dyDescent="0.3">
      <c r="A1210" s="8" t="s">
        <v>710</v>
      </c>
      <c r="B1210" s="62" t="s">
        <v>918</v>
      </c>
      <c r="C1210" s="68" t="s">
        <v>1386</v>
      </c>
      <c r="D1210" s="68" t="s">
        <v>1479</v>
      </c>
      <c r="E1210" s="8" t="s">
        <v>359</v>
      </c>
      <c r="F1210" s="8"/>
      <c r="G1210" s="13" t="s">
        <v>1041</v>
      </c>
      <c r="H1210" s="14">
        <f t="shared" si="573"/>
        <v>26.7</v>
      </c>
      <c r="I1210" s="14">
        <f t="shared" si="573"/>
        <v>26.7</v>
      </c>
      <c r="J1210" s="14">
        <f t="shared" si="573"/>
        <v>26.7</v>
      </c>
      <c r="K1210" s="78">
        <f t="shared" si="556"/>
        <v>100</v>
      </c>
      <c r="L1210" s="14">
        <f t="shared" si="573"/>
        <v>0</v>
      </c>
      <c r="M1210" s="50"/>
      <c r="N1210" s="50"/>
    </row>
    <row r="1211" spans="1:14" ht="46.8" x14ac:dyDescent="0.3">
      <c r="A1211" s="8" t="s">
        <v>710</v>
      </c>
      <c r="B1211" s="62" t="s">
        <v>918</v>
      </c>
      <c r="C1211" s="68" t="s">
        <v>1386</v>
      </c>
      <c r="D1211" s="68" t="s">
        <v>1479</v>
      </c>
      <c r="E1211" s="8" t="s">
        <v>1237</v>
      </c>
      <c r="F1211" s="8"/>
      <c r="G1211" s="18" t="s">
        <v>316</v>
      </c>
      <c r="H1211" s="14">
        <f t="shared" si="573"/>
        <v>26.7</v>
      </c>
      <c r="I1211" s="14">
        <f t="shared" si="573"/>
        <v>26.7</v>
      </c>
      <c r="J1211" s="14">
        <f t="shared" si="573"/>
        <v>26.7</v>
      </c>
      <c r="K1211" s="78">
        <f t="shared" si="556"/>
        <v>100</v>
      </c>
      <c r="L1211" s="14">
        <f t="shared" si="573"/>
        <v>0</v>
      </c>
      <c r="M1211" s="50"/>
      <c r="N1211" s="50"/>
    </row>
    <row r="1212" spans="1:14" ht="31.2" x14ac:dyDescent="0.3">
      <c r="A1212" s="8" t="s">
        <v>710</v>
      </c>
      <c r="B1212" s="62" t="s">
        <v>918</v>
      </c>
      <c r="C1212" s="68" t="s">
        <v>1386</v>
      </c>
      <c r="D1212" s="68" t="s">
        <v>1479</v>
      </c>
      <c r="E1212" s="8" t="s">
        <v>1237</v>
      </c>
      <c r="F1212" s="45" t="s">
        <v>380</v>
      </c>
      <c r="G1212" s="23" t="s">
        <v>809</v>
      </c>
      <c r="H1212" s="14">
        <f t="shared" si="573"/>
        <v>26.7</v>
      </c>
      <c r="I1212" s="14">
        <f t="shared" si="573"/>
        <v>26.7</v>
      </c>
      <c r="J1212" s="14">
        <f t="shared" si="573"/>
        <v>26.7</v>
      </c>
      <c r="K1212" s="78">
        <f t="shared" si="556"/>
        <v>100</v>
      </c>
      <c r="L1212" s="14">
        <f t="shared" si="573"/>
        <v>0</v>
      </c>
      <c r="M1212" s="50"/>
      <c r="N1212" s="50"/>
    </row>
    <row r="1213" spans="1:14" ht="31.2" x14ac:dyDescent="0.3">
      <c r="A1213" s="8" t="s">
        <v>710</v>
      </c>
      <c r="B1213" s="62" t="s">
        <v>918</v>
      </c>
      <c r="C1213" s="68" t="s">
        <v>1386</v>
      </c>
      <c r="D1213" s="68" t="s">
        <v>1479</v>
      </c>
      <c r="E1213" s="8" t="s">
        <v>1237</v>
      </c>
      <c r="F1213" s="8" t="s">
        <v>247</v>
      </c>
      <c r="G1213" s="23" t="s">
        <v>810</v>
      </c>
      <c r="H1213" s="14">
        <v>26.7</v>
      </c>
      <c r="I1213" s="14">
        <v>26.7</v>
      </c>
      <c r="J1213" s="14">
        <v>26.7</v>
      </c>
      <c r="K1213" s="78">
        <f t="shared" si="556"/>
        <v>100</v>
      </c>
      <c r="L1213" s="14"/>
      <c r="M1213" s="50"/>
      <c r="N1213" s="50"/>
    </row>
    <row r="1214" spans="1:14" ht="46.8" x14ac:dyDescent="0.3">
      <c r="A1214" s="8" t="s">
        <v>710</v>
      </c>
      <c r="B1214" s="62" t="s">
        <v>918</v>
      </c>
      <c r="C1214" s="83" t="s">
        <v>1386</v>
      </c>
      <c r="D1214" s="83" t="s">
        <v>1479</v>
      </c>
      <c r="E1214" s="45" t="s">
        <v>493</v>
      </c>
      <c r="F1214" s="45"/>
      <c r="G1214" s="23" t="s">
        <v>1160</v>
      </c>
      <c r="H1214" s="14">
        <f>H1215</f>
        <v>0</v>
      </c>
      <c r="I1214" s="14">
        <f t="shared" ref="I1214:L1217" si="574">I1215</f>
        <v>270</v>
      </c>
      <c r="J1214" s="14">
        <f t="shared" si="574"/>
        <v>270</v>
      </c>
      <c r="K1214" s="78">
        <f t="shared" si="556"/>
        <v>100</v>
      </c>
      <c r="L1214" s="14">
        <f t="shared" si="574"/>
        <v>0</v>
      </c>
      <c r="M1214" s="50"/>
      <c r="N1214" s="50"/>
    </row>
    <row r="1215" spans="1:14" ht="31.2" x14ac:dyDescent="0.3">
      <c r="A1215" s="8" t="s">
        <v>710</v>
      </c>
      <c r="B1215" s="62" t="s">
        <v>918</v>
      </c>
      <c r="C1215" s="83" t="s">
        <v>1386</v>
      </c>
      <c r="D1215" s="83" t="s">
        <v>1479</v>
      </c>
      <c r="E1215" s="45" t="s">
        <v>494</v>
      </c>
      <c r="F1215" s="45"/>
      <c r="G1215" s="23" t="s">
        <v>1161</v>
      </c>
      <c r="H1215" s="14">
        <f>H1216</f>
        <v>0</v>
      </c>
      <c r="I1215" s="14">
        <f t="shared" si="574"/>
        <v>270</v>
      </c>
      <c r="J1215" s="14">
        <f t="shared" si="574"/>
        <v>270</v>
      </c>
      <c r="K1215" s="78">
        <f t="shared" si="556"/>
        <v>100</v>
      </c>
      <c r="L1215" s="14">
        <f t="shared" si="574"/>
        <v>0</v>
      </c>
      <c r="M1215" s="50"/>
      <c r="N1215" s="50"/>
    </row>
    <row r="1216" spans="1:14" ht="31.2" x14ac:dyDescent="0.3">
      <c r="A1216" s="8" t="s">
        <v>710</v>
      </c>
      <c r="B1216" s="62" t="s">
        <v>918</v>
      </c>
      <c r="C1216" s="83" t="s">
        <v>1386</v>
      </c>
      <c r="D1216" s="83" t="s">
        <v>1479</v>
      </c>
      <c r="E1216" s="45" t="s">
        <v>495</v>
      </c>
      <c r="F1216" s="45"/>
      <c r="G1216" s="23" t="s">
        <v>687</v>
      </c>
      <c r="H1216" s="14">
        <f>H1217</f>
        <v>0</v>
      </c>
      <c r="I1216" s="14">
        <f t="shared" si="574"/>
        <v>270</v>
      </c>
      <c r="J1216" s="14">
        <f t="shared" si="574"/>
        <v>270</v>
      </c>
      <c r="K1216" s="78">
        <f t="shared" si="556"/>
        <v>100</v>
      </c>
      <c r="L1216" s="14">
        <f t="shared" si="574"/>
        <v>0</v>
      </c>
      <c r="M1216" s="50"/>
      <c r="N1216" s="50"/>
    </row>
    <row r="1217" spans="1:14" x14ac:dyDescent="0.3">
      <c r="A1217" s="8" t="s">
        <v>710</v>
      </c>
      <c r="B1217" s="62" t="s">
        <v>918</v>
      </c>
      <c r="C1217" s="83" t="s">
        <v>1386</v>
      </c>
      <c r="D1217" s="83" t="s">
        <v>1479</v>
      </c>
      <c r="E1217" s="45" t="s">
        <v>495</v>
      </c>
      <c r="F1217" s="45" t="s">
        <v>464</v>
      </c>
      <c r="G1217" s="23" t="s">
        <v>822</v>
      </c>
      <c r="H1217" s="14">
        <f>H1218</f>
        <v>0</v>
      </c>
      <c r="I1217" s="14">
        <f t="shared" si="574"/>
        <v>270</v>
      </c>
      <c r="J1217" s="14">
        <f t="shared" si="574"/>
        <v>270</v>
      </c>
      <c r="K1217" s="78">
        <f t="shared" si="556"/>
        <v>100</v>
      </c>
      <c r="L1217" s="14">
        <f t="shared" si="574"/>
        <v>0</v>
      </c>
      <c r="M1217" s="50"/>
      <c r="N1217" s="50"/>
    </row>
    <row r="1218" spans="1:14" x14ac:dyDescent="0.3">
      <c r="A1218" s="8" t="s">
        <v>710</v>
      </c>
      <c r="B1218" s="62" t="s">
        <v>918</v>
      </c>
      <c r="C1218" s="83" t="s">
        <v>1386</v>
      </c>
      <c r="D1218" s="83" t="s">
        <v>1479</v>
      </c>
      <c r="E1218" s="45" t="s">
        <v>495</v>
      </c>
      <c r="F1218" s="45" t="s">
        <v>728</v>
      </c>
      <c r="G1218" s="23" t="s">
        <v>823</v>
      </c>
      <c r="H1218" s="20">
        <v>0</v>
      </c>
      <c r="I1218" s="14">
        <v>270</v>
      </c>
      <c r="J1218" s="14">
        <v>270</v>
      </c>
      <c r="K1218" s="78">
        <f t="shared" si="556"/>
        <v>100</v>
      </c>
      <c r="L1218" s="14"/>
      <c r="M1218" s="50"/>
      <c r="N1218" s="50"/>
    </row>
    <row r="1219" spans="1:14" s="3" customFormat="1" x14ac:dyDescent="0.3">
      <c r="A1219" s="10" t="s">
        <v>710</v>
      </c>
      <c r="B1219" s="43" t="s">
        <v>1392</v>
      </c>
      <c r="C1219" s="43" t="s">
        <v>1392</v>
      </c>
      <c r="D1219" s="43" t="s">
        <v>915</v>
      </c>
      <c r="E1219" s="10"/>
      <c r="F1219" s="10"/>
      <c r="G1219" s="5" t="s">
        <v>1416</v>
      </c>
      <c r="H1219" s="15">
        <f>H1233+H1277+H1226</f>
        <v>39375.815000000002</v>
      </c>
      <c r="I1219" s="15">
        <f>I1233+I1277+I1226+I1220</f>
        <v>79312.454339999997</v>
      </c>
      <c r="J1219" s="15">
        <f t="shared" ref="J1219:L1219" si="575">J1233+J1277+J1226+J1220</f>
        <v>79203.63612000001</v>
      </c>
      <c r="K1219" s="81">
        <f t="shared" si="556"/>
        <v>99.862798067585317</v>
      </c>
      <c r="L1219" s="15">
        <f t="shared" si="575"/>
        <v>0</v>
      </c>
      <c r="M1219" s="65"/>
      <c r="N1219" s="65"/>
    </row>
    <row r="1220" spans="1:14" s="3" customFormat="1" x14ac:dyDescent="0.3">
      <c r="A1220" s="11" t="s">
        <v>710</v>
      </c>
      <c r="B1220" s="6" t="s">
        <v>941</v>
      </c>
      <c r="C1220" s="6" t="s">
        <v>1392</v>
      </c>
      <c r="D1220" s="6" t="s">
        <v>1372</v>
      </c>
      <c r="E1220" s="10"/>
      <c r="F1220" s="10"/>
      <c r="G1220" s="7" t="s">
        <v>1422</v>
      </c>
      <c r="H1220" s="19">
        <v>0</v>
      </c>
      <c r="I1220" s="16">
        <f>I1221</f>
        <v>5</v>
      </c>
      <c r="J1220" s="16">
        <f t="shared" ref="J1220:L1224" si="576">J1221</f>
        <v>5</v>
      </c>
      <c r="K1220" s="82">
        <f t="shared" si="556"/>
        <v>100</v>
      </c>
      <c r="L1220" s="16">
        <f t="shared" si="576"/>
        <v>0</v>
      </c>
      <c r="M1220" s="65"/>
      <c r="N1220" s="65"/>
    </row>
    <row r="1221" spans="1:14" ht="46.8" x14ac:dyDescent="0.3">
      <c r="A1221" s="8" t="s">
        <v>710</v>
      </c>
      <c r="B1221" s="64" t="s">
        <v>941</v>
      </c>
      <c r="C1221" s="69" t="s">
        <v>1392</v>
      </c>
      <c r="D1221" s="69" t="s">
        <v>1372</v>
      </c>
      <c r="E1221" s="8" t="s">
        <v>493</v>
      </c>
      <c r="F1221" s="8"/>
      <c r="G1221" s="13" t="s">
        <v>1160</v>
      </c>
      <c r="H1221" s="19">
        <v>0</v>
      </c>
      <c r="I1221" s="14">
        <f>I1222</f>
        <v>5</v>
      </c>
      <c r="J1221" s="14">
        <f t="shared" si="576"/>
        <v>5</v>
      </c>
      <c r="K1221" s="78">
        <f t="shared" si="556"/>
        <v>100</v>
      </c>
      <c r="L1221" s="14">
        <f t="shared" si="576"/>
        <v>0</v>
      </c>
      <c r="M1221" s="50"/>
      <c r="N1221" s="50"/>
    </row>
    <row r="1222" spans="1:14" ht="31.2" x14ac:dyDescent="0.3">
      <c r="A1222" s="8" t="s">
        <v>710</v>
      </c>
      <c r="B1222" s="64" t="s">
        <v>941</v>
      </c>
      <c r="C1222" s="69" t="s">
        <v>1392</v>
      </c>
      <c r="D1222" s="69" t="s">
        <v>1372</v>
      </c>
      <c r="E1222" s="8" t="s">
        <v>494</v>
      </c>
      <c r="F1222" s="8"/>
      <c r="G1222" s="13" t="s">
        <v>1161</v>
      </c>
      <c r="H1222" s="19">
        <v>0</v>
      </c>
      <c r="I1222" s="14">
        <f>I1223</f>
        <v>5</v>
      </c>
      <c r="J1222" s="14">
        <f t="shared" si="576"/>
        <v>5</v>
      </c>
      <c r="K1222" s="78">
        <f t="shared" si="556"/>
        <v>100</v>
      </c>
      <c r="L1222" s="14">
        <f t="shared" si="576"/>
        <v>0</v>
      </c>
      <c r="M1222" s="50"/>
      <c r="N1222" s="50"/>
    </row>
    <row r="1223" spans="1:14" ht="31.2" x14ac:dyDescent="0.3">
      <c r="A1223" s="8" t="s">
        <v>710</v>
      </c>
      <c r="B1223" s="64" t="s">
        <v>941</v>
      </c>
      <c r="C1223" s="69" t="s">
        <v>1392</v>
      </c>
      <c r="D1223" s="69" t="s">
        <v>1372</v>
      </c>
      <c r="E1223" s="8" t="s">
        <v>495</v>
      </c>
      <c r="F1223" s="8"/>
      <c r="G1223" s="13" t="s">
        <v>687</v>
      </c>
      <c r="H1223" s="19">
        <v>0</v>
      </c>
      <c r="I1223" s="14">
        <f>I1224</f>
        <v>5</v>
      </c>
      <c r="J1223" s="14">
        <f t="shared" si="576"/>
        <v>5</v>
      </c>
      <c r="K1223" s="78">
        <f t="shared" si="556"/>
        <v>100</v>
      </c>
      <c r="L1223" s="14">
        <f t="shared" si="576"/>
        <v>0</v>
      </c>
      <c r="M1223" s="50"/>
      <c r="N1223" s="50"/>
    </row>
    <row r="1224" spans="1:14" x14ac:dyDescent="0.3">
      <c r="A1224" s="8" t="s">
        <v>710</v>
      </c>
      <c r="B1224" s="64" t="s">
        <v>941</v>
      </c>
      <c r="C1224" s="69" t="s">
        <v>1392</v>
      </c>
      <c r="D1224" s="69" t="s">
        <v>1372</v>
      </c>
      <c r="E1224" s="8" t="s">
        <v>495</v>
      </c>
      <c r="F1224" s="45" t="s">
        <v>464</v>
      </c>
      <c r="G1224" s="23" t="s">
        <v>822</v>
      </c>
      <c r="H1224" s="19">
        <v>0</v>
      </c>
      <c r="I1224" s="14">
        <f>I1225</f>
        <v>5</v>
      </c>
      <c r="J1224" s="14">
        <f t="shared" si="576"/>
        <v>5</v>
      </c>
      <c r="K1224" s="78">
        <f t="shared" ref="K1224:K1287" si="577">J1224/I1224*100</f>
        <v>100</v>
      </c>
      <c r="L1224" s="14">
        <f t="shared" si="576"/>
        <v>0</v>
      </c>
      <c r="M1224" s="50"/>
      <c r="N1224" s="50"/>
    </row>
    <row r="1225" spans="1:14" x14ac:dyDescent="0.3">
      <c r="A1225" s="8" t="s">
        <v>710</v>
      </c>
      <c r="B1225" s="64" t="s">
        <v>941</v>
      </c>
      <c r="C1225" s="69" t="s">
        <v>1392</v>
      </c>
      <c r="D1225" s="69" t="s">
        <v>1372</v>
      </c>
      <c r="E1225" s="8" t="s">
        <v>495</v>
      </c>
      <c r="F1225" s="45" t="s">
        <v>728</v>
      </c>
      <c r="G1225" s="23" t="s">
        <v>823</v>
      </c>
      <c r="H1225" s="19">
        <v>0</v>
      </c>
      <c r="I1225" s="14">
        <v>5</v>
      </c>
      <c r="J1225" s="14">
        <v>5</v>
      </c>
      <c r="K1225" s="78">
        <f t="shared" si="577"/>
        <v>100</v>
      </c>
      <c r="L1225" s="14"/>
      <c r="M1225" s="50"/>
      <c r="N1225" s="50"/>
    </row>
    <row r="1226" spans="1:14" s="9" customFormat="1" x14ac:dyDescent="0.3">
      <c r="A1226" s="11" t="s">
        <v>710</v>
      </c>
      <c r="B1226" s="48" t="s">
        <v>938</v>
      </c>
      <c r="C1226" s="48" t="s">
        <v>1392</v>
      </c>
      <c r="D1226" s="48" t="s">
        <v>1478</v>
      </c>
      <c r="E1226" s="11"/>
      <c r="F1226" s="11"/>
      <c r="G1226" s="7" t="s">
        <v>1451</v>
      </c>
      <c r="H1226" s="16">
        <f t="shared" ref="H1226:L1231" si="578">H1227</f>
        <v>165.53599999999994</v>
      </c>
      <c r="I1226" s="16">
        <f t="shared" si="578"/>
        <v>165.536</v>
      </c>
      <c r="J1226" s="16">
        <f t="shared" si="578"/>
        <v>105.53595</v>
      </c>
      <c r="K1226" s="82">
        <f t="shared" si="577"/>
        <v>63.754077662864873</v>
      </c>
      <c r="L1226" s="16">
        <f t="shared" si="578"/>
        <v>0</v>
      </c>
      <c r="M1226" s="65"/>
      <c r="N1226" s="65"/>
    </row>
    <row r="1227" spans="1:14" ht="31.2" x14ac:dyDescent="0.3">
      <c r="A1227" s="8" t="s">
        <v>710</v>
      </c>
      <c r="B1227" s="62" t="s">
        <v>938</v>
      </c>
      <c r="C1227" s="68" t="s">
        <v>1392</v>
      </c>
      <c r="D1227" s="68" t="s">
        <v>1478</v>
      </c>
      <c r="E1227" s="8" t="s">
        <v>368</v>
      </c>
      <c r="F1227" s="8"/>
      <c r="G1227" s="13" t="s">
        <v>1079</v>
      </c>
      <c r="H1227" s="14">
        <f t="shared" si="578"/>
        <v>165.53599999999994</v>
      </c>
      <c r="I1227" s="14">
        <f t="shared" si="578"/>
        <v>165.536</v>
      </c>
      <c r="J1227" s="14">
        <f t="shared" si="578"/>
        <v>105.53595</v>
      </c>
      <c r="K1227" s="78">
        <f t="shared" si="577"/>
        <v>63.754077662864873</v>
      </c>
      <c r="L1227" s="14">
        <f t="shared" si="578"/>
        <v>0</v>
      </c>
      <c r="M1227" s="50"/>
      <c r="N1227" s="50"/>
    </row>
    <row r="1228" spans="1:14" ht="31.2" x14ac:dyDescent="0.3">
      <c r="A1228" s="8" t="s">
        <v>710</v>
      </c>
      <c r="B1228" s="62" t="s">
        <v>938</v>
      </c>
      <c r="C1228" s="68" t="s">
        <v>1392</v>
      </c>
      <c r="D1228" s="68" t="s">
        <v>1478</v>
      </c>
      <c r="E1228" s="8" t="s">
        <v>515</v>
      </c>
      <c r="F1228" s="8"/>
      <c r="G1228" s="23" t="s">
        <v>1091</v>
      </c>
      <c r="H1228" s="14">
        <f t="shared" si="578"/>
        <v>165.53599999999994</v>
      </c>
      <c r="I1228" s="14">
        <f t="shared" si="578"/>
        <v>165.536</v>
      </c>
      <c r="J1228" s="14">
        <f t="shared" si="578"/>
        <v>105.53595</v>
      </c>
      <c r="K1228" s="78">
        <f t="shared" si="577"/>
        <v>63.754077662864873</v>
      </c>
      <c r="L1228" s="14">
        <f t="shared" si="578"/>
        <v>0</v>
      </c>
      <c r="M1228" s="50"/>
      <c r="N1228" s="50"/>
    </row>
    <row r="1229" spans="1:14" ht="62.4" x14ac:dyDescent="0.3">
      <c r="A1229" s="8" t="s">
        <v>710</v>
      </c>
      <c r="B1229" s="62" t="s">
        <v>938</v>
      </c>
      <c r="C1229" s="68" t="s">
        <v>1392</v>
      </c>
      <c r="D1229" s="68" t="s">
        <v>1478</v>
      </c>
      <c r="E1229" s="8" t="s">
        <v>516</v>
      </c>
      <c r="F1229" s="8"/>
      <c r="G1229" s="23" t="s">
        <v>1169</v>
      </c>
      <c r="H1229" s="14">
        <f t="shared" si="578"/>
        <v>165.53599999999994</v>
      </c>
      <c r="I1229" s="14">
        <f t="shared" si="578"/>
        <v>165.536</v>
      </c>
      <c r="J1229" s="14">
        <f t="shared" si="578"/>
        <v>105.53595</v>
      </c>
      <c r="K1229" s="78">
        <f t="shared" si="577"/>
        <v>63.754077662864873</v>
      </c>
      <c r="L1229" s="14">
        <f t="shared" si="578"/>
        <v>0</v>
      </c>
      <c r="M1229" s="50"/>
      <c r="N1229" s="50"/>
    </row>
    <row r="1230" spans="1:14" ht="31.2" x14ac:dyDescent="0.3">
      <c r="A1230" s="8" t="s">
        <v>710</v>
      </c>
      <c r="B1230" s="62" t="s">
        <v>938</v>
      </c>
      <c r="C1230" s="68" t="s">
        <v>1392</v>
      </c>
      <c r="D1230" s="68" t="s">
        <v>1478</v>
      </c>
      <c r="E1230" s="8" t="s">
        <v>1245</v>
      </c>
      <c r="F1230" s="8"/>
      <c r="G1230" s="18" t="s">
        <v>1248</v>
      </c>
      <c r="H1230" s="14">
        <f t="shared" si="578"/>
        <v>165.53599999999994</v>
      </c>
      <c r="I1230" s="14">
        <f t="shared" si="578"/>
        <v>165.536</v>
      </c>
      <c r="J1230" s="14">
        <f t="shared" si="578"/>
        <v>105.53595</v>
      </c>
      <c r="K1230" s="78">
        <f t="shared" si="577"/>
        <v>63.754077662864873</v>
      </c>
      <c r="L1230" s="14">
        <f t="shared" si="578"/>
        <v>0</v>
      </c>
      <c r="M1230" s="50"/>
      <c r="N1230" s="50"/>
    </row>
    <row r="1231" spans="1:14" ht="31.2" x14ac:dyDescent="0.3">
      <c r="A1231" s="8" t="s">
        <v>710</v>
      </c>
      <c r="B1231" s="62" t="s">
        <v>938</v>
      </c>
      <c r="C1231" s="68" t="s">
        <v>1392</v>
      </c>
      <c r="D1231" s="68" t="s">
        <v>1478</v>
      </c>
      <c r="E1231" s="8" t="s">
        <v>1245</v>
      </c>
      <c r="F1231" s="45" t="s">
        <v>380</v>
      </c>
      <c r="G1231" s="23" t="s">
        <v>809</v>
      </c>
      <c r="H1231" s="14">
        <f t="shared" si="578"/>
        <v>165.53599999999994</v>
      </c>
      <c r="I1231" s="14">
        <f t="shared" si="578"/>
        <v>165.536</v>
      </c>
      <c r="J1231" s="14">
        <f t="shared" si="578"/>
        <v>105.53595</v>
      </c>
      <c r="K1231" s="78">
        <f t="shared" si="577"/>
        <v>63.754077662864873</v>
      </c>
      <c r="L1231" s="14">
        <f t="shared" si="578"/>
        <v>0</v>
      </c>
      <c r="M1231" s="50"/>
      <c r="N1231" s="50"/>
    </row>
    <row r="1232" spans="1:14" ht="31.2" x14ac:dyDescent="0.3">
      <c r="A1232" s="8" t="s">
        <v>710</v>
      </c>
      <c r="B1232" s="62" t="s">
        <v>938</v>
      </c>
      <c r="C1232" s="68" t="s">
        <v>1392</v>
      </c>
      <c r="D1232" s="68" t="s">
        <v>1478</v>
      </c>
      <c r="E1232" s="8" t="s">
        <v>1245</v>
      </c>
      <c r="F1232" s="8" t="s">
        <v>247</v>
      </c>
      <c r="G1232" s="23" t="s">
        <v>810</v>
      </c>
      <c r="H1232" s="14">
        <f>714.3-77.494-471.27</f>
        <v>165.53599999999994</v>
      </c>
      <c r="I1232" s="14">
        <v>165.536</v>
      </c>
      <c r="J1232" s="14">
        <v>105.53595</v>
      </c>
      <c r="K1232" s="78">
        <f t="shared" si="577"/>
        <v>63.754077662864873</v>
      </c>
      <c r="L1232" s="14"/>
      <c r="M1232" s="50"/>
      <c r="N1232" s="50"/>
    </row>
    <row r="1233" spans="1:14" s="9" customFormat="1" ht="16.5" customHeight="1" x14ac:dyDescent="0.3">
      <c r="A1233" s="11" t="s">
        <v>710</v>
      </c>
      <c r="B1233" s="48" t="s">
        <v>939</v>
      </c>
      <c r="C1233" s="48" t="s">
        <v>1392</v>
      </c>
      <c r="D1233" s="48" t="s">
        <v>1391</v>
      </c>
      <c r="E1233" s="11"/>
      <c r="F1233" s="11"/>
      <c r="G1233" s="7" t="s">
        <v>1423</v>
      </c>
      <c r="H1233" s="16">
        <f>H1246+H1256+H1234+H1240+H1269</f>
        <v>28959.179000000004</v>
      </c>
      <c r="I1233" s="16">
        <f t="shared" ref="I1233:L1233" si="579">I1246+I1256+I1234+I1240+I1269</f>
        <v>68734.579700000002</v>
      </c>
      <c r="J1233" s="16">
        <f t="shared" si="579"/>
        <v>68688.875070000009</v>
      </c>
      <c r="K1233" s="82">
        <f t="shared" si="577"/>
        <v>99.933505623807577</v>
      </c>
      <c r="L1233" s="16">
        <f t="shared" si="579"/>
        <v>0</v>
      </c>
      <c r="M1233" s="65"/>
      <c r="N1233" s="65"/>
    </row>
    <row r="1234" spans="1:14" ht="31.2" x14ac:dyDescent="0.3">
      <c r="A1234" s="8" t="s">
        <v>710</v>
      </c>
      <c r="B1234" s="62" t="s">
        <v>939</v>
      </c>
      <c r="C1234" s="68" t="s">
        <v>1392</v>
      </c>
      <c r="D1234" s="68" t="s">
        <v>1391</v>
      </c>
      <c r="E1234" s="8" t="s">
        <v>438</v>
      </c>
      <c r="F1234" s="8"/>
      <c r="G1234" s="18" t="s">
        <v>891</v>
      </c>
      <c r="H1234" s="14">
        <f t="shared" ref="H1234:L1238" si="580">H1235</f>
        <v>818.33999999999992</v>
      </c>
      <c r="I1234" s="14">
        <f t="shared" si="580"/>
        <v>818.34</v>
      </c>
      <c r="J1234" s="14">
        <f t="shared" si="580"/>
        <v>818.33918000000006</v>
      </c>
      <c r="K1234" s="78">
        <f t="shared" si="577"/>
        <v>99.99989979715032</v>
      </c>
      <c r="L1234" s="14">
        <f t="shared" si="580"/>
        <v>0</v>
      </c>
      <c r="M1234" s="50"/>
      <c r="N1234" s="50"/>
    </row>
    <row r="1235" spans="1:14" ht="46.8" x14ac:dyDescent="0.3">
      <c r="A1235" s="8" t="s">
        <v>710</v>
      </c>
      <c r="B1235" s="62" t="s">
        <v>939</v>
      </c>
      <c r="C1235" s="68" t="s">
        <v>1392</v>
      </c>
      <c r="D1235" s="68" t="s">
        <v>1391</v>
      </c>
      <c r="E1235" s="8" t="s">
        <v>439</v>
      </c>
      <c r="F1235" s="8"/>
      <c r="G1235" s="18" t="s">
        <v>119</v>
      </c>
      <c r="H1235" s="14">
        <f t="shared" si="580"/>
        <v>818.33999999999992</v>
      </c>
      <c r="I1235" s="14">
        <f t="shared" si="580"/>
        <v>818.34</v>
      </c>
      <c r="J1235" s="14">
        <f t="shared" si="580"/>
        <v>818.33918000000006</v>
      </c>
      <c r="K1235" s="78">
        <f t="shared" si="577"/>
        <v>99.99989979715032</v>
      </c>
      <c r="L1235" s="14">
        <f t="shared" si="580"/>
        <v>0</v>
      </c>
      <c r="M1235" s="50"/>
      <c r="N1235" s="50"/>
    </row>
    <row r="1236" spans="1:14" ht="46.8" x14ac:dyDescent="0.3">
      <c r="A1236" s="8" t="s">
        <v>710</v>
      </c>
      <c r="B1236" s="62" t="s">
        <v>939</v>
      </c>
      <c r="C1236" s="68" t="s">
        <v>1392</v>
      </c>
      <c r="D1236" s="68" t="s">
        <v>1391</v>
      </c>
      <c r="E1236" s="8" t="s">
        <v>442</v>
      </c>
      <c r="F1236" s="8"/>
      <c r="G1236" s="18" t="s">
        <v>1207</v>
      </c>
      <c r="H1236" s="14">
        <f t="shared" si="580"/>
        <v>818.33999999999992</v>
      </c>
      <c r="I1236" s="14">
        <f t="shared" si="580"/>
        <v>818.34</v>
      </c>
      <c r="J1236" s="14">
        <f t="shared" si="580"/>
        <v>818.33918000000006</v>
      </c>
      <c r="K1236" s="78">
        <f t="shared" si="577"/>
        <v>99.99989979715032</v>
      </c>
      <c r="L1236" s="14">
        <f t="shared" si="580"/>
        <v>0</v>
      </c>
      <c r="M1236" s="50"/>
      <c r="N1236" s="50"/>
    </row>
    <row r="1237" spans="1:14" ht="31.2" x14ac:dyDescent="0.3">
      <c r="A1237" s="8" t="s">
        <v>710</v>
      </c>
      <c r="B1237" s="62" t="s">
        <v>939</v>
      </c>
      <c r="C1237" s="68" t="s">
        <v>1392</v>
      </c>
      <c r="D1237" s="68" t="s">
        <v>1391</v>
      </c>
      <c r="E1237" s="8" t="s">
        <v>443</v>
      </c>
      <c r="F1237" s="8"/>
      <c r="G1237" s="18" t="s">
        <v>181</v>
      </c>
      <c r="H1237" s="14">
        <f t="shared" si="580"/>
        <v>818.33999999999992</v>
      </c>
      <c r="I1237" s="14">
        <f t="shared" si="580"/>
        <v>818.34</v>
      </c>
      <c r="J1237" s="14">
        <f t="shared" si="580"/>
        <v>818.33918000000006</v>
      </c>
      <c r="K1237" s="78">
        <f t="shared" si="577"/>
        <v>99.99989979715032</v>
      </c>
      <c r="L1237" s="14">
        <f t="shared" si="580"/>
        <v>0</v>
      </c>
      <c r="M1237" s="50"/>
      <c r="N1237" s="50"/>
    </row>
    <row r="1238" spans="1:14" ht="31.2" x14ac:dyDescent="0.3">
      <c r="A1238" s="8" t="s">
        <v>710</v>
      </c>
      <c r="B1238" s="62" t="s">
        <v>939</v>
      </c>
      <c r="C1238" s="68" t="s">
        <v>1392</v>
      </c>
      <c r="D1238" s="68" t="s">
        <v>1391</v>
      </c>
      <c r="E1238" s="8" t="s">
        <v>443</v>
      </c>
      <c r="F1238" s="45" t="s">
        <v>380</v>
      </c>
      <c r="G1238" s="23" t="s">
        <v>809</v>
      </c>
      <c r="H1238" s="14">
        <f t="shared" si="580"/>
        <v>818.33999999999992</v>
      </c>
      <c r="I1238" s="14">
        <f t="shared" si="580"/>
        <v>818.34</v>
      </c>
      <c r="J1238" s="14">
        <f t="shared" si="580"/>
        <v>818.33918000000006</v>
      </c>
      <c r="K1238" s="78">
        <f t="shared" si="577"/>
        <v>99.99989979715032</v>
      </c>
      <c r="L1238" s="14">
        <f t="shared" si="580"/>
        <v>0</v>
      </c>
      <c r="M1238" s="50"/>
      <c r="N1238" s="50"/>
    </row>
    <row r="1239" spans="1:14" ht="31.2" x14ac:dyDescent="0.3">
      <c r="A1239" s="8" t="s">
        <v>710</v>
      </c>
      <c r="B1239" s="62" t="s">
        <v>939</v>
      </c>
      <c r="C1239" s="68" t="s">
        <v>1392</v>
      </c>
      <c r="D1239" s="68" t="s">
        <v>1391</v>
      </c>
      <c r="E1239" s="8" t="s">
        <v>443</v>
      </c>
      <c r="F1239" s="8" t="s">
        <v>247</v>
      </c>
      <c r="G1239" s="23" t="s">
        <v>810</v>
      </c>
      <c r="H1239" s="14">
        <f>1254.2-217.93-217.93</f>
        <v>818.33999999999992</v>
      </c>
      <c r="I1239" s="14">
        <v>818.34</v>
      </c>
      <c r="J1239" s="14">
        <v>818.33918000000006</v>
      </c>
      <c r="K1239" s="78">
        <f t="shared" si="577"/>
        <v>99.99989979715032</v>
      </c>
      <c r="L1239" s="14"/>
      <c r="M1239" s="50"/>
      <c r="N1239" s="50"/>
    </row>
    <row r="1240" spans="1:14" ht="31.2" x14ac:dyDescent="0.3">
      <c r="A1240" s="8" t="s">
        <v>710</v>
      </c>
      <c r="B1240" s="62" t="s">
        <v>939</v>
      </c>
      <c r="C1240" s="68" t="s">
        <v>1392</v>
      </c>
      <c r="D1240" s="68" t="s">
        <v>1391</v>
      </c>
      <c r="E1240" s="8" t="s">
        <v>355</v>
      </c>
      <c r="F1240" s="8"/>
      <c r="G1240" s="13" t="s">
        <v>893</v>
      </c>
      <c r="H1240" s="14">
        <f>H1241</f>
        <v>64.22</v>
      </c>
      <c r="I1240" s="14">
        <f t="shared" ref="I1240:L1244" si="581">I1241</f>
        <v>64.22</v>
      </c>
      <c r="J1240" s="14">
        <f t="shared" si="581"/>
        <v>64.219899999999996</v>
      </c>
      <c r="K1240" s="78">
        <f t="shared" si="577"/>
        <v>99.999844285269376</v>
      </c>
      <c r="L1240" s="14">
        <f t="shared" si="581"/>
        <v>0</v>
      </c>
      <c r="M1240" s="50"/>
      <c r="N1240" s="50"/>
    </row>
    <row r="1241" spans="1:14" ht="31.2" x14ac:dyDescent="0.3">
      <c r="A1241" s="8" t="s">
        <v>710</v>
      </c>
      <c r="B1241" s="62" t="s">
        <v>939</v>
      </c>
      <c r="C1241" s="68" t="s">
        <v>1392</v>
      </c>
      <c r="D1241" s="68" t="s">
        <v>1391</v>
      </c>
      <c r="E1241" s="8" t="s">
        <v>356</v>
      </c>
      <c r="F1241" s="8"/>
      <c r="G1241" s="13" t="s">
        <v>894</v>
      </c>
      <c r="H1241" s="14">
        <f>H1242</f>
        <v>64.22</v>
      </c>
      <c r="I1241" s="14">
        <f t="shared" si="581"/>
        <v>64.22</v>
      </c>
      <c r="J1241" s="14">
        <f t="shared" si="581"/>
        <v>64.219899999999996</v>
      </c>
      <c r="K1241" s="78">
        <f t="shared" si="577"/>
        <v>99.999844285269376</v>
      </c>
      <c r="L1241" s="14">
        <f t="shared" si="581"/>
        <v>0</v>
      </c>
      <c r="M1241" s="50"/>
      <c r="N1241" s="50"/>
    </row>
    <row r="1242" spans="1:14" ht="62.4" x14ac:dyDescent="0.3">
      <c r="A1242" s="8" t="s">
        <v>710</v>
      </c>
      <c r="B1242" s="62" t="s">
        <v>939</v>
      </c>
      <c r="C1242" s="68" t="s">
        <v>1392</v>
      </c>
      <c r="D1242" s="68" t="s">
        <v>1391</v>
      </c>
      <c r="E1242" s="8" t="s">
        <v>593</v>
      </c>
      <c r="F1242" s="8"/>
      <c r="G1242" s="18" t="s">
        <v>1035</v>
      </c>
      <c r="H1242" s="14">
        <f>H1243</f>
        <v>64.22</v>
      </c>
      <c r="I1242" s="14">
        <f t="shared" si="581"/>
        <v>64.22</v>
      </c>
      <c r="J1242" s="14">
        <f t="shared" si="581"/>
        <v>64.219899999999996</v>
      </c>
      <c r="K1242" s="78">
        <f t="shared" si="577"/>
        <v>99.999844285269376</v>
      </c>
      <c r="L1242" s="14">
        <f t="shared" si="581"/>
        <v>0</v>
      </c>
      <c r="M1242" s="50"/>
      <c r="N1242" s="50"/>
    </row>
    <row r="1243" spans="1:14" ht="31.2" x14ac:dyDescent="0.3">
      <c r="A1243" s="8" t="s">
        <v>710</v>
      </c>
      <c r="B1243" s="62" t="s">
        <v>939</v>
      </c>
      <c r="C1243" s="68" t="s">
        <v>1392</v>
      </c>
      <c r="D1243" s="68" t="s">
        <v>1391</v>
      </c>
      <c r="E1243" s="8" t="s">
        <v>1003</v>
      </c>
      <c r="F1243" s="8"/>
      <c r="G1243" s="23" t="s">
        <v>1004</v>
      </c>
      <c r="H1243" s="14">
        <f>H1244</f>
        <v>64.22</v>
      </c>
      <c r="I1243" s="14">
        <f t="shared" si="581"/>
        <v>64.22</v>
      </c>
      <c r="J1243" s="14">
        <f t="shared" si="581"/>
        <v>64.219899999999996</v>
      </c>
      <c r="K1243" s="78">
        <f t="shared" si="577"/>
        <v>99.999844285269376</v>
      </c>
      <c r="L1243" s="14">
        <f t="shared" si="581"/>
        <v>0</v>
      </c>
      <c r="M1243" s="50"/>
      <c r="N1243" s="50"/>
    </row>
    <row r="1244" spans="1:14" ht="31.2" x14ac:dyDescent="0.3">
      <c r="A1244" s="8" t="s">
        <v>710</v>
      </c>
      <c r="B1244" s="62" t="s">
        <v>939</v>
      </c>
      <c r="C1244" s="68" t="s">
        <v>1392</v>
      </c>
      <c r="D1244" s="68" t="s">
        <v>1391</v>
      </c>
      <c r="E1244" s="8" t="s">
        <v>1003</v>
      </c>
      <c r="F1244" s="45" t="s">
        <v>380</v>
      </c>
      <c r="G1244" s="23" t="s">
        <v>809</v>
      </c>
      <c r="H1244" s="14">
        <f>H1245</f>
        <v>64.22</v>
      </c>
      <c r="I1244" s="14">
        <f t="shared" si="581"/>
        <v>64.22</v>
      </c>
      <c r="J1244" s="14">
        <f t="shared" si="581"/>
        <v>64.219899999999996</v>
      </c>
      <c r="K1244" s="78">
        <f t="shared" si="577"/>
        <v>99.999844285269376</v>
      </c>
      <c r="L1244" s="14">
        <f t="shared" si="581"/>
        <v>0</v>
      </c>
      <c r="M1244" s="50"/>
      <c r="N1244" s="50"/>
    </row>
    <row r="1245" spans="1:14" ht="31.2" x14ac:dyDescent="0.3">
      <c r="A1245" s="8" t="s">
        <v>710</v>
      </c>
      <c r="B1245" s="62" t="s">
        <v>939</v>
      </c>
      <c r="C1245" s="68" t="s">
        <v>1392</v>
      </c>
      <c r="D1245" s="68" t="s">
        <v>1391</v>
      </c>
      <c r="E1245" s="8" t="s">
        <v>1003</v>
      </c>
      <c r="F1245" s="8" t="s">
        <v>247</v>
      </c>
      <c r="G1245" s="23" t="s">
        <v>810</v>
      </c>
      <c r="H1245" s="14">
        <f>186.433-122.213</f>
        <v>64.22</v>
      </c>
      <c r="I1245" s="14">
        <v>64.22</v>
      </c>
      <c r="J1245" s="20">
        <v>64.219899999999996</v>
      </c>
      <c r="K1245" s="77">
        <f t="shared" si="577"/>
        <v>99.999844285269376</v>
      </c>
      <c r="L1245" s="14"/>
      <c r="M1245" s="50"/>
      <c r="N1245" s="50"/>
    </row>
    <row r="1246" spans="1:14" ht="62.4" x14ac:dyDescent="0.3">
      <c r="A1246" s="8" t="s">
        <v>710</v>
      </c>
      <c r="B1246" s="62" t="s">
        <v>939</v>
      </c>
      <c r="C1246" s="68" t="s">
        <v>1392</v>
      </c>
      <c r="D1246" s="68" t="s">
        <v>1391</v>
      </c>
      <c r="E1246" s="8" t="s">
        <v>358</v>
      </c>
      <c r="F1246" s="8"/>
      <c r="G1246" s="13" t="s">
        <v>1040</v>
      </c>
      <c r="H1246" s="14">
        <f t="shared" ref="H1246:L1246" si="582">H1247</f>
        <v>26877.633000000002</v>
      </c>
      <c r="I1246" s="14">
        <f t="shared" si="582"/>
        <v>27083.45</v>
      </c>
      <c r="J1246" s="14">
        <f t="shared" si="582"/>
        <v>27037.746290000003</v>
      </c>
      <c r="K1246" s="78">
        <f t="shared" si="577"/>
        <v>99.831248566929247</v>
      </c>
      <c r="L1246" s="14">
        <f t="shared" si="582"/>
        <v>0</v>
      </c>
      <c r="M1246" s="50"/>
      <c r="N1246" s="50"/>
    </row>
    <row r="1247" spans="1:14" ht="31.2" x14ac:dyDescent="0.3">
      <c r="A1247" s="8" t="s">
        <v>710</v>
      </c>
      <c r="B1247" s="62" t="s">
        <v>939</v>
      </c>
      <c r="C1247" s="68" t="s">
        <v>1392</v>
      </c>
      <c r="D1247" s="68" t="s">
        <v>1391</v>
      </c>
      <c r="E1247" s="8" t="s">
        <v>359</v>
      </c>
      <c r="F1247" s="8"/>
      <c r="G1247" s="13" t="s">
        <v>1041</v>
      </c>
      <c r="H1247" s="14">
        <f>H1248+H1253</f>
        <v>26877.633000000002</v>
      </c>
      <c r="I1247" s="14">
        <f>I1248+I1253</f>
        <v>27083.45</v>
      </c>
      <c r="J1247" s="14">
        <f t="shared" ref="J1247" si="583">J1248+J1253</f>
        <v>27037.746290000003</v>
      </c>
      <c r="K1247" s="78">
        <f t="shared" si="577"/>
        <v>99.831248566929247</v>
      </c>
      <c r="L1247" s="14">
        <f>L1248+L1253</f>
        <v>0</v>
      </c>
      <c r="M1247" s="50"/>
      <c r="N1247" s="50"/>
    </row>
    <row r="1248" spans="1:14" ht="31.2" x14ac:dyDescent="0.3">
      <c r="A1248" s="8" t="s">
        <v>710</v>
      </c>
      <c r="B1248" s="62" t="s">
        <v>939</v>
      </c>
      <c r="C1248" s="68" t="s">
        <v>1392</v>
      </c>
      <c r="D1248" s="68" t="s">
        <v>1391</v>
      </c>
      <c r="E1248" s="8" t="s">
        <v>370</v>
      </c>
      <c r="F1248" s="8"/>
      <c r="G1248" s="18" t="s">
        <v>125</v>
      </c>
      <c r="H1248" s="14">
        <f>H1249+H1251</f>
        <v>25546.272000000001</v>
      </c>
      <c r="I1248" s="14">
        <f t="shared" ref="I1248:L1248" si="584">I1249+I1251</f>
        <v>25752.089</v>
      </c>
      <c r="J1248" s="14">
        <f t="shared" si="584"/>
        <v>25706.386770000001</v>
      </c>
      <c r="K1248" s="78">
        <f t="shared" si="577"/>
        <v>99.822530009118864</v>
      </c>
      <c r="L1248" s="14">
        <f t="shared" si="584"/>
        <v>0</v>
      </c>
      <c r="M1248" s="50"/>
      <c r="N1248" s="50"/>
    </row>
    <row r="1249" spans="1:14" ht="31.2" x14ac:dyDescent="0.3">
      <c r="A1249" s="8" t="s">
        <v>710</v>
      </c>
      <c r="B1249" s="62" t="s">
        <v>939</v>
      </c>
      <c r="C1249" s="68" t="s">
        <v>1392</v>
      </c>
      <c r="D1249" s="68" t="s">
        <v>1391</v>
      </c>
      <c r="E1249" s="8" t="s">
        <v>370</v>
      </c>
      <c r="F1249" s="45" t="s">
        <v>380</v>
      </c>
      <c r="G1249" s="23" t="s">
        <v>809</v>
      </c>
      <c r="H1249" s="14">
        <f t="shared" ref="H1249:L1249" si="585">H1250</f>
        <v>23807.474000000002</v>
      </c>
      <c r="I1249" s="14">
        <f t="shared" si="585"/>
        <v>23807.473999999998</v>
      </c>
      <c r="J1249" s="14">
        <f t="shared" si="585"/>
        <v>23761.771769999999</v>
      </c>
      <c r="K1249" s="78">
        <f t="shared" si="577"/>
        <v>99.808034107272363</v>
      </c>
      <c r="L1249" s="14">
        <f t="shared" si="585"/>
        <v>0</v>
      </c>
      <c r="M1249" s="50"/>
      <c r="N1249" s="50"/>
    </row>
    <row r="1250" spans="1:14" ht="31.2" x14ac:dyDescent="0.3">
      <c r="A1250" s="8" t="s">
        <v>710</v>
      </c>
      <c r="B1250" s="62" t="s">
        <v>939</v>
      </c>
      <c r="C1250" s="68" t="s">
        <v>1392</v>
      </c>
      <c r="D1250" s="68" t="s">
        <v>1391</v>
      </c>
      <c r="E1250" s="8" t="s">
        <v>370</v>
      </c>
      <c r="F1250" s="8" t="s">
        <v>247</v>
      </c>
      <c r="G1250" s="23" t="s">
        <v>810</v>
      </c>
      <c r="H1250" s="14">
        <f>24108.775-186.444-394.005+279.148</f>
        <v>23807.474000000002</v>
      </c>
      <c r="I1250" s="14">
        <v>23807.473999999998</v>
      </c>
      <c r="J1250" s="14">
        <v>23761.771769999999</v>
      </c>
      <c r="K1250" s="78">
        <f t="shared" si="577"/>
        <v>99.808034107272363</v>
      </c>
      <c r="L1250" s="14"/>
      <c r="M1250" s="50"/>
      <c r="N1250" s="50"/>
    </row>
    <row r="1251" spans="1:14" x14ac:dyDescent="0.3">
      <c r="A1251" s="8" t="s">
        <v>710</v>
      </c>
      <c r="B1251" s="62" t="s">
        <v>939</v>
      </c>
      <c r="C1251" s="68" t="s">
        <v>1392</v>
      </c>
      <c r="D1251" s="68" t="s">
        <v>1391</v>
      </c>
      <c r="E1251" s="8" t="s">
        <v>370</v>
      </c>
      <c r="F1251" s="8" t="s">
        <v>464</v>
      </c>
      <c r="G1251" s="23" t="s">
        <v>822</v>
      </c>
      <c r="H1251" s="14">
        <f>H1252</f>
        <v>1738.798</v>
      </c>
      <c r="I1251" s="14">
        <f t="shared" ref="I1251:L1251" si="586">I1252</f>
        <v>1944.615</v>
      </c>
      <c r="J1251" s="14">
        <f t="shared" si="586"/>
        <v>1944.615</v>
      </c>
      <c r="K1251" s="78">
        <f t="shared" si="577"/>
        <v>100</v>
      </c>
      <c r="L1251" s="14">
        <f t="shared" si="586"/>
        <v>0</v>
      </c>
      <c r="M1251" s="50"/>
      <c r="N1251" s="50"/>
    </row>
    <row r="1252" spans="1:14" x14ac:dyDescent="0.3">
      <c r="A1252" s="8" t="s">
        <v>710</v>
      </c>
      <c r="B1252" s="62" t="s">
        <v>939</v>
      </c>
      <c r="C1252" s="68" t="s">
        <v>1392</v>
      </c>
      <c r="D1252" s="68" t="s">
        <v>1391</v>
      </c>
      <c r="E1252" s="8" t="s">
        <v>370</v>
      </c>
      <c r="F1252" s="8" t="s">
        <v>729</v>
      </c>
      <c r="G1252" s="23" t="s">
        <v>824</v>
      </c>
      <c r="H1252" s="14">
        <f>1944.615-205.817</f>
        <v>1738.798</v>
      </c>
      <c r="I1252" s="14">
        <v>1944.615</v>
      </c>
      <c r="J1252" s="14">
        <v>1944.615</v>
      </c>
      <c r="K1252" s="78">
        <f t="shared" si="577"/>
        <v>100</v>
      </c>
      <c r="L1252" s="14"/>
      <c r="M1252" s="50"/>
      <c r="N1252" s="50"/>
    </row>
    <row r="1253" spans="1:14" ht="31.2" x14ac:dyDescent="0.3">
      <c r="A1253" s="8" t="s">
        <v>710</v>
      </c>
      <c r="B1253" s="62" t="s">
        <v>939</v>
      </c>
      <c r="C1253" s="68" t="s">
        <v>1392</v>
      </c>
      <c r="D1253" s="68" t="s">
        <v>1391</v>
      </c>
      <c r="E1253" s="8" t="s">
        <v>371</v>
      </c>
      <c r="F1253" s="8"/>
      <c r="G1253" s="18" t="s">
        <v>126</v>
      </c>
      <c r="H1253" s="14">
        <f t="shared" ref="H1253:L1254" si="587">H1254</f>
        <v>1331.3610000000001</v>
      </c>
      <c r="I1253" s="14">
        <f t="shared" si="587"/>
        <v>1331.3610000000001</v>
      </c>
      <c r="J1253" s="14">
        <f t="shared" si="587"/>
        <v>1331.35952</v>
      </c>
      <c r="K1253" s="78">
        <f t="shared" si="577"/>
        <v>99.999888835559986</v>
      </c>
      <c r="L1253" s="14">
        <f t="shared" si="587"/>
        <v>0</v>
      </c>
      <c r="M1253" s="50"/>
      <c r="N1253" s="50"/>
    </row>
    <row r="1254" spans="1:14" ht="31.2" x14ac:dyDescent="0.3">
      <c r="A1254" s="8" t="s">
        <v>710</v>
      </c>
      <c r="B1254" s="62" t="s">
        <v>939</v>
      </c>
      <c r="C1254" s="68" t="s">
        <v>1392</v>
      </c>
      <c r="D1254" s="68" t="s">
        <v>1391</v>
      </c>
      <c r="E1254" s="8" t="s">
        <v>371</v>
      </c>
      <c r="F1254" s="45" t="s">
        <v>380</v>
      </c>
      <c r="G1254" s="23" t="s">
        <v>809</v>
      </c>
      <c r="H1254" s="14">
        <f t="shared" si="587"/>
        <v>1331.3610000000001</v>
      </c>
      <c r="I1254" s="14">
        <f t="shared" si="587"/>
        <v>1331.3610000000001</v>
      </c>
      <c r="J1254" s="14">
        <f t="shared" si="587"/>
        <v>1331.35952</v>
      </c>
      <c r="K1254" s="78">
        <f t="shared" si="577"/>
        <v>99.999888835559986</v>
      </c>
      <c r="L1254" s="14">
        <f t="shared" si="587"/>
        <v>0</v>
      </c>
      <c r="M1254" s="50"/>
      <c r="N1254" s="50"/>
    </row>
    <row r="1255" spans="1:14" ht="31.2" x14ac:dyDescent="0.3">
      <c r="A1255" s="8" t="s">
        <v>710</v>
      </c>
      <c r="B1255" s="62" t="s">
        <v>939</v>
      </c>
      <c r="C1255" s="68" t="s">
        <v>1392</v>
      </c>
      <c r="D1255" s="68" t="s">
        <v>1391</v>
      </c>
      <c r="E1255" s="8" t="s">
        <v>371</v>
      </c>
      <c r="F1255" s="8" t="s">
        <v>247</v>
      </c>
      <c r="G1255" s="23" t="s">
        <v>810</v>
      </c>
      <c r="H1255" s="14">
        <f>1423.4-5-87.039</f>
        <v>1331.3610000000001</v>
      </c>
      <c r="I1255" s="14">
        <v>1331.3610000000001</v>
      </c>
      <c r="J1255" s="14">
        <v>1331.35952</v>
      </c>
      <c r="K1255" s="78">
        <f t="shared" si="577"/>
        <v>99.999888835559986</v>
      </c>
      <c r="L1255" s="14"/>
      <c r="M1255" s="50"/>
      <c r="N1255" s="50"/>
    </row>
    <row r="1256" spans="1:14" ht="31.2" x14ac:dyDescent="0.3">
      <c r="A1256" s="8" t="s">
        <v>710</v>
      </c>
      <c r="B1256" s="62" t="s">
        <v>939</v>
      </c>
      <c r="C1256" s="68" t="s">
        <v>1392</v>
      </c>
      <c r="D1256" s="68" t="s">
        <v>1391</v>
      </c>
      <c r="E1256" s="8" t="s">
        <v>368</v>
      </c>
      <c r="F1256" s="8"/>
      <c r="G1256" s="13" t="s">
        <v>1079</v>
      </c>
      <c r="H1256" s="14">
        <f>H1257+H1262</f>
        <v>1198.9860000000001</v>
      </c>
      <c r="I1256" s="14">
        <f>I1257+I1262</f>
        <v>2374.6310000000003</v>
      </c>
      <c r="J1256" s="14">
        <f t="shared" ref="J1256" si="588">J1257+J1262</f>
        <v>2374.6310000000003</v>
      </c>
      <c r="K1256" s="78">
        <f t="shared" si="577"/>
        <v>100</v>
      </c>
      <c r="L1256" s="14">
        <f>L1257+L1262</f>
        <v>0</v>
      </c>
      <c r="M1256" s="50"/>
      <c r="N1256" s="50"/>
    </row>
    <row r="1257" spans="1:14" ht="31.2" x14ac:dyDescent="0.3">
      <c r="A1257" s="8" t="s">
        <v>710</v>
      </c>
      <c r="B1257" s="62" t="s">
        <v>939</v>
      </c>
      <c r="C1257" s="68" t="s">
        <v>1392</v>
      </c>
      <c r="D1257" s="68" t="s">
        <v>1391</v>
      </c>
      <c r="E1257" s="8" t="s">
        <v>372</v>
      </c>
      <c r="F1257" s="8"/>
      <c r="G1257" s="13" t="s">
        <v>193</v>
      </c>
      <c r="H1257" s="14">
        <f t="shared" ref="H1257:L1260" si="589">H1258</f>
        <v>1030.9860000000001</v>
      </c>
      <c r="I1257" s="14">
        <f t="shared" si="589"/>
        <v>1030.9860000000001</v>
      </c>
      <c r="J1257" s="14">
        <f t="shared" si="589"/>
        <v>1030.9860000000001</v>
      </c>
      <c r="K1257" s="78">
        <f t="shared" si="577"/>
        <v>100</v>
      </c>
      <c r="L1257" s="14">
        <f t="shared" si="589"/>
        <v>0</v>
      </c>
      <c r="M1257" s="50"/>
      <c r="N1257" s="50"/>
    </row>
    <row r="1258" spans="1:14" ht="46.8" x14ac:dyDescent="0.3">
      <c r="A1258" s="8" t="s">
        <v>710</v>
      </c>
      <c r="B1258" s="62" t="s">
        <v>939</v>
      </c>
      <c r="C1258" s="68" t="s">
        <v>1392</v>
      </c>
      <c r="D1258" s="68" t="s">
        <v>1391</v>
      </c>
      <c r="E1258" s="8" t="s">
        <v>511</v>
      </c>
      <c r="F1258" s="8"/>
      <c r="G1258" s="18" t="s">
        <v>1192</v>
      </c>
      <c r="H1258" s="14">
        <f t="shared" si="589"/>
        <v>1030.9860000000001</v>
      </c>
      <c r="I1258" s="14">
        <f t="shared" si="589"/>
        <v>1030.9860000000001</v>
      </c>
      <c r="J1258" s="14">
        <f t="shared" si="589"/>
        <v>1030.9860000000001</v>
      </c>
      <c r="K1258" s="78">
        <f t="shared" si="577"/>
        <v>100</v>
      </c>
      <c r="L1258" s="14">
        <f t="shared" si="589"/>
        <v>0</v>
      </c>
      <c r="M1258" s="50"/>
      <c r="N1258" s="50"/>
    </row>
    <row r="1259" spans="1:14" ht="31.2" x14ac:dyDescent="0.3">
      <c r="A1259" s="8" t="s">
        <v>710</v>
      </c>
      <c r="B1259" s="62" t="s">
        <v>939</v>
      </c>
      <c r="C1259" s="68" t="s">
        <v>1392</v>
      </c>
      <c r="D1259" s="68" t="s">
        <v>1391</v>
      </c>
      <c r="E1259" s="8" t="s">
        <v>70</v>
      </c>
      <c r="F1259" s="8"/>
      <c r="G1259" s="13" t="s">
        <v>164</v>
      </c>
      <c r="H1259" s="14">
        <f t="shared" si="589"/>
        <v>1030.9860000000001</v>
      </c>
      <c r="I1259" s="14">
        <f t="shared" si="589"/>
        <v>1030.9860000000001</v>
      </c>
      <c r="J1259" s="14">
        <f t="shared" si="589"/>
        <v>1030.9860000000001</v>
      </c>
      <c r="K1259" s="78">
        <f t="shared" si="577"/>
        <v>100</v>
      </c>
      <c r="L1259" s="14">
        <f t="shared" si="589"/>
        <v>0</v>
      </c>
      <c r="M1259" s="50"/>
      <c r="N1259" s="50"/>
    </row>
    <row r="1260" spans="1:14" ht="31.2" x14ac:dyDescent="0.3">
      <c r="A1260" s="8" t="s">
        <v>710</v>
      </c>
      <c r="B1260" s="62" t="s">
        <v>939</v>
      </c>
      <c r="C1260" s="68" t="s">
        <v>1392</v>
      </c>
      <c r="D1260" s="68" t="s">
        <v>1391</v>
      </c>
      <c r="E1260" s="8" t="s">
        <v>70</v>
      </c>
      <c r="F1260" s="45" t="s">
        <v>380</v>
      </c>
      <c r="G1260" s="23" t="s">
        <v>809</v>
      </c>
      <c r="H1260" s="14">
        <f t="shared" si="589"/>
        <v>1030.9860000000001</v>
      </c>
      <c r="I1260" s="14">
        <f t="shared" si="589"/>
        <v>1030.9860000000001</v>
      </c>
      <c r="J1260" s="14">
        <f t="shared" si="589"/>
        <v>1030.9860000000001</v>
      </c>
      <c r="K1260" s="78">
        <f t="shared" si="577"/>
        <v>100</v>
      </c>
      <c r="L1260" s="14">
        <f t="shared" si="589"/>
        <v>0</v>
      </c>
      <c r="M1260" s="50"/>
      <c r="N1260" s="50"/>
    </row>
    <row r="1261" spans="1:14" ht="31.2" x14ac:dyDescent="0.3">
      <c r="A1261" s="8" t="s">
        <v>710</v>
      </c>
      <c r="B1261" s="62" t="s">
        <v>939</v>
      </c>
      <c r="C1261" s="68" t="s">
        <v>1392</v>
      </c>
      <c r="D1261" s="68" t="s">
        <v>1391</v>
      </c>
      <c r="E1261" s="8" t="s">
        <v>70</v>
      </c>
      <c r="F1261" s="8" t="s">
        <v>247</v>
      </c>
      <c r="G1261" s="23" t="s">
        <v>810</v>
      </c>
      <c r="H1261" s="14">
        <f>1041.4-10.414</f>
        <v>1030.9860000000001</v>
      </c>
      <c r="I1261" s="14">
        <v>1030.9860000000001</v>
      </c>
      <c r="J1261" s="14">
        <v>1030.9860000000001</v>
      </c>
      <c r="K1261" s="78">
        <f t="shared" si="577"/>
        <v>100</v>
      </c>
      <c r="L1261" s="14"/>
      <c r="M1261" s="50"/>
      <c r="N1261" s="50"/>
    </row>
    <row r="1262" spans="1:14" ht="31.2" x14ac:dyDescent="0.3">
      <c r="A1262" s="8" t="s">
        <v>710</v>
      </c>
      <c r="B1262" s="62" t="s">
        <v>939</v>
      </c>
      <c r="C1262" s="68" t="s">
        <v>1392</v>
      </c>
      <c r="D1262" s="68" t="s">
        <v>1391</v>
      </c>
      <c r="E1262" s="8" t="s">
        <v>369</v>
      </c>
      <c r="F1262" s="8"/>
      <c r="G1262" s="13" t="s">
        <v>1088</v>
      </c>
      <c r="H1262" s="14">
        <f t="shared" ref="H1262:L1267" si="590">H1263</f>
        <v>168</v>
      </c>
      <c r="I1262" s="14">
        <f t="shared" si="590"/>
        <v>1343.645</v>
      </c>
      <c r="J1262" s="14">
        <f t="shared" si="590"/>
        <v>1343.645</v>
      </c>
      <c r="K1262" s="78">
        <f t="shared" si="577"/>
        <v>100</v>
      </c>
      <c r="L1262" s="14">
        <f t="shared" si="590"/>
        <v>0</v>
      </c>
      <c r="M1262" s="50"/>
      <c r="N1262" s="50"/>
    </row>
    <row r="1263" spans="1:14" ht="46.8" x14ac:dyDescent="0.3">
      <c r="A1263" s="8" t="s">
        <v>710</v>
      </c>
      <c r="B1263" s="62" t="s">
        <v>939</v>
      </c>
      <c r="C1263" s="68" t="s">
        <v>1392</v>
      </c>
      <c r="D1263" s="68" t="s">
        <v>1391</v>
      </c>
      <c r="E1263" s="8" t="s">
        <v>514</v>
      </c>
      <c r="F1263" s="8"/>
      <c r="G1263" s="18" t="s">
        <v>1090</v>
      </c>
      <c r="H1263" s="14">
        <f t="shared" si="590"/>
        <v>168</v>
      </c>
      <c r="I1263" s="14">
        <f t="shared" si="590"/>
        <v>1343.645</v>
      </c>
      <c r="J1263" s="14">
        <f t="shared" si="590"/>
        <v>1343.645</v>
      </c>
      <c r="K1263" s="78">
        <f t="shared" si="577"/>
        <v>100</v>
      </c>
      <c r="L1263" s="14">
        <f t="shared" si="590"/>
        <v>0</v>
      </c>
      <c r="M1263" s="50"/>
      <c r="N1263" s="50"/>
    </row>
    <row r="1264" spans="1:14" ht="46.8" x14ac:dyDescent="0.3">
      <c r="A1264" s="8" t="s">
        <v>710</v>
      </c>
      <c r="B1264" s="62" t="s">
        <v>939</v>
      </c>
      <c r="C1264" s="68" t="s">
        <v>1392</v>
      </c>
      <c r="D1264" s="68" t="s">
        <v>1391</v>
      </c>
      <c r="E1264" s="8" t="s">
        <v>69</v>
      </c>
      <c r="F1264" s="8"/>
      <c r="G1264" s="23" t="s">
        <v>1267</v>
      </c>
      <c r="H1264" s="14">
        <f>H1267+H1265</f>
        <v>168</v>
      </c>
      <c r="I1264" s="14">
        <f t="shared" ref="I1264:L1264" si="591">I1267+I1265</f>
        <v>1343.645</v>
      </c>
      <c r="J1264" s="14">
        <f t="shared" si="591"/>
        <v>1343.645</v>
      </c>
      <c r="K1264" s="78">
        <f t="shared" si="577"/>
        <v>100</v>
      </c>
      <c r="L1264" s="14">
        <f t="shared" si="591"/>
        <v>0</v>
      </c>
      <c r="M1264" s="50"/>
      <c r="N1264" s="50"/>
    </row>
    <row r="1265" spans="1:14" ht="31.2" x14ac:dyDescent="0.3">
      <c r="A1265" s="8" t="s">
        <v>710</v>
      </c>
      <c r="B1265" s="62" t="s">
        <v>939</v>
      </c>
      <c r="C1265" s="68" t="s">
        <v>1392</v>
      </c>
      <c r="D1265" s="68" t="s">
        <v>1391</v>
      </c>
      <c r="E1265" s="8" t="s">
        <v>69</v>
      </c>
      <c r="F1265" s="45" t="s">
        <v>402</v>
      </c>
      <c r="G1265" s="23" t="s">
        <v>819</v>
      </c>
      <c r="H1265" s="14">
        <f>H1266</f>
        <v>0</v>
      </c>
      <c r="I1265" s="14">
        <f t="shared" ref="I1265:L1265" si="592">I1266</f>
        <v>269.2</v>
      </c>
      <c r="J1265" s="14">
        <f t="shared" si="592"/>
        <v>269.2</v>
      </c>
      <c r="K1265" s="78">
        <f t="shared" si="577"/>
        <v>100</v>
      </c>
      <c r="L1265" s="14">
        <f t="shared" si="592"/>
        <v>0</v>
      </c>
      <c r="M1265" s="50"/>
      <c r="N1265" s="50"/>
    </row>
    <row r="1266" spans="1:14" ht="46.8" x14ac:dyDescent="0.3">
      <c r="A1266" s="8" t="s">
        <v>710</v>
      </c>
      <c r="B1266" s="62" t="s">
        <v>939</v>
      </c>
      <c r="C1266" s="68" t="s">
        <v>1392</v>
      </c>
      <c r="D1266" s="68" t="s">
        <v>1391</v>
      </c>
      <c r="E1266" s="8" t="s">
        <v>69</v>
      </c>
      <c r="F1266" s="45" t="s">
        <v>280</v>
      </c>
      <c r="G1266" s="23" t="s">
        <v>821</v>
      </c>
      <c r="H1266" s="20">
        <v>0</v>
      </c>
      <c r="I1266" s="14">
        <v>269.2</v>
      </c>
      <c r="J1266" s="14">
        <v>269.2</v>
      </c>
      <c r="K1266" s="78">
        <f t="shared" si="577"/>
        <v>100</v>
      </c>
      <c r="L1266" s="14"/>
      <c r="M1266" s="50"/>
      <c r="N1266" s="50"/>
    </row>
    <row r="1267" spans="1:14" x14ac:dyDescent="0.3">
      <c r="A1267" s="8" t="s">
        <v>710</v>
      </c>
      <c r="B1267" s="62" t="s">
        <v>939</v>
      </c>
      <c r="C1267" s="68" t="s">
        <v>1392</v>
      </c>
      <c r="D1267" s="68" t="s">
        <v>1391</v>
      </c>
      <c r="E1267" s="8" t="s">
        <v>69</v>
      </c>
      <c r="F1267" s="8" t="s">
        <v>464</v>
      </c>
      <c r="G1267" s="23" t="s">
        <v>822</v>
      </c>
      <c r="H1267" s="14">
        <f t="shared" si="590"/>
        <v>168</v>
      </c>
      <c r="I1267" s="14">
        <f t="shared" si="590"/>
        <v>1074.4449999999999</v>
      </c>
      <c r="J1267" s="14">
        <f t="shared" si="590"/>
        <v>1074.4449999999999</v>
      </c>
      <c r="K1267" s="78">
        <f t="shared" si="577"/>
        <v>100</v>
      </c>
      <c r="L1267" s="14">
        <f t="shared" si="590"/>
        <v>0</v>
      </c>
      <c r="M1267" s="50"/>
      <c r="N1267" s="50"/>
    </row>
    <row r="1268" spans="1:14" ht="62.4" x14ac:dyDescent="0.3">
      <c r="A1268" s="8" t="s">
        <v>710</v>
      </c>
      <c r="B1268" s="62" t="s">
        <v>939</v>
      </c>
      <c r="C1268" s="68" t="s">
        <v>1392</v>
      </c>
      <c r="D1268" s="68" t="s">
        <v>1391</v>
      </c>
      <c r="E1268" s="8" t="s">
        <v>69</v>
      </c>
      <c r="F1268" s="8" t="s">
        <v>727</v>
      </c>
      <c r="G1268" s="18" t="s">
        <v>830</v>
      </c>
      <c r="H1268" s="14">
        <v>168</v>
      </c>
      <c r="I1268" s="14">
        <v>1074.4449999999999</v>
      </c>
      <c r="J1268" s="14">
        <v>1074.4449999999999</v>
      </c>
      <c r="K1268" s="78">
        <f t="shared" si="577"/>
        <v>100</v>
      </c>
      <c r="L1268" s="14"/>
      <c r="M1268" s="50"/>
      <c r="N1268" s="50"/>
    </row>
    <row r="1269" spans="1:14" ht="31.2" x14ac:dyDescent="0.3">
      <c r="A1269" s="8" t="s">
        <v>710</v>
      </c>
      <c r="B1269" s="62" t="s">
        <v>939</v>
      </c>
      <c r="C1269" s="68" t="s">
        <v>1392</v>
      </c>
      <c r="D1269" s="68" t="s">
        <v>1391</v>
      </c>
      <c r="E1269" s="8" t="s">
        <v>1256</v>
      </c>
      <c r="F1269" s="8"/>
      <c r="G1269" s="23" t="s">
        <v>743</v>
      </c>
      <c r="H1269" s="14">
        <f>H1270</f>
        <v>0</v>
      </c>
      <c r="I1269" s="14">
        <f t="shared" ref="I1269:L1271" si="593">I1270</f>
        <v>38393.938699999999</v>
      </c>
      <c r="J1269" s="14">
        <f t="shared" si="593"/>
        <v>38393.938699999999</v>
      </c>
      <c r="K1269" s="78">
        <f t="shared" si="577"/>
        <v>100</v>
      </c>
      <c r="L1269" s="14">
        <f t="shared" si="593"/>
        <v>0</v>
      </c>
      <c r="M1269" s="50"/>
      <c r="N1269" s="50"/>
    </row>
    <row r="1270" spans="1:14" ht="46.8" x14ac:dyDescent="0.3">
      <c r="A1270" s="8" t="s">
        <v>710</v>
      </c>
      <c r="B1270" s="62" t="s">
        <v>939</v>
      </c>
      <c r="C1270" s="68" t="s">
        <v>1392</v>
      </c>
      <c r="D1270" s="68" t="s">
        <v>1391</v>
      </c>
      <c r="E1270" s="8" t="s">
        <v>1260</v>
      </c>
      <c r="F1270" s="8"/>
      <c r="G1270" s="23" t="s">
        <v>744</v>
      </c>
      <c r="H1270" s="14">
        <f>H1271</f>
        <v>0</v>
      </c>
      <c r="I1270" s="14">
        <f t="shared" si="593"/>
        <v>38393.938699999999</v>
      </c>
      <c r="J1270" s="14">
        <f t="shared" si="593"/>
        <v>38393.938699999999</v>
      </c>
      <c r="K1270" s="78">
        <f t="shared" si="577"/>
        <v>100</v>
      </c>
      <c r="L1270" s="14">
        <f t="shared" si="593"/>
        <v>0</v>
      </c>
      <c r="M1270" s="50"/>
      <c r="N1270" s="50"/>
    </row>
    <row r="1271" spans="1:14" ht="31.2" x14ac:dyDescent="0.3">
      <c r="A1271" s="8" t="s">
        <v>710</v>
      </c>
      <c r="B1271" s="62" t="s">
        <v>939</v>
      </c>
      <c r="C1271" s="68" t="s">
        <v>1392</v>
      </c>
      <c r="D1271" s="68" t="s">
        <v>1391</v>
      </c>
      <c r="E1271" s="8" t="s">
        <v>1261</v>
      </c>
      <c r="F1271" s="8"/>
      <c r="G1271" s="23" t="s">
        <v>745</v>
      </c>
      <c r="H1271" s="14">
        <f>H1272</f>
        <v>0</v>
      </c>
      <c r="I1271" s="14">
        <f t="shared" si="593"/>
        <v>38393.938699999999</v>
      </c>
      <c r="J1271" s="14">
        <f t="shared" si="593"/>
        <v>38393.938699999999</v>
      </c>
      <c r="K1271" s="78">
        <f t="shared" si="577"/>
        <v>100</v>
      </c>
      <c r="L1271" s="14">
        <f t="shared" si="593"/>
        <v>0</v>
      </c>
      <c r="M1271" s="50"/>
      <c r="N1271" s="50"/>
    </row>
    <row r="1272" spans="1:14" ht="31.2" x14ac:dyDescent="0.3">
      <c r="A1272" s="8" t="s">
        <v>710</v>
      </c>
      <c r="B1272" s="62" t="s">
        <v>939</v>
      </c>
      <c r="C1272" s="68" t="s">
        <v>1392</v>
      </c>
      <c r="D1272" s="68" t="s">
        <v>1391</v>
      </c>
      <c r="E1272" s="8" t="s">
        <v>1262</v>
      </c>
      <c r="F1272" s="8"/>
      <c r="G1272" s="23" t="s">
        <v>691</v>
      </c>
      <c r="H1272" s="14">
        <f>H1273+H1275</f>
        <v>0</v>
      </c>
      <c r="I1272" s="14">
        <f t="shared" ref="I1272:L1272" si="594">I1273+I1275</f>
        <v>38393.938699999999</v>
      </c>
      <c r="J1272" s="14">
        <f t="shared" si="594"/>
        <v>38393.938699999999</v>
      </c>
      <c r="K1272" s="78">
        <f t="shared" si="577"/>
        <v>100</v>
      </c>
      <c r="L1272" s="14">
        <f t="shared" si="594"/>
        <v>0</v>
      </c>
      <c r="M1272" s="50"/>
      <c r="N1272" s="50"/>
    </row>
    <row r="1273" spans="1:14" ht="31.2" x14ac:dyDescent="0.3">
      <c r="A1273" s="8" t="s">
        <v>710</v>
      </c>
      <c r="B1273" s="62" t="s">
        <v>939</v>
      </c>
      <c r="C1273" s="68" t="s">
        <v>1392</v>
      </c>
      <c r="D1273" s="68" t="s">
        <v>1391</v>
      </c>
      <c r="E1273" s="8" t="s">
        <v>1262</v>
      </c>
      <c r="F1273" s="45" t="s">
        <v>402</v>
      </c>
      <c r="G1273" s="23" t="s">
        <v>819</v>
      </c>
      <c r="H1273" s="14">
        <f>H1274</f>
        <v>0</v>
      </c>
      <c r="I1273" s="14">
        <f t="shared" ref="I1273:L1273" si="595">I1274</f>
        <v>14304.248149999999</v>
      </c>
      <c r="J1273" s="14">
        <f t="shared" si="595"/>
        <v>14304.248149999999</v>
      </c>
      <c r="K1273" s="78">
        <f t="shared" si="577"/>
        <v>100</v>
      </c>
      <c r="L1273" s="14">
        <f t="shared" si="595"/>
        <v>0</v>
      </c>
      <c r="M1273" s="50"/>
      <c r="N1273" s="50"/>
    </row>
    <row r="1274" spans="1:14" ht="46.8" x14ac:dyDescent="0.3">
      <c r="A1274" s="8" t="s">
        <v>710</v>
      </c>
      <c r="B1274" s="62" t="s">
        <v>939</v>
      </c>
      <c r="C1274" s="68" t="s">
        <v>1392</v>
      </c>
      <c r="D1274" s="68" t="s">
        <v>1391</v>
      </c>
      <c r="E1274" s="8" t="s">
        <v>1262</v>
      </c>
      <c r="F1274" s="45" t="s">
        <v>280</v>
      </c>
      <c r="G1274" s="23" t="s">
        <v>821</v>
      </c>
      <c r="H1274" s="20">
        <v>0</v>
      </c>
      <c r="I1274" s="14">
        <v>14304.248149999999</v>
      </c>
      <c r="J1274" s="14">
        <v>14304.248149999999</v>
      </c>
      <c r="K1274" s="78">
        <f t="shared" si="577"/>
        <v>100</v>
      </c>
      <c r="L1274" s="14"/>
      <c r="M1274" s="50"/>
      <c r="N1274" s="50"/>
    </row>
    <row r="1275" spans="1:14" ht="16.5" customHeight="1" x14ac:dyDescent="0.3">
      <c r="A1275" s="8" t="s">
        <v>710</v>
      </c>
      <c r="B1275" s="62" t="s">
        <v>939</v>
      </c>
      <c r="C1275" s="68" t="s">
        <v>1392</v>
      </c>
      <c r="D1275" s="68" t="s">
        <v>1391</v>
      </c>
      <c r="E1275" s="8" t="s">
        <v>1262</v>
      </c>
      <c r="F1275" s="8" t="s">
        <v>464</v>
      </c>
      <c r="G1275" s="23" t="s">
        <v>822</v>
      </c>
      <c r="H1275" s="14">
        <f>H1276</f>
        <v>0</v>
      </c>
      <c r="I1275" s="14">
        <f t="shared" ref="I1275:L1275" si="596">I1276</f>
        <v>24089.690549999999</v>
      </c>
      <c r="J1275" s="14">
        <f t="shared" si="596"/>
        <v>24089.690549999999</v>
      </c>
      <c r="K1275" s="78">
        <f t="shared" si="577"/>
        <v>100</v>
      </c>
      <c r="L1275" s="14">
        <f t="shared" si="596"/>
        <v>0</v>
      </c>
      <c r="M1275" s="50"/>
      <c r="N1275" s="50"/>
    </row>
    <row r="1276" spans="1:14" ht="62.4" x14ac:dyDescent="0.3">
      <c r="A1276" s="8" t="s">
        <v>710</v>
      </c>
      <c r="B1276" s="62" t="s">
        <v>939</v>
      </c>
      <c r="C1276" s="68" t="s">
        <v>1392</v>
      </c>
      <c r="D1276" s="68" t="s">
        <v>1391</v>
      </c>
      <c r="E1276" s="8" t="s">
        <v>1262</v>
      </c>
      <c r="F1276" s="8" t="s">
        <v>727</v>
      </c>
      <c r="G1276" s="18" t="s">
        <v>830</v>
      </c>
      <c r="H1276" s="20">
        <v>0</v>
      </c>
      <c r="I1276" s="14">
        <v>24089.690549999999</v>
      </c>
      <c r="J1276" s="14">
        <v>24089.690549999999</v>
      </c>
      <c r="K1276" s="78">
        <f t="shared" si="577"/>
        <v>100</v>
      </c>
      <c r="L1276" s="14"/>
      <c r="M1276" s="50"/>
      <c r="N1276" s="50"/>
    </row>
    <row r="1277" spans="1:14" s="9" customFormat="1" ht="31.2" x14ac:dyDescent="0.3">
      <c r="A1277" s="11" t="s">
        <v>710</v>
      </c>
      <c r="B1277" s="48" t="s">
        <v>940</v>
      </c>
      <c r="C1277" s="48" t="s">
        <v>1392</v>
      </c>
      <c r="D1277" s="48" t="s">
        <v>1392</v>
      </c>
      <c r="E1277" s="11"/>
      <c r="F1277" s="11"/>
      <c r="G1277" s="7" t="s">
        <v>1424</v>
      </c>
      <c r="H1277" s="16">
        <f t="shared" ref="H1277:L1280" si="597">H1278</f>
        <v>10251.1</v>
      </c>
      <c r="I1277" s="16">
        <f t="shared" si="597"/>
        <v>10407.33864</v>
      </c>
      <c r="J1277" s="16">
        <f t="shared" si="597"/>
        <v>10404.2251</v>
      </c>
      <c r="K1277" s="82">
        <f t="shared" si="577"/>
        <v>99.970083225811123</v>
      </c>
      <c r="L1277" s="16">
        <f t="shared" si="597"/>
        <v>0</v>
      </c>
      <c r="M1277" s="65"/>
      <c r="N1277" s="65"/>
    </row>
    <row r="1278" spans="1:14" ht="31.2" x14ac:dyDescent="0.3">
      <c r="A1278" s="8" t="s">
        <v>710</v>
      </c>
      <c r="B1278" s="62" t="s">
        <v>940</v>
      </c>
      <c r="C1278" s="68" t="s">
        <v>1392</v>
      </c>
      <c r="D1278" s="68" t="s">
        <v>1392</v>
      </c>
      <c r="E1278" s="8" t="s">
        <v>355</v>
      </c>
      <c r="F1278" s="8"/>
      <c r="G1278" s="13" t="s">
        <v>893</v>
      </c>
      <c r="H1278" s="14">
        <f t="shared" si="597"/>
        <v>10251.1</v>
      </c>
      <c r="I1278" s="14">
        <f t="shared" si="597"/>
        <v>10407.33864</v>
      </c>
      <c r="J1278" s="14">
        <f t="shared" si="597"/>
        <v>10404.2251</v>
      </c>
      <c r="K1278" s="78">
        <f t="shared" si="577"/>
        <v>99.970083225811123</v>
      </c>
      <c r="L1278" s="14">
        <f t="shared" si="597"/>
        <v>0</v>
      </c>
      <c r="M1278" s="50"/>
      <c r="N1278" s="50"/>
    </row>
    <row r="1279" spans="1:14" ht="31.2" x14ac:dyDescent="0.3">
      <c r="A1279" s="8" t="s">
        <v>710</v>
      </c>
      <c r="B1279" s="62" t="s">
        <v>940</v>
      </c>
      <c r="C1279" s="68" t="s">
        <v>1392</v>
      </c>
      <c r="D1279" s="68" t="s">
        <v>1392</v>
      </c>
      <c r="E1279" s="8" t="s">
        <v>373</v>
      </c>
      <c r="F1279" s="8"/>
      <c r="G1279" s="13" t="s">
        <v>1038</v>
      </c>
      <c r="H1279" s="14">
        <f t="shared" si="597"/>
        <v>10251.1</v>
      </c>
      <c r="I1279" s="14">
        <f t="shared" si="597"/>
        <v>10407.33864</v>
      </c>
      <c r="J1279" s="14">
        <f t="shared" si="597"/>
        <v>10404.2251</v>
      </c>
      <c r="K1279" s="78">
        <f t="shared" si="577"/>
        <v>99.970083225811123</v>
      </c>
      <c r="L1279" s="14">
        <f t="shared" si="597"/>
        <v>0</v>
      </c>
      <c r="M1279" s="50"/>
      <c r="N1279" s="50"/>
    </row>
    <row r="1280" spans="1:14" ht="31.2" x14ac:dyDescent="0.3">
      <c r="A1280" s="8" t="s">
        <v>710</v>
      </c>
      <c r="B1280" s="62" t="s">
        <v>940</v>
      </c>
      <c r="C1280" s="68" t="s">
        <v>1392</v>
      </c>
      <c r="D1280" s="68" t="s">
        <v>1392</v>
      </c>
      <c r="E1280" s="8" t="s">
        <v>374</v>
      </c>
      <c r="F1280" s="8"/>
      <c r="G1280" s="13" t="s">
        <v>1039</v>
      </c>
      <c r="H1280" s="14">
        <f t="shared" si="597"/>
        <v>10251.1</v>
      </c>
      <c r="I1280" s="14">
        <f t="shared" si="597"/>
        <v>10407.33864</v>
      </c>
      <c r="J1280" s="14">
        <f t="shared" si="597"/>
        <v>10404.2251</v>
      </c>
      <c r="K1280" s="78">
        <f t="shared" si="577"/>
        <v>99.970083225811123</v>
      </c>
      <c r="L1280" s="14">
        <f t="shared" si="597"/>
        <v>0</v>
      </c>
      <c r="M1280" s="50"/>
      <c r="N1280" s="50"/>
    </row>
    <row r="1281" spans="1:14" ht="62.4" x14ac:dyDescent="0.3">
      <c r="A1281" s="8" t="s">
        <v>710</v>
      </c>
      <c r="B1281" s="62" t="s">
        <v>940</v>
      </c>
      <c r="C1281" s="68" t="s">
        <v>1392</v>
      </c>
      <c r="D1281" s="68" t="s">
        <v>1392</v>
      </c>
      <c r="E1281" s="8" t="s">
        <v>375</v>
      </c>
      <c r="F1281" s="8"/>
      <c r="G1281" s="23" t="s">
        <v>1291</v>
      </c>
      <c r="H1281" s="14">
        <f>H1282+H1284+H1286</f>
        <v>10251.1</v>
      </c>
      <c r="I1281" s="14">
        <f>I1282+I1284+I1286</f>
        <v>10407.33864</v>
      </c>
      <c r="J1281" s="14">
        <f t="shared" ref="J1281" si="598">J1282+J1284+J1286</f>
        <v>10404.2251</v>
      </c>
      <c r="K1281" s="78">
        <f t="shared" si="577"/>
        <v>99.970083225811123</v>
      </c>
      <c r="L1281" s="14">
        <f>L1282+L1284+L1286</f>
        <v>0</v>
      </c>
      <c r="M1281" s="50"/>
      <c r="N1281" s="50"/>
    </row>
    <row r="1282" spans="1:14" ht="78" x14ac:dyDescent="0.3">
      <c r="A1282" s="8" t="s">
        <v>710</v>
      </c>
      <c r="B1282" s="62" t="s">
        <v>940</v>
      </c>
      <c r="C1282" s="68" t="s">
        <v>1392</v>
      </c>
      <c r="D1282" s="68" t="s">
        <v>1392</v>
      </c>
      <c r="E1282" s="8" t="s">
        <v>375</v>
      </c>
      <c r="F1282" s="45" t="s">
        <v>431</v>
      </c>
      <c r="G1282" s="23" t="s">
        <v>806</v>
      </c>
      <c r="H1282" s="14">
        <f t="shared" ref="H1282:L1282" si="599">H1283</f>
        <v>7863.9000000000005</v>
      </c>
      <c r="I1282" s="14">
        <f t="shared" si="599"/>
        <v>7991.2379300000002</v>
      </c>
      <c r="J1282" s="14">
        <f t="shared" si="599"/>
        <v>7988.1243899999999</v>
      </c>
      <c r="K1282" s="78">
        <f t="shared" si="577"/>
        <v>99.961038076612482</v>
      </c>
      <c r="L1282" s="14">
        <f t="shared" si="599"/>
        <v>0</v>
      </c>
      <c r="M1282" s="50"/>
      <c r="N1282" s="50"/>
    </row>
    <row r="1283" spans="1:14" x14ac:dyDescent="0.3">
      <c r="A1283" s="8" t="s">
        <v>710</v>
      </c>
      <c r="B1283" s="62" t="s">
        <v>940</v>
      </c>
      <c r="C1283" s="68" t="s">
        <v>1392</v>
      </c>
      <c r="D1283" s="68" t="s">
        <v>1392</v>
      </c>
      <c r="E1283" s="8" t="s">
        <v>375</v>
      </c>
      <c r="F1283" s="8" t="s">
        <v>719</v>
      </c>
      <c r="G1283" s="23" t="s">
        <v>807</v>
      </c>
      <c r="H1283" s="14">
        <v>7863.9000000000005</v>
      </c>
      <c r="I1283" s="14">
        <v>7991.2379300000002</v>
      </c>
      <c r="J1283" s="14">
        <v>7988.1243899999999</v>
      </c>
      <c r="K1283" s="78">
        <f t="shared" si="577"/>
        <v>99.961038076612482</v>
      </c>
      <c r="L1283" s="14"/>
      <c r="M1283" s="50"/>
      <c r="N1283" s="50"/>
    </row>
    <row r="1284" spans="1:14" ht="31.2" x14ac:dyDescent="0.3">
      <c r="A1284" s="8" t="s">
        <v>710</v>
      </c>
      <c r="B1284" s="62" t="s">
        <v>940</v>
      </c>
      <c r="C1284" s="68" t="s">
        <v>1392</v>
      </c>
      <c r="D1284" s="68" t="s">
        <v>1392</v>
      </c>
      <c r="E1284" s="8" t="s">
        <v>375</v>
      </c>
      <c r="F1284" s="45" t="s">
        <v>380</v>
      </c>
      <c r="G1284" s="23" t="s">
        <v>809</v>
      </c>
      <c r="H1284" s="14">
        <f t="shared" ref="H1284:L1284" si="600">H1285</f>
        <v>2382.6999999999998</v>
      </c>
      <c r="I1284" s="14">
        <f t="shared" si="600"/>
        <v>2259.32807</v>
      </c>
      <c r="J1284" s="14">
        <f t="shared" si="600"/>
        <v>2259.32807</v>
      </c>
      <c r="K1284" s="78">
        <f t="shared" si="577"/>
        <v>100</v>
      </c>
      <c r="L1284" s="14">
        <f t="shared" si="600"/>
        <v>0</v>
      </c>
      <c r="M1284" s="50"/>
      <c r="N1284" s="50"/>
    </row>
    <row r="1285" spans="1:14" ht="31.2" x14ac:dyDescent="0.3">
      <c r="A1285" s="8" t="s">
        <v>710</v>
      </c>
      <c r="B1285" s="62" t="s">
        <v>940</v>
      </c>
      <c r="C1285" s="68" t="s">
        <v>1392</v>
      </c>
      <c r="D1285" s="68" t="s">
        <v>1392</v>
      </c>
      <c r="E1285" s="8" t="s">
        <v>375</v>
      </c>
      <c r="F1285" s="8" t="s">
        <v>247</v>
      </c>
      <c r="G1285" s="23" t="s">
        <v>810</v>
      </c>
      <c r="H1285" s="14">
        <v>2382.6999999999998</v>
      </c>
      <c r="I1285" s="14">
        <v>2259.32807</v>
      </c>
      <c r="J1285" s="14">
        <v>2259.32807</v>
      </c>
      <c r="K1285" s="78">
        <f t="shared" si="577"/>
        <v>100</v>
      </c>
      <c r="L1285" s="14"/>
      <c r="M1285" s="50"/>
      <c r="N1285" s="50"/>
    </row>
    <row r="1286" spans="1:14" x14ac:dyDescent="0.3">
      <c r="A1286" s="8" t="s">
        <v>710</v>
      </c>
      <c r="B1286" s="62" t="s">
        <v>940</v>
      </c>
      <c r="C1286" s="68" t="s">
        <v>1392</v>
      </c>
      <c r="D1286" s="68" t="s">
        <v>1392</v>
      </c>
      <c r="E1286" s="8" t="s">
        <v>375</v>
      </c>
      <c r="F1286" s="45" t="s">
        <v>464</v>
      </c>
      <c r="G1286" s="23" t="s">
        <v>822</v>
      </c>
      <c r="H1286" s="14">
        <f>H1288+H1287</f>
        <v>4.5</v>
      </c>
      <c r="I1286" s="14">
        <f t="shared" ref="I1286:L1286" si="601">I1288+I1287</f>
        <v>156.77264</v>
      </c>
      <c r="J1286" s="14">
        <f t="shared" si="601"/>
        <v>156.77264</v>
      </c>
      <c r="K1286" s="78">
        <f t="shared" si="577"/>
        <v>100</v>
      </c>
      <c r="L1286" s="14">
        <f t="shared" si="601"/>
        <v>0</v>
      </c>
      <c r="M1286" s="50"/>
      <c r="N1286" s="50"/>
    </row>
    <row r="1287" spans="1:14" x14ac:dyDescent="0.3">
      <c r="A1287" s="8" t="s">
        <v>710</v>
      </c>
      <c r="B1287" s="62" t="s">
        <v>940</v>
      </c>
      <c r="C1287" s="68" t="s">
        <v>1392</v>
      </c>
      <c r="D1287" s="68" t="s">
        <v>1392</v>
      </c>
      <c r="E1287" s="8" t="s">
        <v>375</v>
      </c>
      <c r="F1287" s="45" t="s">
        <v>728</v>
      </c>
      <c r="G1287" s="23" t="s">
        <v>823</v>
      </c>
      <c r="H1287" s="19">
        <v>0</v>
      </c>
      <c r="I1287" s="14">
        <v>156.23864</v>
      </c>
      <c r="J1287" s="14">
        <v>156.23864</v>
      </c>
      <c r="K1287" s="78">
        <f t="shared" si="577"/>
        <v>100</v>
      </c>
      <c r="L1287" s="14"/>
      <c r="M1287" s="50"/>
      <c r="N1287" s="50"/>
    </row>
    <row r="1288" spans="1:14" x14ac:dyDescent="0.3">
      <c r="A1288" s="8" t="s">
        <v>710</v>
      </c>
      <c r="B1288" s="62" t="s">
        <v>940</v>
      </c>
      <c r="C1288" s="68" t="s">
        <v>1392</v>
      </c>
      <c r="D1288" s="68" t="s">
        <v>1392</v>
      </c>
      <c r="E1288" s="8" t="s">
        <v>375</v>
      </c>
      <c r="F1288" s="45" t="s">
        <v>729</v>
      </c>
      <c r="G1288" s="23" t="s">
        <v>824</v>
      </c>
      <c r="H1288" s="14">
        <v>4.5</v>
      </c>
      <c r="I1288" s="14">
        <v>0.53400000000000003</v>
      </c>
      <c r="J1288" s="14">
        <v>0.53400000000000003</v>
      </c>
      <c r="K1288" s="78">
        <f t="shared" ref="K1288:K1351" si="602">J1288/I1288*100</f>
        <v>100</v>
      </c>
      <c r="L1288" s="14"/>
      <c r="M1288" s="50"/>
      <c r="N1288" s="50"/>
    </row>
    <row r="1289" spans="1:14" s="3" customFormat="1" x14ac:dyDescent="0.3">
      <c r="A1289" s="10" t="s">
        <v>710</v>
      </c>
      <c r="B1289" s="43" t="s">
        <v>1381</v>
      </c>
      <c r="C1289" s="43" t="s">
        <v>1381</v>
      </c>
      <c r="D1289" s="43" t="s">
        <v>915</v>
      </c>
      <c r="E1289" s="10"/>
      <c r="F1289" s="10"/>
      <c r="G1289" s="5" t="s">
        <v>1395</v>
      </c>
      <c r="H1289" s="15">
        <f t="shared" ref="H1289:L1291" si="603">H1290</f>
        <v>631.524</v>
      </c>
      <c r="I1289" s="15">
        <f t="shared" si="603"/>
        <v>735.45699999999999</v>
      </c>
      <c r="J1289" s="15">
        <f t="shared" si="603"/>
        <v>735.39436000000001</v>
      </c>
      <c r="K1289" s="81">
        <f t="shared" si="602"/>
        <v>99.991482846719791</v>
      </c>
      <c r="L1289" s="15">
        <f t="shared" si="603"/>
        <v>0</v>
      </c>
      <c r="M1289" s="65"/>
      <c r="N1289" s="65"/>
    </row>
    <row r="1290" spans="1:14" s="9" customFormat="1" ht="31.2" x14ac:dyDescent="0.3">
      <c r="A1290" s="11" t="s">
        <v>710</v>
      </c>
      <c r="B1290" s="48" t="s">
        <v>920</v>
      </c>
      <c r="C1290" s="48" t="s">
        <v>1381</v>
      </c>
      <c r="D1290" s="48" t="s">
        <v>1391</v>
      </c>
      <c r="E1290" s="11"/>
      <c r="F1290" s="11"/>
      <c r="G1290" s="7" t="s">
        <v>1396</v>
      </c>
      <c r="H1290" s="16">
        <f t="shared" si="603"/>
        <v>631.524</v>
      </c>
      <c r="I1290" s="16">
        <f t="shared" si="603"/>
        <v>735.45699999999999</v>
      </c>
      <c r="J1290" s="16">
        <f t="shared" si="603"/>
        <v>735.39436000000001</v>
      </c>
      <c r="K1290" s="82">
        <f t="shared" si="602"/>
        <v>99.991482846719791</v>
      </c>
      <c r="L1290" s="16">
        <f t="shared" si="603"/>
        <v>0</v>
      </c>
      <c r="M1290" s="65"/>
      <c r="N1290" s="65"/>
    </row>
    <row r="1291" spans="1:14" ht="31.2" x14ac:dyDescent="0.3">
      <c r="A1291" s="8" t="s">
        <v>710</v>
      </c>
      <c r="B1291" s="62" t="s">
        <v>920</v>
      </c>
      <c r="C1291" s="68" t="s">
        <v>1381</v>
      </c>
      <c r="D1291" s="68" t="s">
        <v>1391</v>
      </c>
      <c r="E1291" s="8" t="s">
        <v>376</v>
      </c>
      <c r="F1291" s="8"/>
      <c r="G1291" s="23" t="s">
        <v>1101</v>
      </c>
      <c r="H1291" s="14">
        <f t="shared" si="603"/>
        <v>631.524</v>
      </c>
      <c r="I1291" s="14">
        <f t="shared" si="603"/>
        <v>735.45699999999999</v>
      </c>
      <c r="J1291" s="14">
        <f t="shared" si="603"/>
        <v>735.39436000000001</v>
      </c>
      <c r="K1291" s="78">
        <f t="shared" si="602"/>
        <v>99.991482846719791</v>
      </c>
      <c r="L1291" s="14">
        <f t="shared" si="603"/>
        <v>0</v>
      </c>
      <c r="M1291" s="50"/>
      <c r="N1291" s="50"/>
    </row>
    <row r="1292" spans="1:14" ht="31.2" x14ac:dyDescent="0.3">
      <c r="A1292" s="8" t="s">
        <v>710</v>
      </c>
      <c r="B1292" s="62" t="s">
        <v>920</v>
      </c>
      <c r="C1292" s="68" t="s">
        <v>1381</v>
      </c>
      <c r="D1292" s="68" t="s">
        <v>1391</v>
      </c>
      <c r="E1292" s="8" t="s">
        <v>379</v>
      </c>
      <c r="F1292" s="8"/>
      <c r="G1292" s="23" t="s">
        <v>1200</v>
      </c>
      <c r="H1292" s="14">
        <f>H1293+H1297</f>
        <v>631.524</v>
      </c>
      <c r="I1292" s="14">
        <f>I1293+I1297</f>
        <v>735.45699999999999</v>
      </c>
      <c r="J1292" s="14">
        <f t="shared" ref="J1292" si="604">J1293+J1297</f>
        <v>735.39436000000001</v>
      </c>
      <c r="K1292" s="78">
        <f t="shared" si="602"/>
        <v>99.991482846719791</v>
      </c>
      <c r="L1292" s="14">
        <f>L1293+L1297</f>
        <v>0</v>
      </c>
      <c r="M1292" s="50"/>
      <c r="N1292" s="50"/>
    </row>
    <row r="1293" spans="1:14" ht="31.2" x14ac:dyDescent="0.3">
      <c r="A1293" s="8" t="s">
        <v>710</v>
      </c>
      <c r="B1293" s="62" t="s">
        <v>920</v>
      </c>
      <c r="C1293" s="68" t="s">
        <v>1381</v>
      </c>
      <c r="D1293" s="68" t="s">
        <v>1391</v>
      </c>
      <c r="E1293" s="8" t="s">
        <v>377</v>
      </c>
      <c r="F1293" s="8"/>
      <c r="G1293" s="23" t="s">
        <v>1102</v>
      </c>
      <c r="H1293" s="14">
        <f t="shared" ref="H1293:L1295" si="605">H1294</f>
        <v>0</v>
      </c>
      <c r="I1293" s="14">
        <f t="shared" si="605"/>
        <v>309.75</v>
      </c>
      <c r="J1293" s="14">
        <f t="shared" si="605"/>
        <v>309.74765000000002</v>
      </c>
      <c r="K1293" s="78">
        <f t="shared" si="602"/>
        <v>99.999241323648107</v>
      </c>
      <c r="L1293" s="14">
        <f t="shared" si="605"/>
        <v>0</v>
      </c>
      <c r="M1293" s="50"/>
      <c r="N1293" s="50"/>
    </row>
    <row r="1294" spans="1:14" ht="31.2" x14ac:dyDescent="0.3">
      <c r="A1294" s="8" t="s">
        <v>710</v>
      </c>
      <c r="B1294" s="62" t="s">
        <v>920</v>
      </c>
      <c r="C1294" s="68" t="s">
        <v>1381</v>
      </c>
      <c r="D1294" s="68" t="s">
        <v>1391</v>
      </c>
      <c r="E1294" s="8" t="s">
        <v>378</v>
      </c>
      <c r="F1294" s="8"/>
      <c r="G1294" s="23" t="s">
        <v>1178</v>
      </c>
      <c r="H1294" s="14">
        <f t="shared" si="605"/>
        <v>0</v>
      </c>
      <c r="I1294" s="14">
        <f t="shared" si="605"/>
        <v>309.75</v>
      </c>
      <c r="J1294" s="14">
        <f t="shared" si="605"/>
        <v>309.74765000000002</v>
      </c>
      <c r="K1294" s="78">
        <f t="shared" si="602"/>
        <v>99.999241323648107</v>
      </c>
      <c r="L1294" s="14">
        <f t="shared" si="605"/>
        <v>0</v>
      </c>
      <c r="M1294" s="50"/>
      <c r="N1294" s="50"/>
    </row>
    <row r="1295" spans="1:14" ht="31.2" x14ac:dyDescent="0.3">
      <c r="A1295" s="8" t="s">
        <v>710</v>
      </c>
      <c r="B1295" s="62" t="s">
        <v>920</v>
      </c>
      <c r="C1295" s="68" t="s">
        <v>1381</v>
      </c>
      <c r="D1295" s="68" t="s">
        <v>1391</v>
      </c>
      <c r="E1295" s="8" t="s">
        <v>378</v>
      </c>
      <c r="F1295" s="45" t="s">
        <v>380</v>
      </c>
      <c r="G1295" s="23" t="s">
        <v>809</v>
      </c>
      <c r="H1295" s="14">
        <f t="shared" si="605"/>
        <v>0</v>
      </c>
      <c r="I1295" s="14">
        <f t="shared" si="605"/>
        <v>309.75</v>
      </c>
      <c r="J1295" s="14">
        <f t="shared" si="605"/>
        <v>309.74765000000002</v>
      </c>
      <c r="K1295" s="78">
        <f t="shared" si="602"/>
        <v>99.999241323648107</v>
      </c>
      <c r="L1295" s="14">
        <f t="shared" si="605"/>
        <v>0</v>
      </c>
      <c r="M1295" s="50"/>
      <c r="N1295" s="50"/>
    </row>
    <row r="1296" spans="1:14" ht="31.2" x14ac:dyDescent="0.3">
      <c r="A1296" s="8" t="s">
        <v>710</v>
      </c>
      <c r="B1296" s="62" t="s">
        <v>920</v>
      </c>
      <c r="C1296" s="68" t="s">
        <v>1381</v>
      </c>
      <c r="D1296" s="68" t="s">
        <v>1391</v>
      </c>
      <c r="E1296" s="8" t="s">
        <v>378</v>
      </c>
      <c r="F1296" s="8" t="s">
        <v>247</v>
      </c>
      <c r="G1296" s="23" t="s">
        <v>810</v>
      </c>
      <c r="H1296" s="14">
        <v>0</v>
      </c>
      <c r="I1296" s="14">
        <v>309.75</v>
      </c>
      <c r="J1296" s="19">
        <v>309.74765000000002</v>
      </c>
      <c r="K1296" s="75">
        <f t="shared" si="602"/>
        <v>99.999241323648107</v>
      </c>
      <c r="L1296" s="14"/>
      <c r="M1296" s="50"/>
      <c r="N1296" s="50"/>
    </row>
    <row r="1297" spans="1:14" ht="31.2" x14ac:dyDescent="0.3">
      <c r="A1297" s="8" t="s">
        <v>710</v>
      </c>
      <c r="B1297" s="62" t="s">
        <v>920</v>
      </c>
      <c r="C1297" s="68" t="s">
        <v>1381</v>
      </c>
      <c r="D1297" s="68" t="s">
        <v>1391</v>
      </c>
      <c r="E1297" s="8" t="s">
        <v>1222</v>
      </c>
      <c r="F1297" s="8"/>
      <c r="G1297" s="23" t="s">
        <v>737</v>
      </c>
      <c r="H1297" s="14">
        <f t="shared" ref="H1297:L1299" si="606">H1298</f>
        <v>631.524</v>
      </c>
      <c r="I1297" s="14">
        <f t="shared" si="606"/>
        <v>425.70699999999999</v>
      </c>
      <c r="J1297" s="14">
        <f t="shared" si="606"/>
        <v>425.64670999999998</v>
      </c>
      <c r="K1297" s="78">
        <f t="shared" si="602"/>
        <v>99.985837677087758</v>
      </c>
      <c r="L1297" s="14">
        <f t="shared" si="606"/>
        <v>0</v>
      </c>
      <c r="M1297" s="50"/>
      <c r="N1297" s="50"/>
    </row>
    <row r="1298" spans="1:14" x14ac:dyDescent="0.3">
      <c r="A1298" s="8" t="s">
        <v>710</v>
      </c>
      <c r="B1298" s="62" t="s">
        <v>920</v>
      </c>
      <c r="C1298" s="68" t="s">
        <v>1381</v>
      </c>
      <c r="D1298" s="68" t="s">
        <v>1391</v>
      </c>
      <c r="E1298" s="8" t="s">
        <v>1223</v>
      </c>
      <c r="F1298" s="8"/>
      <c r="G1298" s="23" t="s">
        <v>1224</v>
      </c>
      <c r="H1298" s="14">
        <f t="shared" si="606"/>
        <v>631.524</v>
      </c>
      <c r="I1298" s="14">
        <f t="shared" si="606"/>
        <v>425.70699999999999</v>
      </c>
      <c r="J1298" s="14">
        <f t="shared" si="606"/>
        <v>425.64670999999998</v>
      </c>
      <c r="K1298" s="78">
        <f t="shared" si="602"/>
        <v>99.985837677087758</v>
      </c>
      <c r="L1298" s="14">
        <f t="shared" si="606"/>
        <v>0</v>
      </c>
      <c r="M1298" s="50"/>
      <c r="N1298" s="50"/>
    </row>
    <row r="1299" spans="1:14" ht="31.2" x14ac:dyDescent="0.3">
      <c r="A1299" s="8" t="s">
        <v>710</v>
      </c>
      <c r="B1299" s="62" t="s">
        <v>920</v>
      </c>
      <c r="C1299" s="68" t="s">
        <v>1381</v>
      </c>
      <c r="D1299" s="68" t="s">
        <v>1391</v>
      </c>
      <c r="E1299" s="8" t="s">
        <v>1223</v>
      </c>
      <c r="F1299" s="45" t="s">
        <v>380</v>
      </c>
      <c r="G1299" s="23" t="s">
        <v>809</v>
      </c>
      <c r="H1299" s="14">
        <f t="shared" si="606"/>
        <v>631.524</v>
      </c>
      <c r="I1299" s="14">
        <f t="shared" si="606"/>
        <v>425.70699999999999</v>
      </c>
      <c r="J1299" s="14">
        <f t="shared" si="606"/>
        <v>425.64670999999998</v>
      </c>
      <c r="K1299" s="78">
        <f t="shared" si="602"/>
        <v>99.985837677087758</v>
      </c>
      <c r="L1299" s="14">
        <f t="shared" si="606"/>
        <v>0</v>
      </c>
      <c r="M1299" s="50"/>
      <c r="N1299" s="50"/>
    </row>
    <row r="1300" spans="1:14" ht="31.2" x14ac:dyDescent="0.3">
      <c r="A1300" s="8" t="s">
        <v>710</v>
      </c>
      <c r="B1300" s="62" t="s">
        <v>920</v>
      </c>
      <c r="C1300" s="68" t="s">
        <v>1381</v>
      </c>
      <c r="D1300" s="68" t="s">
        <v>1391</v>
      </c>
      <c r="E1300" s="8" t="s">
        <v>1223</v>
      </c>
      <c r="F1300" s="8" t="s">
        <v>247</v>
      </c>
      <c r="G1300" s="23" t="s">
        <v>810</v>
      </c>
      <c r="H1300" s="14">
        <f>698.1-66.576</f>
        <v>631.524</v>
      </c>
      <c r="I1300" s="14">
        <v>425.70699999999999</v>
      </c>
      <c r="J1300" s="14">
        <v>425.64670999999998</v>
      </c>
      <c r="K1300" s="78">
        <f t="shared" si="602"/>
        <v>99.985837677087758</v>
      </c>
      <c r="L1300" s="14"/>
      <c r="M1300" s="50"/>
      <c r="N1300" s="50"/>
    </row>
    <row r="1301" spans="1:14" s="3" customFormat="1" x14ac:dyDescent="0.3">
      <c r="A1301" s="10" t="s">
        <v>710</v>
      </c>
      <c r="B1301" s="43" t="s">
        <v>1374</v>
      </c>
      <c r="C1301" s="43" t="s">
        <v>1374</v>
      </c>
      <c r="D1301" s="43" t="s">
        <v>915</v>
      </c>
      <c r="E1301" s="10"/>
      <c r="F1301" s="10"/>
      <c r="G1301" s="5" t="s">
        <v>1378</v>
      </c>
      <c r="H1301" s="15">
        <f t="shared" ref="H1301:L1303" si="607">H1302</f>
        <v>1296.9000000000001</v>
      </c>
      <c r="I1301" s="15">
        <f t="shared" si="607"/>
        <v>1296.9000000000001</v>
      </c>
      <c r="J1301" s="15">
        <f t="shared" si="607"/>
        <v>1296.8912</v>
      </c>
      <c r="K1301" s="81">
        <f t="shared" si="602"/>
        <v>99.999321458863449</v>
      </c>
      <c r="L1301" s="15">
        <f t="shared" si="607"/>
        <v>0</v>
      </c>
      <c r="M1301" s="65"/>
      <c r="N1301" s="65"/>
    </row>
    <row r="1302" spans="1:14" s="9" customFormat="1" x14ac:dyDescent="0.3">
      <c r="A1302" s="11" t="s">
        <v>710</v>
      </c>
      <c r="B1302" s="48" t="s">
        <v>924</v>
      </c>
      <c r="C1302" s="48" t="s">
        <v>1374</v>
      </c>
      <c r="D1302" s="48" t="s">
        <v>1374</v>
      </c>
      <c r="E1302" s="11"/>
      <c r="F1302" s="11"/>
      <c r="G1302" s="7" t="s">
        <v>1221</v>
      </c>
      <c r="H1302" s="16">
        <f t="shared" si="607"/>
        <v>1296.9000000000001</v>
      </c>
      <c r="I1302" s="16">
        <f t="shared" si="607"/>
        <v>1296.9000000000001</v>
      </c>
      <c r="J1302" s="16">
        <f t="shared" si="607"/>
        <v>1296.8912</v>
      </c>
      <c r="K1302" s="82">
        <f t="shared" si="602"/>
        <v>99.999321458863449</v>
      </c>
      <c r="L1302" s="16">
        <f t="shared" si="607"/>
        <v>0</v>
      </c>
      <c r="M1302" s="65"/>
      <c r="N1302" s="65"/>
    </row>
    <row r="1303" spans="1:14" x14ac:dyDescent="0.3">
      <c r="A1303" s="8" t="s">
        <v>710</v>
      </c>
      <c r="B1303" s="62" t="s">
        <v>924</v>
      </c>
      <c r="C1303" s="68" t="s">
        <v>1374</v>
      </c>
      <c r="D1303" s="68" t="s">
        <v>1374</v>
      </c>
      <c r="E1303" s="8" t="s">
        <v>390</v>
      </c>
      <c r="F1303" s="8"/>
      <c r="G1303" s="13" t="s">
        <v>862</v>
      </c>
      <c r="H1303" s="14">
        <f t="shared" si="607"/>
        <v>1296.9000000000001</v>
      </c>
      <c r="I1303" s="14">
        <f t="shared" si="607"/>
        <v>1296.9000000000001</v>
      </c>
      <c r="J1303" s="14">
        <f t="shared" si="607"/>
        <v>1296.8912</v>
      </c>
      <c r="K1303" s="78">
        <f t="shared" si="602"/>
        <v>99.999321458863449</v>
      </c>
      <c r="L1303" s="14">
        <f t="shared" si="607"/>
        <v>0</v>
      </c>
      <c r="M1303" s="50"/>
      <c r="N1303" s="50"/>
    </row>
    <row r="1304" spans="1:14" ht="46.8" x14ac:dyDescent="0.3">
      <c r="A1304" s="8" t="s">
        <v>710</v>
      </c>
      <c r="B1304" s="62" t="s">
        <v>924</v>
      </c>
      <c r="C1304" s="68" t="s">
        <v>1374</v>
      </c>
      <c r="D1304" s="68" t="s">
        <v>1374</v>
      </c>
      <c r="E1304" s="8" t="s">
        <v>59</v>
      </c>
      <c r="F1304" s="8"/>
      <c r="G1304" s="23" t="s">
        <v>1295</v>
      </c>
      <c r="H1304" s="14">
        <f t="shared" ref="H1304:L1307" si="608">H1305</f>
        <v>1296.9000000000001</v>
      </c>
      <c r="I1304" s="14">
        <f t="shared" si="608"/>
        <v>1296.9000000000001</v>
      </c>
      <c r="J1304" s="14">
        <f t="shared" si="608"/>
        <v>1296.8912</v>
      </c>
      <c r="K1304" s="78">
        <f t="shared" si="602"/>
        <v>99.999321458863449</v>
      </c>
      <c r="L1304" s="14">
        <f t="shared" si="608"/>
        <v>0</v>
      </c>
      <c r="M1304" s="50"/>
      <c r="N1304" s="50"/>
    </row>
    <row r="1305" spans="1:14" ht="31.2" x14ac:dyDescent="0.3">
      <c r="A1305" s="8" t="s">
        <v>710</v>
      </c>
      <c r="B1305" s="62" t="s">
        <v>924</v>
      </c>
      <c r="C1305" s="68" t="s">
        <v>1374</v>
      </c>
      <c r="D1305" s="68" t="s">
        <v>1374</v>
      </c>
      <c r="E1305" s="8" t="s">
        <v>60</v>
      </c>
      <c r="F1305" s="8"/>
      <c r="G1305" s="23" t="s">
        <v>1296</v>
      </c>
      <c r="H1305" s="14">
        <f t="shared" si="608"/>
        <v>1296.9000000000001</v>
      </c>
      <c r="I1305" s="14">
        <f t="shared" si="608"/>
        <v>1296.9000000000001</v>
      </c>
      <c r="J1305" s="14">
        <f t="shared" si="608"/>
        <v>1296.8912</v>
      </c>
      <c r="K1305" s="78">
        <f t="shared" si="602"/>
        <v>99.999321458863449</v>
      </c>
      <c r="L1305" s="14">
        <f t="shared" si="608"/>
        <v>0</v>
      </c>
      <c r="M1305" s="50"/>
      <c r="N1305" s="50"/>
    </row>
    <row r="1306" spans="1:14" ht="62.4" x14ac:dyDescent="0.3">
      <c r="A1306" s="8" t="s">
        <v>710</v>
      </c>
      <c r="B1306" s="62" t="s">
        <v>924</v>
      </c>
      <c r="C1306" s="68" t="s">
        <v>1374</v>
      </c>
      <c r="D1306" s="68" t="s">
        <v>1374</v>
      </c>
      <c r="E1306" s="8" t="s">
        <v>62</v>
      </c>
      <c r="F1306" s="8"/>
      <c r="G1306" s="18" t="s">
        <v>298</v>
      </c>
      <c r="H1306" s="14">
        <f t="shared" si="608"/>
        <v>1296.9000000000001</v>
      </c>
      <c r="I1306" s="14">
        <f t="shared" si="608"/>
        <v>1296.9000000000001</v>
      </c>
      <c r="J1306" s="14">
        <f t="shared" si="608"/>
        <v>1296.8912</v>
      </c>
      <c r="K1306" s="78">
        <f t="shared" si="602"/>
        <v>99.999321458863449</v>
      </c>
      <c r="L1306" s="14">
        <f t="shared" si="608"/>
        <v>0</v>
      </c>
      <c r="M1306" s="50"/>
      <c r="N1306" s="50"/>
    </row>
    <row r="1307" spans="1:14" ht="31.2" x14ac:dyDescent="0.3">
      <c r="A1307" s="8" t="s">
        <v>710</v>
      </c>
      <c r="B1307" s="62" t="s">
        <v>924</v>
      </c>
      <c r="C1307" s="68" t="s">
        <v>1374</v>
      </c>
      <c r="D1307" s="68" t="s">
        <v>1374</v>
      </c>
      <c r="E1307" s="8" t="s">
        <v>62</v>
      </c>
      <c r="F1307" s="45" t="s">
        <v>402</v>
      </c>
      <c r="G1307" s="23" t="s">
        <v>819</v>
      </c>
      <c r="H1307" s="14">
        <f t="shared" si="608"/>
        <v>1296.9000000000001</v>
      </c>
      <c r="I1307" s="14">
        <f t="shared" si="608"/>
        <v>1296.9000000000001</v>
      </c>
      <c r="J1307" s="14">
        <f t="shared" si="608"/>
        <v>1296.8912</v>
      </c>
      <c r="K1307" s="78">
        <f t="shared" si="602"/>
        <v>99.999321458863449</v>
      </c>
      <c r="L1307" s="14">
        <f t="shared" si="608"/>
        <v>0</v>
      </c>
      <c r="M1307" s="50"/>
      <c r="N1307" s="50"/>
    </row>
    <row r="1308" spans="1:14" ht="46.8" x14ac:dyDescent="0.3">
      <c r="A1308" s="8" t="s">
        <v>710</v>
      </c>
      <c r="B1308" s="62" t="s">
        <v>924</v>
      </c>
      <c r="C1308" s="68" t="s">
        <v>1374</v>
      </c>
      <c r="D1308" s="68" t="s">
        <v>1374</v>
      </c>
      <c r="E1308" s="8" t="s">
        <v>62</v>
      </c>
      <c r="F1308" s="45" t="s">
        <v>280</v>
      </c>
      <c r="G1308" s="23" t="s">
        <v>821</v>
      </c>
      <c r="H1308" s="14">
        <f>815.8+481.1</f>
        <v>1296.9000000000001</v>
      </c>
      <c r="I1308" s="14">
        <v>1296.9000000000001</v>
      </c>
      <c r="J1308" s="14">
        <v>1296.8912</v>
      </c>
      <c r="K1308" s="78">
        <f t="shared" si="602"/>
        <v>99.999321458863449</v>
      </c>
      <c r="L1308" s="14"/>
      <c r="M1308" s="50"/>
      <c r="N1308" s="50"/>
    </row>
    <row r="1309" spans="1:14" s="3" customFormat="1" x14ac:dyDescent="0.3">
      <c r="A1309" s="10" t="s">
        <v>710</v>
      </c>
      <c r="B1309" s="43" t="s">
        <v>1402</v>
      </c>
      <c r="C1309" s="43" t="s">
        <v>1402</v>
      </c>
      <c r="D1309" s="43" t="s">
        <v>915</v>
      </c>
      <c r="E1309" s="10"/>
      <c r="F1309" s="10"/>
      <c r="G1309" s="5" t="s">
        <v>1405</v>
      </c>
      <c r="H1309" s="15">
        <f t="shared" ref="H1309:L1310" si="609">H1310</f>
        <v>157.26500000000001</v>
      </c>
      <c r="I1309" s="15">
        <f t="shared" si="609"/>
        <v>1243.5752299999999</v>
      </c>
      <c r="J1309" s="15">
        <f t="shared" si="609"/>
        <v>1243.5752299999999</v>
      </c>
      <c r="K1309" s="81">
        <f t="shared" si="602"/>
        <v>100</v>
      </c>
      <c r="L1309" s="15">
        <f t="shared" si="609"/>
        <v>0</v>
      </c>
      <c r="M1309" s="65"/>
      <c r="N1309" s="65"/>
    </row>
    <row r="1310" spans="1:14" s="9" customFormat="1" x14ac:dyDescent="0.3">
      <c r="A1310" s="11" t="s">
        <v>710</v>
      </c>
      <c r="B1310" s="48" t="s">
        <v>926</v>
      </c>
      <c r="C1310" s="48" t="s">
        <v>1402</v>
      </c>
      <c r="D1310" s="48" t="s">
        <v>1372</v>
      </c>
      <c r="E1310" s="11"/>
      <c r="F1310" s="11"/>
      <c r="G1310" s="7" t="s">
        <v>1406</v>
      </c>
      <c r="H1310" s="16">
        <f t="shared" si="609"/>
        <v>157.26500000000001</v>
      </c>
      <c r="I1310" s="16">
        <f>I1311+I1322</f>
        <v>1243.5752299999999</v>
      </c>
      <c r="J1310" s="16">
        <f t="shared" ref="J1310:L1310" si="610">J1311+J1322</f>
        <v>1243.5752299999999</v>
      </c>
      <c r="K1310" s="82">
        <f t="shared" si="602"/>
        <v>100</v>
      </c>
      <c r="L1310" s="16">
        <f t="shared" si="610"/>
        <v>0</v>
      </c>
      <c r="M1310" s="65"/>
      <c r="N1310" s="65"/>
    </row>
    <row r="1311" spans="1:14" x14ac:dyDescent="0.3">
      <c r="A1311" s="8" t="s">
        <v>710</v>
      </c>
      <c r="B1311" s="62" t="s">
        <v>926</v>
      </c>
      <c r="C1311" s="68" t="s">
        <v>1402</v>
      </c>
      <c r="D1311" s="68" t="s">
        <v>1372</v>
      </c>
      <c r="E1311" s="8" t="s">
        <v>387</v>
      </c>
      <c r="F1311" s="8"/>
      <c r="G1311" s="18" t="s">
        <v>851</v>
      </c>
      <c r="H1311" s="14">
        <f>H1312+H1317</f>
        <v>157.26500000000001</v>
      </c>
      <c r="I1311" s="14">
        <f>I1312+I1317</f>
        <v>157.26499999999999</v>
      </c>
      <c r="J1311" s="14">
        <f t="shared" ref="J1311" si="611">J1312+J1317</f>
        <v>157.26499999999999</v>
      </c>
      <c r="K1311" s="78">
        <f t="shared" si="602"/>
        <v>100</v>
      </c>
      <c r="L1311" s="14">
        <f>L1312+L1317</f>
        <v>0</v>
      </c>
      <c r="M1311" s="50"/>
      <c r="N1311" s="50"/>
    </row>
    <row r="1312" spans="1:14" ht="31.2" x14ac:dyDescent="0.3">
      <c r="A1312" s="8" t="s">
        <v>710</v>
      </c>
      <c r="B1312" s="62" t="s">
        <v>926</v>
      </c>
      <c r="C1312" s="68" t="s">
        <v>1402</v>
      </c>
      <c r="D1312" s="68" t="s">
        <v>1372</v>
      </c>
      <c r="E1312" s="8" t="s">
        <v>410</v>
      </c>
      <c r="F1312" s="8"/>
      <c r="G1312" s="13" t="s">
        <v>852</v>
      </c>
      <c r="H1312" s="14">
        <f t="shared" ref="H1312:L1315" si="612">H1313</f>
        <v>157.26500000000001</v>
      </c>
      <c r="I1312" s="14">
        <f t="shared" si="612"/>
        <v>157.26499999999999</v>
      </c>
      <c r="J1312" s="14">
        <f t="shared" si="612"/>
        <v>157.26499999999999</v>
      </c>
      <c r="K1312" s="78">
        <f t="shared" si="602"/>
        <v>100</v>
      </c>
      <c r="L1312" s="14">
        <f t="shared" si="612"/>
        <v>0</v>
      </c>
      <c r="M1312" s="50"/>
      <c r="N1312" s="50"/>
    </row>
    <row r="1313" spans="1:14" ht="31.2" x14ac:dyDescent="0.3">
      <c r="A1313" s="8" t="s">
        <v>710</v>
      </c>
      <c r="B1313" s="62" t="s">
        <v>926</v>
      </c>
      <c r="C1313" s="68" t="s">
        <v>1402</v>
      </c>
      <c r="D1313" s="68" t="s">
        <v>1372</v>
      </c>
      <c r="E1313" s="8" t="s">
        <v>411</v>
      </c>
      <c r="F1313" s="8"/>
      <c r="G1313" s="13" t="s">
        <v>853</v>
      </c>
      <c r="H1313" s="14">
        <f t="shared" si="612"/>
        <v>157.26500000000001</v>
      </c>
      <c r="I1313" s="14">
        <f t="shared" si="612"/>
        <v>157.26499999999999</v>
      </c>
      <c r="J1313" s="14">
        <f t="shared" si="612"/>
        <v>157.26499999999999</v>
      </c>
      <c r="K1313" s="78">
        <f t="shared" si="602"/>
        <v>100</v>
      </c>
      <c r="L1313" s="14">
        <f t="shared" si="612"/>
        <v>0</v>
      </c>
      <c r="M1313" s="50"/>
      <c r="N1313" s="50"/>
    </row>
    <row r="1314" spans="1:14" ht="31.2" x14ac:dyDescent="0.3">
      <c r="A1314" s="8" t="s">
        <v>710</v>
      </c>
      <c r="B1314" s="62" t="s">
        <v>926</v>
      </c>
      <c r="C1314" s="68" t="s">
        <v>1402</v>
      </c>
      <c r="D1314" s="68" t="s">
        <v>1372</v>
      </c>
      <c r="E1314" s="8" t="s">
        <v>413</v>
      </c>
      <c r="F1314" s="8"/>
      <c r="G1314" s="13" t="s">
        <v>855</v>
      </c>
      <c r="H1314" s="14">
        <f t="shared" si="612"/>
        <v>157.26500000000001</v>
      </c>
      <c r="I1314" s="14">
        <f t="shared" si="612"/>
        <v>157.26499999999999</v>
      </c>
      <c r="J1314" s="14">
        <f t="shared" si="612"/>
        <v>157.26499999999999</v>
      </c>
      <c r="K1314" s="78">
        <f t="shared" si="602"/>
        <v>100</v>
      </c>
      <c r="L1314" s="14">
        <f t="shared" si="612"/>
        <v>0</v>
      </c>
      <c r="M1314" s="50"/>
      <c r="N1314" s="50"/>
    </row>
    <row r="1315" spans="1:14" ht="31.2" x14ac:dyDescent="0.3">
      <c r="A1315" s="8" t="s">
        <v>710</v>
      </c>
      <c r="B1315" s="62" t="s">
        <v>926</v>
      </c>
      <c r="C1315" s="68" t="s">
        <v>1402</v>
      </c>
      <c r="D1315" s="68" t="s">
        <v>1372</v>
      </c>
      <c r="E1315" s="8" t="s">
        <v>413</v>
      </c>
      <c r="F1315" s="45" t="s">
        <v>380</v>
      </c>
      <c r="G1315" s="23" t="s">
        <v>809</v>
      </c>
      <c r="H1315" s="14">
        <f t="shared" si="612"/>
        <v>157.26500000000001</v>
      </c>
      <c r="I1315" s="14">
        <f t="shared" si="612"/>
        <v>157.26499999999999</v>
      </c>
      <c r="J1315" s="14">
        <f t="shared" si="612"/>
        <v>157.26499999999999</v>
      </c>
      <c r="K1315" s="78">
        <f t="shared" si="602"/>
        <v>100</v>
      </c>
      <c r="L1315" s="14">
        <f t="shared" si="612"/>
        <v>0</v>
      </c>
      <c r="M1315" s="50"/>
      <c r="N1315" s="50"/>
    </row>
    <row r="1316" spans="1:14" ht="31.2" x14ac:dyDescent="0.3">
      <c r="A1316" s="8" t="s">
        <v>710</v>
      </c>
      <c r="B1316" s="62" t="s">
        <v>926</v>
      </c>
      <c r="C1316" s="68" t="s">
        <v>1402</v>
      </c>
      <c r="D1316" s="68" t="s">
        <v>1372</v>
      </c>
      <c r="E1316" s="8" t="s">
        <v>413</v>
      </c>
      <c r="F1316" s="8" t="s">
        <v>247</v>
      </c>
      <c r="G1316" s="23" t="s">
        <v>810</v>
      </c>
      <c r="H1316" s="14">
        <f>157.8-0.535</f>
        <v>157.26500000000001</v>
      </c>
      <c r="I1316" s="14">
        <v>157.26499999999999</v>
      </c>
      <c r="J1316" s="14">
        <v>157.26499999999999</v>
      </c>
      <c r="K1316" s="78">
        <f t="shared" si="602"/>
        <v>100</v>
      </c>
      <c r="L1316" s="14"/>
      <c r="M1316" s="50"/>
      <c r="N1316" s="50"/>
    </row>
    <row r="1317" spans="1:14" ht="31.2" hidden="1" x14ac:dyDescent="0.3">
      <c r="A1317" s="8" t="s">
        <v>710</v>
      </c>
      <c r="B1317" s="62" t="s">
        <v>926</v>
      </c>
      <c r="C1317" s="68" t="s">
        <v>1402</v>
      </c>
      <c r="D1317" s="68" t="s">
        <v>1372</v>
      </c>
      <c r="E1317" s="8" t="s">
        <v>423</v>
      </c>
      <c r="F1317" s="8"/>
      <c r="G1317" s="13" t="s">
        <v>861</v>
      </c>
      <c r="H1317" s="14">
        <f t="shared" ref="H1317:L1320" si="613">H1318</f>
        <v>0</v>
      </c>
      <c r="I1317" s="14">
        <f t="shared" si="613"/>
        <v>0</v>
      </c>
      <c r="J1317" s="14">
        <f t="shared" si="613"/>
        <v>0</v>
      </c>
      <c r="K1317" s="78" t="e">
        <f t="shared" si="602"/>
        <v>#DIV/0!</v>
      </c>
      <c r="L1317" s="14">
        <f t="shared" si="613"/>
        <v>0</v>
      </c>
      <c r="M1317" s="50">
        <v>111</v>
      </c>
      <c r="N1317" s="50"/>
    </row>
    <row r="1318" spans="1:14" ht="46.8" hidden="1" x14ac:dyDescent="0.3">
      <c r="A1318" s="8" t="s">
        <v>710</v>
      </c>
      <c r="B1318" s="62" t="s">
        <v>926</v>
      </c>
      <c r="C1318" s="68" t="s">
        <v>1402</v>
      </c>
      <c r="D1318" s="68" t="s">
        <v>1372</v>
      </c>
      <c r="E1318" s="8" t="s">
        <v>424</v>
      </c>
      <c r="F1318" s="8"/>
      <c r="G1318" s="18" t="s">
        <v>113</v>
      </c>
      <c r="H1318" s="14">
        <f t="shared" si="613"/>
        <v>0</v>
      </c>
      <c r="I1318" s="14">
        <f t="shared" si="613"/>
        <v>0</v>
      </c>
      <c r="J1318" s="14">
        <f t="shared" si="613"/>
        <v>0</v>
      </c>
      <c r="K1318" s="78" t="e">
        <f t="shared" si="602"/>
        <v>#DIV/0!</v>
      </c>
      <c r="L1318" s="14">
        <f t="shared" si="613"/>
        <v>0</v>
      </c>
      <c r="M1318" s="50">
        <v>111</v>
      </c>
      <c r="N1318" s="50"/>
    </row>
    <row r="1319" spans="1:14" ht="46.8" hidden="1" x14ac:dyDescent="0.3">
      <c r="A1319" s="8" t="s">
        <v>710</v>
      </c>
      <c r="B1319" s="62" t="s">
        <v>926</v>
      </c>
      <c r="C1319" s="68" t="s">
        <v>1402</v>
      </c>
      <c r="D1319" s="68" t="s">
        <v>1372</v>
      </c>
      <c r="E1319" s="8" t="s">
        <v>445</v>
      </c>
      <c r="F1319" s="8"/>
      <c r="G1319" s="13" t="s">
        <v>1341</v>
      </c>
      <c r="H1319" s="14">
        <f t="shared" si="613"/>
        <v>0</v>
      </c>
      <c r="I1319" s="14">
        <f t="shared" si="613"/>
        <v>0</v>
      </c>
      <c r="J1319" s="14">
        <f t="shared" si="613"/>
        <v>0</v>
      </c>
      <c r="K1319" s="78" t="e">
        <f t="shared" si="602"/>
        <v>#DIV/0!</v>
      </c>
      <c r="L1319" s="14">
        <f t="shared" si="613"/>
        <v>0</v>
      </c>
      <c r="M1319" s="50">
        <v>111</v>
      </c>
      <c r="N1319" s="50"/>
    </row>
    <row r="1320" spans="1:14" ht="31.2" hidden="1" x14ac:dyDescent="0.3">
      <c r="A1320" s="8" t="s">
        <v>710</v>
      </c>
      <c r="B1320" s="62" t="s">
        <v>926</v>
      </c>
      <c r="C1320" s="68" t="s">
        <v>1402</v>
      </c>
      <c r="D1320" s="68" t="s">
        <v>1372</v>
      </c>
      <c r="E1320" s="8" t="s">
        <v>445</v>
      </c>
      <c r="F1320" s="45" t="s">
        <v>380</v>
      </c>
      <c r="G1320" s="23" t="s">
        <v>809</v>
      </c>
      <c r="H1320" s="14">
        <f t="shared" si="613"/>
        <v>0</v>
      </c>
      <c r="I1320" s="14">
        <f t="shared" si="613"/>
        <v>0</v>
      </c>
      <c r="J1320" s="14">
        <f t="shared" si="613"/>
        <v>0</v>
      </c>
      <c r="K1320" s="78" t="e">
        <f t="shared" si="602"/>
        <v>#DIV/0!</v>
      </c>
      <c r="L1320" s="14">
        <f t="shared" si="613"/>
        <v>0</v>
      </c>
      <c r="M1320" s="50">
        <v>111</v>
      </c>
      <c r="N1320" s="50"/>
    </row>
    <row r="1321" spans="1:14" ht="31.2" hidden="1" x14ac:dyDescent="0.3">
      <c r="A1321" s="8" t="s">
        <v>710</v>
      </c>
      <c r="B1321" s="62" t="s">
        <v>926</v>
      </c>
      <c r="C1321" s="68" t="s">
        <v>1402</v>
      </c>
      <c r="D1321" s="68" t="s">
        <v>1372</v>
      </c>
      <c r="E1321" s="8" t="s">
        <v>445</v>
      </c>
      <c r="F1321" s="8" t="s">
        <v>247</v>
      </c>
      <c r="G1321" s="23" t="s">
        <v>810</v>
      </c>
      <c r="H1321" s="14">
        <v>0</v>
      </c>
      <c r="I1321" s="14">
        <v>0</v>
      </c>
      <c r="J1321" s="14">
        <v>0</v>
      </c>
      <c r="K1321" s="78" t="e">
        <f t="shared" si="602"/>
        <v>#DIV/0!</v>
      </c>
      <c r="L1321" s="14"/>
      <c r="M1321" s="50">
        <v>111</v>
      </c>
      <c r="N1321" s="50"/>
    </row>
    <row r="1322" spans="1:14" ht="31.2" x14ac:dyDescent="0.3">
      <c r="A1322" s="8" t="s">
        <v>710</v>
      </c>
      <c r="B1322" s="62" t="s">
        <v>926</v>
      </c>
      <c r="C1322" s="68" t="s">
        <v>1402</v>
      </c>
      <c r="D1322" s="68" t="s">
        <v>1372</v>
      </c>
      <c r="E1322" s="8" t="s">
        <v>429</v>
      </c>
      <c r="F1322" s="8"/>
      <c r="G1322" s="13" t="s">
        <v>1140</v>
      </c>
      <c r="H1322" s="20">
        <v>0</v>
      </c>
      <c r="I1322" s="14">
        <f>I1323</f>
        <v>1086.31023</v>
      </c>
      <c r="J1322" s="14">
        <f t="shared" ref="J1322:L1324" si="614">J1323</f>
        <v>1086.31023</v>
      </c>
      <c r="K1322" s="78">
        <f t="shared" si="602"/>
        <v>100</v>
      </c>
      <c r="L1322" s="14">
        <f t="shared" si="614"/>
        <v>0</v>
      </c>
      <c r="M1322" s="50"/>
      <c r="N1322" s="50"/>
    </row>
    <row r="1323" spans="1:14" ht="46.8" x14ac:dyDescent="0.3">
      <c r="A1323" s="8" t="s">
        <v>710</v>
      </c>
      <c r="B1323" s="62" t="s">
        <v>926</v>
      </c>
      <c r="C1323" s="68" t="s">
        <v>1402</v>
      </c>
      <c r="D1323" s="68" t="s">
        <v>1372</v>
      </c>
      <c r="E1323" s="8" t="s">
        <v>535</v>
      </c>
      <c r="F1323" s="8"/>
      <c r="G1323" s="13" t="s">
        <v>176</v>
      </c>
      <c r="H1323" s="20">
        <v>0</v>
      </c>
      <c r="I1323" s="14">
        <f>I1324</f>
        <v>1086.31023</v>
      </c>
      <c r="J1323" s="14">
        <f t="shared" si="614"/>
        <v>1086.31023</v>
      </c>
      <c r="K1323" s="78">
        <f t="shared" si="602"/>
        <v>100</v>
      </c>
      <c r="L1323" s="14">
        <f t="shared" si="614"/>
        <v>0</v>
      </c>
      <c r="M1323" s="50"/>
      <c r="N1323" s="50"/>
    </row>
    <row r="1324" spans="1:14" ht="31.2" x14ac:dyDescent="0.3">
      <c r="A1324" s="8" t="s">
        <v>710</v>
      </c>
      <c r="B1324" s="62" t="s">
        <v>926</v>
      </c>
      <c r="C1324" s="68" t="s">
        <v>1402</v>
      </c>
      <c r="D1324" s="68" t="s">
        <v>1372</v>
      </c>
      <c r="E1324" s="8" t="s">
        <v>535</v>
      </c>
      <c r="F1324" s="45" t="s">
        <v>380</v>
      </c>
      <c r="G1324" s="23" t="s">
        <v>809</v>
      </c>
      <c r="H1324" s="20">
        <v>0</v>
      </c>
      <c r="I1324" s="14">
        <f>I1325</f>
        <v>1086.31023</v>
      </c>
      <c r="J1324" s="14">
        <f t="shared" si="614"/>
        <v>1086.31023</v>
      </c>
      <c r="K1324" s="78">
        <f t="shared" si="602"/>
        <v>100</v>
      </c>
      <c r="L1324" s="14">
        <f t="shared" si="614"/>
        <v>0</v>
      </c>
      <c r="M1324" s="50"/>
      <c r="N1324" s="50"/>
    </row>
    <row r="1325" spans="1:14" ht="31.2" x14ac:dyDescent="0.3">
      <c r="A1325" s="8" t="s">
        <v>710</v>
      </c>
      <c r="B1325" s="62" t="s">
        <v>926</v>
      </c>
      <c r="C1325" s="68" t="s">
        <v>1402</v>
      </c>
      <c r="D1325" s="68" t="s">
        <v>1372</v>
      </c>
      <c r="E1325" s="8" t="s">
        <v>535</v>
      </c>
      <c r="F1325" s="8" t="s">
        <v>247</v>
      </c>
      <c r="G1325" s="23" t="s">
        <v>810</v>
      </c>
      <c r="H1325" s="20">
        <v>0</v>
      </c>
      <c r="I1325" s="14">
        <v>1086.31023</v>
      </c>
      <c r="J1325" s="14">
        <v>1086.31023</v>
      </c>
      <c r="K1325" s="78">
        <f t="shared" si="602"/>
        <v>100</v>
      </c>
      <c r="L1325" s="14"/>
      <c r="M1325" s="50"/>
      <c r="N1325" s="50"/>
    </row>
    <row r="1326" spans="1:14" s="3" customFormat="1" x14ac:dyDescent="0.3">
      <c r="A1326" s="10" t="s">
        <v>710</v>
      </c>
      <c r="B1326" s="43" t="s">
        <v>1382</v>
      </c>
      <c r="C1326" s="43" t="s">
        <v>1382</v>
      </c>
      <c r="D1326" s="43" t="s">
        <v>915</v>
      </c>
      <c r="E1326" s="10"/>
      <c r="F1326" s="10"/>
      <c r="G1326" s="5" t="s">
        <v>1417</v>
      </c>
      <c r="H1326" s="15">
        <f t="shared" ref="H1326:L1331" si="615">H1327</f>
        <v>489.73899999999998</v>
      </c>
      <c r="I1326" s="15">
        <f t="shared" si="615"/>
        <v>489.73899999999998</v>
      </c>
      <c r="J1326" s="15">
        <f t="shared" si="615"/>
        <v>489.73899999999998</v>
      </c>
      <c r="K1326" s="81">
        <f t="shared" si="602"/>
        <v>100</v>
      </c>
      <c r="L1326" s="15">
        <f t="shared" si="615"/>
        <v>0</v>
      </c>
      <c r="M1326" s="65"/>
      <c r="N1326" s="65"/>
    </row>
    <row r="1327" spans="1:14" s="9" customFormat="1" x14ac:dyDescent="0.3">
      <c r="A1327" s="11" t="s">
        <v>710</v>
      </c>
      <c r="B1327" s="48" t="s">
        <v>914</v>
      </c>
      <c r="C1327" s="48" t="s">
        <v>1382</v>
      </c>
      <c r="D1327" s="48" t="s">
        <v>1478</v>
      </c>
      <c r="E1327" s="11"/>
      <c r="F1327" s="11"/>
      <c r="G1327" s="7" t="s">
        <v>1425</v>
      </c>
      <c r="H1327" s="16">
        <f t="shared" si="615"/>
        <v>489.73899999999998</v>
      </c>
      <c r="I1327" s="16">
        <f t="shared" si="615"/>
        <v>489.73899999999998</v>
      </c>
      <c r="J1327" s="16">
        <f t="shared" si="615"/>
        <v>489.73899999999998</v>
      </c>
      <c r="K1327" s="82">
        <f t="shared" si="602"/>
        <v>100</v>
      </c>
      <c r="L1327" s="16">
        <f t="shared" si="615"/>
        <v>0</v>
      </c>
      <c r="M1327" s="65"/>
      <c r="N1327" s="65"/>
    </row>
    <row r="1328" spans="1:14" ht="31.2" x14ac:dyDescent="0.3">
      <c r="A1328" s="8" t="s">
        <v>710</v>
      </c>
      <c r="B1328" s="62" t="s">
        <v>914</v>
      </c>
      <c r="C1328" s="68" t="s">
        <v>1382</v>
      </c>
      <c r="D1328" s="68" t="s">
        <v>1478</v>
      </c>
      <c r="E1328" s="8" t="s">
        <v>446</v>
      </c>
      <c r="F1328" s="8"/>
      <c r="G1328" s="23" t="s">
        <v>864</v>
      </c>
      <c r="H1328" s="14">
        <f t="shared" si="615"/>
        <v>489.73899999999998</v>
      </c>
      <c r="I1328" s="14">
        <f t="shared" si="615"/>
        <v>489.73899999999998</v>
      </c>
      <c r="J1328" s="14">
        <f t="shared" si="615"/>
        <v>489.73899999999998</v>
      </c>
      <c r="K1328" s="78">
        <f t="shared" si="602"/>
        <v>100</v>
      </c>
      <c r="L1328" s="14">
        <f t="shared" si="615"/>
        <v>0</v>
      </c>
      <c r="M1328" s="50"/>
      <c r="N1328" s="50"/>
    </row>
    <row r="1329" spans="1:14" ht="31.2" x14ac:dyDescent="0.3">
      <c r="A1329" s="8" t="s">
        <v>710</v>
      </c>
      <c r="B1329" s="62" t="s">
        <v>914</v>
      </c>
      <c r="C1329" s="68" t="s">
        <v>1382</v>
      </c>
      <c r="D1329" s="68" t="s">
        <v>1478</v>
      </c>
      <c r="E1329" s="8" t="s">
        <v>666</v>
      </c>
      <c r="F1329" s="8"/>
      <c r="G1329" s="13" t="s">
        <v>1167</v>
      </c>
      <c r="H1329" s="14">
        <f t="shared" si="615"/>
        <v>489.73899999999998</v>
      </c>
      <c r="I1329" s="14">
        <f t="shared" si="615"/>
        <v>489.73899999999998</v>
      </c>
      <c r="J1329" s="14">
        <f t="shared" si="615"/>
        <v>489.73899999999998</v>
      </c>
      <c r="K1329" s="78">
        <f t="shared" si="602"/>
        <v>100</v>
      </c>
      <c r="L1329" s="14">
        <f t="shared" si="615"/>
        <v>0</v>
      </c>
      <c r="M1329" s="50"/>
      <c r="N1329" s="50"/>
    </row>
    <row r="1330" spans="1:14" ht="62.4" x14ac:dyDescent="0.3">
      <c r="A1330" s="8" t="s">
        <v>710</v>
      </c>
      <c r="B1330" s="62" t="s">
        <v>914</v>
      </c>
      <c r="C1330" s="68" t="s">
        <v>1382</v>
      </c>
      <c r="D1330" s="68" t="s">
        <v>1478</v>
      </c>
      <c r="E1330" s="8" t="s">
        <v>674</v>
      </c>
      <c r="F1330" s="8"/>
      <c r="G1330" s="18" t="s">
        <v>1184</v>
      </c>
      <c r="H1330" s="14">
        <f t="shared" si="615"/>
        <v>489.73899999999998</v>
      </c>
      <c r="I1330" s="14">
        <f t="shared" si="615"/>
        <v>489.73899999999998</v>
      </c>
      <c r="J1330" s="14">
        <f t="shared" si="615"/>
        <v>489.73899999999998</v>
      </c>
      <c r="K1330" s="78">
        <f t="shared" si="602"/>
        <v>100</v>
      </c>
      <c r="L1330" s="14">
        <f t="shared" si="615"/>
        <v>0</v>
      </c>
      <c r="M1330" s="50"/>
      <c r="N1330" s="50"/>
    </row>
    <row r="1331" spans="1:14" ht="31.2" x14ac:dyDescent="0.3">
      <c r="A1331" s="8" t="s">
        <v>710</v>
      </c>
      <c r="B1331" s="62" t="s">
        <v>914</v>
      </c>
      <c r="C1331" s="68" t="s">
        <v>1382</v>
      </c>
      <c r="D1331" s="68" t="s">
        <v>1478</v>
      </c>
      <c r="E1331" s="8" t="s">
        <v>674</v>
      </c>
      <c r="F1331" s="45" t="s">
        <v>380</v>
      </c>
      <c r="G1331" s="23" t="s">
        <v>809</v>
      </c>
      <c r="H1331" s="14">
        <f t="shared" si="615"/>
        <v>489.73899999999998</v>
      </c>
      <c r="I1331" s="14">
        <f t="shared" si="615"/>
        <v>489.73899999999998</v>
      </c>
      <c r="J1331" s="14">
        <f t="shared" si="615"/>
        <v>489.73899999999998</v>
      </c>
      <c r="K1331" s="78">
        <f t="shared" si="602"/>
        <v>100</v>
      </c>
      <c r="L1331" s="14">
        <f t="shared" si="615"/>
        <v>0</v>
      </c>
      <c r="M1331" s="50"/>
      <c r="N1331" s="50"/>
    </row>
    <row r="1332" spans="1:14" ht="31.2" x14ac:dyDescent="0.3">
      <c r="A1332" s="8" t="s">
        <v>710</v>
      </c>
      <c r="B1332" s="62" t="s">
        <v>914</v>
      </c>
      <c r="C1332" s="68" t="s">
        <v>1382</v>
      </c>
      <c r="D1332" s="68" t="s">
        <v>1478</v>
      </c>
      <c r="E1332" s="8" t="s">
        <v>674</v>
      </c>
      <c r="F1332" s="8" t="s">
        <v>247</v>
      </c>
      <c r="G1332" s="23" t="s">
        <v>810</v>
      </c>
      <c r="H1332" s="14">
        <f>492.2-2.461</f>
        <v>489.73899999999998</v>
      </c>
      <c r="I1332" s="14">
        <v>489.73899999999998</v>
      </c>
      <c r="J1332" s="14">
        <v>489.73899999999998</v>
      </c>
      <c r="K1332" s="78">
        <f t="shared" si="602"/>
        <v>100</v>
      </c>
      <c r="L1332" s="14"/>
      <c r="M1332" s="50"/>
      <c r="N1332" s="50"/>
    </row>
    <row r="1333" spans="1:14" s="3" customFormat="1" x14ac:dyDescent="0.3">
      <c r="A1333" s="10" t="s">
        <v>1412</v>
      </c>
      <c r="B1333" s="43" t="s">
        <v>915</v>
      </c>
      <c r="C1333" s="43" t="s">
        <v>915</v>
      </c>
      <c r="D1333" s="43" t="s">
        <v>915</v>
      </c>
      <c r="E1333" s="10"/>
      <c r="F1333" s="10"/>
      <c r="G1333" s="5" t="s">
        <v>1411</v>
      </c>
      <c r="H1333" s="15">
        <f>H1334+H1440+H1514+H1575+H1397+H1587+H1595+H1614</f>
        <v>434300.83299999987</v>
      </c>
      <c r="I1333" s="15">
        <f>I1334+I1440+I1514+I1575+I1397+I1587+I1595+I1614</f>
        <v>678811.20737000008</v>
      </c>
      <c r="J1333" s="15">
        <f t="shared" ref="J1333" si="616">J1334+J1440+J1514+J1575+J1397+J1587+J1595+J1614</f>
        <v>673993.42749999999</v>
      </c>
      <c r="K1333" s="81">
        <f t="shared" si="602"/>
        <v>99.290262179278656</v>
      </c>
      <c r="L1333" s="15">
        <f>L1334+L1440+L1514+L1575+L1397+L1587+L1595+L1614</f>
        <v>0</v>
      </c>
      <c r="M1333" s="65"/>
      <c r="N1333" s="65"/>
    </row>
    <row r="1334" spans="1:14" s="3" customFormat="1" ht="17.25" customHeight="1" x14ac:dyDescent="0.3">
      <c r="A1334" s="10" t="s">
        <v>1412</v>
      </c>
      <c r="B1334" s="43" t="s">
        <v>1372</v>
      </c>
      <c r="C1334" s="43" t="s">
        <v>1372</v>
      </c>
      <c r="D1334" s="43" t="s">
        <v>915</v>
      </c>
      <c r="E1334" s="10"/>
      <c r="F1334" s="10"/>
      <c r="G1334" s="5" t="s">
        <v>1376</v>
      </c>
      <c r="H1334" s="15">
        <f>H1335+H1361</f>
        <v>62265.18</v>
      </c>
      <c r="I1334" s="15">
        <f>I1335+I1361</f>
        <v>62745.029999999992</v>
      </c>
      <c r="J1334" s="15">
        <f t="shared" ref="J1334" si="617">J1335+J1361</f>
        <v>62352.081099999996</v>
      </c>
      <c r="K1334" s="81">
        <f t="shared" si="602"/>
        <v>99.373737011521087</v>
      </c>
      <c r="L1334" s="15">
        <f>L1335+L1361</f>
        <v>0</v>
      </c>
      <c r="M1334" s="65"/>
      <c r="N1334" s="65"/>
    </row>
    <row r="1335" spans="1:14" s="9" customFormat="1" ht="62.4" x14ac:dyDescent="0.3">
      <c r="A1335" s="11" t="s">
        <v>1412</v>
      </c>
      <c r="B1335" s="48" t="s">
        <v>934</v>
      </c>
      <c r="C1335" s="48" t="s">
        <v>1372</v>
      </c>
      <c r="D1335" s="48" t="s">
        <v>1386</v>
      </c>
      <c r="E1335" s="11"/>
      <c r="F1335" s="11"/>
      <c r="G1335" s="7" t="s">
        <v>1418</v>
      </c>
      <c r="H1335" s="16">
        <f>H1344+H1336+H1356</f>
        <v>50192.32</v>
      </c>
      <c r="I1335" s="16">
        <f t="shared" ref="I1335:L1335" si="618">I1344+I1336+I1356</f>
        <v>50452.169999999991</v>
      </c>
      <c r="J1335" s="16">
        <f t="shared" si="618"/>
        <v>50191.481689999993</v>
      </c>
      <c r="K1335" s="82">
        <f t="shared" si="602"/>
        <v>99.483296139690324</v>
      </c>
      <c r="L1335" s="16">
        <f t="shared" si="618"/>
        <v>0</v>
      </c>
      <c r="M1335" s="65"/>
      <c r="N1335" s="65"/>
    </row>
    <row r="1336" spans="1:14" ht="31.2" x14ac:dyDescent="0.3">
      <c r="A1336" s="8" t="s">
        <v>1412</v>
      </c>
      <c r="B1336" s="62" t="s">
        <v>934</v>
      </c>
      <c r="C1336" s="68" t="s">
        <v>1372</v>
      </c>
      <c r="D1336" s="68" t="s">
        <v>1386</v>
      </c>
      <c r="E1336" s="8" t="s">
        <v>396</v>
      </c>
      <c r="F1336" s="8"/>
      <c r="G1336" s="13" t="s">
        <v>876</v>
      </c>
      <c r="H1336" s="14">
        <f t="shared" ref="H1336:L1338" si="619">H1337</f>
        <v>4444.6000000000004</v>
      </c>
      <c r="I1336" s="14">
        <f t="shared" si="619"/>
        <v>4607.0999999999995</v>
      </c>
      <c r="J1336" s="14">
        <f t="shared" si="619"/>
        <v>4607.0999999999995</v>
      </c>
      <c r="K1336" s="78">
        <f t="shared" si="602"/>
        <v>100</v>
      </c>
      <c r="L1336" s="14">
        <f t="shared" si="619"/>
        <v>0</v>
      </c>
      <c r="M1336" s="50"/>
      <c r="N1336" s="50"/>
    </row>
    <row r="1337" spans="1:14" ht="31.2" x14ac:dyDescent="0.3">
      <c r="A1337" s="8" t="s">
        <v>1412</v>
      </c>
      <c r="B1337" s="62" t="s">
        <v>934</v>
      </c>
      <c r="C1337" s="68" t="s">
        <v>1372</v>
      </c>
      <c r="D1337" s="68" t="s">
        <v>1386</v>
      </c>
      <c r="E1337" s="8" t="s">
        <v>485</v>
      </c>
      <c r="F1337" s="8"/>
      <c r="G1337" s="13" t="s">
        <v>877</v>
      </c>
      <c r="H1337" s="14">
        <f t="shared" si="619"/>
        <v>4444.6000000000004</v>
      </c>
      <c r="I1337" s="14">
        <f t="shared" si="619"/>
        <v>4607.0999999999995</v>
      </c>
      <c r="J1337" s="14">
        <f t="shared" si="619"/>
        <v>4607.0999999999995</v>
      </c>
      <c r="K1337" s="78">
        <f t="shared" si="602"/>
        <v>100</v>
      </c>
      <c r="L1337" s="14">
        <f t="shared" si="619"/>
        <v>0</v>
      </c>
      <c r="M1337" s="50"/>
      <c r="N1337" s="50"/>
    </row>
    <row r="1338" spans="1:14" ht="62.4" x14ac:dyDescent="0.3">
      <c r="A1338" s="8" t="s">
        <v>1412</v>
      </c>
      <c r="B1338" s="62" t="s">
        <v>934</v>
      </c>
      <c r="C1338" s="68" t="s">
        <v>1372</v>
      </c>
      <c r="D1338" s="68" t="s">
        <v>1386</v>
      </c>
      <c r="E1338" s="8" t="s">
        <v>518</v>
      </c>
      <c r="F1338" s="8"/>
      <c r="G1338" s="18" t="s">
        <v>878</v>
      </c>
      <c r="H1338" s="14">
        <f t="shared" si="619"/>
        <v>4444.6000000000004</v>
      </c>
      <c r="I1338" s="14">
        <f t="shared" si="619"/>
        <v>4607.0999999999995</v>
      </c>
      <c r="J1338" s="14">
        <f t="shared" si="619"/>
        <v>4607.0999999999995</v>
      </c>
      <c r="K1338" s="78">
        <f t="shared" si="602"/>
        <v>100</v>
      </c>
      <c r="L1338" s="14">
        <f t="shared" si="619"/>
        <v>0</v>
      </c>
      <c r="M1338" s="50"/>
      <c r="N1338" s="50"/>
    </row>
    <row r="1339" spans="1:14" ht="31.2" x14ac:dyDescent="0.3">
      <c r="A1339" s="8" t="s">
        <v>1412</v>
      </c>
      <c r="B1339" s="62" t="s">
        <v>934</v>
      </c>
      <c r="C1339" s="68" t="s">
        <v>1372</v>
      </c>
      <c r="D1339" s="68" t="s">
        <v>1386</v>
      </c>
      <c r="E1339" s="8" t="s">
        <v>244</v>
      </c>
      <c r="F1339" s="8"/>
      <c r="G1339" s="18" t="s">
        <v>879</v>
      </c>
      <c r="H1339" s="14">
        <f>H1340+H1342</f>
        <v>4444.6000000000004</v>
      </c>
      <c r="I1339" s="14">
        <f t="shared" ref="I1339:L1339" si="620">I1340+I1342</f>
        <v>4607.0999999999995</v>
      </c>
      <c r="J1339" s="14">
        <f t="shared" si="620"/>
        <v>4607.0999999999995</v>
      </c>
      <c r="K1339" s="78">
        <f t="shared" si="602"/>
        <v>100</v>
      </c>
      <c r="L1339" s="14">
        <f t="shared" si="620"/>
        <v>0</v>
      </c>
      <c r="M1339" s="50"/>
      <c r="N1339" s="50"/>
    </row>
    <row r="1340" spans="1:14" ht="78" x14ac:dyDescent="0.3">
      <c r="A1340" s="8" t="s">
        <v>1412</v>
      </c>
      <c r="B1340" s="62" t="s">
        <v>934</v>
      </c>
      <c r="C1340" s="68" t="s">
        <v>1372</v>
      </c>
      <c r="D1340" s="68" t="s">
        <v>1386</v>
      </c>
      <c r="E1340" s="8" t="s">
        <v>244</v>
      </c>
      <c r="F1340" s="45" t="s">
        <v>431</v>
      </c>
      <c r="G1340" s="23" t="s">
        <v>806</v>
      </c>
      <c r="H1340" s="14">
        <f t="shared" ref="H1340:L1340" si="621">H1341</f>
        <v>4444.6000000000004</v>
      </c>
      <c r="I1340" s="14">
        <f t="shared" si="621"/>
        <v>4388.0982999999997</v>
      </c>
      <c r="J1340" s="14">
        <f t="shared" si="621"/>
        <v>4388.0982999999997</v>
      </c>
      <c r="K1340" s="78">
        <f t="shared" si="602"/>
        <v>100</v>
      </c>
      <c r="L1340" s="14">
        <f t="shared" si="621"/>
        <v>0</v>
      </c>
      <c r="M1340" s="50"/>
      <c r="N1340" s="50"/>
    </row>
    <row r="1341" spans="1:14" ht="31.2" x14ac:dyDescent="0.3">
      <c r="A1341" s="8" t="s">
        <v>1412</v>
      </c>
      <c r="B1341" s="62" t="s">
        <v>934</v>
      </c>
      <c r="C1341" s="68" t="s">
        <v>1372</v>
      </c>
      <c r="D1341" s="68" t="s">
        <v>1386</v>
      </c>
      <c r="E1341" s="8" t="s">
        <v>244</v>
      </c>
      <c r="F1341" s="45" t="s">
        <v>233</v>
      </c>
      <c r="G1341" s="23" t="s">
        <v>808</v>
      </c>
      <c r="H1341" s="14">
        <v>4444.6000000000004</v>
      </c>
      <c r="I1341" s="14">
        <v>4388.0982999999997</v>
      </c>
      <c r="J1341" s="14">
        <v>4388.0982999999997</v>
      </c>
      <c r="K1341" s="78">
        <f t="shared" si="602"/>
        <v>100</v>
      </c>
      <c r="L1341" s="14"/>
      <c r="M1341" s="50"/>
      <c r="N1341" s="50"/>
    </row>
    <row r="1342" spans="1:14" ht="31.2" x14ac:dyDescent="0.3">
      <c r="A1342" s="8" t="s">
        <v>1412</v>
      </c>
      <c r="B1342" s="62" t="s">
        <v>934</v>
      </c>
      <c r="C1342" s="68" t="s">
        <v>1372</v>
      </c>
      <c r="D1342" s="68" t="s">
        <v>1386</v>
      </c>
      <c r="E1342" s="8" t="s">
        <v>244</v>
      </c>
      <c r="F1342" s="45" t="s">
        <v>380</v>
      </c>
      <c r="G1342" s="23" t="s">
        <v>809</v>
      </c>
      <c r="H1342" s="14">
        <f>H1343</f>
        <v>0</v>
      </c>
      <c r="I1342" s="14">
        <f t="shared" ref="I1342:L1342" si="622">I1343</f>
        <v>219.0017</v>
      </c>
      <c r="J1342" s="14">
        <f t="shared" si="622"/>
        <v>219.0017</v>
      </c>
      <c r="K1342" s="78">
        <f t="shared" si="602"/>
        <v>100</v>
      </c>
      <c r="L1342" s="14">
        <f t="shared" si="622"/>
        <v>0</v>
      </c>
      <c r="M1342" s="50"/>
      <c r="N1342" s="50"/>
    </row>
    <row r="1343" spans="1:14" ht="31.2" x14ac:dyDescent="0.3">
      <c r="A1343" s="8" t="s">
        <v>1412</v>
      </c>
      <c r="B1343" s="62" t="s">
        <v>934</v>
      </c>
      <c r="C1343" s="68" t="s">
        <v>1372</v>
      </c>
      <c r="D1343" s="68" t="s">
        <v>1386</v>
      </c>
      <c r="E1343" s="8" t="s">
        <v>244</v>
      </c>
      <c r="F1343" s="8" t="s">
        <v>247</v>
      </c>
      <c r="G1343" s="23" t="s">
        <v>810</v>
      </c>
      <c r="H1343" s="19">
        <v>0</v>
      </c>
      <c r="I1343" s="14">
        <v>219.0017</v>
      </c>
      <c r="J1343" s="20">
        <v>219.0017</v>
      </c>
      <c r="K1343" s="77">
        <f t="shared" si="602"/>
        <v>100</v>
      </c>
      <c r="L1343" s="14"/>
      <c r="M1343" s="50"/>
      <c r="N1343" s="50"/>
    </row>
    <row r="1344" spans="1:14" ht="31.2" x14ac:dyDescent="0.3">
      <c r="A1344" s="8" t="s">
        <v>1412</v>
      </c>
      <c r="B1344" s="62" t="s">
        <v>934</v>
      </c>
      <c r="C1344" s="68" t="s">
        <v>1372</v>
      </c>
      <c r="D1344" s="68" t="s">
        <v>1386</v>
      </c>
      <c r="E1344" s="8" t="s">
        <v>343</v>
      </c>
      <c r="F1344" s="8"/>
      <c r="G1344" s="23" t="s">
        <v>1157</v>
      </c>
      <c r="H1344" s="14">
        <f t="shared" ref="H1344:L1344" si="623">H1345</f>
        <v>45747.72</v>
      </c>
      <c r="I1344" s="14">
        <f t="shared" si="623"/>
        <v>45807.619999999995</v>
      </c>
      <c r="J1344" s="14">
        <f t="shared" si="623"/>
        <v>45546.931689999998</v>
      </c>
      <c r="K1344" s="78">
        <f t="shared" si="602"/>
        <v>99.430906233504388</v>
      </c>
      <c r="L1344" s="14">
        <f t="shared" si="623"/>
        <v>0</v>
      </c>
      <c r="M1344" s="50"/>
      <c r="N1344" s="50"/>
    </row>
    <row r="1345" spans="1:14" x14ac:dyDescent="0.3">
      <c r="A1345" s="8" t="s">
        <v>1412</v>
      </c>
      <c r="B1345" s="62" t="s">
        <v>934</v>
      </c>
      <c r="C1345" s="68" t="s">
        <v>1372</v>
      </c>
      <c r="D1345" s="68" t="s">
        <v>1386</v>
      </c>
      <c r="E1345" s="8" t="s">
        <v>351</v>
      </c>
      <c r="F1345" s="8"/>
      <c r="G1345" s="13" t="s">
        <v>1158</v>
      </c>
      <c r="H1345" s="14">
        <f>H1346+H1349</f>
        <v>45747.72</v>
      </c>
      <c r="I1345" s="14">
        <f>I1346+I1349</f>
        <v>45807.619999999995</v>
      </c>
      <c r="J1345" s="14">
        <f t="shared" ref="J1345" si="624">J1346+J1349</f>
        <v>45546.931689999998</v>
      </c>
      <c r="K1345" s="78">
        <f t="shared" si="602"/>
        <v>99.430906233504388</v>
      </c>
      <c r="L1345" s="14">
        <f>L1346+L1349</f>
        <v>0</v>
      </c>
      <c r="M1345" s="50"/>
      <c r="N1345" s="50"/>
    </row>
    <row r="1346" spans="1:14" ht="31.2" x14ac:dyDescent="0.3">
      <c r="A1346" s="8" t="s">
        <v>1412</v>
      </c>
      <c r="B1346" s="62" t="s">
        <v>934</v>
      </c>
      <c r="C1346" s="68" t="s">
        <v>1372</v>
      </c>
      <c r="D1346" s="68" t="s">
        <v>1386</v>
      </c>
      <c r="E1346" s="8" t="s">
        <v>352</v>
      </c>
      <c r="F1346" s="8"/>
      <c r="G1346" s="13" t="s">
        <v>1152</v>
      </c>
      <c r="H1346" s="14">
        <f t="shared" ref="H1346:L1347" si="625">H1347</f>
        <v>38176.400000000001</v>
      </c>
      <c r="I1346" s="14">
        <f t="shared" si="625"/>
        <v>39187.473429999998</v>
      </c>
      <c r="J1346" s="14">
        <f t="shared" si="625"/>
        <v>39186.681729999997</v>
      </c>
      <c r="K1346" s="78">
        <f t="shared" si="602"/>
        <v>99.997979711548851</v>
      </c>
      <c r="L1346" s="14">
        <f t="shared" si="625"/>
        <v>0</v>
      </c>
      <c r="M1346" s="50"/>
      <c r="N1346" s="50"/>
    </row>
    <row r="1347" spans="1:14" ht="78" x14ac:dyDescent="0.3">
      <c r="A1347" s="8" t="s">
        <v>1412</v>
      </c>
      <c r="B1347" s="62" t="s">
        <v>934</v>
      </c>
      <c r="C1347" s="68" t="s">
        <v>1372</v>
      </c>
      <c r="D1347" s="68" t="s">
        <v>1386</v>
      </c>
      <c r="E1347" s="8" t="s">
        <v>352</v>
      </c>
      <c r="F1347" s="45" t="s">
        <v>431</v>
      </c>
      <c r="G1347" s="23" t="s">
        <v>806</v>
      </c>
      <c r="H1347" s="14">
        <f t="shared" si="625"/>
        <v>38176.400000000001</v>
      </c>
      <c r="I1347" s="14">
        <f t="shared" si="625"/>
        <v>39187.473429999998</v>
      </c>
      <c r="J1347" s="14">
        <f t="shared" si="625"/>
        <v>39186.681729999997</v>
      </c>
      <c r="K1347" s="78">
        <f t="shared" si="602"/>
        <v>99.997979711548851</v>
      </c>
      <c r="L1347" s="14">
        <f t="shared" si="625"/>
        <v>0</v>
      </c>
      <c r="M1347" s="50"/>
      <c r="N1347" s="50"/>
    </row>
    <row r="1348" spans="1:14" ht="31.2" x14ac:dyDescent="0.3">
      <c r="A1348" s="8" t="s">
        <v>1412</v>
      </c>
      <c r="B1348" s="62" t="s">
        <v>934</v>
      </c>
      <c r="C1348" s="68" t="s">
        <v>1372</v>
      </c>
      <c r="D1348" s="68" t="s">
        <v>1386</v>
      </c>
      <c r="E1348" s="8" t="s">
        <v>352</v>
      </c>
      <c r="F1348" s="45" t="s">
        <v>233</v>
      </c>
      <c r="G1348" s="23" t="s">
        <v>808</v>
      </c>
      <c r="H1348" s="14">
        <v>38176.400000000001</v>
      </c>
      <c r="I1348" s="14">
        <v>39187.473429999998</v>
      </c>
      <c r="J1348" s="14">
        <v>39186.681729999997</v>
      </c>
      <c r="K1348" s="78">
        <f t="shared" si="602"/>
        <v>99.997979711548851</v>
      </c>
      <c r="L1348" s="14"/>
      <c r="M1348" s="50"/>
      <c r="N1348" s="50"/>
    </row>
    <row r="1349" spans="1:14" ht="31.2" x14ac:dyDescent="0.3">
      <c r="A1349" s="8" t="s">
        <v>1412</v>
      </c>
      <c r="B1349" s="62" t="s">
        <v>934</v>
      </c>
      <c r="C1349" s="68" t="s">
        <v>1372</v>
      </c>
      <c r="D1349" s="68" t="s">
        <v>1386</v>
      </c>
      <c r="E1349" s="8" t="s">
        <v>353</v>
      </c>
      <c r="F1349" s="8"/>
      <c r="G1349" s="13" t="s">
        <v>1154</v>
      </c>
      <c r="H1349" s="14">
        <f>H1352+H1354+H1350</f>
        <v>7571.3200000000006</v>
      </c>
      <c r="I1349" s="14">
        <f>I1352+I1354+I1350</f>
        <v>6620.1465699999999</v>
      </c>
      <c r="J1349" s="14">
        <f t="shared" ref="J1349" si="626">J1352+J1354+J1350</f>
        <v>6360.2499600000001</v>
      </c>
      <c r="K1349" s="78">
        <f t="shared" si="602"/>
        <v>96.074156255425621</v>
      </c>
      <c r="L1349" s="14">
        <f>L1352+L1354+L1350</f>
        <v>0</v>
      </c>
      <c r="M1349" s="50"/>
      <c r="N1349" s="50"/>
    </row>
    <row r="1350" spans="1:14" ht="78" x14ac:dyDescent="0.3">
      <c r="A1350" s="8" t="s">
        <v>1412</v>
      </c>
      <c r="B1350" s="62" t="s">
        <v>934</v>
      </c>
      <c r="C1350" s="68" t="s">
        <v>1372</v>
      </c>
      <c r="D1350" s="68" t="s">
        <v>1386</v>
      </c>
      <c r="E1350" s="8" t="s">
        <v>353</v>
      </c>
      <c r="F1350" s="45" t="s">
        <v>431</v>
      </c>
      <c r="G1350" s="23" t="s">
        <v>806</v>
      </c>
      <c r="H1350" s="14">
        <f t="shared" ref="H1350:L1350" si="627">H1351</f>
        <v>5.6</v>
      </c>
      <c r="I1350" s="14">
        <f t="shared" si="627"/>
        <v>7.5817899999999998</v>
      </c>
      <c r="J1350" s="14">
        <f t="shared" si="627"/>
        <v>7.5817899999999998</v>
      </c>
      <c r="K1350" s="78">
        <f t="shared" si="602"/>
        <v>100</v>
      </c>
      <c r="L1350" s="14">
        <f t="shared" si="627"/>
        <v>0</v>
      </c>
      <c r="M1350" s="50"/>
      <c r="N1350" s="50"/>
    </row>
    <row r="1351" spans="1:14" ht="31.2" x14ac:dyDescent="0.3">
      <c r="A1351" s="8" t="s">
        <v>1412</v>
      </c>
      <c r="B1351" s="62" t="s">
        <v>934</v>
      </c>
      <c r="C1351" s="68" t="s">
        <v>1372</v>
      </c>
      <c r="D1351" s="68" t="s">
        <v>1386</v>
      </c>
      <c r="E1351" s="8" t="s">
        <v>353</v>
      </c>
      <c r="F1351" s="45" t="s">
        <v>233</v>
      </c>
      <c r="G1351" s="23" t="s">
        <v>808</v>
      </c>
      <c r="H1351" s="14">
        <v>5.6</v>
      </c>
      <c r="I1351" s="14">
        <v>7.5817899999999998</v>
      </c>
      <c r="J1351" s="14">
        <v>7.5817899999999998</v>
      </c>
      <c r="K1351" s="78">
        <f t="shared" si="602"/>
        <v>100</v>
      </c>
      <c r="L1351" s="14"/>
      <c r="M1351" s="50"/>
      <c r="N1351" s="50"/>
    </row>
    <row r="1352" spans="1:14" ht="31.2" x14ac:dyDescent="0.3">
      <c r="A1352" s="8" t="s">
        <v>1412</v>
      </c>
      <c r="B1352" s="62" t="s">
        <v>934</v>
      </c>
      <c r="C1352" s="68" t="s">
        <v>1372</v>
      </c>
      <c r="D1352" s="68" t="s">
        <v>1386</v>
      </c>
      <c r="E1352" s="8" t="s">
        <v>353</v>
      </c>
      <c r="F1352" s="45" t="s">
        <v>380</v>
      </c>
      <c r="G1352" s="23" t="s">
        <v>809</v>
      </c>
      <c r="H1352" s="14">
        <f t="shared" ref="H1352:L1352" si="628">H1353</f>
        <v>7565.12</v>
      </c>
      <c r="I1352" s="14">
        <f t="shared" si="628"/>
        <v>6610.70478</v>
      </c>
      <c r="J1352" s="14">
        <f t="shared" si="628"/>
        <v>6350.8081700000002</v>
      </c>
      <c r="K1352" s="78">
        <f t="shared" ref="K1352:K1415" si="629">J1352/I1352*100</f>
        <v>96.068549138871091</v>
      </c>
      <c r="L1352" s="14">
        <f t="shared" si="628"/>
        <v>0</v>
      </c>
      <c r="M1352" s="50"/>
      <c r="N1352" s="50"/>
    </row>
    <row r="1353" spans="1:14" ht="31.2" x14ac:dyDescent="0.3">
      <c r="A1353" s="8" t="s">
        <v>1412</v>
      </c>
      <c r="B1353" s="62" t="s">
        <v>934</v>
      </c>
      <c r="C1353" s="68" t="s">
        <v>1372</v>
      </c>
      <c r="D1353" s="68" t="s">
        <v>1386</v>
      </c>
      <c r="E1353" s="8" t="s">
        <v>353</v>
      </c>
      <c r="F1353" s="8" t="s">
        <v>247</v>
      </c>
      <c r="G1353" s="23" t="s">
        <v>810</v>
      </c>
      <c r="H1353" s="14">
        <v>7565.12</v>
      </c>
      <c r="I1353" s="14">
        <v>6610.70478</v>
      </c>
      <c r="J1353" s="14">
        <v>6350.8081700000002</v>
      </c>
      <c r="K1353" s="78">
        <f t="shared" si="629"/>
        <v>96.068549138871091</v>
      </c>
      <c r="L1353" s="14"/>
      <c r="M1353" s="50"/>
      <c r="N1353" s="50"/>
    </row>
    <row r="1354" spans="1:14" x14ac:dyDescent="0.3">
      <c r="A1354" s="8" t="s">
        <v>1412</v>
      </c>
      <c r="B1354" s="62" t="s">
        <v>934</v>
      </c>
      <c r="C1354" s="68" t="s">
        <v>1372</v>
      </c>
      <c r="D1354" s="68" t="s">
        <v>1386</v>
      </c>
      <c r="E1354" s="8" t="s">
        <v>353</v>
      </c>
      <c r="F1354" s="45" t="s">
        <v>464</v>
      </c>
      <c r="G1354" s="23" t="s">
        <v>822</v>
      </c>
      <c r="H1354" s="14">
        <f t="shared" ref="H1354:L1354" si="630">H1355</f>
        <v>0.6</v>
      </c>
      <c r="I1354" s="14">
        <f t="shared" si="630"/>
        <v>1.86</v>
      </c>
      <c r="J1354" s="14">
        <f t="shared" si="630"/>
        <v>1.86</v>
      </c>
      <c r="K1354" s="78">
        <f t="shared" si="629"/>
        <v>100</v>
      </c>
      <c r="L1354" s="14">
        <f t="shared" si="630"/>
        <v>0</v>
      </c>
      <c r="M1354" s="50"/>
      <c r="N1354" s="50"/>
    </row>
    <row r="1355" spans="1:14" x14ac:dyDescent="0.3">
      <c r="A1355" s="8" t="s">
        <v>1412</v>
      </c>
      <c r="B1355" s="62" t="s">
        <v>934</v>
      </c>
      <c r="C1355" s="68" t="s">
        <v>1372</v>
      </c>
      <c r="D1355" s="68" t="s">
        <v>1386</v>
      </c>
      <c r="E1355" s="8" t="s">
        <v>353</v>
      </c>
      <c r="F1355" s="45" t="s">
        <v>729</v>
      </c>
      <c r="G1355" s="23" t="s">
        <v>824</v>
      </c>
      <c r="H1355" s="14">
        <v>0.6</v>
      </c>
      <c r="I1355" s="14">
        <v>1.86</v>
      </c>
      <c r="J1355" s="14">
        <v>1.86</v>
      </c>
      <c r="K1355" s="78">
        <f t="shared" si="629"/>
        <v>100</v>
      </c>
      <c r="L1355" s="14"/>
      <c r="M1355" s="50"/>
      <c r="N1355" s="50"/>
    </row>
    <row r="1356" spans="1:14" ht="46.8" x14ac:dyDescent="0.3">
      <c r="A1356" s="8" t="s">
        <v>1412</v>
      </c>
      <c r="B1356" s="62" t="s">
        <v>934</v>
      </c>
      <c r="C1356" s="83" t="s">
        <v>1372</v>
      </c>
      <c r="D1356" s="83" t="s">
        <v>1386</v>
      </c>
      <c r="E1356" s="45" t="s">
        <v>493</v>
      </c>
      <c r="F1356" s="45"/>
      <c r="G1356" s="23" t="s">
        <v>1160</v>
      </c>
      <c r="H1356" s="14">
        <f>H1357</f>
        <v>0</v>
      </c>
      <c r="I1356" s="14">
        <f t="shared" ref="I1356:L1359" si="631">I1357</f>
        <v>37.450000000000003</v>
      </c>
      <c r="J1356" s="14">
        <f t="shared" si="631"/>
        <v>37.450000000000003</v>
      </c>
      <c r="K1356" s="78">
        <f t="shared" si="629"/>
        <v>100</v>
      </c>
      <c r="L1356" s="14">
        <f t="shared" si="631"/>
        <v>0</v>
      </c>
      <c r="M1356" s="50"/>
      <c r="N1356" s="50"/>
    </row>
    <row r="1357" spans="1:14" ht="31.2" x14ac:dyDescent="0.3">
      <c r="A1357" s="8" t="s">
        <v>1412</v>
      </c>
      <c r="B1357" s="62" t="s">
        <v>934</v>
      </c>
      <c r="C1357" s="83" t="s">
        <v>1372</v>
      </c>
      <c r="D1357" s="83" t="s">
        <v>1386</v>
      </c>
      <c r="E1357" s="45" t="s">
        <v>494</v>
      </c>
      <c r="F1357" s="45"/>
      <c r="G1357" s="23" t="s">
        <v>1161</v>
      </c>
      <c r="H1357" s="14">
        <f>H1358</f>
        <v>0</v>
      </c>
      <c r="I1357" s="14">
        <f t="shared" si="631"/>
        <v>37.450000000000003</v>
      </c>
      <c r="J1357" s="14">
        <f t="shared" si="631"/>
        <v>37.450000000000003</v>
      </c>
      <c r="K1357" s="78">
        <f t="shared" si="629"/>
        <v>100</v>
      </c>
      <c r="L1357" s="14">
        <f t="shared" si="631"/>
        <v>0</v>
      </c>
      <c r="M1357" s="50"/>
      <c r="N1357" s="50"/>
    </row>
    <row r="1358" spans="1:14" ht="31.2" x14ac:dyDescent="0.3">
      <c r="A1358" s="8" t="s">
        <v>1412</v>
      </c>
      <c r="B1358" s="62" t="s">
        <v>934</v>
      </c>
      <c r="C1358" s="83" t="s">
        <v>1372</v>
      </c>
      <c r="D1358" s="83" t="s">
        <v>1386</v>
      </c>
      <c r="E1358" s="45" t="s">
        <v>495</v>
      </c>
      <c r="F1358" s="45"/>
      <c r="G1358" s="23" t="s">
        <v>687</v>
      </c>
      <c r="H1358" s="14">
        <f>H1359</f>
        <v>0</v>
      </c>
      <c r="I1358" s="14">
        <f t="shared" si="631"/>
        <v>37.450000000000003</v>
      </c>
      <c r="J1358" s="14">
        <f t="shared" si="631"/>
        <v>37.450000000000003</v>
      </c>
      <c r="K1358" s="78">
        <f t="shared" si="629"/>
        <v>100</v>
      </c>
      <c r="L1358" s="14">
        <f t="shared" si="631"/>
        <v>0</v>
      </c>
      <c r="M1358" s="50"/>
      <c r="N1358" s="50"/>
    </row>
    <row r="1359" spans="1:14" x14ac:dyDescent="0.3">
      <c r="A1359" s="8" t="s">
        <v>1412</v>
      </c>
      <c r="B1359" s="62" t="s">
        <v>934</v>
      </c>
      <c r="C1359" s="83" t="s">
        <v>1372</v>
      </c>
      <c r="D1359" s="83" t="s">
        <v>1386</v>
      </c>
      <c r="E1359" s="45" t="s">
        <v>495</v>
      </c>
      <c r="F1359" s="45" t="s">
        <v>464</v>
      </c>
      <c r="G1359" s="23" t="s">
        <v>822</v>
      </c>
      <c r="H1359" s="14">
        <f>H1360</f>
        <v>0</v>
      </c>
      <c r="I1359" s="14">
        <f t="shared" si="631"/>
        <v>37.450000000000003</v>
      </c>
      <c r="J1359" s="14">
        <f t="shared" si="631"/>
        <v>37.450000000000003</v>
      </c>
      <c r="K1359" s="78">
        <f t="shared" si="629"/>
        <v>100</v>
      </c>
      <c r="L1359" s="14">
        <f t="shared" si="631"/>
        <v>0</v>
      </c>
      <c r="M1359" s="50"/>
      <c r="N1359" s="50"/>
    </row>
    <row r="1360" spans="1:14" x14ac:dyDescent="0.3">
      <c r="A1360" s="8" t="s">
        <v>1412</v>
      </c>
      <c r="B1360" s="62" t="s">
        <v>934</v>
      </c>
      <c r="C1360" s="83" t="s">
        <v>1372</v>
      </c>
      <c r="D1360" s="83" t="s">
        <v>1386</v>
      </c>
      <c r="E1360" s="45" t="s">
        <v>495</v>
      </c>
      <c r="F1360" s="45" t="s">
        <v>728</v>
      </c>
      <c r="G1360" s="23" t="s">
        <v>823</v>
      </c>
      <c r="H1360" s="20">
        <v>0</v>
      </c>
      <c r="I1360" s="14">
        <v>37.450000000000003</v>
      </c>
      <c r="J1360" s="14">
        <v>37.450000000000003</v>
      </c>
      <c r="K1360" s="78">
        <f t="shared" si="629"/>
        <v>100</v>
      </c>
      <c r="L1360" s="14"/>
      <c r="M1360" s="50"/>
      <c r="N1360" s="50"/>
    </row>
    <row r="1361" spans="1:14" s="9" customFormat="1" x14ac:dyDescent="0.3">
      <c r="A1361" s="11" t="s">
        <v>1412</v>
      </c>
      <c r="B1361" s="48" t="s">
        <v>912</v>
      </c>
      <c r="C1361" s="48" t="s">
        <v>1372</v>
      </c>
      <c r="D1361" s="48" t="s">
        <v>1477</v>
      </c>
      <c r="E1361" s="11"/>
      <c r="F1361" s="11"/>
      <c r="G1361" s="7" t="s">
        <v>1377</v>
      </c>
      <c r="H1361" s="16">
        <f>H1362+H1371</f>
        <v>12072.86</v>
      </c>
      <c r="I1361" s="16">
        <f>I1362+I1371+I1393</f>
        <v>12292.86</v>
      </c>
      <c r="J1361" s="16">
        <f t="shared" ref="J1361:L1361" si="632">J1362+J1371+J1393</f>
        <v>12160.599410000001</v>
      </c>
      <c r="K1361" s="82">
        <f t="shared" si="629"/>
        <v>98.924086095505842</v>
      </c>
      <c r="L1361" s="16">
        <f t="shared" si="632"/>
        <v>0</v>
      </c>
      <c r="M1361" s="65"/>
      <c r="N1361" s="65"/>
    </row>
    <row r="1362" spans="1:14" ht="46.8" x14ac:dyDescent="0.3">
      <c r="A1362" s="8" t="s">
        <v>1412</v>
      </c>
      <c r="B1362" s="62" t="s">
        <v>912</v>
      </c>
      <c r="C1362" s="68" t="s">
        <v>1372</v>
      </c>
      <c r="D1362" s="68" t="s">
        <v>1477</v>
      </c>
      <c r="E1362" s="8" t="s">
        <v>338</v>
      </c>
      <c r="F1362" s="8"/>
      <c r="G1362" s="13" t="s">
        <v>843</v>
      </c>
      <c r="H1362" s="14">
        <f>H1363+H1367</f>
        <v>120</v>
      </c>
      <c r="I1362" s="14">
        <f>I1363+I1367</f>
        <v>120</v>
      </c>
      <c r="J1362" s="14">
        <f t="shared" ref="J1362" si="633">J1363+J1367</f>
        <v>120</v>
      </c>
      <c r="K1362" s="78">
        <f t="shared" si="629"/>
        <v>100</v>
      </c>
      <c r="L1362" s="14">
        <f>L1363+L1367</f>
        <v>0</v>
      </c>
      <c r="M1362" s="50"/>
      <c r="N1362" s="50"/>
    </row>
    <row r="1363" spans="1:14" ht="46.8" x14ac:dyDescent="0.3">
      <c r="A1363" s="8" t="s">
        <v>1412</v>
      </c>
      <c r="B1363" s="62" t="s">
        <v>912</v>
      </c>
      <c r="C1363" s="68" t="s">
        <v>1372</v>
      </c>
      <c r="D1363" s="68" t="s">
        <v>1477</v>
      </c>
      <c r="E1363" s="8" t="s">
        <v>339</v>
      </c>
      <c r="F1363" s="8"/>
      <c r="G1363" s="13" t="s">
        <v>844</v>
      </c>
      <c r="H1363" s="14">
        <f t="shared" ref="H1363:L1365" si="634">H1364</f>
        <v>95</v>
      </c>
      <c r="I1363" s="14">
        <f t="shared" si="634"/>
        <v>95</v>
      </c>
      <c r="J1363" s="14">
        <f t="shared" si="634"/>
        <v>95</v>
      </c>
      <c r="K1363" s="78">
        <f t="shared" si="629"/>
        <v>100</v>
      </c>
      <c r="L1363" s="14">
        <f t="shared" si="634"/>
        <v>0</v>
      </c>
      <c r="M1363" s="50"/>
      <c r="N1363" s="50"/>
    </row>
    <row r="1364" spans="1:14" ht="62.4" x14ac:dyDescent="0.3">
      <c r="A1364" s="8" t="s">
        <v>1412</v>
      </c>
      <c r="B1364" s="62" t="s">
        <v>912</v>
      </c>
      <c r="C1364" s="68" t="s">
        <v>1372</v>
      </c>
      <c r="D1364" s="68" t="s">
        <v>1477</v>
      </c>
      <c r="E1364" s="8" t="s">
        <v>340</v>
      </c>
      <c r="F1364" s="8"/>
      <c r="G1364" s="13" t="s">
        <v>845</v>
      </c>
      <c r="H1364" s="14">
        <f t="shared" si="634"/>
        <v>95</v>
      </c>
      <c r="I1364" s="14">
        <f t="shared" si="634"/>
        <v>95</v>
      </c>
      <c r="J1364" s="14">
        <f t="shared" si="634"/>
        <v>95</v>
      </c>
      <c r="K1364" s="78">
        <f t="shared" si="629"/>
        <v>100</v>
      </c>
      <c r="L1364" s="14">
        <f t="shared" si="634"/>
        <v>0</v>
      </c>
      <c r="M1364" s="50"/>
      <c r="N1364" s="50"/>
    </row>
    <row r="1365" spans="1:14" ht="31.2" x14ac:dyDescent="0.3">
      <c r="A1365" s="8" t="s">
        <v>1412</v>
      </c>
      <c r="B1365" s="62" t="s">
        <v>912</v>
      </c>
      <c r="C1365" s="68" t="s">
        <v>1372</v>
      </c>
      <c r="D1365" s="68" t="s">
        <v>1477</v>
      </c>
      <c r="E1365" s="8" t="s">
        <v>340</v>
      </c>
      <c r="F1365" s="45" t="s">
        <v>402</v>
      </c>
      <c r="G1365" s="23" t="s">
        <v>819</v>
      </c>
      <c r="H1365" s="14">
        <f t="shared" si="634"/>
        <v>95</v>
      </c>
      <c r="I1365" s="14">
        <f t="shared" si="634"/>
        <v>95</v>
      </c>
      <c r="J1365" s="14">
        <f t="shared" si="634"/>
        <v>95</v>
      </c>
      <c r="K1365" s="78">
        <f t="shared" si="629"/>
        <v>100</v>
      </c>
      <c r="L1365" s="14">
        <f t="shared" si="634"/>
        <v>0</v>
      </c>
      <c r="M1365" s="50"/>
      <c r="N1365" s="50"/>
    </row>
    <row r="1366" spans="1:14" ht="46.8" x14ac:dyDescent="0.3">
      <c r="A1366" s="8" t="s">
        <v>1412</v>
      </c>
      <c r="B1366" s="62" t="s">
        <v>912</v>
      </c>
      <c r="C1366" s="68" t="s">
        <v>1372</v>
      </c>
      <c r="D1366" s="68" t="s">
        <v>1477</v>
      </c>
      <c r="E1366" s="8" t="s">
        <v>340</v>
      </c>
      <c r="F1366" s="45" t="s">
        <v>280</v>
      </c>
      <c r="G1366" s="23" t="s">
        <v>821</v>
      </c>
      <c r="H1366" s="14">
        <v>95</v>
      </c>
      <c r="I1366" s="14">
        <v>95</v>
      </c>
      <c r="J1366" s="14">
        <v>95</v>
      </c>
      <c r="K1366" s="78">
        <f t="shared" si="629"/>
        <v>100</v>
      </c>
      <c r="L1366" s="14"/>
      <c r="M1366" s="50"/>
      <c r="N1366" s="50"/>
    </row>
    <row r="1367" spans="1:14" ht="46.8" x14ac:dyDescent="0.3">
      <c r="A1367" s="8" t="s">
        <v>1412</v>
      </c>
      <c r="B1367" s="62" t="s">
        <v>912</v>
      </c>
      <c r="C1367" s="68" t="s">
        <v>1372</v>
      </c>
      <c r="D1367" s="68" t="s">
        <v>1477</v>
      </c>
      <c r="E1367" s="8" t="s">
        <v>341</v>
      </c>
      <c r="F1367" s="8"/>
      <c r="G1367" s="13" t="s">
        <v>846</v>
      </c>
      <c r="H1367" s="14">
        <f t="shared" ref="H1367:L1369" si="635">H1368</f>
        <v>25</v>
      </c>
      <c r="I1367" s="14">
        <f t="shared" si="635"/>
        <v>25</v>
      </c>
      <c r="J1367" s="14">
        <f t="shared" si="635"/>
        <v>25</v>
      </c>
      <c r="K1367" s="78">
        <f t="shared" si="629"/>
        <v>100</v>
      </c>
      <c r="L1367" s="14">
        <f t="shared" si="635"/>
        <v>0</v>
      </c>
      <c r="M1367" s="50"/>
      <c r="N1367" s="50"/>
    </row>
    <row r="1368" spans="1:14" ht="62.4" x14ac:dyDescent="0.3">
      <c r="A1368" s="8" t="s">
        <v>1412</v>
      </c>
      <c r="B1368" s="62" t="s">
        <v>912</v>
      </c>
      <c r="C1368" s="68" t="s">
        <v>1372</v>
      </c>
      <c r="D1368" s="68" t="s">
        <v>1477</v>
      </c>
      <c r="E1368" s="8" t="s">
        <v>342</v>
      </c>
      <c r="F1368" s="8"/>
      <c r="G1368" s="13" t="s">
        <v>847</v>
      </c>
      <c r="H1368" s="14">
        <f t="shared" si="635"/>
        <v>25</v>
      </c>
      <c r="I1368" s="14">
        <f t="shared" si="635"/>
        <v>25</v>
      </c>
      <c r="J1368" s="14">
        <f t="shared" si="635"/>
        <v>25</v>
      </c>
      <c r="K1368" s="78">
        <f t="shared" si="629"/>
        <v>100</v>
      </c>
      <c r="L1368" s="14">
        <f t="shared" si="635"/>
        <v>0</v>
      </c>
      <c r="M1368" s="50"/>
      <c r="N1368" s="50"/>
    </row>
    <row r="1369" spans="1:14" ht="31.2" x14ac:dyDescent="0.3">
      <c r="A1369" s="8" t="s">
        <v>1412</v>
      </c>
      <c r="B1369" s="62" t="s">
        <v>912</v>
      </c>
      <c r="C1369" s="68" t="s">
        <v>1372</v>
      </c>
      <c r="D1369" s="68" t="s">
        <v>1477</v>
      </c>
      <c r="E1369" s="8" t="s">
        <v>342</v>
      </c>
      <c r="F1369" s="45" t="s">
        <v>402</v>
      </c>
      <c r="G1369" s="23" t="s">
        <v>819</v>
      </c>
      <c r="H1369" s="14">
        <f t="shared" si="635"/>
        <v>25</v>
      </c>
      <c r="I1369" s="14">
        <f t="shared" si="635"/>
        <v>25</v>
      </c>
      <c r="J1369" s="14">
        <f t="shared" si="635"/>
        <v>25</v>
      </c>
      <c r="K1369" s="78">
        <f t="shared" si="629"/>
        <v>100</v>
      </c>
      <c r="L1369" s="14">
        <f t="shared" si="635"/>
        <v>0</v>
      </c>
      <c r="M1369" s="50"/>
      <c r="N1369" s="50"/>
    </row>
    <row r="1370" spans="1:14" ht="46.8" x14ac:dyDescent="0.3">
      <c r="A1370" s="8" t="s">
        <v>1412</v>
      </c>
      <c r="B1370" s="62" t="s">
        <v>912</v>
      </c>
      <c r="C1370" s="68" t="s">
        <v>1372</v>
      </c>
      <c r="D1370" s="68" t="s">
        <v>1477</v>
      </c>
      <c r="E1370" s="8" t="s">
        <v>342</v>
      </c>
      <c r="F1370" s="45" t="s">
        <v>280</v>
      </c>
      <c r="G1370" s="23" t="s">
        <v>821</v>
      </c>
      <c r="H1370" s="14">
        <v>25</v>
      </c>
      <c r="I1370" s="14">
        <v>25</v>
      </c>
      <c r="J1370" s="14">
        <v>25</v>
      </c>
      <c r="K1370" s="78">
        <f t="shared" si="629"/>
        <v>100</v>
      </c>
      <c r="L1370" s="14"/>
      <c r="M1370" s="50"/>
      <c r="N1370" s="50"/>
    </row>
    <row r="1371" spans="1:14" x14ac:dyDescent="0.3">
      <c r="A1371" s="8" t="s">
        <v>1412</v>
      </c>
      <c r="B1371" s="62" t="s">
        <v>912</v>
      </c>
      <c r="C1371" s="68" t="s">
        <v>1372</v>
      </c>
      <c r="D1371" s="68" t="s">
        <v>1477</v>
      </c>
      <c r="E1371" s="8" t="s">
        <v>354</v>
      </c>
      <c r="F1371" s="8"/>
      <c r="G1371" s="13" t="s">
        <v>869</v>
      </c>
      <c r="H1371" s="14">
        <f>H1372+H1383</f>
        <v>11952.86</v>
      </c>
      <c r="I1371" s="14">
        <f>I1372+I1383</f>
        <v>11952.86</v>
      </c>
      <c r="J1371" s="14">
        <f t="shared" ref="J1371" si="636">J1372+J1383</f>
        <v>11821.199410000001</v>
      </c>
      <c r="K1371" s="78">
        <f t="shared" si="629"/>
        <v>98.89850136285375</v>
      </c>
      <c r="L1371" s="14">
        <f>L1372+L1383</f>
        <v>0</v>
      </c>
      <c r="M1371" s="50"/>
      <c r="N1371" s="50"/>
    </row>
    <row r="1372" spans="1:14" ht="46.8" x14ac:dyDescent="0.3">
      <c r="A1372" s="8" t="s">
        <v>1412</v>
      </c>
      <c r="B1372" s="62" t="s">
        <v>912</v>
      </c>
      <c r="C1372" s="68" t="s">
        <v>1372</v>
      </c>
      <c r="D1372" s="68" t="s">
        <v>1477</v>
      </c>
      <c r="E1372" s="8" t="s">
        <v>648</v>
      </c>
      <c r="F1372" s="8"/>
      <c r="G1372" s="13" t="s">
        <v>870</v>
      </c>
      <c r="H1372" s="14">
        <f t="shared" ref="H1372:L1372" si="637">H1373</f>
        <v>5931.4779999999992</v>
      </c>
      <c r="I1372" s="14">
        <f t="shared" si="637"/>
        <v>5931.4780000000001</v>
      </c>
      <c r="J1372" s="14">
        <f t="shared" si="637"/>
        <v>5931.18649</v>
      </c>
      <c r="K1372" s="78">
        <f t="shared" si="629"/>
        <v>99.995085373325168</v>
      </c>
      <c r="L1372" s="14">
        <f t="shared" si="637"/>
        <v>0</v>
      </c>
      <c r="M1372" s="50"/>
      <c r="N1372" s="50"/>
    </row>
    <row r="1373" spans="1:14" ht="46.8" x14ac:dyDescent="0.3">
      <c r="A1373" s="8" t="s">
        <v>1412</v>
      </c>
      <c r="B1373" s="62" t="s">
        <v>912</v>
      </c>
      <c r="C1373" s="68" t="s">
        <v>1372</v>
      </c>
      <c r="D1373" s="68" t="s">
        <v>1477</v>
      </c>
      <c r="E1373" s="8" t="s">
        <v>1305</v>
      </c>
      <c r="F1373" s="8"/>
      <c r="G1373" s="18" t="s">
        <v>115</v>
      </c>
      <c r="H1373" s="14">
        <f>H1374+H1377+H1380</f>
        <v>5931.4779999999992</v>
      </c>
      <c r="I1373" s="14">
        <f>I1374+I1377+I1380</f>
        <v>5931.4780000000001</v>
      </c>
      <c r="J1373" s="14">
        <f t="shared" ref="J1373" si="638">J1374+J1377+J1380</f>
        <v>5931.18649</v>
      </c>
      <c r="K1373" s="78">
        <f t="shared" si="629"/>
        <v>99.995085373325168</v>
      </c>
      <c r="L1373" s="14">
        <f>L1374+L1377+L1380</f>
        <v>0</v>
      </c>
      <c r="M1373" s="50"/>
      <c r="N1373" s="50"/>
    </row>
    <row r="1374" spans="1:14" ht="31.2" x14ac:dyDescent="0.3">
      <c r="A1374" s="8" t="s">
        <v>1412</v>
      </c>
      <c r="B1374" s="62" t="s">
        <v>912</v>
      </c>
      <c r="C1374" s="68" t="s">
        <v>1372</v>
      </c>
      <c r="D1374" s="68" t="s">
        <v>1477</v>
      </c>
      <c r="E1374" s="8" t="s">
        <v>1306</v>
      </c>
      <c r="F1374" s="8"/>
      <c r="G1374" s="13" t="s">
        <v>872</v>
      </c>
      <c r="H1374" s="14">
        <f t="shared" ref="H1374:L1375" si="639">H1375</f>
        <v>4906.7779999999993</v>
      </c>
      <c r="I1374" s="14">
        <f t="shared" si="639"/>
        <v>4906.7780000000002</v>
      </c>
      <c r="J1374" s="14">
        <f t="shared" si="639"/>
        <v>4906.5538900000001</v>
      </c>
      <c r="K1374" s="78">
        <f t="shared" si="629"/>
        <v>99.995432644395152</v>
      </c>
      <c r="L1374" s="14">
        <f t="shared" si="639"/>
        <v>0</v>
      </c>
      <c r="M1374" s="50"/>
      <c r="N1374" s="50"/>
    </row>
    <row r="1375" spans="1:14" ht="31.2" x14ac:dyDescent="0.3">
      <c r="A1375" s="8" t="s">
        <v>1412</v>
      </c>
      <c r="B1375" s="62" t="s">
        <v>912</v>
      </c>
      <c r="C1375" s="68" t="s">
        <v>1372</v>
      </c>
      <c r="D1375" s="68" t="s">
        <v>1477</v>
      </c>
      <c r="E1375" s="8" t="s">
        <v>1306</v>
      </c>
      <c r="F1375" s="45" t="s">
        <v>402</v>
      </c>
      <c r="G1375" s="23" t="s">
        <v>819</v>
      </c>
      <c r="H1375" s="14">
        <f t="shared" si="639"/>
        <v>4906.7779999999993</v>
      </c>
      <c r="I1375" s="14">
        <f t="shared" si="639"/>
        <v>4906.7780000000002</v>
      </c>
      <c r="J1375" s="14">
        <f t="shared" si="639"/>
        <v>4906.5538900000001</v>
      </c>
      <c r="K1375" s="78">
        <f t="shared" si="629"/>
        <v>99.995432644395152</v>
      </c>
      <c r="L1375" s="14">
        <f t="shared" si="639"/>
        <v>0</v>
      </c>
      <c r="M1375" s="50"/>
      <c r="N1375" s="50"/>
    </row>
    <row r="1376" spans="1:14" ht="46.8" x14ac:dyDescent="0.3">
      <c r="A1376" s="8" t="s">
        <v>1412</v>
      </c>
      <c r="B1376" s="62" t="s">
        <v>912</v>
      </c>
      <c r="C1376" s="68" t="s">
        <v>1372</v>
      </c>
      <c r="D1376" s="68" t="s">
        <v>1477</v>
      </c>
      <c r="E1376" s="8" t="s">
        <v>1306</v>
      </c>
      <c r="F1376" s="45" t="s">
        <v>280</v>
      </c>
      <c r="G1376" s="23" t="s">
        <v>821</v>
      </c>
      <c r="H1376" s="14">
        <f>5005.9-99.122</f>
        <v>4906.7779999999993</v>
      </c>
      <c r="I1376" s="14">
        <v>4906.7780000000002</v>
      </c>
      <c r="J1376" s="14">
        <v>4906.5538900000001</v>
      </c>
      <c r="K1376" s="78">
        <f t="shared" si="629"/>
        <v>99.995432644395152</v>
      </c>
      <c r="L1376" s="14"/>
      <c r="M1376" s="50"/>
      <c r="N1376" s="50"/>
    </row>
    <row r="1377" spans="1:14" ht="31.2" x14ac:dyDescent="0.3">
      <c r="A1377" s="8" t="s">
        <v>1412</v>
      </c>
      <c r="B1377" s="62" t="s">
        <v>912</v>
      </c>
      <c r="C1377" s="68" t="s">
        <v>1372</v>
      </c>
      <c r="D1377" s="68" t="s">
        <v>1477</v>
      </c>
      <c r="E1377" s="8" t="s">
        <v>1307</v>
      </c>
      <c r="F1377" s="8"/>
      <c r="G1377" s="18" t="s">
        <v>758</v>
      </c>
      <c r="H1377" s="14">
        <f t="shared" ref="H1377:L1378" si="640">H1378</f>
        <v>612.70000000000005</v>
      </c>
      <c r="I1377" s="14">
        <f t="shared" si="640"/>
        <v>612.70000000000005</v>
      </c>
      <c r="J1377" s="14">
        <f t="shared" si="640"/>
        <v>612.70000000000005</v>
      </c>
      <c r="K1377" s="78">
        <f t="shared" si="629"/>
        <v>100</v>
      </c>
      <c r="L1377" s="14">
        <f t="shared" si="640"/>
        <v>0</v>
      </c>
      <c r="M1377" s="50"/>
      <c r="N1377" s="50"/>
    </row>
    <row r="1378" spans="1:14" ht="31.2" x14ac:dyDescent="0.3">
      <c r="A1378" s="8" t="s">
        <v>1412</v>
      </c>
      <c r="B1378" s="62" t="s">
        <v>912</v>
      </c>
      <c r="C1378" s="68" t="s">
        <v>1372</v>
      </c>
      <c r="D1378" s="68" t="s">
        <v>1477</v>
      </c>
      <c r="E1378" s="8" t="s">
        <v>1307</v>
      </c>
      <c r="F1378" s="45" t="s">
        <v>402</v>
      </c>
      <c r="G1378" s="23" t="s">
        <v>819</v>
      </c>
      <c r="H1378" s="14">
        <f t="shared" si="640"/>
        <v>612.70000000000005</v>
      </c>
      <c r="I1378" s="14">
        <f t="shared" si="640"/>
        <v>612.70000000000005</v>
      </c>
      <c r="J1378" s="14">
        <f t="shared" si="640"/>
        <v>612.70000000000005</v>
      </c>
      <c r="K1378" s="78">
        <f t="shared" si="629"/>
        <v>100</v>
      </c>
      <c r="L1378" s="14">
        <f t="shared" si="640"/>
        <v>0</v>
      </c>
      <c r="M1378" s="50"/>
      <c r="N1378" s="50"/>
    </row>
    <row r="1379" spans="1:14" ht="46.8" x14ac:dyDescent="0.3">
      <c r="A1379" s="8" t="s">
        <v>1412</v>
      </c>
      <c r="B1379" s="62" t="s">
        <v>912</v>
      </c>
      <c r="C1379" s="68" t="s">
        <v>1372</v>
      </c>
      <c r="D1379" s="68" t="s">
        <v>1477</v>
      </c>
      <c r="E1379" s="8" t="s">
        <v>1307</v>
      </c>
      <c r="F1379" s="45" t="s">
        <v>280</v>
      </c>
      <c r="G1379" s="23" t="s">
        <v>821</v>
      </c>
      <c r="H1379" s="14">
        <v>612.70000000000005</v>
      </c>
      <c r="I1379" s="14">
        <v>612.70000000000005</v>
      </c>
      <c r="J1379" s="14">
        <v>612.70000000000005</v>
      </c>
      <c r="K1379" s="78">
        <f t="shared" si="629"/>
        <v>100</v>
      </c>
      <c r="L1379" s="14"/>
      <c r="M1379" s="50"/>
      <c r="N1379" s="50"/>
    </row>
    <row r="1380" spans="1:14" ht="62.4" x14ac:dyDescent="0.3">
      <c r="A1380" s="8" t="s">
        <v>1412</v>
      </c>
      <c r="B1380" s="62" t="s">
        <v>912</v>
      </c>
      <c r="C1380" s="68" t="s">
        <v>1372</v>
      </c>
      <c r="D1380" s="68" t="s">
        <v>1477</v>
      </c>
      <c r="E1380" s="8" t="s">
        <v>1308</v>
      </c>
      <c r="F1380" s="8"/>
      <c r="G1380" s="13" t="s">
        <v>301</v>
      </c>
      <c r="H1380" s="14">
        <f t="shared" ref="H1380:L1381" si="641">H1381</f>
        <v>412</v>
      </c>
      <c r="I1380" s="14">
        <f t="shared" si="641"/>
        <v>412</v>
      </c>
      <c r="J1380" s="14">
        <f t="shared" si="641"/>
        <v>411.93259999999998</v>
      </c>
      <c r="K1380" s="78">
        <f t="shared" si="629"/>
        <v>99.983640776699019</v>
      </c>
      <c r="L1380" s="14">
        <f t="shared" si="641"/>
        <v>0</v>
      </c>
      <c r="M1380" s="50"/>
      <c r="N1380" s="50"/>
    </row>
    <row r="1381" spans="1:14" ht="31.2" x14ac:dyDescent="0.3">
      <c r="A1381" s="8" t="s">
        <v>1412</v>
      </c>
      <c r="B1381" s="62" t="s">
        <v>912</v>
      </c>
      <c r="C1381" s="68" t="s">
        <v>1372</v>
      </c>
      <c r="D1381" s="68" t="s">
        <v>1477</v>
      </c>
      <c r="E1381" s="8" t="s">
        <v>1308</v>
      </c>
      <c r="F1381" s="45" t="s">
        <v>402</v>
      </c>
      <c r="G1381" s="23" t="s">
        <v>819</v>
      </c>
      <c r="H1381" s="14">
        <f t="shared" si="641"/>
        <v>412</v>
      </c>
      <c r="I1381" s="14">
        <f t="shared" si="641"/>
        <v>412</v>
      </c>
      <c r="J1381" s="14">
        <f t="shared" si="641"/>
        <v>411.93259999999998</v>
      </c>
      <c r="K1381" s="78">
        <f t="shared" si="629"/>
        <v>99.983640776699019</v>
      </c>
      <c r="L1381" s="14">
        <f t="shared" si="641"/>
        <v>0</v>
      </c>
      <c r="M1381" s="50"/>
      <c r="N1381" s="50"/>
    </row>
    <row r="1382" spans="1:14" ht="46.8" x14ac:dyDescent="0.3">
      <c r="A1382" s="8" t="s">
        <v>1412</v>
      </c>
      <c r="B1382" s="62" t="s">
        <v>912</v>
      </c>
      <c r="C1382" s="68" t="s">
        <v>1372</v>
      </c>
      <c r="D1382" s="68" t="s">
        <v>1477</v>
      </c>
      <c r="E1382" s="8" t="s">
        <v>1308</v>
      </c>
      <c r="F1382" s="45" t="s">
        <v>280</v>
      </c>
      <c r="G1382" s="23" t="s">
        <v>821</v>
      </c>
      <c r="H1382" s="14">
        <v>412</v>
      </c>
      <c r="I1382" s="14">
        <v>412</v>
      </c>
      <c r="J1382" s="14">
        <v>411.93259999999998</v>
      </c>
      <c r="K1382" s="78">
        <f t="shared" si="629"/>
        <v>99.983640776699019</v>
      </c>
      <c r="L1382" s="14"/>
      <c r="M1382" s="50"/>
      <c r="N1382" s="50"/>
    </row>
    <row r="1383" spans="1:14" ht="31.2" x14ac:dyDescent="0.3">
      <c r="A1383" s="8" t="s">
        <v>1412</v>
      </c>
      <c r="B1383" s="62" t="s">
        <v>912</v>
      </c>
      <c r="C1383" s="68" t="s">
        <v>1372</v>
      </c>
      <c r="D1383" s="68" t="s">
        <v>1477</v>
      </c>
      <c r="E1383" s="8" t="s">
        <v>1310</v>
      </c>
      <c r="F1383" s="8"/>
      <c r="G1383" s="18" t="s">
        <v>116</v>
      </c>
      <c r="H1383" s="14">
        <f t="shared" ref="H1383:L1383" si="642">H1384</f>
        <v>6021.3820000000005</v>
      </c>
      <c r="I1383" s="14">
        <f t="shared" si="642"/>
        <v>6021.3819999999996</v>
      </c>
      <c r="J1383" s="14">
        <f t="shared" si="642"/>
        <v>5890.0129200000001</v>
      </c>
      <c r="K1383" s="78">
        <f t="shared" si="629"/>
        <v>97.81829021975355</v>
      </c>
      <c r="L1383" s="14">
        <f t="shared" si="642"/>
        <v>0</v>
      </c>
      <c r="M1383" s="50"/>
      <c r="N1383" s="50"/>
    </row>
    <row r="1384" spans="1:14" ht="78" x14ac:dyDescent="0.3">
      <c r="A1384" s="8" t="s">
        <v>1412</v>
      </c>
      <c r="B1384" s="62" t="s">
        <v>912</v>
      </c>
      <c r="C1384" s="68" t="s">
        <v>1372</v>
      </c>
      <c r="D1384" s="68" t="s">
        <v>1477</v>
      </c>
      <c r="E1384" s="8" t="s">
        <v>1311</v>
      </c>
      <c r="F1384" s="8"/>
      <c r="G1384" s="13" t="s">
        <v>873</v>
      </c>
      <c r="H1384" s="14">
        <f>H1385+H1390</f>
        <v>6021.3820000000005</v>
      </c>
      <c r="I1384" s="14">
        <f>I1385+I1390</f>
        <v>6021.3819999999996</v>
      </c>
      <c r="J1384" s="14">
        <f t="shared" ref="J1384" si="643">J1385+J1390</f>
        <v>5890.0129200000001</v>
      </c>
      <c r="K1384" s="78">
        <f t="shared" si="629"/>
        <v>97.81829021975355</v>
      </c>
      <c r="L1384" s="14">
        <f>L1385+L1390</f>
        <v>0</v>
      </c>
      <c r="M1384" s="50"/>
      <c r="N1384" s="50"/>
    </row>
    <row r="1385" spans="1:14" ht="31.2" x14ac:dyDescent="0.3">
      <c r="A1385" s="8" t="s">
        <v>1412</v>
      </c>
      <c r="B1385" s="62" t="s">
        <v>912</v>
      </c>
      <c r="C1385" s="68" t="s">
        <v>1372</v>
      </c>
      <c r="D1385" s="68" t="s">
        <v>1477</v>
      </c>
      <c r="E1385" s="8" t="s">
        <v>1312</v>
      </c>
      <c r="F1385" s="8"/>
      <c r="G1385" s="13" t="s">
        <v>874</v>
      </c>
      <c r="H1385" s="14">
        <f>H1386+H1388</f>
        <v>5800.1320000000005</v>
      </c>
      <c r="I1385" s="14">
        <f>I1386+I1388</f>
        <v>5800.1319999999996</v>
      </c>
      <c r="J1385" s="14">
        <f t="shared" ref="J1385" si="644">J1386+J1388</f>
        <v>5668.7629200000001</v>
      </c>
      <c r="K1385" s="78">
        <f t="shared" si="629"/>
        <v>97.735067408810707</v>
      </c>
      <c r="L1385" s="14">
        <f>L1386+L1388</f>
        <v>0</v>
      </c>
      <c r="M1385" s="50"/>
      <c r="N1385" s="50"/>
    </row>
    <row r="1386" spans="1:14" ht="31.2" x14ac:dyDescent="0.3">
      <c r="A1386" s="8" t="s">
        <v>1412</v>
      </c>
      <c r="B1386" s="62" t="s">
        <v>912</v>
      </c>
      <c r="C1386" s="68" t="s">
        <v>1372</v>
      </c>
      <c r="D1386" s="68" t="s">
        <v>1477</v>
      </c>
      <c r="E1386" s="8" t="s">
        <v>1312</v>
      </c>
      <c r="F1386" s="45" t="s">
        <v>380</v>
      </c>
      <c r="G1386" s="23" t="s">
        <v>809</v>
      </c>
      <c r="H1386" s="14">
        <f t="shared" ref="H1386:L1386" si="645">H1387</f>
        <v>5667.1320000000005</v>
      </c>
      <c r="I1386" s="14">
        <f t="shared" si="645"/>
        <v>5667.1319999999996</v>
      </c>
      <c r="J1386" s="14">
        <f t="shared" si="645"/>
        <v>5535.7629200000001</v>
      </c>
      <c r="K1386" s="78">
        <f t="shared" si="629"/>
        <v>97.681912473540422</v>
      </c>
      <c r="L1386" s="14">
        <f t="shared" si="645"/>
        <v>0</v>
      </c>
      <c r="M1386" s="50"/>
      <c r="N1386" s="50"/>
    </row>
    <row r="1387" spans="1:14" ht="31.2" x14ac:dyDescent="0.3">
      <c r="A1387" s="8" t="s">
        <v>1412</v>
      </c>
      <c r="B1387" s="62" t="s">
        <v>912</v>
      </c>
      <c r="C1387" s="68" t="s">
        <v>1372</v>
      </c>
      <c r="D1387" s="68" t="s">
        <v>1477</v>
      </c>
      <c r="E1387" s="8" t="s">
        <v>1312</v>
      </c>
      <c r="F1387" s="8" t="s">
        <v>247</v>
      </c>
      <c r="G1387" s="23" t="s">
        <v>810</v>
      </c>
      <c r="H1387" s="14">
        <f>6226+99.122-249.9-408.09</f>
        <v>5667.1320000000005</v>
      </c>
      <c r="I1387" s="14">
        <v>5667.1319999999996</v>
      </c>
      <c r="J1387" s="14">
        <v>5535.7629200000001</v>
      </c>
      <c r="K1387" s="78">
        <f t="shared" si="629"/>
        <v>97.681912473540422</v>
      </c>
      <c r="L1387" s="14"/>
      <c r="M1387" s="50"/>
      <c r="N1387" s="50"/>
    </row>
    <row r="1388" spans="1:14" x14ac:dyDescent="0.3">
      <c r="A1388" s="8" t="s">
        <v>1412</v>
      </c>
      <c r="B1388" s="62" t="s">
        <v>912</v>
      </c>
      <c r="C1388" s="68" t="s">
        <v>1372</v>
      </c>
      <c r="D1388" s="68" t="s">
        <v>1477</v>
      </c>
      <c r="E1388" s="8" t="s">
        <v>1312</v>
      </c>
      <c r="F1388" s="45" t="s">
        <v>464</v>
      </c>
      <c r="G1388" s="23" t="s">
        <v>822</v>
      </c>
      <c r="H1388" s="14">
        <f t="shared" ref="H1388:L1388" si="646">H1389</f>
        <v>133</v>
      </c>
      <c r="I1388" s="14">
        <f t="shared" si="646"/>
        <v>133</v>
      </c>
      <c r="J1388" s="14">
        <f t="shared" si="646"/>
        <v>133</v>
      </c>
      <c r="K1388" s="78">
        <f t="shared" si="629"/>
        <v>100</v>
      </c>
      <c r="L1388" s="14">
        <f t="shared" si="646"/>
        <v>0</v>
      </c>
      <c r="M1388" s="50"/>
      <c r="N1388" s="50"/>
    </row>
    <row r="1389" spans="1:14" x14ac:dyDescent="0.3">
      <c r="A1389" s="8" t="s">
        <v>1412</v>
      </c>
      <c r="B1389" s="62" t="s">
        <v>912</v>
      </c>
      <c r="C1389" s="68" t="s">
        <v>1372</v>
      </c>
      <c r="D1389" s="68" t="s">
        <v>1477</v>
      </c>
      <c r="E1389" s="8" t="s">
        <v>1312</v>
      </c>
      <c r="F1389" s="45" t="s">
        <v>729</v>
      </c>
      <c r="G1389" s="23" t="s">
        <v>824</v>
      </c>
      <c r="H1389" s="14">
        <v>133</v>
      </c>
      <c r="I1389" s="14">
        <v>133</v>
      </c>
      <c r="J1389" s="14">
        <v>133</v>
      </c>
      <c r="K1389" s="78">
        <f t="shared" si="629"/>
        <v>100</v>
      </c>
      <c r="L1389" s="14"/>
      <c r="M1389" s="50"/>
      <c r="N1389" s="50"/>
    </row>
    <row r="1390" spans="1:14" ht="78" x14ac:dyDescent="0.3">
      <c r="A1390" s="8" t="s">
        <v>1412</v>
      </c>
      <c r="B1390" s="62" t="s">
        <v>912</v>
      </c>
      <c r="C1390" s="68" t="s">
        <v>1372</v>
      </c>
      <c r="D1390" s="68" t="s">
        <v>1477</v>
      </c>
      <c r="E1390" s="8" t="s">
        <v>1313</v>
      </c>
      <c r="F1390" s="8"/>
      <c r="G1390" s="13" t="s">
        <v>875</v>
      </c>
      <c r="H1390" s="14">
        <f t="shared" ref="H1390:L1391" si="647">H1391</f>
        <v>221.25</v>
      </c>
      <c r="I1390" s="14">
        <f t="shared" si="647"/>
        <v>221.25</v>
      </c>
      <c r="J1390" s="14">
        <f t="shared" si="647"/>
        <v>221.25</v>
      </c>
      <c r="K1390" s="78">
        <f t="shared" si="629"/>
        <v>100</v>
      </c>
      <c r="L1390" s="14">
        <f t="shared" si="647"/>
        <v>0</v>
      </c>
      <c r="M1390" s="50"/>
      <c r="N1390" s="50"/>
    </row>
    <row r="1391" spans="1:14" ht="31.2" x14ac:dyDescent="0.3">
      <c r="A1391" s="8" t="s">
        <v>1412</v>
      </c>
      <c r="B1391" s="62" t="s">
        <v>912</v>
      </c>
      <c r="C1391" s="68" t="s">
        <v>1372</v>
      </c>
      <c r="D1391" s="68" t="s">
        <v>1477</v>
      </c>
      <c r="E1391" s="8" t="s">
        <v>1313</v>
      </c>
      <c r="F1391" s="45" t="s">
        <v>380</v>
      </c>
      <c r="G1391" s="23" t="s">
        <v>809</v>
      </c>
      <c r="H1391" s="14">
        <f t="shared" si="647"/>
        <v>221.25</v>
      </c>
      <c r="I1391" s="14">
        <f t="shared" si="647"/>
        <v>221.25</v>
      </c>
      <c r="J1391" s="14">
        <f t="shared" si="647"/>
        <v>221.25</v>
      </c>
      <c r="K1391" s="78">
        <f t="shared" si="629"/>
        <v>100</v>
      </c>
      <c r="L1391" s="14">
        <f t="shared" si="647"/>
        <v>0</v>
      </c>
      <c r="M1391" s="50"/>
      <c r="N1391" s="50"/>
    </row>
    <row r="1392" spans="1:14" ht="31.2" x14ac:dyDescent="0.3">
      <c r="A1392" s="8" t="s">
        <v>1412</v>
      </c>
      <c r="B1392" s="62" t="s">
        <v>912</v>
      </c>
      <c r="C1392" s="68" t="s">
        <v>1372</v>
      </c>
      <c r="D1392" s="68" t="s">
        <v>1477</v>
      </c>
      <c r="E1392" s="8" t="s">
        <v>1313</v>
      </c>
      <c r="F1392" s="8" t="s">
        <v>247</v>
      </c>
      <c r="G1392" s="23" t="s">
        <v>810</v>
      </c>
      <c r="H1392" s="14">
        <f>221.5-0.25</f>
        <v>221.25</v>
      </c>
      <c r="I1392" s="14">
        <v>221.25</v>
      </c>
      <c r="J1392" s="14">
        <v>221.25</v>
      </c>
      <c r="K1392" s="78">
        <f t="shared" si="629"/>
        <v>100</v>
      </c>
      <c r="L1392" s="14"/>
      <c r="M1392" s="50"/>
      <c r="N1392" s="50"/>
    </row>
    <row r="1393" spans="1:14" ht="31.2" x14ac:dyDescent="0.3">
      <c r="A1393" s="8" t="s">
        <v>1412</v>
      </c>
      <c r="B1393" s="62" t="s">
        <v>912</v>
      </c>
      <c r="C1393" s="68" t="s">
        <v>1372</v>
      </c>
      <c r="D1393" s="68" t="s">
        <v>1477</v>
      </c>
      <c r="E1393" s="8" t="s">
        <v>429</v>
      </c>
      <c r="F1393" s="8"/>
      <c r="G1393" s="13" t="s">
        <v>1140</v>
      </c>
      <c r="H1393" s="20">
        <v>0</v>
      </c>
      <c r="I1393" s="14">
        <f>I1394</f>
        <v>220</v>
      </c>
      <c r="J1393" s="14">
        <f t="shared" ref="J1393:L1395" si="648">J1394</f>
        <v>219.4</v>
      </c>
      <c r="K1393" s="78">
        <f t="shared" si="629"/>
        <v>99.727272727272734</v>
      </c>
      <c r="L1393" s="14">
        <f t="shared" si="648"/>
        <v>0</v>
      </c>
      <c r="M1393" s="50"/>
      <c r="N1393" s="50"/>
    </row>
    <row r="1394" spans="1:14" ht="46.8" x14ac:dyDescent="0.3">
      <c r="A1394" s="8" t="s">
        <v>1412</v>
      </c>
      <c r="B1394" s="62" t="s">
        <v>912</v>
      </c>
      <c r="C1394" s="68" t="s">
        <v>1372</v>
      </c>
      <c r="D1394" s="68" t="s">
        <v>1477</v>
      </c>
      <c r="E1394" s="8" t="s">
        <v>535</v>
      </c>
      <c r="F1394" s="8"/>
      <c r="G1394" s="13" t="s">
        <v>176</v>
      </c>
      <c r="H1394" s="20">
        <v>0</v>
      </c>
      <c r="I1394" s="14">
        <f>I1395</f>
        <v>220</v>
      </c>
      <c r="J1394" s="14">
        <f t="shared" si="648"/>
        <v>219.4</v>
      </c>
      <c r="K1394" s="78">
        <f t="shared" si="629"/>
        <v>99.727272727272734</v>
      </c>
      <c r="L1394" s="14">
        <f t="shared" si="648"/>
        <v>0</v>
      </c>
      <c r="M1394" s="50"/>
      <c r="N1394" s="50"/>
    </row>
    <row r="1395" spans="1:14" ht="31.2" x14ac:dyDescent="0.3">
      <c r="A1395" s="8" t="s">
        <v>1412</v>
      </c>
      <c r="B1395" s="62" t="s">
        <v>912</v>
      </c>
      <c r="C1395" s="68" t="s">
        <v>1372</v>
      </c>
      <c r="D1395" s="68" t="s">
        <v>1477</v>
      </c>
      <c r="E1395" s="8" t="s">
        <v>535</v>
      </c>
      <c r="F1395" s="45" t="s">
        <v>380</v>
      </c>
      <c r="G1395" s="23" t="s">
        <v>809</v>
      </c>
      <c r="H1395" s="20">
        <v>0</v>
      </c>
      <c r="I1395" s="14">
        <f>I1396</f>
        <v>220</v>
      </c>
      <c r="J1395" s="14">
        <f t="shared" si="648"/>
        <v>219.4</v>
      </c>
      <c r="K1395" s="78">
        <f t="shared" si="629"/>
        <v>99.727272727272734</v>
      </c>
      <c r="L1395" s="14">
        <f t="shared" si="648"/>
        <v>0</v>
      </c>
      <c r="M1395" s="50"/>
      <c r="N1395" s="50"/>
    </row>
    <row r="1396" spans="1:14" ht="31.2" x14ac:dyDescent="0.3">
      <c r="A1396" s="8" t="s">
        <v>1412</v>
      </c>
      <c r="B1396" s="62" t="s">
        <v>912</v>
      </c>
      <c r="C1396" s="68" t="s">
        <v>1372</v>
      </c>
      <c r="D1396" s="68" t="s">
        <v>1477</v>
      </c>
      <c r="E1396" s="8" t="s">
        <v>535</v>
      </c>
      <c r="F1396" s="8" t="s">
        <v>247</v>
      </c>
      <c r="G1396" s="23" t="s">
        <v>810</v>
      </c>
      <c r="H1396" s="20">
        <v>0</v>
      </c>
      <c r="I1396" s="14">
        <v>220</v>
      </c>
      <c r="J1396" s="14">
        <v>219.4</v>
      </c>
      <c r="K1396" s="78">
        <f t="shared" si="629"/>
        <v>99.727272727272734</v>
      </c>
      <c r="L1396" s="14"/>
      <c r="M1396" s="50"/>
      <c r="N1396" s="50"/>
    </row>
    <row r="1397" spans="1:14" s="3" customFormat="1" ht="31.2" x14ac:dyDescent="0.3">
      <c r="A1397" s="10" t="s">
        <v>1412</v>
      </c>
      <c r="B1397" s="43" t="s">
        <v>1391</v>
      </c>
      <c r="C1397" s="43" t="s">
        <v>1391</v>
      </c>
      <c r="D1397" s="43" t="s">
        <v>915</v>
      </c>
      <c r="E1397" s="10"/>
      <c r="F1397" s="10"/>
      <c r="G1397" s="5" t="s">
        <v>1415</v>
      </c>
      <c r="H1397" s="15">
        <f>H1398+H1410</f>
        <v>658.2</v>
      </c>
      <c r="I1397" s="15">
        <f>I1398+I1410</f>
        <v>17120.969150000001</v>
      </c>
      <c r="J1397" s="15">
        <f t="shared" ref="J1397" si="649">J1398+J1410</f>
        <v>17120.969150000001</v>
      </c>
      <c r="K1397" s="81">
        <f t="shared" si="629"/>
        <v>100</v>
      </c>
      <c r="L1397" s="15">
        <f>L1398+L1410</f>
        <v>0</v>
      </c>
      <c r="M1397" s="65"/>
      <c r="N1397" s="65"/>
    </row>
    <row r="1398" spans="1:14" s="9" customFormat="1" ht="46.8" x14ac:dyDescent="0.3">
      <c r="A1398" s="11" t="s">
        <v>1412</v>
      </c>
      <c r="B1398" s="48" t="s">
        <v>935</v>
      </c>
      <c r="C1398" s="48" t="s">
        <v>1391</v>
      </c>
      <c r="D1398" s="48" t="s">
        <v>1398</v>
      </c>
      <c r="E1398" s="11"/>
      <c r="F1398" s="11"/>
      <c r="G1398" s="7" t="s">
        <v>1420</v>
      </c>
      <c r="H1398" s="16">
        <f>H1405+H1399</f>
        <v>380</v>
      </c>
      <c r="I1398" s="16">
        <f>I1405+I1399</f>
        <v>380</v>
      </c>
      <c r="J1398" s="16">
        <f t="shared" ref="J1398" si="650">J1405+J1399</f>
        <v>380</v>
      </c>
      <c r="K1398" s="82">
        <f t="shared" si="629"/>
        <v>100</v>
      </c>
      <c r="L1398" s="16">
        <f>L1405+L1399</f>
        <v>0</v>
      </c>
      <c r="M1398" s="65"/>
      <c r="N1398" s="65"/>
    </row>
    <row r="1399" spans="1:14" ht="46.8" hidden="1" x14ac:dyDescent="0.3">
      <c r="A1399" s="8" t="s">
        <v>1412</v>
      </c>
      <c r="B1399" s="62" t="s">
        <v>935</v>
      </c>
      <c r="C1399" s="68" t="s">
        <v>1391</v>
      </c>
      <c r="D1399" s="68" t="s">
        <v>1398</v>
      </c>
      <c r="E1399" s="8" t="s">
        <v>381</v>
      </c>
      <c r="F1399" s="8"/>
      <c r="G1399" s="18" t="s">
        <v>1061</v>
      </c>
      <c r="H1399" s="14">
        <f t="shared" ref="H1399:L1403" si="651">H1400</f>
        <v>0</v>
      </c>
      <c r="I1399" s="14">
        <f t="shared" si="651"/>
        <v>0</v>
      </c>
      <c r="J1399" s="14">
        <f t="shared" si="651"/>
        <v>0</v>
      </c>
      <c r="K1399" s="78" t="e">
        <f t="shared" si="629"/>
        <v>#DIV/0!</v>
      </c>
      <c r="L1399" s="14">
        <f t="shared" si="651"/>
        <v>0</v>
      </c>
      <c r="M1399" s="50">
        <v>111</v>
      </c>
      <c r="N1399" s="50"/>
    </row>
    <row r="1400" spans="1:14" ht="62.4" hidden="1" x14ac:dyDescent="0.3">
      <c r="A1400" s="8" t="s">
        <v>1412</v>
      </c>
      <c r="B1400" s="62" t="s">
        <v>935</v>
      </c>
      <c r="C1400" s="68" t="s">
        <v>1391</v>
      </c>
      <c r="D1400" s="68" t="s">
        <v>1398</v>
      </c>
      <c r="E1400" s="8" t="s">
        <v>382</v>
      </c>
      <c r="F1400" s="8"/>
      <c r="G1400" s="18" t="s">
        <v>1062</v>
      </c>
      <c r="H1400" s="14">
        <f t="shared" si="651"/>
        <v>0</v>
      </c>
      <c r="I1400" s="14">
        <f t="shared" si="651"/>
        <v>0</v>
      </c>
      <c r="J1400" s="14">
        <f t="shared" si="651"/>
        <v>0</v>
      </c>
      <c r="K1400" s="78" t="e">
        <f t="shared" si="629"/>
        <v>#DIV/0!</v>
      </c>
      <c r="L1400" s="14">
        <f t="shared" si="651"/>
        <v>0</v>
      </c>
      <c r="M1400" s="50">
        <v>111</v>
      </c>
      <c r="N1400" s="50"/>
    </row>
    <row r="1401" spans="1:14" ht="46.8" hidden="1" x14ac:dyDescent="0.3">
      <c r="A1401" s="8" t="s">
        <v>1412</v>
      </c>
      <c r="B1401" s="62" t="s">
        <v>935</v>
      </c>
      <c r="C1401" s="68" t="s">
        <v>1391</v>
      </c>
      <c r="D1401" s="68" t="s">
        <v>1398</v>
      </c>
      <c r="E1401" s="8" t="s">
        <v>53</v>
      </c>
      <c r="F1401" s="8"/>
      <c r="G1401" s="31" t="s">
        <v>1318</v>
      </c>
      <c r="H1401" s="14">
        <f t="shared" si="651"/>
        <v>0</v>
      </c>
      <c r="I1401" s="14">
        <f t="shared" si="651"/>
        <v>0</v>
      </c>
      <c r="J1401" s="14">
        <f t="shared" si="651"/>
        <v>0</v>
      </c>
      <c r="K1401" s="78" t="e">
        <f t="shared" si="629"/>
        <v>#DIV/0!</v>
      </c>
      <c r="L1401" s="14">
        <f t="shared" si="651"/>
        <v>0</v>
      </c>
      <c r="M1401" s="50">
        <v>111</v>
      </c>
      <c r="N1401" s="50"/>
    </row>
    <row r="1402" spans="1:14" ht="31.2" hidden="1" x14ac:dyDescent="0.3">
      <c r="A1402" s="8" t="s">
        <v>1412</v>
      </c>
      <c r="B1402" s="62" t="s">
        <v>935</v>
      </c>
      <c r="C1402" s="68" t="s">
        <v>1391</v>
      </c>
      <c r="D1402" s="68" t="s">
        <v>1398</v>
      </c>
      <c r="E1402" s="8" t="s">
        <v>93</v>
      </c>
      <c r="F1402" s="8"/>
      <c r="G1402" s="23" t="s">
        <v>161</v>
      </c>
      <c r="H1402" s="14">
        <f t="shared" si="651"/>
        <v>0</v>
      </c>
      <c r="I1402" s="14">
        <f t="shared" si="651"/>
        <v>0</v>
      </c>
      <c r="J1402" s="14">
        <f t="shared" si="651"/>
        <v>0</v>
      </c>
      <c r="K1402" s="78" t="e">
        <f t="shared" si="629"/>
        <v>#DIV/0!</v>
      </c>
      <c r="L1402" s="14">
        <f t="shared" si="651"/>
        <v>0</v>
      </c>
      <c r="M1402" s="50">
        <v>111</v>
      </c>
      <c r="N1402" s="50"/>
    </row>
    <row r="1403" spans="1:14" ht="31.2" hidden="1" x14ac:dyDescent="0.3">
      <c r="A1403" s="8" t="s">
        <v>1412</v>
      </c>
      <c r="B1403" s="62" t="s">
        <v>935</v>
      </c>
      <c r="C1403" s="68" t="s">
        <v>1391</v>
      </c>
      <c r="D1403" s="68" t="s">
        <v>1398</v>
      </c>
      <c r="E1403" s="8" t="s">
        <v>93</v>
      </c>
      <c r="F1403" s="45" t="s">
        <v>380</v>
      </c>
      <c r="G1403" s="23" t="s">
        <v>809</v>
      </c>
      <c r="H1403" s="14">
        <f t="shared" si="651"/>
        <v>0</v>
      </c>
      <c r="I1403" s="14">
        <f t="shared" si="651"/>
        <v>0</v>
      </c>
      <c r="J1403" s="14">
        <f t="shared" si="651"/>
        <v>0</v>
      </c>
      <c r="K1403" s="78" t="e">
        <f t="shared" si="629"/>
        <v>#DIV/0!</v>
      </c>
      <c r="L1403" s="14">
        <f t="shared" si="651"/>
        <v>0</v>
      </c>
      <c r="M1403" s="50">
        <v>111</v>
      </c>
      <c r="N1403" s="50"/>
    </row>
    <row r="1404" spans="1:14" ht="31.2" hidden="1" x14ac:dyDescent="0.3">
      <c r="A1404" s="8" t="s">
        <v>1412</v>
      </c>
      <c r="B1404" s="62" t="s">
        <v>935</v>
      </c>
      <c r="C1404" s="68" t="s">
        <v>1391</v>
      </c>
      <c r="D1404" s="68" t="s">
        <v>1398</v>
      </c>
      <c r="E1404" s="8" t="s">
        <v>93</v>
      </c>
      <c r="F1404" s="8" t="s">
        <v>247</v>
      </c>
      <c r="G1404" s="23" t="s">
        <v>810</v>
      </c>
      <c r="H1404" s="14">
        <v>0</v>
      </c>
      <c r="I1404" s="14">
        <v>0</v>
      </c>
      <c r="J1404" s="19">
        <v>0</v>
      </c>
      <c r="K1404" s="75" t="e">
        <f t="shared" si="629"/>
        <v>#DIV/0!</v>
      </c>
      <c r="L1404" s="14"/>
      <c r="M1404" s="50">
        <v>111</v>
      </c>
      <c r="N1404" s="50"/>
    </row>
    <row r="1405" spans="1:14" ht="31.2" x14ac:dyDescent="0.3">
      <c r="A1405" s="8" t="s">
        <v>1412</v>
      </c>
      <c r="B1405" s="62" t="s">
        <v>935</v>
      </c>
      <c r="C1405" s="68" t="s">
        <v>1391</v>
      </c>
      <c r="D1405" s="68" t="s">
        <v>1398</v>
      </c>
      <c r="E1405" s="8" t="s">
        <v>429</v>
      </c>
      <c r="F1405" s="8"/>
      <c r="G1405" s="23" t="s">
        <v>1140</v>
      </c>
      <c r="H1405" s="14">
        <f t="shared" ref="H1405:L1408" si="652">H1406</f>
        <v>380</v>
      </c>
      <c r="I1405" s="14">
        <f t="shared" si="652"/>
        <v>380</v>
      </c>
      <c r="J1405" s="14">
        <f t="shared" si="652"/>
        <v>380</v>
      </c>
      <c r="K1405" s="78">
        <f t="shared" si="629"/>
        <v>100</v>
      </c>
      <c r="L1405" s="14">
        <f t="shared" si="652"/>
        <v>0</v>
      </c>
      <c r="M1405" s="50"/>
      <c r="N1405" s="50"/>
    </row>
    <row r="1406" spans="1:14" x14ac:dyDescent="0.3">
      <c r="A1406" s="8" t="s">
        <v>1412</v>
      </c>
      <c r="B1406" s="62" t="s">
        <v>935</v>
      </c>
      <c r="C1406" s="68" t="s">
        <v>1391</v>
      </c>
      <c r="D1406" s="68" t="s">
        <v>1398</v>
      </c>
      <c r="E1406" s="8" t="s">
        <v>430</v>
      </c>
      <c r="F1406" s="8"/>
      <c r="G1406" s="23" t="s">
        <v>1141</v>
      </c>
      <c r="H1406" s="14">
        <f t="shared" si="652"/>
        <v>380</v>
      </c>
      <c r="I1406" s="14">
        <f t="shared" si="652"/>
        <v>380</v>
      </c>
      <c r="J1406" s="14">
        <f t="shared" si="652"/>
        <v>380</v>
      </c>
      <c r="K1406" s="78">
        <f t="shared" si="629"/>
        <v>100</v>
      </c>
      <c r="L1406" s="14">
        <f t="shared" si="652"/>
        <v>0</v>
      </c>
      <c r="M1406" s="50"/>
      <c r="N1406" s="50"/>
    </row>
    <row r="1407" spans="1:14" ht="46.8" x14ac:dyDescent="0.3">
      <c r="A1407" s="8" t="s">
        <v>1412</v>
      </c>
      <c r="B1407" s="62" t="s">
        <v>935</v>
      </c>
      <c r="C1407" s="68" t="s">
        <v>1391</v>
      </c>
      <c r="D1407" s="68" t="s">
        <v>1398</v>
      </c>
      <c r="E1407" s="8" t="s">
        <v>444</v>
      </c>
      <c r="F1407" s="8"/>
      <c r="G1407" s="18" t="s">
        <v>1143</v>
      </c>
      <c r="H1407" s="14">
        <f t="shared" si="652"/>
        <v>380</v>
      </c>
      <c r="I1407" s="14">
        <f t="shared" si="652"/>
        <v>380</v>
      </c>
      <c r="J1407" s="14">
        <f t="shared" si="652"/>
        <v>380</v>
      </c>
      <c r="K1407" s="78">
        <f t="shared" si="629"/>
        <v>100</v>
      </c>
      <c r="L1407" s="14">
        <f t="shared" si="652"/>
        <v>0</v>
      </c>
      <c r="M1407" s="50"/>
      <c r="N1407" s="50"/>
    </row>
    <row r="1408" spans="1:14" ht="31.2" x14ac:dyDescent="0.3">
      <c r="A1408" s="8" t="s">
        <v>1412</v>
      </c>
      <c r="B1408" s="62" t="s">
        <v>935</v>
      </c>
      <c r="C1408" s="68" t="s">
        <v>1391</v>
      </c>
      <c r="D1408" s="68" t="s">
        <v>1398</v>
      </c>
      <c r="E1408" s="8" t="s">
        <v>444</v>
      </c>
      <c r="F1408" s="45" t="s">
        <v>380</v>
      </c>
      <c r="G1408" s="23" t="s">
        <v>809</v>
      </c>
      <c r="H1408" s="14">
        <f t="shared" si="652"/>
        <v>380</v>
      </c>
      <c r="I1408" s="14">
        <f t="shared" si="652"/>
        <v>380</v>
      </c>
      <c r="J1408" s="14">
        <f t="shared" si="652"/>
        <v>380</v>
      </c>
      <c r="K1408" s="78">
        <f t="shared" si="629"/>
        <v>100</v>
      </c>
      <c r="L1408" s="14">
        <f t="shared" si="652"/>
        <v>0</v>
      </c>
      <c r="M1408" s="50"/>
      <c r="N1408" s="50"/>
    </row>
    <row r="1409" spans="1:14" ht="31.2" x14ac:dyDescent="0.3">
      <c r="A1409" s="8" t="s">
        <v>1412</v>
      </c>
      <c r="B1409" s="62" t="s">
        <v>935</v>
      </c>
      <c r="C1409" s="68" t="s">
        <v>1391</v>
      </c>
      <c r="D1409" s="68" t="s">
        <v>1398</v>
      </c>
      <c r="E1409" s="8" t="s">
        <v>444</v>
      </c>
      <c r="F1409" s="8" t="s">
        <v>247</v>
      </c>
      <c r="G1409" s="23" t="s">
        <v>810</v>
      </c>
      <c r="H1409" s="14">
        <v>380</v>
      </c>
      <c r="I1409" s="14">
        <v>380</v>
      </c>
      <c r="J1409" s="14">
        <v>380</v>
      </c>
      <c r="K1409" s="78">
        <f t="shared" si="629"/>
        <v>100</v>
      </c>
      <c r="L1409" s="14"/>
      <c r="M1409" s="50"/>
      <c r="N1409" s="50"/>
    </row>
    <row r="1410" spans="1:14" s="9" customFormat="1" ht="31.2" x14ac:dyDescent="0.3">
      <c r="A1410" s="11" t="s">
        <v>1412</v>
      </c>
      <c r="B1410" s="48" t="s">
        <v>936</v>
      </c>
      <c r="C1410" s="48" t="s">
        <v>1391</v>
      </c>
      <c r="D1410" s="48" t="s">
        <v>1480</v>
      </c>
      <c r="E1410" s="11"/>
      <c r="F1410" s="11"/>
      <c r="G1410" s="7" t="s">
        <v>1421</v>
      </c>
      <c r="H1410" s="16">
        <f>H1411+H1417</f>
        <v>278.2</v>
      </c>
      <c r="I1410" s="16">
        <f>I1411+I1417+I1425+I1435</f>
        <v>16740.969150000001</v>
      </c>
      <c r="J1410" s="16">
        <f t="shared" ref="J1410:L1410" si="653">J1411+J1417+J1425+J1435</f>
        <v>16740.969150000001</v>
      </c>
      <c r="K1410" s="82">
        <f t="shared" si="629"/>
        <v>100</v>
      </c>
      <c r="L1410" s="16">
        <f t="shared" si="653"/>
        <v>0</v>
      </c>
      <c r="M1410" s="65"/>
      <c r="N1410" s="65"/>
    </row>
    <row r="1411" spans="1:14" ht="31.2" x14ac:dyDescent="0.3">
      <c r="A1411" s="8" t="s">
        <v>1412</v>
      </c>
      <c r="B1411" s="62" t="s">
        <v>936</v>
      </c>
      <c r="C1411" s="68" t="s">
        <v>1391</v>
      </c>
      <c r="D1411" s="68" t="s">
        <v>1480</v>
      </c>
      <c r="E1411" s="8" t="s">
        <v>383</v>
      </c>
      <c r="F1411" s="8"/>
      <c r="G1411" s="13" t="s">
        <v>1055</v>
      </c>
      <c r="H1411" s="14">
        <f t="shared" ref="H1411:L1415" si="654">H1412</f>
        <v>245.7</v>
      </c>
      <c r="I1411" s="14">
        <f t="shared" si="654"/>
        <v>245.7</v>
      </c>
      <c r="J1411" s="14">
        <f t="shared" si="654"/>
        <v>245.7</v>
      </c>
      <c r="K1411" s="78">
        <f t="shared" si="629"/>
        <v>100</v>
      </c>
      <c r="L1411" s="14">
        <f t="shared" si="654"/>
        <v>0</v>
      </c>
      <c r="M1411" s="50"/>
      <c r="N1411" s="50"/>
    </row>
    <row r="1412" spans="1:14" ht="46.8" x14ac:dyDescent="0.3">
      <c r="A1412" s="8" t="s">
        <v>1412</v>
      </c>
      <c r="B1412" s="62" t="s">
        <v>936</v>
      </c>
      <c r="C1412" s="68" t="s">
        <v>1391</v>
      </c>
      <c r="D1412" s="68" t="s">
        <v>1480</v>
      </c>
      <c r="E1412" s="8" t="s">
        <v>432</v>
      </c>
      <c r="F1412" s="8"/>
      <c r="G1412" s="13" t="s">
        <v>1056</v>
      </c>
      <c r="H1412" s="14">
        <f t="shared" si="654"/>
        <v>245.7</v>
      </c>
      <c r="I1412" s="14">
        <f t="shared" si="654"/>
        <v>245.7</v>
      </c>
      <c r="J1412" s="14">
        <f t="shared" si="654"/>
        <v>245.7</v>
      </c>
      <c r="K1412" s="78">
        <f t="shared" si="629"/>
        <v>100</v>
      </c>
      <c r="L1412" s="14">
        <f t="shared" si="654"/>
        <v>0</v>
      </c>
      <c r="M1412" s="50"/>
      <c r="N1412" s="50"/>
    </row>
    <row r="1413" spans="1:14" ht="46.8" x14ac:dyDescent="0.3">
      <c r="A1413" s="8" t="s">
        <v>1412</v>
      </c>
      <c r="B1413" s="62" t="s">
        <v>936</v>
      </c>
      <c r="C1413" s="68" t="s">
        <v>1391</v>
      </c>
      <c r="D1413" s="68" t="s">
        <v>1480</v>
      </c>
      <c r="E1413" s="8" t="s">
        <v>433</v>
      </c>
      <c r="F1413" s="8"/>
      <c r="G1413" s="18" t="s">
        <v>132</v>
      </c>
      <c r="H1413" s="14">
        <f t="shared" si="654"/>
        <v>245.7</v>
      </c>
      <c r="I1413" s="14">
        <f t="shared" si="654"/>
        <v>245.7</v>
      </c>
      <c r="J1413" s="14">
        <f t="shared" si="654"/>
        <v>245.7</v>
      </c>
      <c r="K1413" s="78">
        <f t="shared" si="629"/>
        <v>100</v>
      </c>
      <c r="L1413" s="14">
        <f t="shared" si="654"/>
        <v>0</v>
      </c>
      <c r="M1413" s="50"/>
      <c r="N1413" s="50"/>
    </row>
    <row r="1414" spans="1:14" ht="31.2" x14ac:dyDescent="0.3">
      <c r="A1414" s="8" t="s">
        <v>1412</v>
      </c>
      <c r="B1414" s="62" t="s">
        <v>936</v>
      </c>
      <c r="C1414" s="68" t="s">
        <v>1391</v>
      </c>
      <c r="D1414" s="68" t="s">
        <v>1480</v>
      </c>
      <c r="E1414" s="8" t="s">
        <v>434</v>
      </c>
      <c r="F1414" s="8"/>
      <c r="G1414" s="13" t="s">
        <v>1058</v>
      </c>
      <c r="H1414" s="14">
        <f t="shared" si="654"/>
        <v>245.7</v>
      </c>
      <c r="I1414" s="14">
        <f t="shared" si="654"/>
        <v>245.7</v>
      </c>
      <c r="J1414" s="14">
        <f t="shared" si="654"/>
        <v>245.7</v>
      </c>
      <c r="K1414" s="78">
        <f t="shared" si="629"/>
        <v>100</v>
      </c>
      <c r="L1414" s="14">
        <f t="shared" si="654"/>
        <v>0</v>
      </c>
      <c r="M1414" s="50"/>
      <c r="N1414" s="50"/>
    </row>
    <row r="1415" spans="1:14" ht="31.2" x14ac:dyDescent="0.3">
      <c r="A1415" s="8" t="s">
        <v>1412</v>
      </c>
      <c r="B1415" s="62" t="s">
        <v>936</v>
      </c>
      <c r="C1415" s="68" t="s">
        <v>1391</v>
      </c>
      <c r="D1415" s="68" t="s">
        <v>1480</v>
      </c>
      <c r="E1415" s="8" t="s">
        <v>434</v>
      </c>
      <c r="F1415" s="45" t="s">
        <v>380</v>
      </c>
      <c r="G1415" s="23" t="s">
        <v>809</v>
      </c>
      <c r="H1415" s="14">
        <f t="shared" si="654"/>
        <v>245.7</v>
      </c>
      <c r="I1415" s="14">
        <f t="shared" si="654"/>
        <v>245.7</v>
      </c>
      <c r="J1415" s="14">
        <f t="shared" si="654"/>
        <v>245.7</v>
      </c>
      <c r="K1415" s="78">
        <f t="shared" si="629"/>
        <v>100</v>
      </c>
      <c r="L1415" s="14">
        <f t="shared" si="654"/>
        <v>0</v>
      </c>
      <c r="M1415" s="50"/>
      <c r="N1415" s="50"/>
    </row>
    <row r="1416" spans="1:14" ht="31.2" x14ac:dyDescent="0.3">
      <c r="A1416" s="8" t="s">
        <v>1412</v>
      </c>
      <c r="B1416" s="62" t="s">
        <v>936</v>
      </c>
      <c r="C1416" s="68" t="s">
        <v>1391</v>
      </c>
      <c r="D1416" s="68" t="s">
        <v>1480</v>
      </c>
      <c r="E1416" s="8" t="s">
        <v>434</v>
      </c>
      <c r="F1416" s="8" t="s">
        <v>247</v>
      </c>
      <c r="G1416" s="23" t="s">
        <v>810</v>
      </c>
      <c r="H1416" s="14">
        <f>252-6.3</f>
        <v>245.7</v>
      </c>
      <c r="I1416" s="14">
        <v>245.7</v>
      </c>
      <c r="J1416" s="14">
        <v>245.7</v>
      </c>
      <c r="K1416" s="78">
        <f t="shared" ref="K1416:K1479" si="655">J1416/I1416*100</f>
        <v>100</v>
      </c>
      <c r="L1416" s="14"/>
      <c r="M1416" s="50"/>
      <c r="N1416" s="50"/>
    </row>
    <row r="1417" spans="1:14" ht="46.8" x14ac:dyDescent="0.3">
      <c r="A1417" s="8" t="s">
        <v>1412</v>
      </c>
      <c r="B1417" s="62" t="s">
        <v>936</v>
      </c>
      <c r="C1417" s="68" t="s">
        <v>1391</v>
      </c>
      <c r="D1417" s="68" t="s">
        <v>1480</v>
      </c>
      <c r="E1417" s="8" t="s">
        <v>381</v>
      </c>
      <c r="F1417" s="8"/>
      <c r="G1417" s="18" t="s">
        <v>1061</v>
      </c>
      <c r="H1417" s="14">
        <f t="shared" ref="H1417:L1421" si="656">H1418</f>
        <v>32.499999999999986</v>
      </c>
      <c r="I1417" s="14">
        <f t="shared" si="656"/>
        <v>32.5</v>
      </c>
      <c r="J1417" s="14">
        <f t="shared" si="656"/>
        <v>32.5</v>
      </c>
      <c r="K1417" s="78">
        <f t="shared" si="655"/>
        <v>100</v>
      </c>
      <c r="L1417" s="14">
        <f t="shared" si="656"/>
        <v>0</v>
      </c>
      <c r="M1417" s="50"/>
      <c r="N1417" s="50"/>
    </row>
    <row r="1418" spans="1:14" ht="31.2" x14ac:dyDescent="0.3">
      <c r="A1418" s="8" t="s">
        <v>1412</v>
      </c>
      <c r="B1418" s="62" t="s">
        <v>936</v>
      </c>
      <c r="C1418" s="68" t="s">
        <v>1391</v>
      </c>
      <c r="D1418" s="68" t="s">
        <v>1480</v>
      </c>
      <c r="E1418" s="8" t="s">
        <v>435</v>
      </c>
      <c r="F1418" s="8"/>
      <c r="G1418" s="13" t="s">
        <v>1064</v>
      </c>
      <c r="H1418" s="14">
        <f t="shared" si="656"/>
        <v>32.499999999999986</v>
      </c>
      <c r="I1418" s="14">
        <f t="shared" si="656"/>
        <v>32.5</v>
      </c>
      <c r="J1418" s="14">
        <f t="shared" si="656"/>
        <v>32.5</v>
      </c>
      <c r="K1418" s="78">
        <f t="shared" si="655"/>
        <v>100</v>
      </c>
      <c r="L1418" s="14">
        <f t="shared" si="656"/>
        <v>0</v>
      </c>
      <c r="M1418" s="50"/>
      <c r="N1418" s="50"/>
    </row>
    <row r="1419" spans="1:14" ht="46.8" x14ac:dyDescent="0.3">
      <c r="A1419" s="8" t="s">
        <v>1412</v>
      </c>
      <c r="B1419" s="62" t="s">
        <v>936</v>
      </c>
      <c r="C1419" s="68" t="s">
        <v>1391</v>
      </c>
      <c r="D1419" s="68" t="s">
        <v>1480</v>
      </c>
      <c r="E1419" s="8" t="s">
        <v>436</v>
      </c>
      <c r="F1419" s="8"/>
      <c r="G1419" s="13" t="s">
        <v>1211</v>
      </c>
      <c r="H1419" s="14">
        <f t="shared" si="656"/>
        <v>32.499999999999986</v>
      </c>
      <c r="I1419" s="14">
        <f t="shared" si="656"/>
        <v>32.5</v>
      </c>
      <c r="J1419" s="14">
        <f t="shared" si="656"/>
        <v>32.5</v>
      </c>
      <c r="K1419" s="78">
        <f t="shared" si="655"/>
        <v>100</v>
      </c>
      <c r="L1419" s="14">
        <f t="shared" si="656"/>
        <v>0</v>
      </c>
      <c r="M1419" s="50"/>
      <c r="N1419" s="50"/>
    </row>
    <row r="1420" spans="1:14" ht="46.8" x14ac:dyDescent="0.3">
      <c r="A1420" s="8" t="s">
        <v>1412</v>
      </c>
      <c r="B1420" s="62" t="s">
        <v>936</v>
      </c>
      <c r="C1420" s="68" t="s">
        <v>1391</v>
      </c>
      <c r="D1420" s="68" t="s">
        <v>1480</v>
      </c>
      <c r="E1420" s="8" t="s">
        <v>437</v>
      </c>
      <c r="F1420" s="8"/>
      <c r="G1420" s="18" t="s">
        <v>19</v>
      </c>
      <c r="H1420" s="14">
        <f>H1421+H1423</f>
        <v>32.499999999999986</v>
      </c>
      <c r="I1420" s="14">
        <f>I1421+I1423</f>
        <v>32.5</v>
      </c>
      <c r="J1420" s="14">
        <f t="shared" ref="J1420" si="657">J1421+J1423</f>
        <v>32.5</v>
      </c>
      <c r="K1420" s="78">
        <f t="shared" si="655"/>
        <v>100</v>
      </c>
      <c r="L1420" s="14">
        <f>L1421+L1423</f>
        <v>0</v>
      </c>
      <c r="M1420" s="50"/>
      <c r="N1420" s="50"/>
    </row>
    <row r="1421" spans="1:14" ht="31.2" x14ac:dyDescent="0.3">
      <c r="A1421" s="8" t="s">
        <v>1412</v>
      </c>
      <c r="B1421" s="62" t="s">
        <v>936</v>
      </c>
      <c r="C1421" s="68" t="s">
        <v>1391</v>
      </c>
      <c r="D1421" s="68" t="s">
        <v>1480</v>
      </c>
      <c r="E1421" s="8" t="s">
        <v>437</v>
      </c>
      <c r="F1421" s="45" t="s">
        <v>380</v>
      </c>
      <c r="G1421" s="23" t="s">
        <v>809</v>
      </c>
      <c r="H1421" s="14">
        <f t="shared" si="656"/>
        <v>8.2999999999999829</v>
      </c>
      <c r="I1421" s="14">
        <f t="shared" si="656"/>
        <v>8.3000000000000007</v>
      </c>
      <c r="J1421" s="14">
        <f t="shared" si="656"/>
        <v>8.3000000000000007</v>
      </c>
      <c r="K1421" s="78">
        <f t="shared" si="655"/>
        <v>100</v>
      </c>
      <c r="L1421" s="14">
        <f t="shared" si="656"/>
        <v>0</v>
      </c>
      <c r="M1421" s="50"/>
      <c r="N1421" s="50"/>
    </row>
    <row r="1422" spans="1:14" ht="31.2" x14ac:dyDescent="0.3">
      <c r="A1422" s="8" t="s">
        <v>1412</v>
      </c>
      <c r="B1422" s="62" t="s">
        <v>936</v>
      </c>
      <c r="C1422" s="68" t="s">
        <v>1391</v>
      </c>
      <c r="D1422" s="68" t="s">
        <v>1480</v>
      </c>
      <c r="E1422" s="8" t="s">
        <v>437</v>
      </c>
      <c r="F1422" s="8" t="s">
        <v>247</v>
      </c>
      <c r="G1422" s="23" t="s">
        <v>810</v>
      </c>
      <c r="H1422" s="14">
        <f>192.6-184.3</f>
        <v>8.2999999999999829</v>
      </c>
      <c r="I1422" s="14">
        <v>8.3000000000000007</v>
      </c>
      <c r="J1422" s="14">
        <v>8.3000000000000007</v>
      </c>
      <c r="K1422" s="78">
        <f t="shared" si="655"/>
        <v>100</v>
      </c>
      <c r="L1422" s="14"/>
      <c r="M1422" s="50"/>
      <c r="N1422" s="50"/>
    </row>
    <row r="1423" spans="1:14" x14ac:dyDescent="0.3">
      <c r="A1423" s="8" t="s">
        <v>1412</v>
      </c>
      <c r="B1423" s="62" t="s">
        <v>936</v>
      </c>
      <c r="C1423" s="68" t="s">
        <v>1391</v>
      </c>
      <c r="D1423" s="68" t="s">
        <v>1480</v>
      </c>
      <c r="E1423" s="8" t="s">
        <v>437</v>
      </c>
      <c r="F1423" s="45" t="s">
        <v>464</v>
      </c>
      <c r="G1423" s="23" t="s">
        <v>822</v>
      </c>
      <c r="H1423" s="14">
        <f t="shared" ref="H1423:L1423" si="658">H1424</f>
        <v>24.2</v>
      </c>
      <c r="I1423" s="14">
        <f t="shared" si="658"/>
        <v>24.2</v>
      </c>
      <c r="J1423" s="14">
        <f t="shared" si="658"/>
        <v>24.2</v>
      </c>
      <c r="K1423" s="78">
        <f t="shared" si="655"/>
        <v>100</v>
      </c>
      <c r="L1423" s="14">
        <f t="shared" si="658"/>
        <v>0</v>
      </c>
      <c r="M1423" s="50"/>
      <c r="N1423" s="50"/>
    </row>
    <row r="1424" spans="1:14" x14ac:dyDescent="0.3">
      <c r="A1424" s="8" t="s">
        <v>1412</v>
      </c>
      <c r="B1424" s="62" t="s">
        <v>936</v>
      </c>
      <c r="C1424" s="68" t="s">
        <v>1391</v>
      </c>
      <c r="D1424" s="68" t="s">
        <v>1480</v>
      </c>
      <c r="E1424" s="8" t="s">
        <v>437</v>
      </c>
      <c r="F1424" s="45" t="s">
        <v>729</v>
      </c>
      <c r="G1424" s="23" t="s">
        <v>824</v>
      </c>
      <c r="H1424" s="14">
        <v>24.2</v>
      </c>
      <c r="I1424" s="14">
        <v>24.2</v>
      </c>
      <c r="J1424" s="14">
        <v>24.2</v>
      </c>
      <c r="K1424" s="78">
        <f t="shared" si="655"/>
        <v>100</v>
      </c>
      <c r="L1424" s="14"/>
      <c r="M1424" s="50"/>
      <c r="N1424" s="50"/>
    </row>
    <row r="1425" spans="1:14" ht="31.2" x14ac:dyDescent="0.3">
      <c r="A1425" s="8" t="s">
        <v>1412</v>
      </c>
      <c r="B1425" s="62" t="s">
        <v>936</v>
      </c>
      <c r="C1425" s="68" t="s">
        <v>1391</v>
      </c>
      <c r="D1425" s="68" t="s">
        <v>1480</v>
      </c>
      <c r="E1425" s="8" t="s">
        <v>429</v>
      </c>
      <c r="F1425" s="8"/>
      <c r="G1425" s="13" t="s">
        <v>1140</v>
      </c>
      <c r="H1425" s="20">
        <v>0</v>
      </c>
      <c r="I1425" s="14">
        <f>I1426</f>
        <v>390.97999999999996</v>
      </c>
      <c r="J1425" s="14">
        <f t="shared" ref="J1425:L1425" si="659">J1426</f>
        <v>390.97999999999996</v>
      </c>
      <c r="K1425" s="78">
        <f t="shared" si="655"/>
        <v>100</v>
      </c>
      <c r="L1425" s="14">
        <f t="shared" si="659"/>
        <v>0</v>
      </c>
      <c r="M1425" s="50"/>
      <c r="N1425" s="50"/>
    </row>
    <row r="1426" spans="1:14" x14ac:dyDescent="0.3">
      <c r="A1426" s="8" t="s">
        <v>1412</v>
      </c>
      <c r="B1426" s="62" t="s">
        <v>936</v>
      </c>
      <c r="C1426" s="68" t="s">
        <v>1391</v>
      </c>
      <c r="D1426" s="68" t="s">
        <v>1480</v>
      </c>
      <c r="E1426" s="8" t="s">
        <v>430</v>
      </c>
      <c r="F1426" s="8"/>
      <c r="G1426" s="13" t="s">
        <v>1141</v>
      </c>
      <c r="H1426" s="20">
        <v>0</v>
      </c>
      <c r="I1426" s="14">
        <f>I1427+I1430</f>
        <v>390.97999999999996</v>
      </c>
      <c r="J1426" s="14">
        <f t="shared" ref="J1426:L1426" si="660">J1427+J1430</f>
        <v>390.97999999999996</v>
      </c>
      <c r="K1426" s="78">
        <f t="shared" si="655"/>
        <v>100</v>
      </c>
      <c r="L1426" s="14">
        <f t="shared" si="660"/>
        <v>0</v>
      </c>
      <c r="M1426" s="50"/>
      <c r="N1426" s="50"/>
    </row>
    <row r="1427" spans="1:14" ht="31.2" x14ac:dyDescent="0.3">
      <c r="A1427" s="8" t="s">
        <v>1412</v>
      </c>
      <c r="B1427" s="62" t="s">
        <v>936</v>
      </c>
      <c r="C1427" s="68" t="s">
        <v>1391</v>
      </c>
      <c r="D1427" s="68" t="s">
        <v>1480</v>
      </c>
      <c r="E1427" s="8" t="s">
        <v>209</v>
      </c>
      <c r="F1427" s="8"/>
      <c r="G1427" s="13" t="s">
        <v>1147</v>
      </c>
      <c r="H1427" s="20">
        <v>0</v>
      </c>
      <c r="I1427" s="14">
        <f>I1428</f>
        <v>98.394999999999996</v>
      </c>
      <c r="J1427" s="14">
        <f t="shared" ref="J1427:L1428" si="661">J1428</f>
        <v>98.394999999999996</v>
      </c>
      <c r="K1427" s="78">
        <f t="shared" si="655"/>
        <v>100</v>
      </c>
      <c r="L1427" s="14">
        <f t="shared" si="661"/>
        <v>0</v>
      </c>
      <c r="M1427" s="50"/>
      <c r="N1427" s="50"/>
    </row>
    <row r="1428" spans="1:14" ht="31.2" x14ac:dyDescent="0.3">
      <c r="A1428" s="8" t="s">
        <v>1412</v>
      </c>
      <c r="B1428" s="62" t="s">
        <v>936</v>
      </c>
      <c r="C1428" s="68" t="s">
        <v>1391</v>
      </c>
      <c r="D1428" s="68" t="s">
        <v>1480</v>
      </c>
      <c r="E1428" s="8" t="s">
        <v>209</v>
      </c>
      <c r="F1428" s="45" t="s">
        <v>380</v>
      </c>
      <c r="G1428" s="23" t="s">
        <v>809</v>
      </c>
      <c r="H1428" s="20">
        <v>0</v>
      </c>
      <c r="I1428" s="14">
        <f>I1429</f>
        <v>98.394999999999996</v>
      </c>
      <c r="J1428" s="14">
        <f t="shared" si="661"/>
        <v>98.394999999999996</v>
      </c>
      <c r="K1428" s="78">
        <f t="shared" si="655"/>
        <v>100</v>
      </c>
      <c r="L1428" s="14">
        <f t="shared" si="661"/>
        <v>0</v>
      </c>
      <c r="M1428" s="50"/>
      <c r="N1428" s="50"/>
    </row>
    <row r="1429" spans="1:14" ht="31.2" x14ac:dyDescent="0.3">
      <c r="A1429" s="8" t="s">
        <v>1412</v>
      </c>
      <c r="B1429" s="62" t="s">
        <v>936</v>
      </c>
      <c r="C1429" s="68" t="s">
        <v>1391</v>
      </c>
      <c r="D1429" s="68" t="s">
        <v>1480</v>
      </c>
      <c r="E1429" s="8" t="s">
        <v>209</v>
      </c>
      <c r="F1429" s="8" t="s">
        <v>247</v>
      </c>
      <c r="G1429" s="23" t="s">
        <v>810</v>
      </c>
      <c r="H1429" s="20">
        <v>0</v>
      </c>
      <c r="I1429" s="14">
        <v>98.394999999999996</v>
      </c>
      <c r="J1429" s="14">
        <v>98.394999999999996</v>
      </c>
      <c r="K1429" s="78">
        <f t="shared" si="655"/>
        <v>100</v>
      </c>
      <c r="L1429" s="14"/>
      <c r="M1429" s="50"/>
      <c r="N1429" s="50"/>
    </row>
    <row r="1430" spans="1:14" ht="31.2" x14ac:dyDescent="0.3">
      <c r="A1430" s="8" t="s">
        <v>1412</v>
      </c>
      <c r="B1430" s="62" t="s">
        <v>936</v>
      </c>
      <c r="C1430" s="68" t="s">
        <v>1391</v>
      </c>
      <c r="D1430" s="68" t="s">
        <v>1480</v>
      </c>
      <c r="E1430" s="8" t="s">
        <v>210</v>
      </c>
      <c r="F1430" s="8"/>
      <c r="G1430" s="13" t="s">
        <v>1183</v>
      </c>
      <c r="H1430" s="20">
        <v>0</v>
      </c>
      <c r="I1430" s="14">
        <f>I1431+I1433</f>
        <v>292.58499999999998</v>
      </c>
      <c r="J1430" s="14">
        <f t="shared" ref="J1430:L1430" si="662">J1431+J1433</f>
        <v>292.58499999999998</v>
      </c>
      <c r="K1430" s="78">
        <f t="shared" si="655"/>
        <v>100</v>
      </c>
      <c r="L1430" s="14">
        <f t="shared" si="662"/>
        <v>0</v>
      </c>
      <c r="M1430" s="50"/>
      <c r="N1430" s="50"/>
    </row>
    <row r="1431" spans="1:14" ht="78" x14ac:dyDescent="0.3">
      <c r="A1431" s="8" t="s">
        <v>1412</v>
      </c>
      <c r="B1431" s="62" t="s">
        <v>936</v>
      </c>
      <c r="C1431" s="68" t="s">
        <v>1391</v>
      </c>
      <c r="D1431" s="68" t="s">
        <v>1480</v>
      </c>
      <c r="E1431" s="8" t="s">
        <v>210</v>
      </c>
      <c r="F1431" s="45" t="s">
        <v>431</v>
      </c>
      <c r="G1431" s="23" t="s">
        <v>806</v>
      </c>
      <c r="H1431" s="20">
        <v>0</v>
      </c>
      <c r="I1431" s="14">
        <f>I1432</f>
        <v>113.93925</v>
      </c>
      <c r="J1431" s="14">
        <f t="shared" ref="J1431:L1431" si="663">J1432</f>
        <v>113.93925</v>
      </c>
      <c r="K1431" s="78">
        <f t="shared" si="655"/>
        <v>100</v>
      </c>
      <c r="L1431" s="14">
        <f t="shared" si="663"/>
        <v>0</v>
      </c>
      <c r="M1431" s="50"/>
      <c r="N1431" s="50"/>
    </row>
    <row r="1432" spans="1:14" ht="31.2" x14ac:dyDescent="0.3">
      <c r="A1432" s="8" t="s">
        <v>1412</v>
      </c>
      <c r="B1432" s="62" t="s">
        <v>936</v>
      </c>
      <c r="C1432" s="68" t="s">
        <v>1391</v>
      </c>
      <c r="D1432" s="68" t="s">
        <v>1480</v>
      </c>
      <c r="E1432" s="8" t="s">
        <v>210</v>
      </c>
      <c r="F1432" s="45" t="s">
        <v>233</v>
      </c>
      <c r="G1432" s="23" t="s">
        <v>808</v>
      </c>
      <c r="H1432" s="20">
        <v>0</v>
      </c>
      <c r="I1432" s="14">
        <v>113.93925</v>
      </c>
      <c r="J1432" s="14">
        <v>113.93925</v>
      </c>
      <c r="K1432" s="78">
        <f t="shared" si="655"/>
        <v>100</v>
      </c>
      <c r="L1432" s="14"/>
      <c r="M1432" s="50"/>
      <c r="N1432" s="50"/>
    </row>
    <row r="1433" spans="1:14" ht="31.2" x14ac:dyDescent="0.3">
      <c r="A1433" s="8" t="s">
        <v>1412</v>
      </c>
      <c r="B1433" s="62" t="s">
        <v>936</v>
      </c>
      <c r="C1433" s="68" t="s">
        <v>1391</v>
      </c>
      <c r="D1433" s="68" t="s">
        <v>1480</v>
      </c>
      <c r="E1433" s="8" t="s">
        <v>210</v>
      </c>
      <c r="F1433" s="45" t="s">
        <v>380</v>
      </c>
      <c r="G1433" s="23" t="s">
        <v>809</v>
      </c>
      <c r="H1433" s="20">
        <v>0</v>
      </c>
      <c r="I1433" s="14">
        <f>I1434</f>
        <v>178.64574999999999</v>
      </c>
      <c r="J1433" s="14">
        <f t="shared" ref="J1433:L1433" si="664">J1434</f>
        <v>178.64574999999999</v>
      </c>
      <c r="K1433" s="78">
        <f t="shared" si="655"/>
        <v>100</v>
      </c>
      <c r="L1433" s="14">
        <f t="shared" si="664"/>
        <v>0</v>
      </c>
      <c r="M1433" s="50"/>
      <c r="N1433" s="50"/>
    </row>
    <row r="1434" spans="1:14" ht="31.2" x14ac:dyDescent="0.3">
      <c r="A1434" s="8" t="s">
        <v>1412</v>
      </c>
      <c r="B1434" s="62" t="s">
        <v>936</v>
      </c>
      <c r="C1434" s="68" t="s">
        <v>1391</v>
      </c>
      <c r="D1434" s="68" t="s">
        <v>1480</v>
      </c>
      <c r="E1434" s="8" t="s">
        <v>210</v>
      </c>
      <c r="F1434" s="8" t="s">
        <v>247</v>
      </c>
      <c r="G1434" s="23" t="s">
        <v>810</v>
      </c>
      <c r="H1434" s="20">
        <v>0</v>
      </c>
      <c r="I1434" s="14">
        <v>178.64574999999999</v>
      </c>
      <c r="J1434" s="14">
        <v>178.64574999999999</v>
      </c>
      <c r="K1434" s="78">
        <f t="shared" si="655"/>
        <v>100</v>
      </c>
      <c r="L1434" s="14"/>
      <c r="M1434" s="50"/>
      <c r="N1434" s="50"/>
    </row>
    <row r="1435" spans="1:14" ht="46.8" x14ac:dyDescent="0.3">
      <c r="A1435" s="8" t="s">
        <v>1412</v>
      </c>
      <c r="B1435" s="62" t="s">
        <v>936</v>
      </c>
      <c r="C1435" s="68" t="s">
        <v>1391</v>
      </c>
      <c r="D1435" s="68" t="s">
        <v>1480</v>
      </c>
      <c r="E1435" s="8" t="s">
        <v>493</v>
      </c>
      <c r="F1435" s="8"/>
      <c r="G1435" s="13" t="s">
        <v>1160</v>
      </c>
      <c r="H1435" s="20">
        <v>0</v>
      </c>
      <c r="I1435" s="14">
        <f>I1436</f>
        <v>16071.789150000001</v>
      </c>
      <c r="J1435" s="14">
        <f t="shared" ref="J1435:L1438" si="665">J1436</f>
        <v>16071.789150000001</v>
      </c>
      <c r="K1435" s="78">
        <f t="shared" si="655"/>
        <v>100</v>
      </c>
      <c r="L1435" s="14">
        <f t="shared" si="665"/>
        <v>0</v>
      </c>
      <c r="M1435" s="50"/>
      <c r="N1435" s="50"/>
    </row>
    <row r="1436" spans="1:14" x14ac:dyDescent="0.3">
      <c r="A1436" s="8" t="s">
        <v>1412</v>
      </c>
      <c r="B1436" s="62" t="s">
        <v>936</v>
      </c>
      <c r="C1436" s="68" t="s">
        <v>1391</v>
      </c>
      <c r="D1436" s="68" t="s">
        <v>1480</v>
      </c>
      <c r="E1436" s="8" t="s">
        <v>533</v>
      </c>
      <c r="F1436" s="8"/>
      <c r="G1436" s="13" t="s">
        <v>1162</v>
      </c>
      <c r="H1436" s="20">
        <v>0</v>
      </c>
      <c r="I1436" s="14">
        <f>I1437</f>
        <v>16071.789150000001</v>
      </c>
      <c r="J1436" s="14">
        <f t="shared" si="665"/>
        <v>16071.789150000001</v>
      </c>
      <c r="K1436" s="78">
        <f t="shared" si="655"/>
        <v>100</v>
      </c>
      <c r="L1436" s="14">
        <f t="shared" si="665"/>
        <v>0</v>
      </c>
      <c r="M1436" s="50"/>
      <c r="N1436" s="50"/>
    </row>
    <row r="1437" spans="1:14" x14ac:dyDescent="0.3">
      <c r="A1437" s="8" t="s">
        <v>1412</v>
      </c>
      <c r="B1437" s="62" t="s">
        <v>936</v>
      </c>
      <c r="C1437" s="68" t="s">
        <v>1391</v>
      </c>
      <c r="D1437" s="68" t="s">
        <v>1480</v>
      </c>
      <c r="E1437" s="8" t="s">
        <v>534</v>
      </c>
      <c r="F1437" s="8"/>
      <c r="G1437" s="13" t="s">
        <v>1163</v>
      </c>
      <c r="H1437" s="20">
        <v>0</v>
      </c>
      <c r="I1437" s="14">
        <f>I1438</f>
        <v>16071.789150000001</v>
      </c>
      <c r="J1437" s="14">
        <f t="shared" si="665"/>
        <v>16071.789150000001</v>
      </c>
      <c r="K1437" s="78">
        <f t="shared" si="655"/>
        <v>100</v>
      </c>
      <c r="L1437" s="14">
        <f t="shared" si="665"/>
        <v>0</v>
      </c>
      <c r="M1437" s="50"/>
      <c r="N1437" s="50"/>
    </row>
    <row r="1438" spans="1:14" ht="31.2" x14ac:dyDescent="0.3">
      <c r="A1438" s="8" t="s">
        <v>1412</v>
      </c>
      <c r="B1438" s="62" t="s">
        <v>936</v>
      </c>
      <c r="C1438" s="68" t="s">
        <v>1391</v>
      </c>
      <c r="D1438" s="68" t="s">
        <v>1480</v>
      </c>
      <c r="E1438" s="8" t="s">
        <v>534</v>
      </c>
      <c r="F1438" s="45" t="s">
        <v>380</v>
      </c>
      <c r="G1438" s="23" t="s">
        <v>809</v>
      </c>
      <c r="H1438" s="20">
        <v>0</v>
      </c>
      <c r="I1438" s="14">
        <f>I1439</f>
        <v>16071.789150000001</v>
      </c>
      <c r="J1438" s="14">
        <f t="shared" si="665"/>
        <v>16071.789150000001</v>
      </c>
      <c r="K1438" s="78">
        <f t="shared" si="655"/>
        <v>100</v>
      </c>
      <c r="L1438" s="14">
        <f t="shared" si="665"/>
        <v>0</v>
      </c>
      <c r="M1438" s="50"/>
      <c r="N1438" s="50"/>
    </row>
    <row r="1439" spans="1:14" ht="31.2" x14ac:dyDescent="0.3">
      <c r="A1439" s="8" t="s">
        <v>1412</v>
      </c>
      <c r="B1439" s="62" t="s">
        <v>936</v>
      </c>
      <c r="C1439" s="68" t="s">
        <v>1391</v>
      </c>
      <c r="D1439" s="68" t="s">
        <v>1480</v>
      </c>
      <c r="E1439" s="8" t="s">
        <v>534</v>
      </c>
      <c r="F1439" s="8" t="s">
        <v>247</v>
      </c>
      <c r="G1439" s="23" t="s">
        <v>810</v>
      </c>
      <c r="H1439" s="20">
        <v>0</v>
      </c>
      <c r="I1439" s="14">
        <v>16071.789150000001</v>
      </c>
      <c r="J1439" s="14">
        <v>16071.789150000001</v>
      </c>
      <c r="K1439" s="78">
        <f t="shared" si="655"/>
        <v>100</v>
      </c>
      <c r="L1439" s="14"/>
      <c r="M1439" s="50"/>
      <c r="N1439" s="50"/>
    </row>
    <row r="1440" spans="1:14" s="3" customFormat="1" x14ac:dyDescent="0.3">
      <c r="A1440" s="10" t="s">
        <v>1412</v>
      </c>
      <c r="B1440" s="43" t="s">
        <v>1386</v>
      </c>
      <c r="C1440" s="43" t="s">
        <v>1386</v>
      </c>
      <c r="D1440" s="43" t="s">
        <v>915</v>
      </c>
      <c r="E1440" s="10"/>
      <c r="F1440" s="10"/>
      <c r="G1440" s="5" t="s">
        <v>1388</v>
      </c>
      <c r="H1440" s="15">
        <f>H1441+H1487</f>
        <v>310975.59699999989</v>
      </c>
      <c r="I1440" s="15">
        <f>I1441+I1487</f>
        <v>474305.49360000005</v>
      </c>
      <c r="J1440" s="15">
        <f t="shared" ref="J1440" si="666">J1441+J1487</f>
        <v>471506.43708999996</v>
      </c>
      <c r="K1440" s="81">
        <f t="shared" si="655"/>
        <v>99.409862093572826</v>
      </c>
      <c r="L1440" s="15">
        <f>L1441+L1487</f>
        <v>0</v>
      </c>
      <c r="M1440" s="65"/>
      <c r="N1440" s="65"/>
    </row>
    <row r="1441" spans="1:14" s="9" customFormat="1" ht="16.5" customHeight="1" x14ac:dyDescent="0.3">
      <c r="A1441" s="11" t="s">
        <v>1412</v>
      </c>
      <c r="B1441" s="48" t="s">
        <v>937</v>
      </c>
      <c r="C1441" s="48" t="s">
        <v>1386</v>
      </c>
      <c r="D1441" s="48" t="s">
        <v>1398</v>
      </c>
      <c r="E1441" s="11"/>
      <c r="F1441" s="11"/>
      <c r="G1441" s="7" t="s">
        <v>1419</v>
      </c>
      <c r="H1441" s="16">
        <f>H1442+H1457+H1462+H1468+H1476+H1482</f>
        <v>309109.46199999988</v>
      </c>
      <c r="I1441" s="16">
        <f t="shared" ref="I1441:L1441" si="667">I1442+I1457+I1462+I1468+I1476+I1482</f>
        <v>472372.35860000004</v>
      </c>
      <c r="J1441" s="16">
        <f t="shared" si="667"/>
        <v>470154.58556999994</v>
      </c>
      <c r="K1441" s="82">
        <f t="shared" si="655"/>
        <v>99.530503216451308</v>
      </c>
      <c r="L1441" s="16">
        <f t="shared" si="667"/>
        <v>0</v>
      </c>
      <c r="M1441" s="65"/>
      <c r="N1441" s="65"/>
    </row>
    <row r="1442" spans="1:14" ht="31.2" x14ac:dyDescent="0.3">
      <c r="A1442" s="8" t="s">
        <v>1412</v>
      </c>
      <c r="B1442" s="62" t="s">
        <v>937</v>
      </c>
      <c r="C1442" s="68" t="s">
        <v>1386</v>
      </c>
      <c r="D1442" s="68" t="s">
        <v>1398</v>
      </c>
      <c r="E1442" s="8" t="s">
        <v>355</v>
      </c>
      <c r="F1442" s="8"/>
      <c r="G1442" s="13" t="s">
        <v>893</v>
      </c>
      <c r="H1442" s="14">
        <f t="shared" ref="H1442:L1443" si="668">H1443</f>
        <v>274164.00799999991</v>
      </c>
      <c r="I1442" s="14">
        <f t="shared" si="668"/>
        <v>432230.89185000001</v>
      </c>
      <c r="J1442" s="14">
        <f t="shared" si="668"/>
        <v>430947.65368999995</v>
      </c>
      <c r="K1442" s="78">
        <f t="shared" si="655"/>
        <v>99.703112807484061</v>
      </c>
      <c r="L1442" s="14">
        <f t="shared" si="668"/>
        <v>0</v>
      </c>
      <c r="M1442" s="50"/>
      <c r="N1442" s="50"/>
    </row>
    <row r="1443" spans="1:14" ht="31.2" x14ac:dyDescent="0.3">
      <c r="A1443" s="8" t="s">
        <v>1412</v>
      </c>
      <c r="B1443" s="62" t="s">
        <v>937</v>
      </c>
      <c r="C1443" s="68" t="s">
        <v>1386</v>
      </c>
      <c r="D1443" s="68" t="s">
        <v>1398</v>
      </c>
      <c r="E1443" s="8" t="s">
        <v>356</v>
      </c>
      <c r="F1443" s="8"/>
      <c r="G1443" s="13" t="s">
        <v>894</v>
      </c>
      <c r="H1443" s="14">
        <f t="shared" si="668"/>
        <v>274164.00799999991</v>
      </c>
      <c r="I1443" s="14">
        <f t="shared" si="668"/>
        <v>432230.89185000001</v>
      </c>
      <c r="J1443" s="14">
        <f t="shared" si="668"/>
        <v>430947.65368999995</v>
      </c>
      <c r="K1443" s="78">
        <f t="shared" si="655"/>
        <v>99.703112807484061</v>
      </c>
      <c r="L1443" s="14">
        <f t="shared" si="668"/>
        <v>0</v>
      </c>
      <c r="M1443" s="50"/>
      <c r="N1443" s="50"/>
    </row>
    <row r="1444" spans="1:14" ht="46.8" x14ac:dyDescent="0.3">
      <c r="A1444" s="8" t="s">
        <v>1412</v>
      </c>
      <c r="B1444" s="62" t="s">
        <v>937</v>
      </c>
      <c r="C1444" s="68" t="s">
        <v>1386</v>
      </c>
      <c r="D1444" s="68" t="s">
        <v>1398</v>
      </c>
      <c r="E1444" s="8" t="s">
        <v>357</v>
      </c>
      <c r="F1444" s="8"/>
      <c r="G1444" s="18" t="s">
        <v>121</v>
      </c>
      <c r="H1444" s="14">
        <f>H1445+H1448+H1451</f>
        <v>274164.00799999991</v>
      </c>
      <c r="I1444" s="14">
        <f>I1445+I1448+I1451+I1454</f>
        <v>432230.89185000001</v>
      </c>
      <c r="J1444" s="14">
        <f t="shared" ref="J1444:L1444" si="669">J1445+J1448+J1451+J1454</f>
        <v>430947.65368999995</v>
      </c>
      <c r="K1444" s="78">
        <f t="shared" si="655"/>
        <v>99.703112807484061</v>
      </c>
      <c r="L1444" s="14">
        <f t="shared" si="669"/>
        <v>0</v>
      </c>
      <c r="M1444" s="50"/>
      <c r="N1444" s="50"/>
    </row>
    <row r="1445" spans="1:14" x14ac:dyDescent="0.3">
      <c r="A1445" s="8" t="s">
        <v>1412</v>
      </c>
      <c r="B1445" s="62" t="s">
        <v>937</v>
      </c>
      <c r="C1445" s="68" t="s">
        <v>1386</v>
      </c>
      <c r="D1445" s="68" t="s">
        <v>1398</v>
      </c>
      <c r="E1445" s="8" t="s">
        <v>67</v>
      </c>
      <c r="F1445" s="8"/>
      <c r="G1445" s="23" t="s">
        <v>155</v>
      </c>
      <c r="H1445" s="14">
        <f t="shared" ref="H1445:L1446" si="670">H1446</f>
        <v>268441.40899999993</v>
      </c>
      <c r="I1445" s="14">
        <f t="shared" si="670"/>
        <v>270441.40899999999</v>
      </c>
      <c r="J1445" s="14">
        <f t="shared" si="670"/>
        <v>269158.28817999997</v>
      </c>
      <c r="K1445" s="78">
        <f t="shared" si="655"/>
        <v>99.525545727355677</v>
      </c>
      <c r="L1445" s="14">
        <f t="shared" si="670"/>
        <v>0</v>
      </c>
      <c r="M1445" s="50"/>
      <c r="N1445" s="50"/>
    </row>
    <row r="1446" spans="1:14" ht="31.2" x14ac:dyDescent="0.3">
      <c r="A1446" s="8" t="s">
        <v>1412</v>
      </c>
      <c r="B1446" s="62" t="s">
        <v>937</v>
      </c>
      <c r="C1446" s="68" t="s">
        <v>1386</v>
      </c>
      <c r="D1446" s="68" t="s">
        <v>1398</v>
      </c>
      <c r="E1446" s="8" t="s">
        <v>67</v>
      </c>
      <c r="F1446" s="45" t="s">
        <v>380</v>
      </c>
      <c r="G1446" s="23" t="s">
        <v>809</v>
      </c>
      <c r="H1446" s="14">
        <f t="shared" si="670"/>
        <v>268441.40899999993</v>
      </c>
      <c r="I1446" s="14">
        <f t="shared" si="670"/>
        <v>270441.40899999999</v>
      </c>
      <c r="J1446" s="14">
        <f t="shared" si="670"/>
        <v>269158.28817999997</v>
      </c>
      <c r="K1446" s="78">
        <f t="shared" si="655"/>
        <v>99.525545727355677</v>
      </c>
      <c r="L1446" s="14">
        <f t="shared" si="670"/>
        <v>0</v>
      </c>
      <c r="M1446" s="50"/>
      <c r="N1446" s="50"/>
    </row>
    <row r="1447" spans="1:14" ht="31.2" x14ac:dyDescent="0.3">
      <c r="A1447" s="8" t="s">
        <v>1412</v>
      </c>
      <c r="B1447" s="62" t="s">
        <v>937</v>
      </c>
      <c r="C1447" s="68" t="s">
        <v>1386</v>
      </c>
      <c r="D1447" s="68" t="s">
        <v>1398</v>
      </c>
      <c r="E1447" s="8" t="s">
        <v>67</v>
      </c>
      <c r="F1447" s="8" t="s">
        <v>247</v>
      </c>
      <c r="G1447" s="23" t="s">
        <v>810</v>
      </c>
      <c r="H1447" s="14">
        <f>262273.8+5933.914-1017.954+1251.649</f>
        <v>268441.40899999993</v>
      </c>
      <c r="I1447" s="14">
        <v>270441.40899999999</v>
      </c>
      <c r="J1447" s="14">
        <v>269158.28817999997</v>
      </c>
      <c r="K1447" s="78">
        <f t="shared" si="655"/>
        <v>99.525545727355677</v>
      </c>
      <c r="L1447" s="14"/>
      <c r="M1447" s="50"/>
      <c r="N1447" s="50"/>
    </row>
    <row r="1448" spans="1:14" ht="31.2" x14ac:dyDescent="0.3">
      <c r="A1448" s="8" t="s">
        <v>1412</v>
      </c>
      <c r="B1448" s="62" t="s">
        <v>937</v>
      </c>
      <c r="C1448" s="68" t="s">
        <v>1386</v>
      </c>
      <c r="D1448" s="68" t="s">
        <v>1398</v>
      </c>
      <c r="E1448" s="8" t="s">
        <v>68</v>
      </c>
      <c r="F1448" s="8"/>
      <c r="G1448" s="23" t="s">
        <v>182</v>
      </c>
      <c r="H1448" s="14">
        <f t="shared" ref="H1448:L1449" si="671">H1449</f>
        <v>5711.9309999999996</v>
      </c>
      <c r="I1448" s="14">
        <f t="shared" si="671"/>
        <v>5711.9309999999996</v>
      </c>
      <c r="J1448" s="14">
        <f t="shared" si="671"/>
        <v>5711.8136599999998</v>
      </c>
      <c r="K1448" s="78">
        <f t="shared" si="655"/>
        <v>99.997945703475764</v>
      </c>
      <c r="L1448" s="14">
        <f t="shared" si="671"/>
        <v>0</v>
      </c>
      <c r="M1448" s="50"/>
      <c r="N1448" s="50"/>
    </row>
    <row r="1449" spans="1:14" ht="31.2" x14ac:dyDescent="0.3">
      <c r="A1449" s="8" t="s">
        <v>1412</v>
      </c>
      <c r="B1449" s="62" t="s">
        <v>937</v>
      </c>
      <c r="C1449" s="68" t="s">
        <v>1386</v>
      </c>
      <c r="D1449" s="68" t="s">
        <v>1398</v>
      </c>
      <c r="E1449" s="8" t="s">
        <v>68</v>
      </c>
      <c r="F1449" s="45" t="s">
        <v>380</v>
      </c>
      <c r="G1449" s="23" t="s">
        <v>809</v>
      </c>
      <c r="H1449" s="14">
        <f t="shared" si="671"/>
        <v>5711.9309999999996</v>
      </c>
      <c r="I1449" s="14">
        <f t="shared" si="671"/>
        <v>5711.9309999999996</v>
      </c>
      <c r="J1449" s="14">
        <f t="shared" si="671"/>
        <v>5711.8136599999998</v>
      </c>
      <c r="K1449" s="78">
        <f t="shared" si="655"/>
        <v>99.997945703475764</v>
      </c>
      <c r="L1449" s="14">
        <f t="shared" si="671"/>
        <v>0</v>
      </c>
      <c r="M1449" s="50"/>
      <c r="N1449" s="50"/>
    </row>
    <row r="1450" spans="1:14" ht="31.2" x14ac:dyDescent="0.3">
      <c r="A1450" s="8" t="s">
        <v>1412</v>
      </c>
      <c r="B1450" s="62" t="s">
        <v>937</v>
      </c>
      <c r="C1450" s="68" t="s">
        <v>1386</v>
      </c>
      <c r="D1450" s="68" t="s">
        <v>1398</v>
      </c>
      <c r="E1450" s="8" t="s">
        <v>68</v>
      </c>
      <c r="F1450" s="8" t="s">
        <v>247</v>
      </c>
      <c r="G1450" s="23" t="s">
        <v>810</v>
      </c>
      <c r="H1450" s="14">
        <f>5956.2-244.269</f>
        <v>5711.9309999999996</v>
      </c>
      <c r="I1450" s="14">
        <v>5711.9309999999996</v>
      </c>
      <c r="J1450" s="14">
        <v>5711.8136599999998</v>
      </c>
      <c r="K1450" s="78">
        <f t="shared" si="655"/>
        <v>99.997945703475764</v>
      </c>
      <c r="L1450" s="14"/>
      <c r="M1450" s="50"/>
      <c r="N1450" s="50"/>
    </row>
    <row r="1451" spans="1:14" ht="31.2" x14ac:dyDescent="0.3">
      <c r="A1451" s="8" t="s">
        <v>1412</v>
      </c>
      <c r="B1451" s="62" t="s">
        <v>937</v>
      </c>
      <c r="C1451" s="68" t="s">
        <v>1386</v>
      </c>
      <c r="D1451" s="68" t="s">
        <v>1398</v>
      </c>
      <c r="E1451" s="8" t="s">
        <v>245</v>
      </c>
      <c r="F1451" s="8"/>
      <c r="G1451" s="23" t="s">
        <v>306</v>
      </c>
      <c r="H1451" s="14">
        <f t="shared" ref="H1451:L1452" si="672">H1452</f>
        <v>10.667999999999999</v>
      </c>
      <c r="I1451" s="14">
        <f t="shared" si="672"/>
        <v>10.667999999999999</v>
      </c>
      <c r="J1451" s="14">
        <f t="shared" si="672"/>
        <v>10.667999999999999</v>
      </c>
      <c r="K1451" s="78">
        <f t="shared" si="655"/>
        <v>100</v>
      </c>
      <c r="L1451" s="14">
        <f t="shared" si="672"/>
        <v>0</v>
      </c>
      <c r="M1451" s="50"/>
      <c r="N1451" s="50"/>
    </row>
    <row r="1452" spans="1:14" ht="31.2" x14ac:dyDescent="0.3">
      <c r="A1452" s="8" t="s">
        <v>1412</v>
      </c>
      <c r="B1452" s="62" t="s">
        <v>937</v>
      </c>
      <c r="C1452" s="68" t="s">
        <v>1386</v>
      </c>
      <c r="D1452" s="68" t="s">
        <v>1398</v>
      </c>
      <c r="E1452" s="8" t="s">
        <v>245</v>
      </c>
      <c r="F1452" s="45" t="s">
        <v>380</v>
      </c>
      <c r="G1452" s="23" t="s">
        <v>809</v>
      </c>
      <c r="H1452" s="14">
        <f t="shared" si="672"/>
        <v>10.667999999999999</v>
      </c>
      <c r="I1452" s="14">
        <f t="shared" si="672"/>
        <v>10.667999999999999</v>
      </c>
      <c r="J1452" s="14">
        <f t="shared" si="672"/>
        <v>10.667999999999999</v>
      </c>
      <c r="K1452" s="78">
        <f t="shared" si="655"/>
        <v>100</v>
      </c>
      <c r="L1452" s="14">
        <f t="shared" si="672"/>
        <v>0</v>
      </c>
      <c r="M1452" s="50"/>
      <c r="N1452" s="50"/>
    </row>
    <row r="1453" spans="1:14" ht="31.2" x14ac:dyDescent="0.3">
      <c r="A1453" s="8" t="s">
        <v>1412</v>
      </c>
      <c r="B1453" s="62" t="s">
        <v>937</v>
      </c>
      <c r="C1453" s="68" t="s">
        <v>1386</v>
      </c>
      <c r="D1453" s="68" t="s">
        <v>1398</v>
      </c>
      <c r="E1453" s="8" t="s">
        <v>245</v>
      </c>
      <c r="F1453" s="8" t="s">
        <v>247</v>
      </c>
      <c r="G1453" s="23" t="s">
        <v>810</v>
      </c>
      <c r="H1453" s="14">
        <v>10.667999999999999</v>
      </c>
      <c r="I1453" s="14">
        <v>10.667999999999999</v>
      </c>
      <c r="J1453" s="14">
        <v>10.667999999999999</v>
      </c>
      <c r="K1453" s="78">
        <f t="shared" si="655"/>
        <v>100</v>
      </c>
      <c r="L1453" s="14"/>
      <c r="M1453" s="50"/>
      <c r="N1453" s="50"/>
    </row>
    <row r="1454" spans="1:14" ht="62.4" x14ac:dyDescent="0.3">
      <c r="A1454" s="8" t="s">
        <v>1412</v>
      </c>
      <c r="B1454" s="62" t="s">
        <v>937</v>
      </c>
      <c r="C1454" s="68" t="s">
        <v>1386</v>
      </c>
      <c r="D1454" s="68" t="s">
        <v>1398</v>
      </c>
      <c r="E1454" s="8" t="s">
        <v>963</v>
      </c>
      <c r="F1454" s="8"/>
      <c r="G1454" s="13" t="s">
        <v>964</v>
      </c>
      <c r="H1454" s="20">
        <v>0</v>
      </c>
      <c r="I1454" s="14">
        <f>I1455</f>
        <v>156066.88385000001</v>
      </c>
      <c r="J1454" s="14">
        <f t="shared" ref="J1454:L1455" si="673">J1455</f>
        <v>156066.88385000001</v>
      </c>
      <c r="K1454" s="78">
        <f t="shared" si="655"/>
        <v>100</v>
      </c>
      <c r="L1454" s="14">
        <f t="shared" si="673"/>
        <v>0</v>
      </c>
      <c r="M1454" s="50"/>
      <c r="N1454" s="50"/>
    </row>
    <row r="1455" spans="1:14" ht="31.2" x14ac:dyDescent="0.3">
      <c r="A1455" s="8" t="s">
        <v>1412</v>
      </c>
      <c r="B1455" s="62" t="s">
        <v>937</v>
      </c>
      <c r="C1455" s="68" t="s">
        <v>1386</v>
      </c>
      <c r="D1455" s="68" t="s">
        <v>1398</v>
      </c>
      <c r="E1455" s="8" t="s">
        <v>963</v>
      </c>
      <c r="F1455" s="45" t="s">
        <v>380</v>
      </c>
      <c r="G1455" s="23" t="s">
        <v>809</v>
      </c>
      <c r="H1455" s="20">
        <v>0</v>
      </c>
      <c r="I1455" s="14">
        <f>I1456</f>
        <v>156066.88385000001</v>
      </c>
      <c r="J1455" s="14">
        <f t="shared" si="673"/>
        <v>156066.88385000001</v>
      </c>
      <c r="K1455" s="78">
        <f t="shared" si="655"/>
        <v>100</v>
      </c>
      <c r="L1455" s="14">
        <f t="shared" si="673"/>
        <v>0</v>
      </c>
      <c r="M1455" s="50"/>
      <c r="N1455" s="50"/>
    </row>
    <row r="1456" spans="1:14" ht="31.2" x14ac:dyDescent="0.3">
      <c r="A1456" s="8" t="s">
        <v>1412</v>
      </c>
      <c r="B1456" s="62" t="s">
        <v>937</v>
      </c>
      <c r="C1456" s="68" t="s">
        <v>1386</v>
      </c>
      <c r="D1456" s="68" t="s">
        <v>1398</v>
      </c>
      <c r="E1456" s="8" t="s">
        <v>963</v>
      </c>
      <c r="F1456" s="8" t="s">
        <v>247</v>
      </c>
      <c r="G1456" s="23" t="s">
        <v>810</v>
      </c>
      <c r="H1456" s="20">
        <v>0</v>
      </c>
      <c r="I1456" s="14">
        <v>156066.88385000001</v>
      </c>
      <c r="J1456" s="14">
        <v>156066.88385000001</v>
      </c>
      <c r="K1456" s="78">
        <f t="shared" si="655"/>
        <v>100</v>
      </c>
      <c r="L1456" s="14"/>
      <c r="M1456" s="50"/>
      <c r="N1456" s="50"/>
    </row>
    <row r="1457" spans="1:14" ht="62.4" x14ac:dyDescent="0.3">
      <c r="A1457" s="8" t="s">
        <v>1412</v>
      </c>
      <c r="B1457" s="62" t="s">
        <v>937</v>
      </c>
      <c r="C1457" s="68" t="s">
        <v>1386</v>
      </c>
      <c r="D1457" s="68" t="s">
        <v>1398</v>
      </c>
      <c r="E1457" s="8" t="s">
        <v>358</v>
      </c>
      <c r="F1457" s="8"/>
      <c r="G1457" s="13" t="s">
        <v>1040</v>
      </c>
      <c r="H1457" s="14">
        <f t="shared" ref="H1457:L1460" si="674">H1458</f>
        <v>5976.2719999999999</v>
      </c>
      <c r="I1457" s="14">
        <f t="shared" si="674"/>
        <v>5976.2719999999999</v>
      </c>
      <c r="J1457" s="14">
        <f t="shared" si="674"/>
        <v>5967.2740000000003</v>
      </c>
      <c r="K1457" s="78">
        <f t="shared" si="655"/>
        <v>99.849437910456558</v>
      </c>
      <c r="L1457" s="14">
        <f t="shared" si="674"/>
        <v>0</v>
      </c>
      <c r="M1457" s="50"/>
      <c r="N1457" s="50"/>
    </row>
    <row r="1458" spans="1:14" ht="31.2" x14ac:dyDescent="0.3">
      <c r="A1458" s="8" t="s">
        <v>1412</v>
      </c>
      <c r="B1458" s="62" t="s">
        <v>937</v>
      </c>
      <c r="C1458" s="68" t="s">
        <v>1386</v>
      </c>
      <c r="D1458" s="68" t="s">
        <v>1398</v>
      </c>
      <c r="E1458" s="8" t="s">
        <v>359</v>
      </c>
      <c r="F1458" s="8"/>
      <c r="G1458" s="13" t="s">
        <v>1041</v>
      </c>
      <c r="H1458" s="14">
        <f t="shared" si="674"/>
        <v>5976.2719999999999</v>
      </c>
      <c r="I1458" s="14">
        <f t="shared" si="674"/>
        <v>5976.2719999999999</v>
      </c>
      <c r="J1458" s="14">
        <f t="shared" si="674"/>
        <v>5967.2740000000003</v>
      </c>
      <c r="K1458" s="78">
        <f t="shared" si="655"/>
        <v>99.849437910456558</v>
      </c>
      <c r="L1458" s="14">
        <f t="shared" si="674"/>
        <v>0</v>
      </c>
      <c r="M1458" s="50"/>
      <c r="N1458" s="50"/>
    </row>
    <row r="1459" spans="1:14" ht="46.8" x14ac:dyDescent="0.3">
      <c r="A1459" s="8" t="s">
        <v>1412</v>
      </c>
      <c r="B1459" s="62" t="s">
        <v>937</v>
      </c>
      <c r="C1459" s="68" t="s">
        <v>1386</v>
      </c>
      <c r="D1459" s="68" t="s">
        <v>1398</v>
      </c>
      <c r="E1459" s="8" t="s">
        <v>360</v>
      </c>
      <c r="F1459" s="8"/>
      <c r="G1459" s="18" t="s">
        <v>313</v>
      </c>
      <c r="H1459" s="14">
        <f t="shared" si="674"/>
        <v>5976.2719999999999</v>
      </c>
      <c r="I1459" s="14">
        <f t="shared" si="674"/>
        <v>5976.2719999999999</v>
      </c>
      <c r="J1459" s="14">
        <f t="shared" si="674"/>
        <v>5967.2740000000003</v>
      </c>
      <c r="K1459" s="78">
        <f t="shared" si="655"/>
        <v>99.849437910456558</v>
      </c>
      <c r="L1459" s="14">
        <f t="shared" si="674"/>
        <v>0</v>
      </c>
      <c r="M1459" s="50"/>
      <c r="N1459" s="50"/>
    </row>
    <row r="1460" spans="1:14" ht="31.2" x14ac:dyDescent="0.3">
      <c r="A1460" s="8" t="s">
        <v>1412</v>
      </c>
      <c r="B1460" s="62" t="s">
        <v>937</v>
      </c>
      <c r="C1460" s="68" t="s">
        <v>1386</v>
      </c>
      <c r="D1460" s="68" t="s">
        <v>1398</v>
      </c>
      <c r="E1460" s="8" t="s">
        <v>360</v>
      </c>
      <c r="F1460" s="45" t="s">
        <v>380</v>
      </c>
      <c r="G1460" s="23" t="s">
        <v>809</v>
      </c>
      <c r="H1460" s="14">
        <f t="shared" si="674"/>
        <v>5976.2719999999999</v>
      </c>
      <c r="I1460" s="14">
        <f t="shared" si="674"/>
        <v>5976.2719999999999</v>
      </c>
      <c r="J1460" s="14">
        <f t="shared" si="674"/>
        <v>5967.2740000000003</v>
      </c>
      <c r="K1460" s="78">
        <f t="shared" si="655"/>
        <v>99.849437910456558</v>
      </c>
      <c r="L1460" s="14">
        <f t="shared" si="674"/>
        <v>0</v>
      </c>
      <c r="M1460" s="50"/>
      <c r="N1460" s="50"/>
    </row>
    <row r="1461" spans="1:14" ht="31.2" x14ac:dyDescent="0.3">
      <c r="A1461" s="8" t="s">
        <v>1412</v>
      </c>
      <c r="B1461" s="62" t="s">
        <v>937</v>
      </c>
      <c r="C1461" s="68" t="s">
        <v>1386</v>
      </c>
      <c r="D1461" s="68" t="s">
        <v>1398</v>
      </c>
      <c r="E1461" s="8" t="s">
        <v>360</v>
      </c>
      <c r="F1461" s="8" t="s">
        <v>247</v>
      </c>
      <c r="G1461" s="23" t="s">
        <v>810</v>
      </c>
      <c r="H1461" s="14">
        <f>5993.1-16.828</f>
        <v>5976.2719999999999</v>
      </c>
      <c r="I1461" s="14">
        <v>5976.2719999999999</v>
      </c>
      <c r="J1461" s="14">
        <v>5967.2740000000003</v>
      </c>
      <c r="K1461" s="78">
        <f t="shared" si="655"/>
        <v>99.849437910456558</v>
      </c>
      <c r="L1461" s="14"/>
      <c r="M1461" s="50"/>
      <c r="N1461" s="50"/>
    </row>
    <row r="1462" spans="1:14" ht="62.4" x14ac:dyDescent="0.3">
      <c r="A1462" s="8" t="s">
        <v>1412</v>
      </c>
      <c r="B1462" s="62" t="s">
        <v>937</v>
      </c>
      <c r="C1462" s="68" t="s">
        <v>1386</v>
      </c>
      <c r="D1462" s="68" t="s">
        <v>1398</v>
      </c>
      <c r="E1462" s="8" t="s">
        <v>361</v>
      </c>
      <c r="F1462" s="8"/>
      <c r="G1462" s="18" t="s">
        <v>1191</v>
      </c>
      <c r="H1462" s="14">
        <f t="shared" ref="H1462:L1466" si="675">H1463</f>
        <v>12418.674000000001</v>
      </c>
      <c r="I1462" s="14">
        <f t="shared" si="675"/>
        <v>12418.674000000001</v>
      </c>
      <c r="J1462" s="14">
        <f t="shared" si="675"/>
        <v>12398.538210000001</v>
      </c>
      <c r="K1462" s="78">
        <f t="shared" si="655"/>
        <v>99.837858776226824</v>
      </c>
      <c r="L1462" s="14">
        <f t="shared" si="675"/>
        <v>0</v>
      </c>
      <c r="M1462" s="50"/>
      <c r="N1462" s="50"/>
    </row>
    <row r="1463" spans="1:14" ht="46.8" x14ac:dyDescent="0.3">
      <c r="A1463" s="8" t="s">
        <v>1412</v>
      </c>
      <c r="B1463" s="62" t="s">
        <v>937</v>
      </c>
      <c r="C1463" s="68" t="s">
        <v>1386</v>
      </c>
      <c r="D1463" s="68" t="s">
        <v>1398</v>
      </c>
      <c r="E1463" s="8" t="s">
        <v>362</v>
      </c>
      <c r="F1463" s="8"/>
      <c r="G1463" s="18" t="s">
        <v>1209</v>
      </c>
      <c r="H1463" s="14">
        <f t="shared" si="675"/>
        <v>12418.674000000001</v>
      </c>
      <c r="I1463" s="14">
        <f t="shared" si="675"/>
        <v>12418.674000000001</v>
      </c>
      <c r="J1463" s="14">
        <f t="shared" si="675"/>
        <v>12398.538210000001</v>
      </c>
      <c r="K1463" s="78">
        <f t="shared" si="655"/>
        <v>99.837858776226824</v>
      </c>
      <c r="L1463" s="14">
        <f t="shared" si="675"/>
        <v>0</v>
      </c>
      <c r="M1463" s="50"/>
      <c r="N1463" s="50"/>
    </row>
    <row r="1464" spans="1:14" ht="62.4" x14ac:dyDescent="0.3">
      <c r="A1464" s="8" t="s">
        <v>1412</v>
      </c>
      <c r="B1464" s="62" t="s">
        <v>937</v>
      </c>
      <c r="C1464" s="68" t="s">
        <v>1386</v>
      </c>
      <c r="D1464" s="68" t="s">
        <v>1398</v>
      </c>
      <c r="E1464" s="8" t="s">
        <v>363</v>
      </c>
      <c r="F1464" s="8"/>
      <c r="G1464" s="13" t="s">
        <v>1053</v>
      </c>
      <c r="H1464" s="14">
        <f t="shared" si="675"/>
        <v>12418.674000000001</v>
      </c>
      <c r="I1464" s="14">
        <f t="shared" si="675"/>
        <v>12418.674000000001</v>
      </c>
      <c r="J1464" s="14">
        <f t="shared" si="675"/>
        <v>12398.538210000001</v>
      </c>
      <c r="K1464" s="78">
        <f t="shared" si="655"/>
        <v>99.837858776226824</v>
      </c>
      <c r="L1464" s="14">
        <f t="shared" si="675"/>
        <v>0</v>
      </c>
      <c r="M1464" s="50"/>
      <c r="N1464" s="50"/>
    </row>
    <row r="1465" spans="1:14" x14ac:dyDescent="0.3">
      <c r="A1465" s="8" t="s">
        <v>1412</v>
      </c>
      <c r="B1465" s="62" t="s">
        <v>937</v>
      </c>
      <c r="C1465" s="68" t="s">
        <v>1386</v>
      </c>
      <c r="D1465" s="68" t="s">
        <v>1398</v>
      </c>
      <c r="E1465" s="8" t="s">
        <v>364</v>
      </c>
      <c r="F1465" s="8"/>
      <c r="G1465" s="13" t="s">
        <v>1054</v>
      </c>
      <c r="H1465" s="14">
        <f t="shared" si="675"/>
        <v>12418.674000000001</v>
      </c>
      <c r="I1465" s="14">
        <f t="shared" si="675"/>
        <v>12418.674000000001</v>
      </c>
      <c r="J1465" s="14">
        <f t="shared" si="675"/>
        <v>12398.538210000001</v>
      </c>
      <c r="K1465" s="78">
        <f t="shared" si="655"/>
        <v>99.837858776226824</v>
      </c>
      <c r="L1465" s="14">
        <f t="shared" si="675"/>
        <v>0</v>
      </c>
      <c r="M1465" s="50"/>
      <c r="N1465" s="50"/>
    </row>
    <row r="1466" spans="1:14" ht="31.2" x14ac:dyDescent="0.3">
      <c r="A1466" s="8" t="s">
        <v>1412</v>
      </c>
      <c r="B1466" s="62" t="s">
        <v>937</v>
      </c>
      <c r="C1466" s="68" t="s">
        <v>1386</v>
      </c>
      <c r="D1466" s="68" t="s">
        <v>1398</v>
      </c>
      <c r="E1466" s="8" t="s">
        <v>364</v>
      </c>
      <c r="F1466" s="45" t="s">
        <v>380</v>
      </c>
      <c r="G1466" s="23" t="s">
        <v>809</v>
      </c>
      <c r="H1466" s="14">
        <f t="shared" si="675"/>
        <v>12418.674000000001</v>
      </c>
      <c r="I1466" s="14">
        <f t="shared" si="675"/>
        <v>12418.674000000001</v>
      </c>
      <c r="J1466" s="14">
        <f t="shared" si="675"/>
        <v>12398.538210000001</v>
      </c>
      <c r="K1466" s="78">
        <f t="shared" si="655"/>
        <v>99.837858776226824</v>
      </c>
      <c r="L1466" s="14">
        <f t="shared" si="675"/>
        <v>0</v>
      </c>
      <c r="M1466" s="50"/>
      <c r="N1466" s="50"/>
    </row>
    <row r="1467" spans="1:14" ht="31.2" x14ac:dyDescent="0.3">
      <c r="A1467" s="8" t="s">
        <v>1412</v>
      </c>
      <c r="B1467" s="62" t="s">
        <v>937</v>
      </c>
      <c r="C1467" s="68" t="s">
        <v>1386</v>
      </c>
      <c r="D1467" s="68" t="s">
        <v>1398</v>
      </c>
      <c r="E1467" s="8" t="s">
        <v>364</v>
      </c>
      <c r="F1467" s="8" t="s">
        <v>247</v>
      </c>
      <c r="G1467" s="23" t="s">
        <v>810</v>
      </c>
      <c r="H1467" s="14">
        <f>15300.2-2610.759-217.529-53.238</f>
        <v>12418.674000000001</v>
      </c>
      <c r="I1467" s="14">
        <v>12418.674000000001</v>
      </c>
      <c r="J1467" s="14">
        <v>12398.538210000001</v>
      </c>
      <c r="K1467" s="78">
        <f t="shared" si="655"/>
        <v>99.837858776226824</v>
      </c>
      <c r="L1467" s="14"/>
      <c r="M1467" s="50"/>
      <c r="N1467" s="50"/>
    </row>
    <row r="1468" spans="1:14" ht="31.2" x14ac:dyDescent="0.3">
      <c r="A1468" s="8" t="s">
        <v>1412</v>
      </c>
      <c r="B1468" s="62" t="s">
        <v>937</v>
      </c>
      <c r="C1468" s="68" t="s">
        <v>1386</v>
      </c>
      <c r="D1468" s="68" t="s">
        <v>1398</v>
      </c>
      <c r="E1468" s="8" t="s">
        <v>368</v>
      </c>
      <c r="F1468" s="8"/>
      <c r="G1468" s="13" t="s">
        <v>1079</v>
      </c>
      <c r="H1468" s="14">
        <f t="shared" ref="H1468:L1474" si="676">H1469</f>
        <v>15249.779</v>
      </c>
      <c r="I1468" s="14">
        <f t="shared" si="676"/>
        <v>14220.1482</v>
      </c>
      <c r="J1468" s="14">
        <f t="shared" si="676"/>
        <v>14220.14712</v>
      </c>
      <c r="K1468" s="78">
        <f t="shared" si="655"/>
        <v>99.99999240514245</v>
      </c>
      <c r="L1468" s="14">
        <f t="shared" si="676"/>
        <v>0</v>
      </c>
      <c r="M1468" s="50"/>
      <c r="N1468" s="50"/>
    </row>
    <row r="1469" spans="1:14" ht="31.2" x14ac:dyDescent="0.3">
      <c r="A1469" s="8" t="s">
        <v>1412</v>
      </c>
      <c r="B1469" s="62" t="s">
        <v>937</v>
      </c>
      <c r="C1469" s="68" t="s">
        <v>1386</v>
      </c>
      <c r="D1469" s="68" t="s">
        <v>1398</v>
      </c>
      <c r="E1469" s="8" t="s">
        <v>369</v>
      </c>
      <c r="F1469" s="8"/>
      <c r="G1469" s="13" t="s">
        <v>1088</v>
      </c>
      <c r="H1469" s="14">
        <f t="shared" si="676"/>
        <v>15249.779</v>
      </c>
      <c r="I1469" s="14">
        <f t="shared" si="676"/>
        <v>14220.1482</v>
      </c>
      <c r="J1469" s="14">
        <f t="shared" si="676"/>
        <v>14220.14712</v>
      </c>
      <c r="K1469" s="78">
        <f t="shared" si="655"/>
        <v>99.99999240514245</v>
      </c>
      <c r="L1469" s="14">
        <f t="shared" si="676"/>
        <v>0</v>
      </c>
      <c r="M1469" s="50"/>
      <c r="N1469" s="50"/>
    </row>
    <row r="1470" spans="1:14" ht="46.8" x14ac:dyDescent="0.3">
      <c r="A1470" s="8" t="s">
        <v>1412</v>
      </c>
      <c r="B1470" s="62" t="s">
        <v>937</v>
      </c>
      <c r="C1470" s="68" t="s">
        <v>1386</v>
      </c>
      <c r="D1470" s="68" t="s">
        <v>1398</v>
      </c>
      <c r="E1470" s="8" t="s">
        <v>514</v>
      </c>
      <c r="F1470" s="8"/>
      <c r="G1470" s="18" t="s">
        <v>1090</v>
      </c>
      <c r="H1470" s="14">
        <f t="shared" si="676"/>
        <v>15249.779</v>
      </c>
      <c r="I1470" s="14">
        <f t="shared" si="676"/>
        <v>14220.1482</v>
      </c>
      <c r="J1470" s="14">
        <f t="shared" si="676"/>
        <v>14220.14712</v>
      </c>
      <c r="K1470" s="78">
        <f t="shared" si="655"/>
        <v>99.99999240514245</v>
      </c>
      <c r="L1470" s="14">
        <f t="shared" si="676"/>
        <v>0</v>
      </c>
      <c r="M1470" s="50"/>
      <c r="N1470" s="50"/>
    </row>
    <row r="1471" spans="1:14" ht="46.8" x14ac:dyDescent="0.3">
      <c r="A1471" s="8" t="s">
        <v>1412</v>
      </c>
      <c r="B1471" s="62" t="s">
        <v>937</v>
      </c>
      <c r="C1471" s="68" t="s">
        <v>1386</v>
      </c>
      <c r="D1471" s="68" t="s">
        <v>1398</v>
      </c>
      <c r="E1471" s="8" t="s">
        <v>69</v>
      </c>
      <c r="F1471" s="8"/>
      <c r="G1471" s="23" t="s">
        <v>1267</v>
      </c>
      <c r="H1471" s="14">
        <f>H1474+H1472</f>
        <v>15249.779</v>
      </c>
      <c r="I1471" s="14">
        <f t="shared" ref="I1471:L1471" si="677">I1474+I1472</f>
        <v>14220.1482</v>
      </c>
      <c r="J1471" s="14">
        <f t="shared" si="677"/>
        <v>14220.14712</v>
      </c>
      <c r="K1471" s="78">
        <f t="shared" si="655"/>
        <v>99.99999240514245</v>
      </c>
      <c r="L1471" s="14">
        <f t="shared" si="677"/>
        <v>0</v>
      </c>
      <c r="M1471" s="50"/>
      <c r="N1471" s="50"/>
    </row>
    <row r="1472" spans="1:14" ht="31.2" x14ac:dyDescent="0.3">
      <c r="A1472" s="8" t="s">
        <v>1412</v>
      </c>
      <c r="B1472" s="62" t="s">
        <v>937</v>
      </c>
      <c r="C1472" s="68" t="s">
        <v>1386</v>
      </c>
      <c r="D1472" s="68" t="s">
        <v>1398</v>
      </c>
      <c r="E1472" s="8" t="s">
        <v>69</v>
      </c>
      <c r="F1472" s="45" t="s">
        <v>402</v>
      </c>
      <c r="G1472" s="23" t="s">
        <v>819</v>
      </c>
      <c r="H1472" s="14">
        <f>H1473</f>
        <v>0</v>
      </c>
      <c r="I1472" s="14">
        <f t="shared" ref="I1472:L1472" si="678">I1473</f>
        <v>3250.4501799999998</v>
      </c>
      <c r="J1472" s="14">
        <f t="shared" si="678"/>
        <v>3250.4501799999998</v>
      </c>
      <c r="K1472" s="78">
        <f t="shared" si="655"/>
        <v>100</v>
      </c>
      <c r="L1472" s="14">
        <f t="shared" si="678"/>
        <v>0</v>
      </c>
      <c r="M1472" s="50"/>
      <c r="N1472" s="50"/>
    </row>
    <row r="1473" spans="1:14" ht="46.8" x14ac:dyDescent="0.3">
      <c r="A1473" s="8" t="s">
        <v>1412</v>
      </c>
      <c r="B1473" s="62" t="s">
        <v>937</v>
      </c>
      <c r="C1473" s="68" t="s">
        <v>1386</v>
      </c>
      <c r="D1473" s="68" t="s">
        <v>1398</v>
      </c>
      <c r="E1473" s="8" t="s">
        <v>69</v>
      </c>
      <c r="F1473" s="45" t="s">
        <v>280</v>
      </c>
      <c r="G1473" s="23" t="s">
        <v>821</v>
      </c>
      <c r="H1473" s="20">
        <v>0</v>
      </c>
      <c r="I1473" s="14">
        <v>3250.4501799999998</v>
      </c>
      <c r="J1473" s="14">
        <v>3250.4501799999998</v>
      </c>
      <c r="K1473" s="78">
        <f t="shared" si="655"/>
        <v>100</v>
      </c>
      <c r="L1473" s="14"/>
      <c r="M1473" s="50"/>
      <c r="N1473" s="50"/>
    </row>
    <row r="1474" spans="1:14" x14ac:dyDescent="0.3">
      <c r="A1474" s="8" t="s">
        <v>1412</v>
      </c>
      <c r="B1474" s="62" t="s">
        <v>937</v>
      </c>
      <c r="C1474" s="68" t="s">
        <v>1386</v>
      </c>
      <c r="D1474" s="68" t="s">
        <v>1398</v>
      </c>
      <c r="E1474" s="8" t="s">
        <v>69</v>
      </c>
      <c r="F1474" s="45" t="s">
        <v>464</v>
      </c>
      <c r="G1474" s="23" t="s">
        <v>822</v>
      </c>
      <c r="H1474" s="14">
        <f t="shared" si="676"/>
        <v>15249.779</v>
      </c>
      <c r="I1474" s="14">
        <f t="shared" si="676"/>
        <v>10969.69802</v>
      </c>
      <c r="J1474" s="14">
        <f t="shared" si="676"/>
        <v>10969.69694</v>
      </c>
      <c r="K1474" s="78">
        <f t="shared" si="655"/>
        <v>99.999990154697073</v>
      </c>
      <c r="L1474" s="14">
        <f t="shared" si="676"/>
        <v>0</v>
      </c>
      <c r="M1474" s="50"/>
      <c r="N1474" s="50"/>
    </row>
    <row r="1475" spans="1:14" ht="62.4" x14ac:dyDescent="0.3">
      <c r="A1475" s="8" t="s">
        <v>1412</v>
      </c>
      <c r="B1475" s="62" t="s">
        <v>937</v>
      </c>
      <c r="C1475" s="68" t="s">
        <v>1386</v>
      </c>
      <c r="D1475" s="68" t="s">
        <v>1398</v>
      </c>
      <c r="E1475" s="8" t="s">
        <v>69</v>
      </c>
      <c r="F1475" s="45" t="s">
        <v>727</v>
      </c>
      <c r="G1475" s="18" t="s">
        <v>830</v>
      </c>
      <c r="H1475" s="14">
        <f>15703.933-454.154</f>
        <v>15249.779</v>
      </c>
      <c r="I1475" s="14">
        <v>10969.69802</v>
      </c>
      <c r="J1475" s="14">
        <v>10969.69694</v>
      </c>
      <c r="K1475" s="78">
        <f t="shared" si="655"/>
        <v>99.999990154697073</v>
      </c>
      <c r="L1475" s="14"/>
      <c r="M1475" s="50"/>
      <c r="N1475" s="50"/>
    </row>
    <row r="1476" spans="1:14" ht="31.2" x14ac:dyDescent="0.3">
      <c r="A1476" s="8" t="s">
        <v>1412</v>
      </c>
      <c r="B1476" s="62" t="s">
        <v>937</v>
      </c>
      <c r="C1476" s="68" t="s">
        <v>1386</v>
      </c>
      <c r="D1476" s="68" t="s">
        <v>1398</v>
      </c>
      <c r="E1476" s="8" t="s">
        <v>429</v>
      </c>
      <c r="F1476" s="45"/>
      <c r="G1476" s="23" t="s">
        <v>1140</v>
      </c>
      <c r="H1476" s="14">
        <f>H1477</f>
        <v>1300.729</v>
      </c>
      <c r="I1476" s="14">
        <f t="shared" ref="I1476:L1476" si="679">I1477</f>
        <v>7339.5325499999999</v>
      </c>
      <c r="J1476" s="14">
        <f t="shared" si="679"/>
        <v>6434.1325500000003</v>
      </c>
      <c r="K1476" s="78">
        <f t="shared" si="655"/>
        <v>87.664064518659302</v>
      </c>
      <c r="L1476" s="14">
        <f t="shared" si="679"/>
        <v>0</v>
      </c>
      <c r="M1476" s="50"/>
      <c r="N1476" s="50"/>
    </row>
    <row r="1477" spans="1:14" ht="46.8" x14ac:dyDescent="0.3">
      <c r="A1477" s="8" t="s">
        <v>1412</v>
      </c>
      <c r="B1477" s="62" t="s">
        <v>937</v>
      </c>
      <c r="C1477" s="68" t="s">
        <v>1386</v>
      </c>
      <c r="D1477" s="68" t="s">
        <v>1398</v>
      </c>
      <c r="E1477" s="8" t="s">
        <v>535</v>
      </c>
      <c r="F1477" s="45"/>
      <c r="G1477" s="31" t="s">
        <v>176</v>
      </c>
      <c r="H1477" s="14">
        <f>H1478+H1480</f>
        <v>1300.729</v>
      </c>
      <c r="I1477" s="14">
        <f t="shared" ref="I1477:L1477" si="680">I1478+I1480</f>
        <v>7339.5325499999999</v>
      </c>
      <c r="J1477" s="14">
        <f t="shared" si="680"/>
        <v>6434.1325500000003</v>
      </c>
      <c r="K1477" s="78">
        <f t="shared" si="655"/>
        <v>87.664064518659302</v>
      </c>
      <c r="L1477" s="14">
        <f t="shared" si="680"/>
        <v>0</v>
      </c>
      <c r="M1477" s="50"/>
      <c r="N1477" s="50"/>
    </row>
    <row r="1478" spans="1:14" ht="31.2" x14ac:dyDescent="0.3">
      <c r="A1478" s="8" t="s">
        <v>1412</v>
      </c>
      <c r="B1478" s="62" t="s">
        <v>937</v>
      </c>
      <c r="C1478" s="68" t="s">
        <v>1386</v>
      </c>
      <c r="D1478" s="68" t="s">
        <v>1398</v>
      </c>
      <c r="E1478" s="8" t="s">
        <v>535</v>
      </c>
      <c r="F1478" s="45" t="s">
        <v>380</v>
      </c>
      <c r="G1478" s="23" t="s">
        <v>809</v>
      </c>
      <c r="H1478" s="14">
        <f t="shared" ref="H1478:L1478" si="681">H1479</f>
        <v>1300.511</v>
      </c>
      <c r="I1478" s="14">
        <f t="shared" si="681"/>
        <v>7339.5325499999999</v>
      </c>
      <c r="J1478" s="14">
        <f t="shared" si="681"/>
        <v>6434.1325500000003</v>
      </c>
      <c r="K1478" s="78">
        <f t="shared" si="655"/>
        <v>87.664064518659302</v>
      </c>
      <c r="L1478" s="14">
        <f t="shared" si="681"/>
        <v>0</v>
      </c>
      <c r="M1478" s="50"/>
      <c r="N1478" s="50"/>
    </row>
    <row r="1479" spans="1:14" ht="31.2" x14ac:dyDescent="0.3">
      <c r="A1479" s="8" t="s">
        <v>1412</v>
      </c>
      <c r="B1479" s="62" t="s">
        <v>937</v>
      </c>
      <c r="C1479" s="68" t="s">
        <v>1386</v>
      </c>
      <c r="D1479" s="68" t="s">
        <v>1398</v>
      </c>
      <c r="E1479" s="8" t="s">
        <v>535</v>
      </c>
      <c r="F1479" s="8" t="s">
        <v>247</v>
      </c>
      <c r="G1479" s="23" t="s">
        <v>810</v>
      </c>
      <c r="H1479" s="14">
        <v>1300.511</v>
      </c>
      <c r="I1479" s="14">
        <v>7339.5325499999999</v>
      </c>
      <c r="J1479" s="19">
        <v>6434.1325500000003</v>
      </c>
      <c r="K1479" s="75">
        <f t="shared" si="655"/>
        <v>87.664064518659302</v>
      </c>
      <c r="L1479" s="14"/>
      <c r="M1479" s="50"/>
      <c r="N1479" s="50"/>
    </row>
    <row r="1480" spans="1:14" hidden="1" x14ac:dyDescent="0.3">
      <c r="A1480" s="8" t="s">
        <v>1412</v>
      </c>
      <c r="B1480" s="62" t="s">
        <v>937</v>
      </c>
      <c r="C1480" s="68" t="s">
        <v>1386</v>
      </c>
      <c r="D1480" s="68" t="s">
        <v>1398</v>
      </c>
      <c r="E1480" s="8" t="s">
        <v>535</v>
      </c>
      <c r="F1480" s="45" t="s">
        <v>464</v>
      </c>
      <c r="G1480" s="23" t="s">
        <v>822</v>
      </c>
      <c r="H1480" s="14">
        <f t="shared" ref="H1480:L1480" si="682">H1481</f>
        <v>0.218</v>
      </c>
      <c r="I1480" s="14">
        <f t="shared" si="682"/>
        <v>0</v>
      </c>
      <c r="J1480" s="14">
        <f t="shared" si="682"/>
        <v>0</v>
      </c>
      <c r="K1480" s="78" t="e">
        <f t="shared" ref="K1480:K1543" si="683">J1480/I1480*100</f>
        <v>#DIV/0!</v>
      </c>
      <c r="L1480" s="14">
        <f t="shared" si="682"/>
        <v>0</v>
      </c>
      <c r="M1480" s="50">
        <v>111</v>
      </c>
      <c r="N1480" s="50"/>
    </row>
    <row r="1481" spans="1:14" ht="62.4" hidden="1" x14ac:dyDescent="0.3">
      <c r="A1481" s="8" t="s">
        <v>1412</v>
      </c>
      <c r="B1481" s="62" t="s">
        <v>937</v>
      </c>
      <c r="C1481" s="68" t="s">
        <v>1386</v>
      </c>
      <c r="D1481" s="68" t="s">
        <v>1398</v>
      </c>
      <c r="E1481" s="8" t="s">
        <v>535</v>
      </c>
      <c r="F1481" s="45" t="s">
        <v>727</v>
      </c>
      <c r="G1481" s="18" t="s">
        <v>830</v>
      </c>
      <c r="H1481" s="14">
        <v>0.218</v>
      </c>
      <c r="I1481" s="14">
        <v>0</v>
      </c>
      <c r="J1481" s="14">
        <v>0</v>
      </c>
      <c r="K1481" s="78" t="e">
        <f t="shared" si="683"/>
        <v>#DIV/0!</v>
      </c>
      <c r="L1481" s="14"/>
      <c r="M1481" s="50">
        <v>111</v>
      </c>
      <c r="N1481" s="50"/>
    </row>
    <row r="1482" spans="1:14" ht="46.8" x14ac:dyDescent="0.3">
      <c r="A1482" s="8" t="s">
        <v>1412</v>
      </c>
      <c r="B1482" s="62" t="s">
        <v>937</v>
      </c>
      <c r="C1482" s="83" t="s">
        <v>1386</v>
      </c>
      <c r="D1482" s="83" t="s">
        <v>1398</v>
      </c>
      <c r="E1482" s="45" t="s">
        <v>493</v>
      </c>
      <c r="F1482" s="45"/>
      <c r="G1482" s="23" t="s">
        <v>1160</v>
      </c>
      <c r="H1482" s="14">
        <f>H1483</f>
        <v>0</v>
      </c>
      <c r="I1482" s="14">
        <f t="shared" ref="I1482:L1485" si="684">I1483</f>
        <v>186.84</v>
      </c>
      <c r="J1482" s="14">
        <f t="shared" si="684"/>
        <v>186.84</v>
      </c>
      <c r="K1482" s="78">
        <f t="shared" si="683"/>
        <v>100</v>
      </c>
      <c r="L1482" s="14">
        <f t="shared" si="684"/>
        <v>0</v>
      </c>
      <c r="M1482" s="50"/>
      <c r="N1482" s="50"/>
    </row>
    <row r="1483" spans="1:14" ht="31.2" x14ac:dyDescent="0.3">
      <c r="A1483" s="8" t="s">
        <v>1412</v>
      </c>
      <c r="B1483" s="62" t="s">
        <v>937</v>
      </c>
      <c r="C1483" s="83" t="s">
        <v>1386</v>
      </c>
      <c r="D1483" s="83" t="s">
        <v>1398</v>
      </c>
      <c r="E1483" s="45" t="s">
        <v>494</v>
      </c>
      <c r="F1483" s="45"/>
      <c r="G1483" s="23" t="s">
        <v>1161</v>
      </c>
      <c r="H1483" s="14">
        <f>H1484</f>
        <v>0</v>
      </c>
      <c r="I1483" s="14">
        <f t="shared" si="684"/>
        <v>186.84</v>
      </c>
      <c r="J1483" s="14">
        <f t="shared" si="684"/>
        <v>186.84</v>
      </c>
      <c r="K1483" s="78">
        <f t="shared" si="683"/>
        <v>100</v>
      </c>
      <c r="L1483" s="14">
        <f t="shared" si="684"/>
        <v>0</v>
      </c>
      <c r="M1483" s="50"/>
      <c r="N1483" s="50"/>
    </row>
    <row r="1484" spans="1:14" ht="31.2" x14ac:dyDescent="0.3">
      <c r="A1484" s="8" t="s">
        <v>1412</v>
      </c>
      <c r="B1484" s="62" t="s">
        <v>937</v>
      </c>
      <c r="C1484" s="83" t="s">
        <v>1386</v>
      </c>
      <c r="D1484" s="83" t="s">
        <v>1398</v>
      </c>
      <c r="E1484" s="45" t="s">
        <v>495</v>
      </c>
      <c r="F1484" s="45"/>
      <c r="G1484" s="23" t="s">
        <v>687</v>
      </c>
      <c r="H1484" s="14">
        <f>H1485</f>
        <v>0</v>
      </c>
      <c r="I1484" s="14">
        <f t="shared" si="684"/>
        <v>186.84</v>
      </c>
      <c r="J1484" s="14">
        <f t="shared" si="684"/>
        <v>186.84</v>
      </c>
      <c r="K1484" s="78">
        <f t="shared" si="683"/>
        <v>100</v>
      </c>
      <c r="L1484" s="14">
        <f t="shared" si="684"/>
        <v>0</v>
      </c>
      <c r="M1484" s="50"/>
      <c r="N1484" s="50"/>
    </row>
    <row r="1485" spans="1:14" x14ac:dyDescent="0.3">
      <c r="A1485" s="8" t="s">
        <v>1412</v>
      </c>
      <c r="B1485" s="62" t="s">
        <v>937</v>
      </c>
      <c r="C1485" s="83" t="s">
        <v>1386</v>
      </c>
      <c r="D1485" s="83" t="s">
        <v>1398</v>
      </c>
      <c r="E1485" s="45" t="s">
        <v>495</v>
      </c>
      <c r="F1485" s="45" t="s">
        <v>464</v>
      </c>
      <c r="G1485" s="23" t="s">
        <v>822</v>
      </c>
      <c r="H1485" s="14">
        <f>H1486</f>
        <v>0</v>
      </c>
      <c r="I1485" s="14">
        <f t="shared" si="684"/>
        <v>186.84</v>
      </c>
      <c r="J1485" s="14">
        <f t="shared" si="684"/>
        <v>186.84</v>
      </c>
      <c r="K1485" s="78">
        <f t="shared" si="683"/>
        <v>100</v>
      </c>
      <c r="L1485" s="14">
        <f t="shared" si="684"/>
        <v>0</v>
      </c>
      <c r="M1485" s="50"/>
      <c r="N1485" s="50"/>
    </row>
    <row r="1486" spans="1:14" x14ac:dyDescent="0.3">
      <c r="A1486" s="8" t="s">
        <v>1412</v>
      </c>
      <c r="B1486" s="62" t="s">
        <v>937</v>
      </c>
      <c r="C1486" s="83" t="s">
        <v>1386</v>
      </c>
      <c r="D1486" s="83" t="s">
        <v>1398</v>
      </c>
      <c r="E1486" s="45" t="s">
        <v>495</v>
      </c>
      <c r="F1486" s="45" t="s">
        <v>728</v>
      </c>
      <c r="G1486" s="23" t="s">
        <v>823</v>
      </c>
      <c r="H1486" s="20">
        <v>0</v>
      </c>
      <c r="I1486" s="14">
        <v>186.84</v>
      </c>
      <c r="J1486" s="14">
        <v>186.84</v>
      </c>
      <c r="K1486" s="78">
        <f t="shared" si="683"/>
        <v>100</v>
      </c>
      <c r="L1486" s="14"/>
      <c r="M1486" s="50"/>
      <c r="N1486" s="50"/>
    </row>
    <row r="1487" spans="1:14" s="9" customFormat="1" ht="16.5" customHeight="1" x14ac:dyDescent="0.3">
      <c r="A1487" s="11" t="s">
        <v>1412</v>
      </c>
      <c r="B1487" s="48" t="s">
        <v>918</v>
      </c>
      <c r="C1487" s="48" t="s">
        <v>1386</v>
      </c>
      <c r="D1487" s="48" t="s">
        <v>1479</v>
      </c>
      <c r="E1487" s="11"/>
      <c r="F1487" s="11"/>
      <c r="G1487" s="7" t="s">
        <v>1389</v>
      </c>
      <c r="H1487" s="16">
        <f>H1502+H1497+H1488+H1509</f>
        <v>1866.1350000000002</v>
      </c>
      <c r="I1487" s="16">
        <f t="shared" ref="I1487:L1487" si="685">I1502+I1497+I1488+I1509</f>
        <v>1933.1349999999998</v>
      </c>
      <c r="J1487" s="16">
        <f t="shared" si="685"/>
        <v>1351.8515199999999</v>
      </c>
      <c r="K1487" s="82">
        <f t="shared" si="683"/>
        <v>69.930528390412476</v>
      </c>
      <c r="L1487" s="16">
        <f t="shared" si="685"/>
        <v>0</v>
      </c>
      <c r="M1487" s="65"/>
      <c r="N1487" s="65"/>
    </row>
    <row r="1488" spans="1:14" ht="31.2" x14ac:dyDescent="0.3">
      <c r="A1488" s="8" t="s">
        <v>1412</v>
      </c>
      <c r="B1488" s="62" t="s">
        <v>918</v>
      </c>
      <c r="C1488" s="68" t="s">
        <v>1386</v>
      </c>
      <c r="D1488" s="68" t="s">
        <v>1479</v>
      </c>
      <c r="E1488" s="8" t="s">
        <v>438</v>
      </c>
      <c r="F1488" s="8"/>
      <c r="G1488" s="18" t="s">
        <v>891</v>
      </c>
      <c r="H1488" s="14">
        <f t="shared" ref="H1488:L1492" si="686">H1489</f>
        <v>1253.3400000000001</v>
      </c>
      <c r="I1488" s="14">
        <f t="shared" si="686"/>
        <v>1253.3399999999999</v>
      </c>
      <c r="J1488" s="14">
        <f t="shared" si="686"/>
        <v>790.47401999999988</v>
      </c>
      <c r="K1488" s="78">
        <f t="shared" si="683"/>
        <v>63.069400162765085</v>
      </c>
      <c r="L1488" s="14">
        <f t="shared" si="686"/>
        <v>0</v>
      </c>
      <c r="M1488" s="50"/>
      <c r="N1488" s="50"/>
    </row>
    <row r="1489" spans="1:14" ht="46.8" x14ac:dyDescent="0.3">
      <c r="A1489" s="8" t="s">
        <v>1412</v>
      </c>
      <c r="B1489" s="62" t="s">
        <v>918</v>
      </c>
      <c r="C1489" s="68" t="s">
        <v>1386</v>
      </c>
      <c r="D1489" s="68" t="s">
        <v>1479</v>
      </c>
      <c r="E1489" s="8" t="s">
        <v>439</v>
      </c>
      <c r="F1489" s="8"/>
      <c r="G1489" s="18" t="s">
        <v>119</v>
      </c>
      <c r="H1489" s="14">
        <f t="shared" si="686"/>
        <v>1253.3400000000001</v>
      </c>
      <c r="I1489" s="14">
        <f t="shared" si="686"/>
        <v>1253.3399999999999</v>
      </c>
      <c r="J1489" s="14">
        <f t="shared" si="686"/>
        <v>790.47401999999988</v>
      </c>
      <c r="K1489" s="78">
        <f t="shared" si="683"/>
        <v>63.069400162765085</v>
      </c>
      <c r="L1489" s="14">
        <f t="shared" si="686"/>
        <v>0</v>
      </c>
      <c r="M1489" s="50"/>
      <c r="N1489" s="50"/>
    </row>
    <row r="1490" spans="1:14" ht="46.8" x14ac:dyDescent="0.3">
      <c r="A1490" s="8" t="s">
        <v>1412</v>
      </c>
      <c r="B1490" s="62" t="s">
        <v>918</v>
      </c>
      <c r="C1490" s="68" t="s">
        <v>1386</v>
      </c>
      <c r="D1490" s="68" t="s">
        <v>1479</v>
      </c>
      <c r="E1490" s="8" t="s">
        <v>440</v>
      </c>
      <c r="F1490" s="8"/>
      <c r="G1490" s="18" t="s">
        <v>120</v>
      </c>
      <c r="H1490" s="14">
        <f>H1491+H1494</f>
        <v>1253.3400000000001</v>
      </c>
      <c r="I1490" s="14">
        <f>I1491+I1494</f>
        <v>1253.3399999999999</v>
      </c>
      <c r="J1490" s="14">
        <f t="shared" ref="J1490" si="687">J1491+J1494</f>
        <v>790.47401999999988</v>
      </c>
      <c r="K1490" s="78">
        <f t="shared" si="683"/>
        <v>63.069400162765085</v>
      </c>
      <c r="L1490" s="14">
        <f>L1491+L1494</f>
        <v>0</v>
      </c>
      <c r="M1490" s="50"/>
      <c r="N1490" s="50"/>
    </row>
    <row r="1491" spans="1:14" ht="46.8" x14ac:dyDescent="0.3">
      <c r="A1491" s="8" t="s">
        <v>1412</v>
      </c>
      <c r="B1491" s="62" t="s">
        <v>918</v>
      </c>
      <c r="C1491" s="68" t="s">
        <v>1386</v>
      </c>
      <c r="D1491" s="68" t="s">
        <v>1479</v>
      </c>
      <c r="E1491" s="8" t="s">
        <v>441</v>
      </c>
      <c r="F1491" s="8"/>
      <c r="G1491" s="18" t="s">
        <v>761</v>
      </c>
      <c r="H1491" s="14">
        <f t="shared" si="686"/>
        <v>712.22800000000007</v>
      </c>
      <c r="I1491" s="14">
        <f t="shared" si="686"/>
        <v>712.22799999999995</v>
      </c>
      <c r="J1491" s="14">
        <f t="shared" si="686"/>
        <v>537.06017999999995</v>
      </c>
      <c r="K1491" s="78">
        <f t="shared" si="683"/>
        <v>75.405653807488619</v>
      </c>
      <c r="L1491" s="14">
        <f t="shared" si="686"/>
        <v>0</v>
      </c>
      <c r="M1491" s="50"/>
      <c r="N1491" s="50"/>
    </row>
    <row r="1492" spans="1:14" ht="31.2" x14ac:dyDescent="0.3">
      <c r="A1492" s="8" t="s">
        <v>1412</v>
      </c>
      <c r="B1492" s="62" t="s">
        <v>918</v>
      </c>
      <c r="C1492" s="68" t="s">
        <v>1386</v>
      </c>
      <c r="D1492" s="68" t="s">
        <v>1479</v>
      </c>
      <c r="E1492" s="8" t="s">
        <v>441</v>
      </c>
      <c r="F1492" s="45" t="s">
        <v>380</v>
      </c>
      <c r="G1492" s="23" t="s">
        <v>809</v>
      </c>
      <c r="H1492" s="14">
        <f t="shared" si="686"/>
        <v>712.22800000000007</v>
      </c>
      <c r="I1492" s="14">
        <f t="shared" si="686"/>
        <v>712.22799999999995</v>
      </c>
      <c r="J1492" s="14">
        <f t="shared" si="686"/>
        <v>537.06017999999995</v>
      </c>
      <c r="K1492" s="78">
        <f t="shared" si="683"/>
        <v>75.405653807488619</v>
      </c>
      <c r="L1492" s="14">
        <f t="shared" si="686"/>
        <v>0</v>
      </c>
      <c r="M1492" s="50"/>
      <c r="N1492" s="50"/>
    </row>
    <row r="1493" spans="1:14" ht="31.2" x14ac:dyDescent="0.3">
      <c r="A1493" s="8" t="s">
        <v>1412</v>
      </c>
      <c r="B1493" s="62" t="s">
        <v>918</v>
      </c>
      <c r="C1493" s="68" t="s">
        <v>1386</v>
      </c>
      <c r="D1493" s="68" t="s">
        <v>1479</v>
      </c>
      <c r="E1493" s="8" t="s">
        <v>441</v>
      </c>
      <c r="F1493" s="8" t="s">
        <v>247</v>
      </c>
      <c r="G1493" s="23" t="s">
        <v>810</v>
      </c>
      <c r="H1493" s="14">
        <f>975.2-98.612-164.36</f>
        <v>712.22800000000007</v>
      </c>
      <c r="I1493" s="14">
        <v>712.22799999999995</v>
      </c>
      <c r="J1493" s="14">
        <v>537.06017999999995</v>
      </c>
      <c r="K1493" s="78">
        <f t="shared" si="683"/>
        <v>75.405653807488619</v>
      </c>
      <c r="L1493" s="14"/>
      <c r="M1493" s="50"/>
      <c r="N1493" s="50"/>
    </row>
    <row r="1494" spans="1:14" ht="31.2" x14ac:dyDescent="0.3">
      <c r="A1494" s="8" t="s">
        <v>1412</v>
      </c>
      <c r="B1494" s="62" t="s">
        <v>918</v>
      </c>
      <c r="C1494" s="68" t="s">
        <v>1386</v>
      </c>
      <c r="D1494" s="68" t="s">
        <v>1479</v>
      </c>
      <c r="E1494" s="8" t="s">
        <v>246</v>
      </c>
      <c r="F1494" s="8"/>
      <c r="G1494" s="23" t="s">
        <v>305</v>
      </c>
      <c r="H1494" s="14">
        <f t="shared" ref="H1494:L1495" si="688">H1495</f>
        <v>541.11199999999997</v>
      </c>
      <c r="I1494" s="14">
        <f t="shared" si="688"/>
        <v>541.11199999999997</v>
      </c>
      <c r="J1494" s="14">
        <f t="shared" si="688"/>
        <v>253.41383999999999</v>
      </c>
      <c r="K1494" s="78">
        <f t="shared" si="683"/>
        <v>46.832049557208123</v>
      </c>
      <c r="L1494" s="14">
        <f t="shared" si="688"/>
        <v>0</v>
      </c>
      <c r="M1494" s="50"/>
      <c r="N1494" s="50"/>
    </row>
    <row r="1495" spans="1:14" ht="31.2" x14ac:dyDescent="0.3">
      <c r="A1495" s="8" t="s">
        <v>1412</v>
      </c>
      <c r="B1495" s="62" t="s">
        <v>918</v>
      </c>
      <c r="C1495" s="68" t="s">
        <v>1386</v>
      </c>
      <c r="D1495" s="68" t="s">
        <v>1479</v>
      </c>
      <c r="E1495" s="8" t="s">
        <v>246</v>
      </c>
      <c r="F1495" s="45" t="s">
        <v>380</v>
      </c>
      <c r="G1495" s="23" t="s">
        <v>809</v>
      </c>
      <c r="H1495" s="14">
        <f t="shared" si="688"/>
        <v>541.11199999999997</v>
      </c>
      <c r="I1495" s="14">
        <f t="shared" si="688"/>
        <v>541.11199999999997</v>
      </c>
      <c r="J1495" s="14">
        <f t="shared" si="688"/>
        <v>253.41383999999999</v>
      </c>
      <c r="K1495" s="78">
        <f t="shared" si="683"/>
        <v>46.832049557208123</v>
      </c>
      <c r="L1495" s="14">
        <f t="shared" si="688"/>
        <v>0</v>
      </c>
      <c r="M1495" s="50"/>
      <c r="N1495" s="50"/>
    </row>
    <row r="1496" spans="1:14" ht="31.2" x14ac:dyDescent="0.3">
      <c r="A1496" s="8" t="s">
        <v>1412</v>
      </c>
      <c r="B1496" s="62" t="s">
        <v>918</v>
      </c>
      <c r="C1496" s="68" t="s">
        <v>1386</v>
      </c>
      <c r="D1496" s="68" t="s">
        <v>1479</v>
      </c>
      <c r="E1496" s="8" t="s">
        <v>246</v>
      </c>
      <c r="F1496" s="8" t="s">
        <v>247</v>
      </c>
      <c r="G1496" s="23" t="s">
        <v>810</v>
      </c>
      <c r="H1496" s="14">
        <f>442.5+98.612</f>
        <v>541.11199999999997</v>
      </c>
      <c r="I1496" s="14">
        <v>541.11199999999997</v>
      </c>
      <c r="J1496" s="14">
        <v>253.41383999999999</v>
      </c>
      <c r="K1496" s="78">
        <f t="shared" si="683"/>
        <v>46.832049557208123</v>
      </c>
      <c r="L1496" s="14"/>
      <c r="M1496" s="50"/>
      <c r="N1496" s="50"/>
    </row>
    <row r="1497" spans="1:14" ht="62.4" x14ac:dyDescent="0.3">
      <c r="A1497" s="8" t="s">
        <v>1412</v>
      </c>
      <c r="B1497" s="62" t="s">
        <v>918</v>
      </c>
      <c r="C1497" s="68" t="s">
        <v>1386</v>
      </c>
      <c r="D1497" s="68" t="s">
        <v>1479</v>
      </c>
      <c r="E1497" s="8" t="s">
        <v>358</v>
      </c>
      <c r="F1497" s="8"/>
      <c r="G1497" s="13" t="s">
        <v>1040</v>
      </c>
      <c r="H1497" s="14">
        <f t="shared" ref="H1497:L1500" si="689">H1498</f>
        <v>421.87799999999999</v>
      </c>
      <c r="I1497" s="14">
        <f t="shared" si="689"/>
        <v>421.87799999999999</v>
      </c>
      <c r="J1497" s="14">
        <f t="shared" si="689"/>
        <v>421.8775</v>
      </c>
      <c r="K1497" s="78">
        <f t="shared" si="683"/>
        <v>99.999881482324284</v>
      </c>
      <c r="L1497" s="14">
        <f t="shared" si="689"/>
        <v>0</v>
      </c>
      <c r="M1497" s="50"/>
      <c r="N1497" s="50"/>
    </row>
    <row r="1498" spans="1:14" ht="31.2" x14ac:dyDescent="0.3">
      <c r="A1498" s="8" t="s">
        <v>1412</v>
      </c>
      <c r="B1498" s="62" t="s">
        <v>918</v>
      </c>
      <c r="C1498" s="68" t="s">
        <v>1386</v>
      </c>
      <c r="D1498" s="68" t="s">
        <v>1479</v>
      </c>
      <c r="E1498" s="8" t="s">
        <v>359</v>
      </c>
      <c r="F1498" s="8"/>
      <c r="G1498" s="13" t="s">
        <v>1041</v>
      </c>
      <c r="H1498" s="14">
        <f t="shared" si="689"/>
        <v>421.87799999999999</v>
      </c>
      <c r="I1498" s="14">
        <f t="shared" si="689"/>
        <v>421.87799999999999</v>
      </c>
      <c r="J1498" s="14">
        <f t="shared" si="689"/>
        <v>421.8775</v>
      </c>
      <c r="K1498" s="78">
        <f t="shared" si="683"/>
        <v>99.999881482324284</v>
      </c>
      <c r="L1498" s="14">
        <f t="shared" si="689"/>
        <v>0</v>
      </c>
      <c r="M1498" s="50"/>
      <c r="N1498" s="50"/>
    </row>
    <row r="1499" spans="1:14" ht="46.8" x14ac:dyDescent="0.3">
      <c r="A1499" s="8" t="s">
        <v>1412</v>
      </c>
      <c r="B1499" s="62" t="s">
        <v>918</v>
      </c>
      <c r="C1499" s="68" t="s">
        <v>1386</v>
      </c>
      <c r="D1499" s="68" t="s">
        <v>1479</v>
      </c>
      <c r="E1499" s="8" t="s">
        <v>1237</v>
      </c>
      <c r="F1499" s="8"/>
      <c r="G1499" s="18" t="s">
        <v>316</v>
      </c>
      <c r="H1499" s="14">
        <f t="shared" si="689"/>
        <v>421.87799999999999</v>
      </c>
      <c r="I1499" s="14">
        <f t="shared" si="689"/>
        <v>421.87799999999999</v>
      </c>
      <c r="J1499" s="14">
        <f t="shared" si="689"/>
        <v>421.8775</v>
      </c>
      <c r="K1499" s="78">
        <f t="shared" si="683"/>
        <v>99.999881482324284</v>
      </c>
      <c r="L1499" s="14">
        <f t="shared" si="689"/>
        <v>0</v>
      </c>
      <c r="M1499" s="50"/>
      <c r="N1499" s="50"/>
    </row>
    <row r="1500" spans="1:14" ht="31.2" x14ac:dyDescent="0.3">
      <c r="A1500" s="8" t="s">
        <v>1412</v>
      </c>
      <c r="B1500" s="62" t="s">
        <v>918</v>
      </c>
      <c r="C1500" s="68" t="s">
        <v>1386</v>
      </c>
      <c r="D1500" s="68" t="s">
        <v>1479</v>
      </c>
      <c r="E1500" s="8" t="s">
        <v>1237</v>
      </c>
      <c r="F1500" s="45" t="s">
        <v>380</v>
      </c>
      <c r="G1500" s="23" t="s">
        <v>809</v>
      </c>
      <c r="H1500" s="14">
        <f t="shared" si="689"/>
        <v>421.87799999999999</v>
      </c>
      <c r="I1500" s="14">
        <f t="shared" si="689"/>
        <v>421.87799999999999</v>
      </c>
      <c r="J1500" s="14">
        <f t="shared" si="689"/>
        <v>421.8775</v>
      </c>
      <c r="K1500" s="78">
        <f t="shared" si="683"/>
        <v>99.999881482324284</v>
      </c>
      <c r="L1500" s="14">
        <f t="shared" si="689"/>
        <v>0</v>
      </c>
      <c r="M1500" s="50"/>
      <c r="N1500" s="50"/>
    </row>
    <row r="1501" spans="1:14" ht="31.2" x14ac:dyDescent="0.3">
      <c r="A1501" s="8" t="s">
        <v>1412</v>
      </c>
      <c r="B1501" s="62" t="s">
        <v>918</v>
      </c>
      <c r="C1501" s="68" t="s">
        <v>1386</v>
      </c>
      <c r="D1501" s="68" t="s">
        <v>1479</v>
      </c>
      <c r="E1501" s="8" t="s">
        <v>1237</v>
      </c>
      <c r="F1501" s="8" t="s">
        <v>247</v>
      </c>
      <c r="G1501" s="23" t="s">
        <v>810</v>
      </c>
      <c r="H1501" s="14">
        <f>324.5-1.622+114-15</f>
        <v>421.87799999999999</v>
      </c>
      <c r="I1501" s="14">
        <v>421.87799999999999</v>
      </c>
      <c r="J1501" s="14">
        <v>421.8775</v>
      </c>
      <c r="K1501" s="78">
        <f t="shared" si="683"/>
        <v>99.999881482324284</v>
      </c>
      <c r="L1501" s="14"/>
      <c r="M1501" s="50"/>
      <c r="N1501" s="50"/>
    </row>
    <row r="1502" spans="1:14" ht="31.2" x14ac:dyDescent="0.3">
      <c r="A1502" s="8" t="s">
        <v>1412</v>
      </c>
      <c r="B1502" s="62" t="s">
        <v>918</v>
      </c>
      <c r="C1502" s="68" t="s">
        <v>1386</v>
      </c>
      <c r="D1502" s="68" t="s">
        <v>1479</v>
      </c>
      <c r="E1502" s="8" t="s">
        <v>365</v>
      </c>
      <c r="F1502" s="8"/>
      <c r="G1502" s="13" t="s">
        <v>831</v>
      </c>
      <c r="H1502" s="14">
        <f t="shared" ref="H1502:L1505" si="690">H1503</f>
        <v>190.91699999999997</v>
      </c>
      <c r="I1502" s="14">
        <f t="shared" si="690"/>
        <v>190.917</v>
      </c>
      <c r="J1502" s="14">
        <f t="shared" si="690"/>
        <v>72.5</v>
      </c>
      <c r="K1502" s="78">
        <f t="shared" si="683"/>
        <v>37.974617242047593</v>
      </c>
      <c r="L1502" s="14">
        <f t="shared" si="690"/>
        <v>0</v>
      </c>
      <c r="M1502" s="50"/>
      <c r="N1502" s="50"/>
    </row>
    <row r="1503" spans="1:14" ht="31.2" x14ac:dyDescent="0.3">
      <c r="A1503" s="8" t="s">
        <v>1412</v>
      </c>
      <c r="B1503" s="62" t="s">
        <v>918</v>
      </c>
      <c r="C1503" s="68" t="s">
        <v>1386</v>
      </c>
      <c r="D1503" s="68" t="s">
        <v>1479</v>
      </c>
      <c r="E1503" s="8" t="s">
        <v>366</v>
      </c>
      <c r="F1503" s="8"/>
      <c r="G1503" s="13" t="s">
        <v>834</v>
      </c>
      <c r="H1503" s="14">
        <f t="shared" si="690"/>
        <v>190.91699999999997</v>
      </c>
      <c r="I1503" s="14">
        <f t="shared" si="690"/>
        <v>190.917</v>
      </c>
      <c r="J1503" s="14">
        <f t="shared" si="690"/>
        <v>72.5</v>
      </c>
      <c r="K1503" s="78">
        <f t="shared" si="683"/>
        <v>37.974617242047593</v>
      </c>
      <c r="L1503" s="14">
        <f t="shared" si="690"/>
        <v>0</v>
      </c>
      <c r="M1503" s="50"/>
      <c r="N1503" s="50"/>
    </row>
    <row r="1504" spans="1:14" ht="62.4" x14ac:dyDescent="0.3">
      <c r="A1504" s="8" t="s">
        <v>1412</v>
      </c>
      <c r="B1504" s="62" t="s">
        <v>918</v>
      </c>
      <c r="C1504" s="68" t="s">
        <v>1386</v>
      </c>
      <c r="D1504" s="68" t="s">
        <v>1479</v>
      </c>
      <c r="E1504" s="8" t="s">
        <v>367</v>
      </c>
      <c r="F1504" s="8"/>
      <c r="G1504" s="13" t="s">
        <v>139</v>
      </c>
      <c r="H1504" s="14">
        <f t="shared" si="690"/>
        <v>190.91699999999997</v>
      </c>
      <c r="I1504" s="14">
        <f>I1505+I1507</f>
        <v>190.917</v>
      </c>
      <c r="J1504" s="14">
        <f t="shared" ref="J1504:L1504" si="691">J1505+J1507</f>
        <v>72.5</v>
      </c>
      <c r="K1504" s="78">
        <f t="shared" si="683"/>
        <v>37.974617242047593</v>
      </c>
      <c r="L1504" s="14">
        <f t="shared" si="691"/>
        <v>0</v>
      </c>
      <c r="M1504" s="50"/>
      <c r="N1504" s="50"/>
    </row>
    <row r="1505" spans="1:14" ht="31.2" x14ac:dyDescent="0.3">
      <c r="A1505" s="8" t="s">
        <v>1412</v>
      </c>
      <c r="B1505" s="62" t="s">
        <v>918</v>
      </c>
      <c r="C1505" s="68" t="s">
        <v>1386</v>
      </c>
      <c r="D1505" s="68" t="s">
        <v>1479</v>
      </c>
      <c r="E1505" s="8" t="s">
        <v>367</v>
      </c>
      <c r="F1505" s="45" t="s">
        <v>380</v>
      </c>
      <c r="G1505" s="23" t="s">
        <v>809</v>
      </c>
      <c r="H1505" s="14">
        <f t="shared" si="690"/>
        <v>190.91699999999997</v>
      </c>
      <c r="I1505" s="14">
        <f t="shared" si="690"/>
        <v>68.417000000000002</v>
      </c>
      <c r="J1505" s="14">
        <f t="shared" si="690"/>
        <v>0</v>
      </c>
      <c r="K1505" s="78">
        <f t="shared" si="683"/>
        <v>0</v>
      </c>
      <c r="L1505" s="14">
        <f t="shared" si="690"/>
        <v>0</v>
      </c>
      <c r="M1505" s="50"/>
      <c r="N1505" s="50"/>
    </row>
    <row r="1506" spans="1:14" ht="31.2" x14ac:dyDescent="0.3">
      <c r="A1506" s="8" t="s">
        <v>1412</v>
      </c>
      <c r="B1506" s="62" t="s">
        <v>918</v>
      </c>
      <c r="C1506" s="68" t="s">
        <v>1386</v>
      </c>
      <c r="D1506" s="68" t="s">
        <v>1479</v>
      </c>
      <c r="E1506" s="8" t="s">
        <v>367</v>
      </c>
      <c r="F1506" s="8" t="s">
        <v>247</v>
      </c>
      <c r="G1506" s="23" t="s">
        <v>810</v>
      </c>
      <c r="H1506" s="14">
        <f>642.4-363.312-88.171</f>
        <v>190.91699999999997</v>
      </c>
      <c r="I1506" s="14">
        <v>68.417000000000002</v>
      </c>
      <c r="J1506" s="20">
        <v>0</v>
      </c>
      <c r="K1506" s="77">
        <f t="shared" si="683"/>
        <v>0</v>
      </c>
      <c r="L1506" s="14"/>
      <c r="M1506" s="50"/>
      <c r="N1506" s="50"/>
    </row>
    <row r="1507" spans="1:14" x14ac:dyDescent="0.3">
      <c r="A1507" s="8" t="s">
        <v>1412</v>
      </c>
      <c r="B1507" s="62" t="s">
        <v>918</v>
      </c>
      <c r="C1507" s="68" t="s">
        <v>1386</v>
      </c>
      <c r="D1507" s="68" t="s">
        <v>1479</v>
      </c>
      <c r="E1507" s="8" t="s">
        <v>367</v>
      </c>
      <c r="F1507" s="45" t="s">
        <v>464</v>
      </c>
      <c r="G1507" s="23" t="s">
        <v>822</v>
      </c>
      <c r="H1507" s="20">
        <v>0</v>
      </c>
      <c r="I1507" s="14">
        <f>I1508</f>
        <v>122.5</v>
      </c>
      <c r="J1507" s="14">
        <f t="shared" ref="J1507:L1507" si="692">J1508</f>
        <v>72.5</v>
      </c>
      <c r="K1507" s="78">
        <f t="shared" si="683"/>
        <v>59.183673469387756</v>
      </c>
      <c r="L1507" s="14">
        <f t="shared" si="692"/>
        <v>0</v>
      </c>
      <c r="M1507" s="50"/>
      <c r="N1507" s="50"/>
    </row>
    <row r="1508" spans="1:14" x14ac:dyDescent="0.3">
      <c r="A1508" s="8" t="s">
        <v>1412</v>
      </c>
      <c r="B1508" s="62" t="s">
        <v>918</v>
      </c>
      <c r="C1508" s="68" t="s">
        <v>1386</v>
      </c>
      <c r="D1508" s="68" t="s">
        <v>1479</v>
      </c>
      <c r="E1508" s="8" t="s">
        <v>367</v>
      </c>
      <c r="F1508" s="45" t="s">
        <v>728</v>
      </c>
      <c r="G1508" s="23" t="s">
        <v>823</v>
      </c>
      <c r="H1508" s="20">
        <v>0</v>
      </c>
      <c r="I1508" s="14">
        <v>122.5</v>
      </c>
      <c r="J1508" s="14">
        <v>72.5</v>
      </c>
      <c r="K1508" s="78">
        <f t="shared" si="683"/>
        <v>59.183673469387756</v>
      </c>
      <c r="L1508" s="14"/>
      <c r="M1508" s="50"/>
      <c r="N1508" s="50"/>
    </row>
    <row r="1509" spans="1:14" ht="46.8" x14ac:dyDescent="0.3">
      <c r="A1509" s="8" t="s">
        <v>1412</v>
      </c>
      <c r="B1509" s="62" t="s">
        <v>918</v>
      </c>
      <c r="C1509" s="83" t="s">
        <v>1386</v>
      </c>
      <c r="D1509" s="83" t="s">
        <v>1479</v>
      </c>
      <c r="E1509" s="45" t="s">
        <v>493</v>
      </c>
      <c r="F1509" s="45"/>
      <c r="G1509" s="23" t="s">
        <v>1160</v>
      </c>
      <c r="H1509" s="20">
        <f>H1510</f>
        <v>0</v>
      </c>
      <c r="I1509" s="20">
        <f t="shared" ref="I1509:L1512" si="693">I1510</f>
        <v>67</v>
      </c>
      <c r="J1509" s="20">
        <f t="shared" si="693"/>
        <v>67</v>
      </c>
      <c r="K1509" s="77">
        <f t="shared" si="683"/>
        <v>100</v>
      </c>
      <c r="L1509" s="20">
        <f t="shared" si="693"/>
        <v>0</v>
      </c>
      <c r="M1509" s="50"/>
      <c r="N1509" s="50"/>
    </row>
    <row r="1510" spans="1:14" ht="31.2" x14ac:dyDescent="0.3">
      <c r="A1510" s="8" t="s">
        <v>1412</v>
      </c>
      <c r="B1510" s="62" t="s">
        <v>918</v>
      </c>
      <c r="C1510" s="83" t="s">
        <v>1386</v>
      </c>
      <c r="D1510" s="83" t="s">
        <v>1479</v>
      </c>
      <c r="E1510" s="45" t="s">
        <v>494</v>
      </c>
      <c r="F1510" s="45"/>
      <c r="G1510" s="23" t="s">
        <v>1161</v>
      </c>
      <c r="H1510" s="20">
        <f>H1511</f>
        <v>0</v>
      </c>
      <c r="I1510" s="20">
        <f t="shared" si="693"/>
        <v>67</v>
      </c>
      <c r="J1510" s="20">
        <f t="shared" si="693"/>
        <v>67</v>
      </c>
      <c r="K1510" s="77">
        <f t="shared" si="683"/>
        <v>100</v>
      </c>
      <c r="L1510" s="20">
        <f t="shared" si="693"/>
        <v>0</v>
      </c>
      <c r="M1510" s="50"/>
      <c r="N1510" s="50"/>
    </row>
    <row r="1511" spans="1:14" ht="31.2" x14ac:dyDescent="0.3">
      <c r="A1511" s="8" t="s">
        <v>1412</v>
      </c>
      <c r="B1511" s="62" t="s">
        <v>918</v>
      </c>
      <c r="C1511" s="83" t="s">
        <v>1386</v>
      </c>
      <c r="D1511" s="83" t="s">
        <v>1479</v>
      </c>
      <c r="E1511" s="45" t="s">
        <v>495</v>
      </c>
      <c r="F1511" s="45"/>
      <c r="G1511" s="23" t="s">
        <v>687</v>
      </c>
      <c r="H1511" s="20">
        <f>H1512</f>
        <v>0</v>
      </c>
      <c r="I1511" s="20">
        <f t="shared" si="693"/>
        <v>67</v>
      </c>
      <c r="J1511" s="20">
        <f t="shared" si="693"/>
        <v>67</v>
      </c>
      <c r="K1511" s="77">
        <f t="shared" si="683"/>
        <v>100</v>
      </c>
      <c r="L1511" s="20">
        <f t="shared" si="693"/>
        <v>0</v>
      </c>
      <c r="M1511" s="50"/>
      <c r="N1511" s="50"/>
    </row>
    <row r="1512" spans="1:14" x14ac:dyDescent="0.3">
      <c r="A1512" s="8" t="s">
        <v>1412</v>
      </c>
      <c r="B1512" s="62" t="s">
        <v>918</v>
      </c>
      <c r="C1512" s="83" t="s">
        <v>1386</v>
      </c>
      <c r="D1512" s="83" t="s">
        <v>1479</v>
      </c>
      <c r="E1512" s="45" t="s">
        <v>495</v>
      </c>
      <c r="F1512" s="45" t="s">
        <v>464</v>
      </c>
      <c r="G1512" s="23" t="s">
        <v>822</v>
      </c>
      <c r="H1512" s="20">
        <f>H1513</f>
        <v>0</v>
      </c>
      <c r="I1512" s="20">
        <f t="shared" si="693"/>
        <v>67</v>
      </c>
      <c r="J1512" s="20">
        <f t="shared" si="693"/>
        <v>67</v>
      </c>
      <c r="K1512" s="77">
        <f t="shared" si="683"/>
        <v>100</v>
      </c>
      <c r="L1512" s="20">
        <f t="shared" si="693"/>
        <v>0</v>
      </c>
      <c r="M1512" s="50"/>
      <c r="N1512" s="50"/>
    </row>
    <row r="1513" spans="1:14" x14ac:dyDescent="0.3">
      <c r="A1513" s="8" t="s">
        <v>1412</v>
      </c>
      <c r="B1513" s="62" t="s">
        <v>918</v>
      </c>
      <c r="C1513" s="83" t="s">
        <v>1386</v>
      </c>
      <c r="D1513" s="83" t="s">
        <v>1479</v>
      </c>
      <c r="E1513" s="45" t="s">
        <v>495</v>
      </c>
      <c r="F1513" s="45" t="s">
        <v>728</v>
      </c>
      <c r="G1513" s="23" t="s">
        <v>823</v>
      </c>
      <c r="H1513" s="19">
        <v>0</v>
      </c>
      <c r="I1513" s="14">
        <v>67</v>
      </c>
      <c r="J1513" s="14">
        <v>67</v>
      </c>
      <c r="K1513" s="78">
        <f t="shared" si="683"/>
        <v>100</v>
      </c>
      <c r="L1513" s="14"/>
      <c r="M1513" s="50"/>
      <c r="N1513" s="50"/>
    </row>
    <row r="1514" spans="1:14" s="3" customFormat="1" x14ac:dyDescent="0.3">
      <c r="A1514" s="10" t="s">
        <v>1412</v>
      </c>
      <c r="B1514" s="43" t="s">
        <v>1392</v>
      </c>
      <c r="C1514" s="43" t="s">
        <v>1392</v>
      </c>
      <c r="D1514" s="43" t="s">
        <v>915</v>
      </c>
      <c r="E1514" s="10"/>
      <c r="F1514" s="10"/>
      <c r="G1514" s="5" t="s">
        <v>1416</v>
      </c>
      <c r="H1514" s="15">
        <f>H1522+H1564+H1515</f>
        <v>51240.328000000001</v>
      </c>
      <c r="I1514" s="15">
        <f>I1522+I1564+I1515</f>
        <v>111416.11366999999</v>
      </c>
      <c r="J1514" s="15">
        <f t="shared" ref="J1514" si="694">J1522+J1564+J1515</f>
        <v>110087.7525</v>
      </c>
      <c r="K1514" s="81">
        <f t="shared" si="683"/>
        <v>98.807747707001852</v>
      </c>
      <c r="L1514" s="15">
        <f>L1522+L1564+L1515</f>
        <v>0</v>
      </c>
      <c r="M1514" s="65"/>
      <c r="N1514" s="65"/>
    </row>
    <row r="1515" spans="1:14" s="9" customFormat="1" x14ac:dyDescent="0.3">
      <c r="A1515" s="11" t="s">
        <v>1412</v>
      </c>
      <c r="B1515" s="48" t="s">
        <v>938</v>
      </c>
      <c r="C1515" s="48" t="s">
        <v>1392</v>
      </c>
      <c r="D1515" s="48" t="s">
        <v>1478</v>
      </c>
      <c r="E1515" s="11"/>
      <c r="F1515" s="11"/>
      <c r="G1515" s="7" t="s">
        <v>1451</v>
      </c>
      <c r="H1515" s="16">
        <f t="shared" ref="H1515:L1520" si="695">H1516</f>
        <v>583.5</v>
      </c>
      <c r="I1515" s="16">
        <f t="shared" si="695"/>
        <v>583.5</v>
      </c>
      <c r="J1515" s="16">
        <f t="shared" si="695"/>
        <v>120</v>
      </c>
      <c r="K1515" s="82">
        <f t="shared" si="683"/>
        <v>20.565552699228792</v>
      </c>
      <c r="L1515" s="16">
        <f t="shared" si="695"/>
        <v>0</v>
      </c>
      <c r="M1515" s="65"/>
      <c r="N1515" s="65"/>
    </row>
    <row r="1516" spans="1:14" ht="31.2" x14ac:dyDescent="0.3">
      <c r="A1516" s="8" t="s">
        <v>1412</v>
      </c>
      <c r="B1516" s="62" t="s">
        <v>938</v>
      </c>
      <c r="C1516" s="68" t="s">
        <v>1392</v>
      </c>
      <c r="D1516" s="68" t="s">
        <v>1478</v>
      </c>
      <c r="E1516" s="8" t="s">
        <v>368</v>
      </c>
      <c r="F1516" s="8"/>
      <c r="G1516" s="13" t="s">
        <v>1079</v>
      </c>
      <c r="H1516" s="14">
        <f t="shared" si="695"/>
        <v>583.5</v>
      </c>
      <c r="I1516" s="14">
        <f t="shared" si="695"/>
        <v>583.5</v>
      </c>
      <c r="J1516" s="14">
        <f t="shared" si="695"/>
        <v>120</v>
      </c>
      <c r="K1516" s="78">
        <f t="shared" si="683"/>
        <v>20.565552699228792</v>
      </c>
      <c r="L1516" s="14">
        <f t="shared" si="695"/>
        <v>0</v>
      </c>
      <c r="M1516" s="50"/>
      <c r="N1516" s="50"/>
    </row>
    <row r="1517" spans="1:14" ht="31.2" x14ac:dyDescent="0.3">
      <c r="A1517" s="8" t="s">
        <v>1412</v>
      </c>
      <c r="B1517" s="62" t="s">
        <v>938</v>
      </c>
      <c r="C1517" s="68" t="s">
        <v>1392</v>
      </c>
      <c r="D1517" s="68" t="s">
        <v>1478</v>
      </c>
      <c r="E1517" s="8" t="s">
        <v>515</v>
      </c>
      <c r="F1517" s="8"/>
      <c r="G1517" s="23" t="s">
        <v>1091</v>
      </c>
      <c r="H1517" s="14">
        <f t="shared" si="695"/>
        <v>583.5</v>
      </c>
      <c r="I1517" s="14">
        <f t="shared" si="695"/>
        <v>583.5</v>
      </c>
      <c r="J1517" s="14">
        <f t="shared" si="695"/>
        <v>120</v>
      </c>
      <c r="K1517" s="78">
        <f t="shared" si="683"/>
        <v>20.565552699228792</v>
      </c>
      <c r="L1517" s="14">
        <f t="shared" si="695"/>
        <v>0</v>
      </c>
      <c r="M1517" s="50"/>
      <c r="N1517" s="50"/>
    </row>
    <row r="1518" spans="1:14" ht="62.4" x14ac:dyDescent="0.3">
      <c r="A1518" s="8" t="s">
        <v>1412</v>
      </c>
      <c r="B1518" s="62" t="s">
        <v>938</v>
      </c>
      <c r="C1518" s="68" t="s">
        <v>1392</v>
      </c>
      <c r="D1518" s="68" t="s">
        <v>1478</v>
      </c>
      <c r="E1518" s="8" t="s">
        <v>516</v>
      </c>
      <c r="F1518" s="8"/>
      <c r="G1518" s="23" t="s">
        <v>1169</v>
      </c>
      <c r="H1518" s="14">
        <f t="shared" si="695"/>
        <v>583.5</v>
      </c>
      <c r="I1518" s="14">
        <f t="shared" si="695"/>
        <v>583.5</v>
      </c>
      <c r="J1518" s="14">
        <f t="shared" si="695"/>
        <v>120</v>
      </c>
      <c r="K1518" s="78">
        <f t="shared" si="683"/>
        <v>20.565552699228792</v>
      </c>
      <c r="L1518" s="14">
        <f t="shared" si="695"/>
        <v>0</v>
      </c>
      <c r="M1518" s="50"/>
      <c r="N1518" s="50"/>
    </row>
    <row r="1519" spans="1:14" ht="31.2" x14ac:dyDescent="0.3">
      <c r="A1519" s="8" t="s">
        <v>1412</v>
      </c>
      <c r="B1519" s="62" t="s">
        <v>938</v>
      </c>
      <c r="C1519" s="68" t="s">
        <v>1392</v>
      </c>
      <c r="D1519" s="68" t="s">
        <v>1478</v>
      </c>
      <c r="E1519" s="8" t="s">
        <v>1245</v>
      </c>
      <c r="F1519" s="8"/>
      <c r="G1519" s="18" t="s">
        <v>1248</v>
      </c>
      <c r="H1519" s="14">
        <f t="shared" si="695"/>
        <v>583.5</v>
      </c>
      <c r="I1519" s="14">
        <f t="shared" si="695"/>
        <v>583.5</v>
      </c>
      <c r="J1519" s="14">
        <f t="shared" si="695"/>
        <v>120</v>
      </c>
      <c r="K1519" s="78">
        <f t="shared" si="683"/>
        <v>20.565552699228792</v>
      </c>
      <c r="L1519" s="14">
        <f t="shared" si="695"/>
        <v>0</v>
      </c>
      <c r="M1519" s="50"/>
      <c r="N1519" s="50"/>
    </row>
    <row r="1520" spans="1:14" ht="31.2" x14ac:dyDescent="0.3">
      <c r="A1520" s="8" t="s">
        <v>1412</v>
      </c>
      <c r="B1520" s="62" t="s">
        <v>938</v>
      </c>
      <c r="C1520" s="68" t="s">
        <v>1392</v>
      </c>
      <c r="D1520" s="68" t="s">
        <v>1478</v>
      </c>
      <c r="E1520" s="8" t="s">
        <v>1245</v>
      </c>
      <c r="F1520" s="45" t="s">
        <v>380</v>
      </c>
      <c r="G1520" s="23" t="s">
        <v>809</v>
      </c>
      <c r="H1520" s="14">
        <f t="shared" si="695"/>
        <v>583.5</v>
      </c>
      <c r="I1520" s="14">
        <f t="shared" si="695"/>
        <v>583.5</v>
      </c>
      <c r="J1520" s="14">
        <f t="shared" si="695"/>
        <v>120</v>
      </c>
      <c r="K1520" s="78">
        <f t="shared" si="683"/>
        <v>20.565552699228792</v>
      </c>
      <c r="L1520" s="14">
        <f t="shared" si="695"/>
        <v>0</v>
      </c>
      <c r="M1520" s="50"/>
      <c r="N1520" s="50"/>
    </row>
    <row r="1521" spans="1:14" ht="31.2" x14ac:dyDescent="0.3">
      <c r="A1521" s="8" t="s">
        <v>1412</v>
      </c>
      <c r="B1521" s="62" t="s">
        <v>938</v>
      </c>
      <c r="C1521" s="68" t="s">
        <v>1392</v>
      </c>
      <c r="D1521" s="68" t="s">
        <v>1478</v>
      </c>
      <c r="E1521" s="8" t="s">
        <v>1245</v>
      </c>
      <c r="F1521" s="8" t="s">
        <v>247</v>
      </c>
      <c r="G1521" s="23" t="s">
        <v>810</v>
      </c>
      <c r="H1521" s="14">
        <f>963.5-380</f>
        <v>583.5</v>
      </c>
      <c r="I1521" s="14">
        <v>583.5</v>
      </c>
      <c r="J1521" s="14">
        <v>120</v>
      </c>
      <c r="K1521" s="78">
        <f t="shared" si="683"/>
        <v>20.565552699228792</v>
      </c>
      <c r="L1521" s="14"/>
      <c r="M1521" s="50"/>
      <c r="N1521" s="50"/>
    </row>
    <row r="1522" spans="1:14" s="9" customFormat="1" ht="16.5" customHeight="1" x14ac:dyDescent="0.3">
      <c r="A1522" s="11" t="s">
        <v>1412</v>
      </c>
      <c r="B1522" s="48" t="s">
        <v>939</v>
      </c>
      <c r="C1522" s="48" t="s">
        <v>1392</v>
      </c>
      <c r="D1522" s="48" t="s">
        <v>1391</v>
      </c>
      <c r="E1522" s="11"/>
      <c r="F1522" s="11"/>
      <c r="G1522" s="7" t="s">
        <v>1423</v>
      </c>
      <c r="H1522" s="16">
        <f>H1529+H1537+H1523+H1558+H1550</f>
        <v>39074.828000000001</v>
      </c>
      <c r="I1522" s="16">
        <f t="shared" ref="I1522:L1522" si="696">I1529+I1537+I1523+I1558+I1550</f>
        <v>99250.613669999992</v>
      </c>
      <c r="J1522" s="16">
        <f t="shared" si="696"/>
        <v>98385.810100000002</v>
      </c>
      <c r="K1522" s="82">
        <f t="shared" si="683"/>
        <v>99.128666777945185</v>
      </c>
      <c r="L1522" s="16">
        <f t="shared" si="696"/>
        <v>0</v>
      </c>
      <c r="M1522" s="65"/>
      <c r="N1522" s="65"/>
    </row>
    <row r="1523" spans="1:14" ht="31.2" x14ac:dyDescent="0.3">
      <c r="A1523" s="8" t="s">
        <v>1412</v>
      </c>
      <c r="B1523" s="62" t="s">
        <v>939</v>
      </c>
      <c r="C1523" s="68" t="s">
        <v>1392</v>
      </c>
      <c r="D1523" s="68" t="s">
        <v>1391</v>
      </c>
      <c r="E1523" s="8" t="s">
        <v>355</v>
      </c>
      <c r="F1523" s="8"/>
      <c r="G1523" s="13" t="s">
        <v>893</v>
      </c>
      <c r="H1523" s="14">
        <f>H1524</f>
        <v>116.748</v>
      </c>
      <c r="I1523" s="14">
        <f t="shared" ref="I1523:L1527" si="697">I1524</f>
        <v>116.748</v>
      </c>
      <c r="J1523" s="14">
        <f t="shared" si="697"/>
        <v>0</v>
      </c>
      <c r="K1523" s="78">
        <f t="shared" si="683"/>
        <v>0</v>
      </c>
      <c r="L1523" s="14">
        <f t="shared" si="697"/>
        <v>0</v>
      </c>
      <c r="M1523" s="50"/>
      <c r="N1523" s="50"/>
    </row>
    <row r="1524" spans="1:14" ht="31.2" x14ac:dyDescent="0.3">
      <c r="A1524" s="8" t="s">
        <v>1412</v>
      </c>
      <c r="B1524" s="62" t="s">
        <v>939</v>
      </c>
      <c r="C1524" s="68" t="s">
        <v>1392</v>
      </c>
      <c r="D1524" s="68" t="s">
        <v>1391</v>
      </c>
      <c r="E1524" s="8" t="s">
        <v>356</v>
      </c>
      <c r="F1524" s="8"/>
      <c r="G1524" s="13" t="s">
        <v>894</v>
      </c>
      <c r="H1524" s="14">
        <f>H1525</f>
        <v>116.748</v>
      </c>
      <c r="I1524" s="14">
        <f t="shared" si="697"/>
        <v>116.748</v>
      </c>
      <c r="J1524" s="14">
        <f t="shared" si="697"/>
        <v>0</v>
      </c>
      <c r="K1524" s="78">
        <f t="shared" si="683"/>
        <v>0</v>
      </c>
      <c r="L1524" s="14">
        <f t="shared" si="697"/>
        <v>0</v>
      </c>
      <c r="M1524" s="50"/>
      <c r="N1524" s="50"/>
    </row>
    <row r="1525" spans="1:14" ht="62.4" x14ac:dyDescent="0.3">
      <c r="A1525" s="8" t="s">
        <v>1412</v>
      </c>
      <c r="B1525" s="62" t="s">
        <v>939</v>
      </c>
      <c r="C1525" s="68" t="s">
        <v>1392</v>
      </c>
      <c r="D1525" s="68" t="s">
        <v>1391</v>
      </c>
      <c r="E1525" s="8" t="s">
        <v>593</v>
      </c>
      <c r="F1525" s="8"/>
      <c r="G1525" s="18" t="s">
        <v>1035</v>
      </c>
      <c r="H1525" s="14">
        <f>H1526</f>
        <v>116.748</v>
      </c>
      <c r="I1525" s="14">
        <f t="shared" si="697"/>
        <v>116.748</v>
      </c>
      <c r="J1525" s="14">
        <f t="shared" si="697"/>
        <v>0</v>
      </c>
      <c r="K1525" s="78">
        <f t="shared" si="683"/>
        <v>0</v>
      </c>
      <c r="L1525" s="14">
        <f t="shared" si="697"/>
        <v>0</v>
      </c>
      <c r="M1525" s="50"/>
      <c r="N1525" s="50"/>
    </row>
    <row r="1526" spans="1:14" ht="31.2" x14ac:dyDescent="0.3">
      <c r="A1526" s="8" t="s">
        <v>1412</v>
      </c>
      <c r="B1526" s="62" t="s">
        <v>939</v>
      </c>
      <c r="C1526" s="68" t="s">
        <v>1392</v>
      </c>
      <c r="D1526" s="68" t="s">
        <v>1391</v>
      </c>
      <c r="E1526" s="8" t="s">
        <v>1003</v>
      </c>
      <c r="F1526" s="8"/>
      <c r="G1526" s="23" t="s">
        <v>1004</v>
      </c>
      <c r="H1526" s="14">
        <f>H1527</f>
        <v>116.748</v>
      </c>
      <c r="I1526" s="14">
        <f t="shared" si="697"/>
        <v>116.748</v>
      </c>
      <c r="J1526" s="14">
        <f t="shared" si="697"/>
        <v>0</v>
      </c>
      <c r="K1526" s="78">
        <f t="shared" si="683"/>
        <v>0</v>
      </c>
      <c r="L1526" s="14">
        <f t="shared" si="697"/>
        <v>0</v>
      </c>
      <c r="M1526" s="50"/>
      <c r="N1526" s="50"/>
    </row>
    <row r="1527" spans="1:14" ht="31.2" x14ac:dyDescent="0.3">
      <c r="A1527" s="8" t="s">
        <v>1412</v>
      </c>
      <c r="B1527" s="62" t="s">
        <v>939</v>
      </c>
      <c r="C1527" s="68" t="s">
        <v>1392</v>
      </c>
      <c r="D1527" s="68" t="s">
        <v>1391</v>
      </c>
      <c r="E1527" s="8" t="s">
        <v>1003</v>
      </c>
      <c r="F1527" s="45" t="s">
        <v>380</v>
      </c>
      <c r="G1527" s="23" t="s">
        <v>809</v>
      </c>
      <c r="H1527" s="14">
        <f>H1528</f>
        <v>116.748</v>
      </c>
      <c r="I1527" s="14">
        <f t="shared" si="697"/>
        <v>116.748</v>
      </c>
      <c r="J1527" s="14">
        <f t="shared" si="697"/>
        <v>0</v>
      </c>
      <c r="K1527" s="78">
        <f t="shared" si="683"/>
        <v>0</v>
      </c>
      <c r="L1527" s="14">
        <f t="shared" si="697"/>
        <v>0</v>
      </c>
      <c r="M1527" s="50"/>
      <c r="N1527" s="50"/>
    </row>
    <row r="1528" spans="1:14" ht="31.2" x14ac:dyDescent="0.3">
      <c r="A1528" s="8" t="s">
        <v>1412</v>
      </c>
      <c r="B1528" s="62" t="s">
        <v>939</v>
      </c>
      <c r="C1528" s="68" t="s">
        <v>1392</v>
      </c>
      <c r="D1528" s="68" t="s">
        <v>1391</v>
      </c>
      <c r="E1528" s="8" t="s">
        <v>1003</v>
      </c>
      <c r="F1528" s="8" t="s">
        <v>247</v>
      </c>
      <c r="G1528" s="23" t="s">
        <v>810</v>
      </c>
      <c r="H1528" s="14">
        <v>116.748</v>
      </c>
      <c r="I1528" s="14">
        <v>116.748</v>
      </c>
      <c r="J1528" s="20">
        <v>0</v>
      </c>
      <c r="K1528" s="77">
        <f t="shared" si="683"/>
        <v>0</v>
      </c>
      <c r="L1528" s="14"/>
      <c r="M1528" s="50"/>
      <c r="N1528" s="50"/>
    </row>
    <row r="1529" spans="1:14" ht="62.4" x14ac:dyDescent="0.3">
      <c r="A1529" s="8" t="s">
        <v>1412</v>
      </c>
      <c r="B1529" s="62" t="s">
        <v>939</v>
      </c>
      <c r="C1529" s="68" t="s">
        <v>1392</v>
      </c>
      <c r="D1529" s="68" t="s">
        <v>1391</v>
      </c>
      <c r="E1529" s="8" t="s">
        <v>358</v>
      </c>
      <c r="F1529" s="8"/>
      <c r="G1529" s="13" t="s">
        <v>1040</v>
      </c>
      <c r="H1529" s="14">
        <f t="shared" ref="H1529:L1529" si="698">H1530</f>
        <v>35709.493999999999</v>
      </c>
      <c r="I1529" s="14">
        <f t="shared" si="698"/>
        <v>35709.493999999999</v>
      </c>
      <c r="J1529" s="14">
        <f t="shared" si="698"/>
        <v>35602.567889999998</v>
      </c>
      <c r="K1529" s="78">
        <f t="shared" si="683"/>
        <v>99.700566717635368</v>
      </c>
      <c r="L1529" s="14">
        <f t="shared" si="698"/>
        <v>0</v>
      </c>
      <c r="M1529" s="50"/>
      <c r="N1529" s="50"/>
    </row>
    <row r="1530" spans="1:14" ht="31.2" x14ac:dyDescent="0.3">
      <c r="A1530" s="8" t="s">
        <v>1412</v>
      </c>
      <c r="B1530" s="62" t="s">
        <v>939</v>
      </c>
      <c r="C1530" s="68" t="s">
        <v>1392</v>
      </c>
      <c r="D1530" s="68" t="s">
        <v>1391</v>
      </c>
      <c r="E1530" s="8" t="s">
        <v>359</v>
      </c>
      <c r="F1530" s="8"/>
      <c r="G1530" s="13" t="s">
        <v>1041</v>
      </c>
      <c r="H1530" s="14">
        <f>H1531+H1534</f>
        <v>35709.493999999999</v>
      </c>
      <c r="I1530" s="14">
        <f>I1531+I1534</f>
        <v>35709.493999999999</v>
      </c>
      <c r="J1530" s="14">
        <f t="shared" ref="J1530" si="699">J1531+J1534</f>
        <v>35602.567889999998</v>
      </c>
      <c r="K1530" s="78">
        <f t="shared" si="683"/>
        <v>99.700566717635368</v>
      </c>
      <c r="L1530" s="14">
        <f>L1531+L1534</f>
        <v>0</v>
      </c>
      <c r="M1530" s="50"/>
      <c r="N1530" s="50"/>
    </row>
    <row r="1531" spans="1:14" ht="31.2" x14ac:dyDescent="0.3">
      <c r="A1531" s="8" t="s">
        <v>1412</v>
      </c>
      <c r="B1531" s="62" t="s">
        <v>939</v>
      </c>
      <c r="C1531" s="68" t="s">
        <v>1392</v>
      </c>
      <c r="D1531" s="68" t="s">
        <v>1391</v>
      </c>
      <c r="E1531" s="8" t="s">
        <v>370</v>
      </c>
      <c r="F1531" s="8"/>
      <c r="G1531" s="18" t="s">
        <v>125</v>
      </c>
      <c r="H1531" s="14">
        <f t="shared" ref="H1531:L1532" si="700">H1532</f>
        <v>34323.222999999998</v>
      </c>
      <c r="I1531" s="14">
        <f t="shared" si="700"/>
        <v>34323.222999999998</v>
      </c>
      <c r="J1531" s="14">
        <f t="shared" si="700"/>
        <v>34294.36623</v>
      </c>
      <c r="K1531" s="78">
        <f t="shared" si="683"/>
        <v>99.915926397704553</v>
      </c>
      <c r="L1531" s="14">
        <f t="shared" si="700"/>
        <v>0</v>
      </c>
      <c r="M1531" s="50"/>
      <c r="N1531" s="50"/>
    </row>
    <row r="1532" spans="1:14" ht="31.2" x14ac:dyDescent="0.3">
      <c r="A1532" s="8" t="s">
        <v>1412</v>
      </c>
      <c r="B1532" s="62" t="s">
        <v>939</v>
      </c>
      <c r="C1532" s="68" t="s">
        <v>1392</v>
      </c>
      <c r="D1532" s="68" t="s">
        <v>1391</v>
      </c>
      <c r="E1532" s="8" t="s">
        <v>370</v>
      </c>
      <c r="F1532" s="45" t="s">
        <v>380</v>
      </c>
      <c r="G1532" s="23" t="s">
        <v>809</v>
      </c>
      <c r="H1532" s="14">
        <f t="shared" si="700"/>
        <v>34323.222999999998</v>
      </c>
      <c r="I1532" s="14">
        <f t="shared" si="700"/>
        <v>34323.222999999998</v>
      </c>
      <c r="J1532" s="14">
        <f t="shared" si="700"/>
        <v>34294.36623</v>
      </c>
      <c r="K1532" s="78">
        <f t="shared" si="683"/>
        <v>99.915926397704553</v>
      </c>
      <c r="L1532" s="14">
        <f t="shared" si="700"/>
        <v>0</v>
      </c>
      <c r="M1532" s="50"/>
      <c r="N1532" s="50"/>
    </row>
    <row r="1533" spans="1:14" ht="31.2" x14ac:dyDescent="0.3">
      <c r="A1533" s="8" t="s">
        <v>1412</v>
      </c>
      <c r="B1533" s="62" t="s">
        <v>939</v>
      </c>
      <c r="C1533" s="68" t="s">
        <v>1392</v>
      </c>
      <c r="D1533" s="68" t="s">
        <v>1391</v>
      </c>
      <c r="E1533" s="8" t="s">
        <v>370</v>
      </c>
      <c r="F1533" s="8" t="s">
        <v>247</v>
      </c>
      <c r="G1533" s="23" t="s">
        <v>810</v>
      </c>
      <c r="H1533" s="14">
        <f>29152.3+6926.887-1755.964</f>
        <v>34323.222999999998</v>
      </c>
      <c r="I1533" s="14">
        <v>34323.222999999998</v>
      </c>
      <c r="J1533" s="14">
        <v>34294.36623</v>
      </c>
      <c r="K1533" s="78">
        <f t="shared" si="683"/>
        <v>99.915926397704553</v>
      </c>
      <c r="L1533" s="14"/>
      <c r="M1533" s="50"/>
      <c r="N1533" s="50"/>
    </row>
    <row r="1534" spans="1:14" ht="31.2" x14ac:dyDescent="0.3">
      <c r="A1534" s="8" t="s">
        <v>1412</v>
      </c>
      <c r="B1534" s="62" t="s">
        <v>939</v>
      </c>
      <c r="C1534" s="68" t="s">
        <v>1392</v>
      </c>
      <c r="D1534" s="68" t="s">
        <v>1391</v>
      </c>
      <c r="E1534" s="8" t="s">
        <v>371</v>
      </c>
      <c r="F1534" s="8"/>
      <c r="G1534" s="18" t="s">
        <v>126</v>
      </c>
      <c r="H1534" s="14">
        <f t="shared" ref="H1534:L1535" si="701">H1535</f>
        <v>1386.271</v>
      </c>
      <c r="I1534" s="14">
        <f t="shared" si="701"/>
        <v>1386.271</v>
      </c>
      <c r="J1534" s="14">
        <f t="shared" si="701"/>
        <v>1308.2016599999999</v>
      </c>
      <c r="K1534" s="78">
        <f t="shared" si="683"/>
        <v>94.368392615873802</v>
      </c>
      <c r="L1534" s="14">
        <f t="shared" si="701"/>
        <v>0</v>
      </c>
      <c r="M1534" s="50"/>
      <c r="N1534" s="50"/>
    </row>
    <row r="1535" spans="1:14" ht="31.2" x14ac:dyDescent="0.3">
      <c r="A1535" s="8" t="s">
        <v>1412</v>
      </c>
      <c r="B1535" s="62" t="s">
        <v>939</v>
      </c>
      <c r="C1535" s="68" t="s">
        <v>1392</v>
      </c>
      <c r="D1535" s="68" t="s">
        <v>1391</v>
      </c>
      <c r="E1535" s="8" t="s">
        <v>371</v>
      </c>
      <c r="F1535" s="45" t="s">
        <v>380</v>
      </c>
      <c r="G1535" s="23" t="s">
        <v>809</v>
      </c>
      <c r="H1535" s="14">
        <f t="shared" si="701"/>
        <v>1386.271</v>
      </c>
      <c r="I1535" s="14">
        <f t="shared" si="701"/>
        <v>1386.271</v>
      </c>
      <c r="J1535" s="14">
        <f t="shared" si="701"/>
        <v>1308.2016599999999</v>
      </c>
      <c r="K1535" s="78">
        <f t="shared" si="683"/>
        <v>94.368392615873802</v>
      </c>
      <c r="L1535" s="14">
        <f t="shared" si="701"/>
        <v>0</v>
      </c>
      <c r="M1535" s="50"/>
      <c r="N1535" s="50"/>
    </row>
    <row r="1536" spans="1:14" ht="31.2" x14ac:dyDescent="0.3">
      <c r="A1536" s="8" t="s">
        <v>1412</v>
      </c>
      <c r="B1536" s="62" t="s">
        <v>939</v>
      </c>
      <c r="C1536" s="68" t="s">
        <v>1392</v>
      </c>
      <c r="D1536" s="68" t="s">
        <v>1391</v>
      </c>
      <c r="E1536" s="8" t="s">
        <v>371</v>
      </c>
      <c r="F1536" s="8" t="s">
        <v>247</v>
      </c>
      <c r="G1536" s="23" t="s">
        <v>810</v>
      </c>
      <c r="H1536" s="14">
        <f>1258.3-78.21-11.019+217.2</f>
        <v>1386.271</v>
      </c>
      <c r="I1536" s="14">
        <v>1386.271</v>
      </c>
      <c r="J1536" s="14">
        <v>1308.2016599999999</v>
      </c>
      <c r="K1536" s="78">
        <f t="shared" si="683"/>
        <v>94.368392615873802</v>
      </c>
      <c r="L1536" s="14"/>
      <c r="M1536" s="50"/>
      <c r="N1536" s="50"/>
    </row>
    <row r="1537" spans="1:14" ht="31.2" x14ac:dyDescent="0.3">
      <c r="A1537" s="8" t="s">
        <v>1412</v>
      </c>
      <c r="B1537" s="62" t="s">
        <v>939</v>
      </c>
      <c r="C1537" s="68" t="s">
        <v>1392</v>
      </c>
      <c r="D1537" s="68" t="s">
        <v>1391</v>
      </c>
      <c r="E1537" s="8" t="s">
        <v>368</v>
      </c>
      <c r="F1537" s="8"/>
      <c r="G1537" s="13" t="s">
        <v>1079</v>
      </c>
      <c r="H1537" s="14">
        <f>H1538+H1543</f>
        <v>3248.5860000000002</v>
      </c>
      <c r="I1537" s="14">
        <f t="shared" ref="I1537:L1537" si="702">I1538+I1543</f>
        <v>3623.8807999999999</v>
      </c>
      <c r="J1537" s="14">
        <f t="shared" si="702"/>
        <v>3623.8807999999999</v>
      </c>
      <c r="K1537" s="78">
        <f t="shared" si="683"/>
        <v>100</v>
      </c>
      <c r="L1537" s="14">
        <f t="shared" si="702"/>
        <v>0</v>
      </c>
      <c r="M1537" s="50"/>
      <c r="N1537" s="50"/>
    </row>
    <row r="1538" spans="1:14" ht="31.2" x14ac:dyDescent="0.3">
      <c r="A1538" s="8" t="s">
        <v>1412</v>
      </c>
      <c r="B1538" s="62" t="s">
        <v>939</v>
      </c>
      <c r="C1538" s="68" t="s">
        <v>1392</v>
      </c>
      <c r="D1538" s="68" t="s">
        <v>1391</v>
      </c>
      <c r="E1538" s="8" t="s">
        <v>372</v>
      </c>
      <c r="F1538" s="8"/>
      <c r="G1538" s="13" t="s">
        <v>193</v>
      </c>
      <c r="H1538" s="14">
        <f t="shared" ref="H1538:L1541" si="703">H1539</f>
        <v>3248.5860000000002</v>
      </c>
      <c r="I1538" s="14">
        <f t="shared" si="703"/>
        <v>3248.5859999999998</v>
      </c>
      <c r="J1538" s="14">
        <f t="shared" si="703"/>
        <v>3248.5859999999998</v>
      </c>
      <c r="K1538" s="78">
        <f t="shared" si="683"/>
        <v>100</v>
      </c>
      <c r="L1538" s="14">
        <f t="shared" si="703"/>
        <v>0</v>
      </c>
      <c r="M1538" s="50"/>
      <c r="N1538" s="50"/>
    </row>
    <row r="1539" spans="1:14" ht="46.8" x14ac:dyDescent="0.3">
      <c r="A1539" s="8" t="s">
        <v>1412</v>
      </c>
      <c r="B1539" s="62" t="s">
        <v>939</v>
      </c>
      <c r="C1539" s="68" t="s">
        <v>1392</v>
      </c>
      <c r="D1539" s="68" t="s">
        <v>1391</v>
      </c>
      <c r="E1539" s="8" t="s">
        <v>511</v>
      </c>
      <c r="F1539" s="8"/>
      <c r="G1539" s="18" t="s">
        <v>1192</v>
      </c>
      <c r="H1539" s="14">
        <f t="shared" si="703"/>
        <v>3248.5860000000002</v>
      </c>
      <c r="I1539" s="14">
        <f t="shared" si="703"/>
        <v>3248.5859999999998</v>
      </c>
      <c r="J1539" s="14">
        <f t="shared" si="703"/>
        <v>3248.5859999999998</v>
      </c>
      <c r="K1539" s="78">
        <f t="shared" si="683"/>
        <v>100</v>
      </c>
      <c r="L1539" s="14">
        <f t="shared" si="703"/>
        <v>0</v>
      </c>
      <c r="M1539" s="50"/>
      <c r="N1539" s="50"/>
    </row>
    <row r="1540" spans="1:14" ht="31.2" x14ac:dyDescent="0.3">
      <c r="A1540" s="8" t="s">
        <v>1412</v>
      </c>
      <c r="B1540" s="62" t="s">
        <v>939</v>
      </c>
      <c r="C1540" s="68" t="s">
        <v>1392</v>
      </c>
      <c r="D1540" s="68" t="s">
        <v>1391</v>
      </c>
      <c r="E1540" s="8" t="s">
        <v>70</v>
      </c>
      <c r="F1540" s="8"/>
      <c r="G1540" s="13" t="s">
        <v>164</v>
      </c>
      <c r="H1540" s="14">
        <f t="shared" si="703"/>
        <v>3248.5860000000002</v>
      </c>
      <c r="I1540" s="14">
        <f t="shared" si="703"/>
        <v>3248.5859999999998</v>
      </c>
      <c r="J1540" s="14">
        <f t="shared" si="703"/>
        <v>3248.5859999999998</v>
      </c>
      <c r="K1540" s="78">
        <f t="shared" si="683"/>
        <v>100</v>
      </c>
      <c r="L1540" s="14">
        <f t="shared" si="703"/>
        <v>0</v>
      </c>
      <c r="M1540" s="50"/>
      <c r="N1540" s="50"/>
    </row>
    <row r="1541" spans="1:14" ht="31.2" x14ac:dyDescent="0.3">
      <c r="A1541" s="8" t="s">
        <v>1412</v>
      </c>
      <c r="B1541" s="62" t="s">
        <v>939</v>
      </c>
      <c r="C1541" s="68" t="s">
        <v>1392</v>
      </c>
      <c r="D1541" s="68" t="s">
        <v>1391</v>
      </c>
      <c r="E1541" s="8" t="s">
        <v>70</v>
      </c>
      <c r="F1541" s="45" t="s">
        <v>380</v>
      </c>
      <c r="G1541" s="23" t="s">
        <v>809</v>
      </c>
      <c r="H1541" s="14">
        <f t="shared" si="703"/>
        <v>3248.5860000000002</v>
      </c>
      <c r="I1541" s="14">
        <f t="shared" si="703"/>
        <v>3248.5859999999998</v>
      </c>
      <c r="J1541" s="14">
        <f t="shared" si="703"/>
        <v>3248.5859999999998</v>
      </c>
      <c r="K1541" s="78">
        <f t="shared" si="683"/>
        <v>100</v>
      </c>
      <c r="L1541" s="14">
        <f t="shared" si="703"/>
        <v>0</v>
      </c>
      <c r="M1541" s="50"/>
      <c r="N1541" s="50"/>
    </row>
    <row r="1542" spans="1:14" ht="31.2" x14ac:dyDescent="0.3">
      <c r="A1542" s="8" t="s">
        <v>1412</v>
      </c>
      <c r="B1542" s="62" t="s">
        <v>939</v>
      </c>
      <c r="C1542" s="68" t="s">
        <v>1392</v>
      </c>
      <c r="D1542" s="68" t="s">
        <v>1391</v>
      </c>
      <c r="E1542" s="8" t="s">
        <v>70</v>
      </c>
      <c r="F1542" s="8" t="s">
        <v>247</v>
      </c>
      <c r="G1542" s="23" t="s">
        <v>810</v>
      </c>
      <c r="H1542" s="14">
        <f>3281.4-32.814</f>
        <v>3248.5860000000002</v>
      </c>
      <c r="I1542" s="14">
        <v>3248.5859999999998</v>
      </c>
      <c r="J1542" s="14">
        <v>3248.5859999999998</v>
      </c>
      <c r="K1542" s="78">
        <f t="shared" si="683"/>
        <v>100</v>
      </c>
      <c r="L1542" s="14"/>
      <c r="M1542" s="50"/>
      <c r="N1542" s="50"/>
    </row>
    <row r="1543" spans="1:14" ht="31.2" x14ac:dyDescent="0.3">
      <c r="A1543" s="8" t="s">
        <v>1412</v>
      </c>
      <c r="B1543" s="62" t="s">
        <v>939</v>
      </c>
      <c r="C1543" s="68" t="s">
        <v>1392</v>
      </c>
      <c r="D1543" s="68" t="s">
        <v>1391</v>
      </c>
      <c r="E1543" s="8" t="s">
        <v>369</v>
      </c>
      <c r="F1543" s="8"/>
      <c r="G1543" s="13" t="s">
        <v>1088</v>
      </c>
      <c r="H1543" s="20">
        <f>H1544</f>
        <v>0</v>
      </c>
      <c r="I1543" s="20">
        <f t="shared" ref="I1543:L1544" si="704">I1544</f>
        <v>375.29480000000001</v>
      </c>
      <c r="J1543" s="20">
        <f t="shared" si="704"/>
        <v>375.29480000000001</v>
      </c>
      <c r="K1543" s="77">
        <f t="shared" si="683"/>
        <v>100</v>
      </c>
      <c r="L1543" s="20">
        <f t="shared" si="704"/>
        <v>0</v>
      </c>
      <c r="M1543" s="50"/>
      <c r="N1543" s="50"/>
    </row>
    <row r="1544" spans="1:14" ht="46.8" x14ac:dyDescent="0.3">
      <c r="A1544" s="8" t="s">
        <v>1412</v>
      </c>
      <c r="B1544" s="62" t="s">
        <v>939</v>
      </c>
      <c r="C1544" s="68" t="s">
        <v>1392</v>
      </c>
      <c r="D1544" s="68" t="s">
        <v>1391</v>
      </c>
      <c r="E1544" s="8" t="s">
        <v>514</v>
      </c>
      <c r="F1544" s="8"/>
      <c r="G1544" s="18" t="s">
        <v>1090</v>
      </c>
      <c r="H1544" s="20">
        <f>H1545</f>
        <v>0</v>
      </c>
      <c r="I1544" s="20">
        <f t="shared" si="704"/>
        <v>375.29480000000001</v>
      </c>
      <c r="J1544" s="20">
        <f t="shared" si="704"/>
        <v>375.29480000000001</v>
      </c>
      <c r="K1544" s="77">
        <f t="shared" ref="K1544:K1607" si="705">J1544/I1544*100</f>
        <v>100</v>
      </c>
      <c r="L1544" s="20">
        <f t="shared" si="704"/>
        <v>0</v>
      </c>
      <c r="M1544" s="50"/>
      <c r="N1544" s="50"/>
    </row>
    <row r="1545" spans="1:14" ht="46.8" x14ac:dyDescent="0.3">
      <c r="A1545" s="8" t="s">
        <v>1412</v>
      </c>
      <c r="B1545" s="62" t="s">
        <v>939</v>
      </c>
      <c r="C1545" s="68" t="s">
        <v>1392</v>
      </c>
      <c r="D1545" s="68" t="s">
        <v>1391</v>
      </c>
      <c r="E1545" s="8" t="s">
        <v>69</v>
      </c>
      <c r="F1545" s="8"/>
      <c r="G1545" s="18" t="s">
        <v>1267</v>
      </c>
      <c r="H1545" s="20">
        <f>H1546+H1548</f>
        <v>0</v>
      </c>
      <c r="I1545" s="20">
        <f t="shared" ref="I1545:L1545" si="706">I1546+I1548</f>
        <v>375.29480000000001</v>
      </c>
      <c r="J1545" s="20">
        <f t="shared" si="706"/>
        <v>375.29480000000001</v>
      </c>
      <c r="K1545" s="77">
        <f t="shared" si="705"/>
        <v>100</v>
      </c>
      <c r="L1545" s="20">
        <f t="shared" si="706"/>
        <v>0</v>
      </c>
      <c r="M1545" s="50"/>
      <c r="N1545" s="50"/>
    </row>
    <row r="1546" spans="1:14" ht="31.2" x14ac:dyDescent="0.3">
      <c r="A1546" s="8" t="s">
        <v>1412</v>
      </c>
      <c r="B1546" s="62" t="s">
        <v>939</v>
      </c>
      <c r="C1546" s="68" t="s">
        <v>1392</v>
      </c>
      <c r="D1546" s="68" t="s">
        <v>1391</v>
      </c>
      <c r="E1546" s="8" t="s">
        <v>69</v>
      </c>
      <c r="F1546" s="45" t="s">
        <v>402</v>
      </c>
      <c r="G1546" s="23" t="s">
        <v>819</v>
      </c>
      <c r="H1546" s="20">
        <f>H1547</f>
        <v>0</v>
      </c>
      <c r="I1546" s="20">
        <f t="shared" ref="I1546:L1546" si="707">I1547</f>
        <v>85.709130000000002</v>
      </c>
      <c r="J1546" s="20">
        <f t="shared" si="707"/>
        <v>85.709130000000002</v>
      </c>
      <c r="K1546" s="77">
        <f t="shared" si="705"/>
        <v>100</v>
      </c>
      <c r="L1546" s="20">
        <f t="shared" si="707"/>
        <v>0</v>
      </c>
      <c r="M1546" s="50"/>
      <c r="N1546" s="50"/>
    </row>
    <row r="1547" spans="1:14" ht="46.8" x14ac:dyDescent="0.3">
      <c r="A1547" s="8" t="s">
        <v>1412</v>
      </c>
      <c r="B1547" s="62" t="s">
        <v>939</v>
      </c>
      <c r="C1547" s="68" t="s">
        <v>1392</v>
      </c>
      <c r="D1547" s="68" t="s">
        <v>1391</v>
      </c>
      <c r="E1547" s="8" t="s">
        <v>69</v>
      </c>
      <c r="F1547" s="45" t="s">
        <v>280</v>
      </c>
      <c r="G1547" s="23" t="s">
        <v>821</v>
      </c>
      <c r="H1547" s="20">
        <v>0</v>
      </c>
      <c r="I1547" s="20">
        <v>85.709130000000002</v>
      </c>
      <c r="J1547" s="20">
        <v>85.709130000000002</v>
      </c>
      <c r="K1547" s="77">
        <f t="shared" si="705"/>
        <v>100</v>
      </c>
      <c r="L1547" s="20"/>
      <c r="M1547" s="50"/>
      <c r="N1547" s="50"/>
    </row>
    <row r="1548" spans="1:14" x14ac:dyDescent="0.3">
      <c r="A1548" s="8" t="s">
        <v>1412</v>
      </c>
      <c r="B1548" s="62" t="s">
        <v>939</v>
      </c>
      <c r="C1548" s="68" t="s">
        <v>1392</v>
      </c>
      <c r="D1548" s="68" t="s">
        <v>1391</v>
      </c>
      <c r="E1548" s="8" t="s">
        <v>69</v>
      </c>
      <c r="F1548" s="8" t="s">
        <v>464</v>
      </c>
      <c r="G1548" s="23" t="s">
        <v>822</v>
      </c>
      <c r="H1548" s="20">
        <f>H1549</f>
        <v>0</v>
      </c>
      <c r="I1548" s="20">
        <f t="shared" ref="I1548:L1548" si="708">I1549</f>
        <v>289.58566999999999</v>
      </c>
      <c r="J1548" s="20">
        <f t="shared" si="708"/>
        <v>289.58566999999999</v>
      </c>
      <c r="K1548" s="77">
        <f t="shared" si="705"/>
        <v>100</v>
      </c>
      <c r="L1548" s="20">
        <f t="shared" si="708"/>
        <v>0</v>
      </c>
      <c r="M1548" s="50"/>
      <c r="N1548" s="50"/>
    </row>
    <row r="1549" spans="1:14" ht="62.4" x14ac:dyDescent="0.3">
      <c r="A1549" s="8" t="s">
        <v>1412</v>
      </c>
      <c r="B1549" s="62" t="s">
        <v>939</v>
      </c>
      <c r="C1549" s="68" t="s">
        <v>1392</v>
      </c>
      <c r="D1549" s="68" t="s">
        <v>1391</v>
      </c>
      <c r="E1549" s="8" t="s">
        <v>69</v>
      </c>
      <c r="F1549" s="8" t="s">
        <v>727</v>
      </c>
      <c r="G1549" s="23" t="s">
        <v>830</v>
      </c>
      <c r="H1549" s="20">
        <v>0</v>
      </c>
      <c r="I1549" s="14">
        <v>289.58566999999999</v>
      </c>
      <c r="J1549" s="14">
        <v>289.58566999999999</v>
      </c>
      <c r="K1549" s="78">
        <f t="shared" si="705"/>
        <v>100</v>
      </c>
      <c r="L1549" s="14"/>
      <c r="M1549" s="50"/>
      <c r="N1549" s="50"/>
    </row>
    <row r="1550" spans="1:14" ht="31.2" x14ac:dyDescent="0.3">
      <c r="A1550" s="8" t="s">
        <v>1412</v>
      </c>
      <c r="B1550" s="62" t="s">
        <v>939</v>
      </c>
      <c r="C1550" s="68" t="s">
        <v>1392</v>
      </c>
      <c r="D1550" s="68" t="s">
        <v>1391</v>
      </c>
      <c r="E1550" s="8" t="s">
        <v>1256</v>
      </c>
      <c r="F1550" s="8"/>
      <c r="G1550" s="23" t="s">
        <v>743</v>
      </c>
      <c r="H1550" s="20">
        <f>H1551</f>
        <v>0</v>
      </c>
      <c r="I1550" s="20">
        <f t="shared" ref="I1550:L1552" si="709">I1551</f>
        <v>59440.490869999994</v>
      </c>
      <c r="J1550" s="20">
        <f t="shared" si="709"/>
        <v>58802.236410000005</v>
      </c>
      <c r="K1550" s="77">
        <f t="shared" si="705"/>
        <v>98.926229493299616</v>
      </c>
      <c r="L1550" s="20">
        <f t="shared" si="709"/>
        <v>0</v>
      </c>
      <c r="M1550" s="50"/>
      <c r="N1550" s="50"/>
    </row>
    <row r="1551" spans="1:14" ht="46.8" x14ac:dyDescent="0.3">
      <c r="A1551" s="8" t="s">
        <v>1412</v>
      </c>
      <c r="B1551" s="62" t="s">
        <v>939</v>
      </c>
      <c r="C1551" s="68" t="s">
        <v>1392</v>
      </c>
      <c r="D1551" s="68" t="s">
        <v>1391</v>
      </c>
      <c r="E1551" s="8" t="s">
        <v>1260</v>
      </c>
      <c r="F1551" s="8"/>
      <c r="G1551" s="23" t="s">
        <v>744</v>
      </c>
      <c r="H1551" s="20">
        <f>H1552</f>
        <v>0</v>
      </c>
      <c r="I1551" s="20">
        <f t="shared" si="709"/>
        <v>59440.490869999994</v>
      </c>
      <c r="J1551" s="20">
        <f t="shared" si="709"/>
        <v>58802.236410000005</v>
      </c>
      <c r="K1551" s="77">
        <f t="shared" si="705"/>
        <v>98.926229493299616</v>
      </c>
      <c r="L1551" s="20">
        <f t="shared" si="709"/>
        <v>0</v>
      </c>
      <c r="M1551" s="50"/>
      <c r="N1551" s="50"/>
    </row>
    <row r="1552" spans="1:14" ht="31.2" x14ac:dyDescent="0.3">
      <c r="A1552" s="8" t="s">
        <v>1412</v>
      </c>
      <c r="B1552" s="62" t="s">
        <v>939</v>
      </c>
      <c r="C1552" s="68" t="s">
        <v>1392</v>
      </c>
      <c r="D1552" s="68" t="s">
        <v>1391</v>
      </c>
      <c r="E1552" s="8" t="s">
        <v>1261</v>
      </c>
      <c r="F1552" s="8"/>
      <c r="G1552" s="23" t="s">
        <v>745</v>
      </c>
      <c r="H1552" s="20">
        <f>H1553</f>
        <v>0</v>
      </c>
      <c r="I1552" s="20">
        <f t="shared" si="709"/>
        <v>59440.490869999994</v>
      </c>
      <c r="J1552" s="20">
        <f t="shared" si="709"/>
        <v>58802.236410000005</v>
      </c>
      <c r="K1552" s="77">
        <f t="shared" si="705"/>
        <v>98.926229493299616</v>
      </c>
      <c r="L1552" s="20">
        <f t="shared" si="709"/>
        <v>0</v>
      </c>
      <c r="M1552" s="50"/>
      <c r="N1552" s="50"/>
    </row>
    <row r="1553" spans="1:14" ht="31.2" x14ac:dyDescent="0.3">
      <c r="A1553" s="8" t="s">
        <v>1412</v>
      </c>
      <c r="B1553" s="62" t="s">
        <v>939</v>
      </c>
      <c r="C1553" s="68" t="s">
        <v>1392</v>
      </c>
      <c r="D1553" s="68" t="s">
        <v>1391</v>
      </c>
      <c r="E1553" s="8" t="s">
        <v>1262</v>
      </c>
      <c r="F1553" s="8"/>
      <c r="G1553" s="23" t="s">
        <v>691</v>
      </c>
      <c r="H1553" s="20">
        <f>H1554+H1556</f>
        <v>0</v>
      </c>
      <c r="I1553" s="20">
        <f t="shared" ref="I1553:L1553" si="710">I1554+I1556</f>
        <v>59440.490869999994</v>
      </c>
      <c r="J1553" s="20">
        <f t="shared" si="710"/>
        <v>58802.236410000005</v>
      </c>
      <c r="K1553" s="77">
        <f t="shared" si="705"/>
        <v>98.926229493299616</v>
      </c>
      <c r="L1553" s="20">
        <f t="shared" si="710"/>
        <v>0</v>
      </c>
      <c r="M1553" s="50"/>
      <c r="N1553" s="50"/>
    </row>
    <row r="1554" spans="1:14" ht="31.2" x14ac:dyDescent="0.3">
      <c r="A1554" s="8" t="s">
        <v>1412</v>
      </c>
      <c r="B1554" s="62" t="s">
        <v>939</v>
      </c>
      <c r="C1554" s="68" t="s">
        <v>1392</v>
      </c>
      <c r="D1554" s="68" t="s">
        <v>1391</v>
      </c>
      <c r="E1554" s="8" t="s">
        <v>1262</v>
      </c>
      <c r="F1554" s="45" t="s">
        <v>402</v>
      </c>
      <c r="G1554" s="23" t="s">
        <v>819</v>
      </c>
      <c r="H1554" s="20">
        <f>H1555</f>
        <v>0</v>
      </c>
      <c r="I1554" s="20">
        <f t="shared" ref="I1554:L1554" si="711">I1555</f>
        <v>12738.401169999999</v>
      </c>
      <c r="J1554" s="20">
        <f t="shared" si="711"/>
        <v>12738.35117</v>
      </c>
      <c r="K1554" s="77">
        <f t="shared" si="705"/>
        <v>99.999607486062558</v>
      </c>
      <c r="L1554" s="20">
        <f t="shared" si="711"/>
        <v>0</v>
      </c>
      <c r="M1554" s="50"/>
      <c r="N1554" s="50"/>
    </row>
    <row r="1555" spans="1:14" ht="46.8" x14ac:dyDescent="0.3">
      <c r="A1555" s="8" t="s">
        <v>1412</v>
      </c>
      <c r="B1555" s="62" t="s">
        <v>939</v>
      </c>
      <c r="C1555" s="68" t="s">
        <v>1392</v>
      </c>
      <c r="D1555" s="68" t="s">
        <v>1391</v>
      </c>
      <c r="E1555" s="8" t="s">
        <v>1262</v>
      </c>
      <c r="F1555" s="45" t="s">
        <v>280</v>
      </c>
      <c r="G1555" s="23" t="s">
        <v>821</v>
      </c>
      <c r="H1555" s="20">
        <v>0</v>
      </c>
      <c r="I1555" s="20">
        <v>12738.401169999999</v>
      </c>
      <c r="J1555" s="20">
        <v>12738.35117</v>
      </c>
      <c r="K1555" s="77">
        <f t="shared" si="705"/>
        <v>99.999607486062558</v>
      </c>
      <c r="L1555" s="20"/>
      <c r="M1555" s="50"/>
      <c r="N1555" s="50"/>
    </row>
    <row r="1556" spans="1:14" ht="16.5" customHeight="1" x14ac:dyDescent="0.3">
      <c r="A1556" s="8" t="s">
        <v>1412</v>
      </c>
      <c r="B1556" s="62" t="s">
        <v>939</v>
      </c>
      <c r="C1556" s="68" t="s">
        <v>1392</v>
      </c>
      <c r="D1556" s="68" t="s">
        <v>1391</v>
      </c>
      <c r="E1556" s="8" t="s">
        <v>1262</v>
      </c>
      <c r="F1556" s="8" t="s">
        <v>464</v>
      </c>
      <c r="G1556" s="23" t="s">
        <v>822</v>
      </c>
      <c r="H1556" s="20">
        <f>H1557</f>
        <v>0</v>
      </c>
      <c r="I1556" s="20">
        <f t="shared" ref="I1556:L1556" si="712">I1557</f>
        <v>46702.089699999997</v>
      </c>
      <c r="J1556" s="20">
        <f t="shared" si="712"/>
        <v>46063.885240000003</v>
      </c>
      <c r="K1556" s="77">
        <f t="shared" si="705"/>
        <v>98.633456309771944</v>
      </c>
      <c r="L1556" s="20">
        <f t="shared" si="712"/>
        <v>0</v>
      </c>
      <c r="M1556" s="50"/>
      <c r="N1556" s="50"/>
    </row>
    <row r="1557" spans="1:14" ht="62.4" x14ac:dyDescent="0.3">
      <c r="A1557" s="8" t="s">
        <v>1412</v>
      </c>
      <c r="B1557" s="62" t="s">
        <v>939</v>
      </c>
      <c r="C1557" s="68" t="s">
        <v>1392</v>
      </c>
      <c r="D1557" s="68" t="s">
        <v>1391</v>
      </c>
      <c r="E1557" s="8" t="s">
        <v>1262</v>
      </c>
      <c r="F1557" s="8" t="s">
        <v>727</v>
      </c>
      <c r="G1557" s="23" t="s">
        <v>830</v>
      </c>
      <c r="H1557" s="20">
        <v>0</v>
      </c>
      <c r="I1557" s="14">
        <v>46702.089699999997</v>
      </c>
      <c r="J1557" s="14">
        <v>46063.885240000003</v>
      </c>
      <c r="K1557" s="78">
        <f t="shared" si="705"/>
        <v>98.633456309771944</v>
      </c>
      <c r="L1557" s="14"/>
      <c r="M1557" s="50"/>
      <c r="N1557" s="50"/>
    </row>
    <row r="1558" spans="1:14" ht="31.2" x14ac:dyDescent="0.3">
      <c r="A1558" s="8" t="s">
        <v>1412</v>
      </c>
      <c r="B1558" s="62" t="s">
        <v>939</v>
      </c>
      <c r="C1558" s="68" t="s">
        <v>1392</v>
      </c>
      <c r="D1558" s="68" t="s">
        <v>1391</v>
      </c>
      <c r="E1558" s="8" t="s">
        <v>429</v>
      </c>
      <c r="F1558" s="8"/>
      <c r="G1558" s="13" t="s">
        <v>1140</v>
      </c>
      <c r="H1558" s="20">
        <f>H1559</f>
        <v>0</v>
      </c>
      <c r="I1558" s="14">
        <f>I1559</f>
        <v>360</v>
      </c>
      <c r="J1558" s="14">
        <f t="shared" ref="J1558:L1560" si="713">J1559</f>
        <v>357.125</v>
      </c>
      <c r="K1558" s="78">
        <f t="shared" si="705"/>
        <v>99.201388888888886</v>
      </c>
      <c r="L1558" s="14">
        <f t="shared" si="713"/>
        <v>0</v>
      </c>
      <c r="M1558" s="50"/>
      <c r="N1558" s="50"/>
    </row>
    <row r="1559" spans="1:14" ht="46.8" x14ac:dyDescent="0.3">
      <c r="A1559" s="8" t="s">
        <v>1412</v>
      </c>
      <c r="B1559" s="62" t="s">
        <v>939</v>
      </c>
      <c r="C1559" s="68" t="s">
        <v>1392</v>
      </c>
      <c r="D1559" s="68" t="s">
        <v>1391</v>
      </c>
      <c r="E1559" s="8" t="s">
        <v>535</v>
      </c>
      <c r="F1559" s="8"/>
      <c r="G1559" s="13" t="s">
        <v>176</v>
      </c>
      <c r="H1559" s="20">
        <f>H1560+H1562</f>
        <v>0</v>
      </c>
      <c r="I1559" s="20">
        <f t="shared" ref="I1559:L1559" si="714">I1560+I1562</f>
        <v>360</v>
      </c>
      <c r="J1559" s="20">
        <f t="shared" si="714"/>
        <v>357.125</v>
      </c>
      <c r="K1559" s="77">
        <f t="shared" si="705"/>
        <v>99.201388888888886</v>
      </c>
      <c r="L1559" s="20">
        <f t="shared" si="714"/>
        <v>0</v>
      </c>
      <c r="M1559" s="50"/>
      <c r="N1559" s="50"/>
    </row>
    <row r="1560" spans="1:14" ht="31.2" x14ac:dyDescent="0.3">
      <c r="A1560" s="8" t="s">
        <v>1412</v>
      </c>
      <c r="B1560" s="62" t="s">
        <v>939</v>
      </c>
      <c r="C1560" s="68" t="s">
        <v>1392</v>
      </c>
      <c r="D1560" s="68" t="s">
        <v>1391</v>
      </c>
      <c r="E1560" s="8" t="s">
        <v>535</v>
      </c>
      <c r="F1560" s="45" t="s">
        <v>380</v>
      </c>
      <c r="G1560" s="23" t="s">
        <v>809</v>
      </c>
      <c r="H1560" s="20">
        <f>H1561</f>
        <v>0</v>
      </c>
      <c r="I1560" s="14">
        <f>I1561</f>
        <v>275</v>
      </c>
      <c r="J1560" s="14">
        <f t="shared" si="713"/>
        <v>272.125</v>
      </c>
      <c r="K1560" s="78">
        <f t="shared" si="705"/>
        <v>98.954545454545453</v>
      </c>
      <c r="L1560" s="14">
        <f t="shared" si="713"/>
        <v>0</v>
      </c>
      <c r="M1560" s="50"/>
      <c r="N1560" s="50"/>
    </row>
    <row r="1561" spans="1:14" ht="31.2" x14ac:dyDescent="0.3">
      <c r="A1561" s="8" t="s">
        <v>1412</v>
      </c>
      <c r="B1561" s="62" t="s">
        <v>939</v>
      </c>
      <c r="C1561" s="68" t="s">
        <v>1392</v>
      </c>
      <c r="D1561" s="68" t="s">
        <v>1391</v>
      </c>
      <c r="E1561" s="8" t="s">
        <v>535</v>
      </c>
      <c r="F1561" s="8" t="s">
        <v>247</v>
      </c>
      <c r="G1561" s="23" t="s">
        <v>810</v>
      </c>
      <c r="H1561" s="19">
        <v>0</v>
      </c>
      <c r="I1561" s="14">
        <v>275</v>
      </c>
      <c r="J1561" s="14">
        <v>272.125</v>
      </c>
      <c r="K1561" s="78">
        <f t="shared" si="705"/>
        <v>98.954545454545453</v>
      </c>
      <c r="L1561" s="14"/>
      <c r="M1561" s="50"/>
      <c r="N1561" s="50"/>
    </row>
    <row r="1562" spans="1:14" x14ac:dyDescent="0.3">
      <c r="A1562" s="8" t="s">
        <v>1412</v>
      </c>
      <c r="B1562" s="62" t="s">
        <v>939</v>
      </c>
      <c r="C1562" s="68" t="s">
        <v>1392</v>
      </c>
      <c r="D1562" s="68" t="s">
        <v>1391</v>
      </c>
      <c r="E1562" s="8" t="s">
        <v>535</v>
      </c>
      <c r="F1562" s="8" t="s">
        <v>464</v>
      </c>
      <c r="G1562" s="23" t="s">
        <v>822</v>
      </c>
      <c r="H1562" s="20">
        <f>H1563</f>
        <v>0</v>
      </c>
      <c r="I1562" s="20">
        <f t="shared" ref="I1562:L1562" si="715">I1563</f>
        <v>85</v>
      </c>
      <c r="J1562" s="20">
        <f t="shared" si="715"/>
        <v>85</v>
      </c>
      <c r="K1562" s="77">
        <f t="shared" si="705"/>
        <v>100</v>
      </c>
      <c r="L1562" s="20">
        <f t="shared" si="715"/>
        <v>0</v>
      </c>
      <c r="M1562" s="50"/>
      <c r="N1562" s="50"/>
    </row>
    <row r="1563" spans="1:14" ht="62.4" x14ac:dyDescent="0.3">
      <c r="A1563" s="8" t="s">
        <v>1412</v>
      </c>
      <c r="B1563" s="62" t="s">
        <v>939</v>
      </c>
      <c r="C1563" s="68" t="s">
        <v>1392</v>
      </c>
      <c r="D1563" s="68" t="s">
        <v>1391</v>
      </c>
      <c r="E1563" s="8" t="s">
        <v>535</v>
      </c>
      <c r="F1563" s="8" t="s">
        <v>727</v>
      </c>
      <c r="G1563" s="23" t="s">
        <v>830</v>
      </c>
      <c r="H1563" s="19">
        <v>0</v>
      </c>
      <c r="I1563" s="14">
        <v>85</v>
      </c>
      <c r="J1563" s="20">
        <v>85</v>
      </c>
      <c r="K1563" s="77">
        <f t="shared" si="705"/>
        <v>100</v>
      </c>
      <c r="L1563" s="14"/>
      <c r="M1563" s="50"/>
      <c r="N1563" s="50"/>
    </row>
    <row r="1564" spans="1:14" s="9" customFormat="1" ht="31.2" x14ac:dyDescent="0.3">
      <c r="A1564" s="11" t="s">
        <v>1412</v>
      </c>
      <c r="B1564" s="48" t="s">
        <v>940</v>
      </c>
      <c r="C1564" s="48" t="s">
        <v>1392</v>
      </c>
      <c r="D1564" s="48" t="s">
        <v>1392</v>
      </c>
      <c r="E1564" s="11"/>
      <c r="F1564" s="11"/>
      <c r="G1564" s="7" t="s">
        <v>1424</v>
      </c>
      <c r="H1564" s="16">
        <f t="shared" ref="H1564:L1567" si="716">H1565</f>
        <v>11582</v>
      </c>
      <c r="I1564" s="16">
        <f t="shared" si="716"/>
        <v>11582</v>
      </c>
      <c r="J1564" s="16">
        <f t="shared" si="716"/>
        <v>11581.9424</v>
      </c>
      <c r="K1564" s="82">
        <f t="shared" si="705"/>
        <v>99.99950267656709</v>
      </c>
      <c r="L1564" s="16">
        <f t="shared" si="716"/>
        <v>0</v>
      </c>
      <c r="M1564" s="65"/>
      <c r="N1564" s="65"/>
    </row>
    <row r="1565" spans="1:14" ht="31.2" x14ac:dyDescent="0.3">
      <c r="A1565" s="8" t="s">
        <v>1412</v>
      </c>
      <c r="B1565" s="62" t="s">
        <v>940</v>
      </c>
      <c r="C1565" s="68" t="s">
        <v>1392</v>
      </c>
      <c r="D1565" s="68" t="s">
        <v>1392</v>
      </c>
      <c r="E1565" s="8" t="s">
        <v>355</v>
      </c>
      <c r="F1565" s="8"/>
      <c r="G1565" s="13" t="s">
        <v>893</v>
      </c>
      <c r="H1565" s="14">
        <f t="shared" si="716"/>
        <v>11582</v>
      </c>
      <c r="I1565" s="14">
        <f t="shared" si="716"/>
        <v>11582</v>
      </c>
      <c r="J1565" s="14">
        <f t="shared" si="716"/>
        <v>11581.9424</v>
      </c>
      <c r="K1565" s="78">
        <f t="shared" si="705"/>
        <v>99.99950267656709</v>
      </c>
      <c r="L1565" s="14">
        <f t="shared" si="716"/>
        <v>0</v>
      </c>
      <c r="M1565" s="50"/>
      <c r="N1565" s="50"/>
    </row>
    <row r="1566" spans="1:14" ht="31.2" x14ac:dyDescent="0.3">
      <c r="A1566" s="8" t="s">
        <v>1412</v>
      </c>
      <c r="B1566" s="62" t="s">
        <v>940</v>
      </c>
      <c r="C1566" s="68" t="s">
        <v>1392</v>
      </c>
      <c r="D1566" s="68" t="s">
        <v>1392</v>
      </c>
      <c r="E1566" s="8" t="s">
        <v>373</v>
      </c>
      <c r="F1566" s="8"/>
      <c r="G1566" s="13" t="s">
        <v>1038</v>
      </c>
      <c r="H1566" s="14">
        <f t="shared" si="716"/>
        <v>11582</v>
      </c>
      <c r="I1566" s="14">
        <f t="shared" si="716"/>
        <v>11582</v>
      </c>
      <c r="J1566" s="14">
        <f t="shared" si="716"/>
        <v>11581.9424</v>
      </c>
      <c r="K1566" s="78">
        <f t="shared" si="705"/>
        <v>99.99950267656709</v>
      </c>
      <c r="L1566" s="14">
        <f t="shared" si="716"/>
        <v>0</v>
      </c>
      <c r="M1566" s="50"/>
      <c r="N1566" s="50"/>
    </row>
    <row r="1567" spans="1:14" ht="31.2" x14ac:dyDescent="0.3">
      <c r="A1567" s="8" t="s">
        <v>1412</v>
      </c>
      <c r="B1567" s="62" t="s">
        <v>940</v>
      </c>
      <c r="C1567" s="68" t="s">
        <v>1392</v>
      </c>
      <c r="D1567" s="68" t="s">
        <v>1392</v>
      </c>
      <c r="E1567" s="8" t="s">
        <v>374</v>
      </c>
      <c r="F1567" s="8"/>
      <c r="G1567" s="13" t="s">
        <v>1039</v>
      </c>
      <c r="H1567" s="14">
        <f t="shared" si="716"/>
        <v>11582</v>
      </c>
      <c r="I1567" s="14">
        <f t="shared" si="716"/>
        <v>11582</v>
      </c>
      <c r="J1567" s="14">
        <f t="shared" si="716"/>
        <v>11581.9424</v>
      </c>
      <c r="K1567" s="78">
        <f t="shared" si="705"/>
        <v>99.99950267656709</v>
      </c>
      <c r="L1567" s="14">
        <f t="shared" si="716"/>
        <v>0</v>
      </c>
      <c r="M1567" s="50"/>
      <c r="N1567" s="50"/>
    </row>
    <row r="1568" spans="1:14" ht="62.4" x14ac:dyDescent="0.3">
      <c r="A1568" s="8" t="s">
        <v>1412</v>
      </c>
      <c r="B1568" s="62" t="s">
        <v>940</v>
      </c>
      <c r="C1568" s="68" t="s">
        <v>1392</v>
      </c>
      <c r="D1568" s="68" t="s">
        <v>1392</v>
      </c>
      <c r="E1568" s="8" t="s">
        <v>375</v>
      </c>
      <c r="F1568" s="8"/>
      <c r="G1568" s="23" t="s">
        <v>1291</v>
      </c>
      <c r="H1568" s="14">
        <f>H1569+H1571+H1573</f>
        <v>11582</v>
      </c>
      <c r="I1568" s="14">
        <f>I1569+I1571+I1573</f>
        <v>11582</v>
      </c>
      <c r="J1568" s="14">
        <f t="shared" ref="J1568" si="717">J1569+J1571+J1573</f>
        <v>11581.9424</v>
      </c>
      <c r="K1568" s="78">
        <f t="shared" si="705"/>
        <v>99.99950267656709</v>
      </c>
      <c r="L1568" s="14">
        <f>L1569+L1571+L1573</f>
        <v>0</v>
      </c>
      <c r="M1568" s="50"/>
      <c r="N1568" s="50"/>
    </row>
    <row r="1569" spans="1:14" ht="78" x14ac:dyDescent="0.3">
      <c r="A1569" s="8" t="s">
        <v>1412</v>
      </c>
      <c r="B1569" s="62" t="s">
        <v>940</v>
      </c>
      <c r="C1569" s="68" t="s">
        <v>1392</v>
      </c>
      <c r="D1569" s="68" t="s">
        <v>1392</v>
      </c>
      <c r="E1569" s="8" t="s">
        <v>375</v>
      </c>
      <c r="F1569" s="45" t="s">
        <v>431</v>
      </c>
      <c r="G1569" s="23" t="s">
        <v>806</v>
      </c>
      <c r="H1569" s="14">
        <f t="shared" ref="H1569:L1569" si="718">H1570</f>
        <v>8905</v>
      </c>
      <c r="I1569" s="14">
        <f t="shared" si="718"/>
        <v>9188.2099099999996</v>
      </c>
      <c r="J1569" s="14">
        <f t="shared" si="718"/>
        <v>9188.2099099999996</v>
      </c>
      <c r="K1569" s="78">
        <f t="shared" si="705"/>
        <v>100</v>
      </c>
      <c r="L1569" s="14">
        <f t="shared" si="718"/>
        <v>0</v>
      </c>
      <c r="M1569" s="50"/>
      <c r="N1569" s="50"/>
    </row>
    <row r="1570" spans="1:14" x14ac:dyDescent="0.3">
      <c r="A1570" s="8" t="s">
        <v>1412</v>
      </c>
      <c r="B1570" s="62" t="s">
        <v>940</v>
      </c>
      <c r="C1570" s="68" t="s">
        <v>1392</v>
      </c>
      <c r="D1570" s="68" t="s">
        <v>1392</v>
      </c>
      <c r="E1570" s="8" t="s">
        <v>375</v>
      </c>
      <c r="F1570" s="8" t="s">
        <v>719</v>
      </c>
      <c r="G1570" s="23" t="s">
        <v>807</v>
      </c>
      <c r="H1570" s="14">
        <v>8905</v>
      </c>
      <c r="I1570" s="14">
        <v>9188.2099099999996</v>
      </c>
      <c r="J1570" s="14">
        <v>9188.2099099999996</v>
      </c>
      <c r="K1570" s="78">
        <f t="shared" si="705"/>
        <v>100</v>
      </c>
      <c r="L1570" s="14"/>
      <c r="M1570" s="50"/>
      <c r="N1570" s="50"/>
    </row>
    <row r="1571" spans="1:14" ht="31.2" x14ac:dyDescent="0.3">
      <c r="A1571" s="8" t="s">
        <v>1412</v>
      </c>
      <c r="B1571" s="62" t="s">
        <v>940</v>
      </c>
      <c r="C1571" s="68" t="s">
        <v>1392</v>
      </c>
      <c r="D1571" s="68" t="s">
        <v>1392</v>
      </c>
      <c r="E1571" s="8" t="s">
        <v>375</v>
      </c>
      <c r="F1571" s="45" t="s">
        <v>380</v>
      </c>
      <c r="G1571" s="23" t="s">
        <v>809</v>
      </c>
      <c r="H1571" s="14">
        <f t="shared" ref="H1571:L1571" si="719">H1572</f>
        <v>2670.6</v>
      </c>
      <c r="I1571" s="14">
        <f t="shared" si="719"/>
        <v>2385.4200900000001</v>
      </c>
      <c r="J1571" s="14">
        <f t="shared" si="719"/>
        <v>2385.36249</v>
      </c>
      <c r="K1571" s="78">
        <f t="shared" si="705"/>
        <v>99.997585330976221</v>
      </c>
      <c r="L1571" s="14">
        <f t="shared" si="719"/>
        <v>0</v>
      </c>
      <c r="M1571" s="50"/>
      <c r="N1571" s="50"/>
    </row>
    <row r="1572" spans="1:14" ht="31.2" x14ac:dyDescent="0.3">
      <c r="A1572" s="8" t="s">
        <v>1412</v>
      </c>
      <c r="B1572" s="62" t="s">
        <v>940</v>
      </c>
      <c r="C1572" s="68" t="s">
        <v>1392</v>
      </c>
      <c r="D1572" s="68" t="s">
        <v>1392</v>
      </c>
      <c r="E1572" s="8" t="s">
        <v>375</v>
      </c>
      <c r="F1572" s="8" t="s">
        <v>247</v>
      </c>
      <c r="G1572" s="23" t="s">
        <v>810</v>
      </c>
      <c r="H1572" s="14">
        <v>2670.6</v>
      </c>
      <c r="I1572" s="14">
        <v>2385.4200900000001</v>
      </c>
      <c r="J1572" s="14">
        <v>2385.36249</v>
      </c>
      <c r="K1572" s="78">
        <f t="shared" si="705"/>
        <v>99.997585330976221</v>
      </c>
      <c r="L1572" s="14"/>
      <c r="M1572" s="50"/>
      <c r="N1572" s="50"/>
    </row>
    <row r="1573" spans="1:14" x14ac:dyDescent="0.3">
      <c r="A1573" s="8" t="s">
        <v>1412</v>
      </c>
      <c r="B1573" s="62" t="s">
        <v>940</v>
      </c>
      <c r="C1573" s="68" t="s">
        <v>1392</v>
      </c>
      <c r="D1573" s="68" t="s">
        <v>1392</v>
      </c>
      <c r="E1573" s="8" t="s">
        <v>375</v>
      </c>
      <c r="F1573" s="45" t="s">
        <v>464</v>
      </c>
      <c r="G1573" s="23" t="s">
        <v>822</v>
      </c>
      <c r="H1573" s="14">
        <f t="shared" ref="H1573:L1573" si="720">H1574</f>
        <v>6.4</v>
      </c>
      <c r="I1573" s="14">
        <f t="shared" si="720"/>
        <v>8.3699999999999992</v>
      </c>
      <c r="J1573" s="14">
        <f t="shared" si="720"/>
        <v>8.3699999999999992</v>
      </c>
      <c r="K1573" s="78">
        <f t="shared" si="705"/>
        <v>100</v>
      </c>
      <c r="L1573" s="14">
        <f t="shared" si="720"/>
        <v>0</v>
      </c>
      <c r="M1573" s="50"/>
      <c r="N1573" s="50"/>
    </row>
    <row r="1574" spans="1:14" x14ac:dyDescent="0.3">
      <c r="A1574" s="8" t="s">
        <v>1412</v>
      </c>
      <c r="B1574" s="62" t="s">
        <v>940</v>
      </c>
      <c r="C1574" s="68" t="s">
        <v>1392</v>
      </c>
      <c r="D1574" s="68" t="s">
        <v>1392</v>
      </c>
      <c r="E1574" s="8" t="s">
        <v>375</v>
      </c>
      <c r="F1574" s="45" t="s">
        <v>729</v>
      </c>
      <c r="G1574" s="23" t="s">
        <v>824</v>
      </c>
      <c r="H1574" s="14">
        <v>6.4</v>
      </c>
      <c r="I1574" s="14">
        <v>8.3699999999999992</v>
      </c>
      <c r="J1574" s="14">
        <v>8.3699999999999992</v>
      </c>
      <c r="K1574" s="78">
        <f t="shared" si="705"/>
        <v>100</v>
      </c>
      <c r="L1574" s="14"/>
      <c r="M1574" s="50"/>
      <c r="N1574" s="50"/>
    </row>
    <row r="1575" spans="1:14" s="3" customFormat="1" x14ac:dyDescent="0.3">
      <c r="A1575" s="10" t="s">
        <v>1412</v>
      </c>
      <c r="B1575" s="43" t="s">
        <v>1381</v>
      </c>
      <c r="C1575" s="43" t="s">
        <v>1381</v>
      </c>
      <c r="D1575" s="43" t="s">
        <v>915</v>
      </c>
      <c r="E1575" s="10"/>
      <c r="F1575" s="10"/>
      <c r="G1575" s="5" t="s">
        <v>1395</v>
      </c>
      <c r="H1575" s="15">
        <f t="shared" ref="H1575:L1581" si="721">H1576</f>
        <v>966.46100000000001</v>
      </c>
      <c r="I1575" s="15">
        <f t="shared" si="721"/>
        <v>966.46100000000001</v>
      </c>
      <c r="J1575" s="15">
        <f t="shared" si="721"/>
        <v>966.46</v>
      </c>
      <c r="K1575" s="81">
        <f t="shared" si="705"/>
        <v>99.999896529709943</v>
      </c>
      <c r="L1575" s="15">
        <f t="shared" si="721"/>
        <v>0</v>
      </c>
      <c r="M1575" s="65"/>
      <c r="N1575" s="65"/>
    </row>
    <row r="1576" spans="1:14" s="9" customFormat="1" ht="31.2" x14ac:dyDescent="0.3">
      <c r="A1576" s="11" t="s">
        <v>1412</v>
      </c>
      <c r="B1576" s="48" t="s">
        <v>920</v>
      </c>
      <c r="C1576" s="48" t="s">
        <v>1381</v>
      </c>
      <c r="D1576" s="48" t="s">
        <v>1391</v>
      </c>
      <c r="E1576" s="11"/>
      <c r="F1576" s="11"/>
      <c r="G1576" s="7" t="s">
        <v>1396</v>
      </c>
      <c r="H1576" s="16">
        <f t="shared" si="721"/>
        <v>966.46100000000001</v>
      </c>
      <c r="I1576" s="16">
        <f t="shared" si="721"/>
        <v>966.46100000000001</v>
      </c>
      <c r="J1576" s="16">
        <f t="shared" si="721"/>
        <v>966.46</v>
      </c>
      <c r="K1576" s="82">
        <f t="shared" si="705"/>
        <v>99.999896529709943</v>
      </c>
      <c r="L1576" s="16">
        <f t="shared" si="721"/>
        <v>0</v>
      </c>
      <c r="M1576" s="65"/>
      <c r="N1576" s="65"/>
    </row>
    <row r="1577" spans="1:14" ht="31.2" x14ac:dyDescent="0.3">
      <c r="A1577" s="8" t="s">
        <v>1412</v>
      </c>
      <c r="B1577" s="62" t="s">
        <v>920</v>
      </c>
      <c r="C1577" s="68" t="s">
        <v>1381</v>
      </c>
      <c r="D1577" s="68" t="s">
        <v>1391</v>
      </c>
      <c r="E1577" s="8" t="s">
        <v>376</v>
      </c>
      <c r="F1577" s="8"/>
      <c r="G1577" s="23" t="s">
        <v>1101</v>
      </c>
      <c r="H1577" s="14">
        <f t="shared" si="721"/>
        <v>966.46100000000001</v>
      </c>
      <c r="I1577" s="14">
        <f t="shared" si="721"/>
        <v>966.46100000000001</v>
      </c>
      <c r="J1577" s="14">
        <f t="shared" si="721"/>
        <v>966.46</v>
      </c>
      <c r="K1577" s="78">
        <f t="shared" si="705"/>
        <v>99.999896529709943</v>
      </c>
      <c r="L1577" s="14">
        <f t="shared" si="721"/>
        <v>0</v>
      </c>
      <c r="M1577" s="50"/>
      <c r="N1577" s="50"/>
    </row>
    <row r="1578" spans="1:14" ht="31.2" x14ac:dyDescent="0.3">
      <c r="A1578" s="8" t="s">
        <v>1412</v>
      </c>
      <c r="B1578" s="62" t="s">
        <v>920</v>
      </c>
      <c r="C1578" s="68" t="s">
        <v>1381</v>
      </c>
      <c r="D1578" s="68" t="s">
        <v>1391</v>
      </c>
      <c r="E1578" s="8" t="s">
        <v>379</v>
      </c>
      <c r="F1578" s="8"/>
      <c r="G1578" s="23" t="s">
        <v>1200</v>
      </c>
      <c r="H1578" s="14">
        <f>H1579+H1583</f>
        <v>966.46100000000001</v>
      </c>
      <c r="I1578" s="14">
        <f>I1579+I1583</f>
        <v>966.46100000000001</v>
      </c>
      <c r="J1578" s="14">
        <f t="shared" ref="J1578" si="722">J1579+J1583</f>
        <v>966.46</v>
      </c>
      <c r="K1578" s="78">
        <f t="shared" si="705"/>
        <v>99.999896529709943</v>
      </c>
      <c r="L1578" s="14">
        <f>L1579+L1583</f>
        <v>0</v>
      </c>
      <c r="M1578" s="50"/>
      <c r="N1578" s="50"/>
    </row>
    <row r="1579" spans="1:14" ht="31.2" x14ac:dyDescent="0.3">
      <c r="A1579" s="8" t="s">
        <v>1412</v>
      </c>
      <c r="B1579" s="62" t="s">
        <v>920</v>
      </c>
      <c r="C1579" s="68" t="s">
        <v>1381</v>
      </c>
      <c r="D1579" s="68" t="s">
        <v>1391</v>
      </c>
      <c r="E1579" s="8" t="s">
        <v>377</v>
      </c>
      <c r="F1579" s="8"/>
      <c r="G1579" s="23" t="s">
        <v>1102</v>
      </c>
      <c r="H1579" s="14">
        <f t="shared" si="721"/>
        <v>75</v>
      </c>
      <c r="I1579" s="14">
        <f t="shared" si="721"/>
        <v>75</v>
      </c>
      <c r="J1579" s="14">
        <f t="shared" si="721"/>
        <v>75</v>
      </c>
      <c r="K1579" s="78">
        <f t="shared" si="705"/>
        <v>100</v>
      </c>
      <c r="L1579" s="14">
        <f t="shared" si="721"/>
        <v>0</v>
      </c>
      <c r="M1579" s="50"/>
      <c r="N1579" s="50"/>
    </row>
    <row r="1580" spans="1:14" ht="31.2" x14ac:dyDescent="0.3">
      <c r="A1580" s="8" t="s">
        <v>1412</v>
      </c>
      <c r="B1580" s="62" t="s">
        <v>920</v>
      </c>
      <c r="C1580" s="68" t="s">
        <v>1381</v>
      </c>
      <c r="D1580" s="68" t="s">
        <v>1391</v>
      </c>
      <c r="E1580" s="8" t="s">
        <v>378</v>
      </c>
      <c r="F1580" s="8"/>
      <c r="G1580" s="23" t="s">
        <v>1178</v>
      </c>
      <c r="H1580" s="14">
        <f t="shared" si="721"/>
        <v>75</v>
      </c>
      <c r="I1580" s="14">
        <f t="shared" si="721"/>
        <v>75</v>
      </c>
      <c r="J1580" s="14">
        <f t="shared" si="721"/>
        <v>75</v>
      </c>
      <c r="K1580" s="78">
        <f t="shared" si="705"/>
        <v>100</v>
      </c>
      <c r="L1580" s="14">
        <f t="shared" si="721"/>
        <v>0</v>
      </c>
      <c r="M1580" s="50"/>
      <c r="N1580" s="50"/>
    </row>
    <row r="1581" spans="1:14" ht="31.2" x14ac:dyDescent="0.3">
      <c r="A1581" s="8" t="s">
        <v>1412</v>
      </c>
      <c r="B1581" s="62" t="s">
        <v>920</v>
      </c>
      <c r="C1581" s="68" t="s">
        <v>1381</v>
      </c>
      <c r="D1581" s="68" t="s">
        <v>1391</v>
      </c>
      <c r="E1581" s="8" t="s">
        <v>378</v>
      </c>
      <c r="F1581" s="45" t="s">
        <v>380</v>
      </c>
      <c r="G1581" s="23" t="s">
        <v>809</v>
      </c>
      <c r="H1581" s="14">
        <f t="shared" si="721"/>
        <v>75</v>
      </c>
      <c r="I1581" s="14">
        <f t="shared" si="721"/>
        <v>75</v>
      </c>
      <c r="J1581" s="14">
        <f t="shared" si="721"/>
        <v>75</v>
      </c>
      <c r="K1581" s="78">
        <f t="shared" si="705"/>
        <v>100</v>
      </c>
      <c r="L1581" s="14">
        <f t="shared" si="721"/>
        <v>0</v>
      </c>
      <c r="M1581" s="50"/>
      <c r="N1581" s="50"/>
    </row>
    <row r="1582" spans="1:14" ht="31.2" x14ac:dyDescent="0.3">
      <c r="A1582" s="8" t="s">
        <v>1412</v>
      </c>
      <c r="B1582" s="62" t="s">
        <v>920</v>
      </c>
      <c r="C1582" s="68" t="s">
        <v>1381</v>
      </c>
      <c r="D1582" s="68" t="s">
        <v>1391</v>
      </c>
      <c r="E1582" s="8" t="s">
        <v>378</v>
      </c>
      <c r="F1582" s="8" t="s">
        <v>247</v>
      </c>
      <c r="G1582" s="23" t="s">
        <v>810</v>
      </c>
      <c r="H1582" s="14">
        <v>75</v>
      </c>
      <c r="I1582" s="14">
        <v>75</v>
      </c>
      <c r="J1582" s="14">
        <v>75</v>
      </c>
      <c r="K1582" s="78">
        <f t="shared" si="705"/>
        <v>100</v>
      </c>
      <c r="L1582" s="14"/>
      <c r="M1582" s="50"/>
      <c r="N1582" s="50"/>
    </row>
    <row r="1583" spans="1:14" ht="31.2" x14ac:dyDescent="0.3">
      <c r="A1583" s="8" t="s">
        <v>1412</v>
      </c>
      <c r="B1583" s="62" t="s">
        <v>920</v>
      </c>
      <c r="C1583" s="68" t="s">
        <v>1381</v>
      </c>
      <c r="D1583" s="68" t="s">
        <v>1391</v>
      </c>
      <c r="E1583" s="8" t="s">
        <v>1222</v>
      </c>
      <c r="F1583" s="8"/>
      <c r="G1583" s="23" t="s">
        <v>737</v>
      </c>
      <c r="H1583" s="14">
        <f t="shared" ref="H1583:L1585" si="723">H1584</f>
        <v>891.46100000000001</v>
      </c>
      <c r="I1583" s="14">
        <f t="shared" si="723"/>
        <v>891.46100000000001</v>
      </c>
      <c r="J1583" s="14">
        <f t="shared" si="723"/>
        <v>891.46</v>
      </c>
      <c r="K1583" s="78">
        <f t="shared" si="705"/>
        <v>99.999887824593557</v>
      </c>
      <c r="L1583" s="14">
        <f t="shared" si="723"/>
        <v>0</v>
      </c>
      <c r="M1583" s="50"/>
      <c r="N1583" s="50"/>
    </row>
    <row r="1584" spans="1:14" x14ac:dyDescent="0.3">
      <c r="A1584" s="8" t="s">
        <v>1412</v>
      </c>
      <c r="B1584" s="62" t="s">
        <v>920</v>
      </c>
      <c r="C1584" s="68" t="s">
        <v>1381</v>
      </c>
      <c r="D1584" s="68" t="s">
        <v>1391</v>
      </c>
      <c r="E1584" s="8" t="s">
        <v>1223</v>
      </c>
      <c r="F1584" s="8"/>
      <c r="G1584" s="23" t="s">
        <v>1224</v>
      </c>
      <c r="H1584" s="14">
        <f t="shared" si="723"/>
        <v>891.46100000000001</v>
      </c>
      <c r="I1584" s="14">
        <f t="shared" si="723"/>
        <v>891.46100000000001</v>
      </c>
      <c r="J1584" s="14">
        <f t="shared" si="723"/>
        <v>891.46</v>
      </c>
      <c r="K1584" s="78">
        <f t="shared" si="705"/>
        <v>99.999887824593557</v>
      </c>
      <c r="L1584" s="14">
        <f t="shared" si="723"/>
        <v>0</v>
      </c>
      <c r="M1584" s="50"/>
      <c r="N1584" s="50"/>
    </row>
    <row r="1585" spans="1:14" ht="31.2" x14ac:dyDescent="0.3">
      <c r="A1585" s="8" t="s">
        <v>1412</v>
      </c>
      <c r="B1585" s="62" t="s">
        <v>920</v>
      </c>
      <c r="C1585" s="68" t="s">
        <v>1381</v>
      </c>
      <c r="D1585" s="68" t="s">
        <v>1391</v>
      </c>
      <c r="E1585" s="8" t="s">
        <v>1223</v>
      </c>
      <c r="F1585" s="45" t="s">
        <v>380</v>
      </c>
      <c r="G1585" s="23" t="s">
        <v>809</v>
      </c>
      <c r="H1585" s="14">
        <f t="shared" si="723"/>
        <v>891.46100000000001</v>
      </c>
      <c r="I1585" s="14">
        <f t="shared" si="723"/>
        <v>891.46100000000001</v>
      </c>
      <c r="J1585" s="14">
        <f t="shared" si="723"/>
        <v>891.46</v>
      </c>
      <c r="K1585" s="78">
        <f t="shared" si="705"/>
        <v>99.999887824593557</v>
      </c>
      <c r="L1585" s="14">
        <f t="shared" si="723"/>
        <v>0</v>
      </c>
      <c r="M1585" s="50"/>
      <c r="N1585" s="50"/>
    </row>
    <row r="1586" spans="1:14" ht="31.2" x14ac:dyDescent="0.3">
      <c r="A1586" s="8" t="s">
        <v>1412</v>
      </c>
      <c r="B1586" s="62" t="s">
        <v>920</v>
      </c>
      <c r="C1586" s="68" t="s">
        <v>1381</v>
      </c>
      <c r="D1586" s="68" t="s">
        <v>1391</v>
      </c>
      <c r="E1586" s="8" t="s">
        <v>1223</v>
      </c>
      <c r="F1586" s="8" t="s">
        <v>247</v>
      </c>
      <c r="G1586" s="23" t="s">
        <v>810</v>
      </c>
      <c r="H1586" s="14">
        <f>1708-816.539</f>
        <v>891.46100000000001</v>
      </c>
      <c r="I1586" s="14">
        <v>891.46100000000001</v>
      </c>
      <c r="J1586" s="14">
        <v>891.46</v>
      </c>
      <c r="K1586" s="78">
        <f t="shared" si="705"/>
        <v>99.999887824593557</v>
      </c>
      <c r="L1586" s="14"/>
      <c r="M1586" s="50"/>
      <c r="N1586" s="50"/>
    </row>
    <row r="1587" spans="1:14" s="3" customFormat="1" x14ac:dyDescent="0.3">
      <c r="A1587" s="10" t="s">
        <v>1412</v>
      </c>
      <c r="B1587" s="43" t="s">
        <v>1374</v>
      </c>
      <c r="C1587" s="43" t="s">
        <v>1374</v>
      </c>
      <c r="D1587" s="43" t="s">
        <v>915</v>
      </c>
      <c r="E1587" s="10"/>
      <c r="F1587" s="10"/>
      <c r="G1587" s="5" t="s">
        <v>1378</v>
      </c>
      <c r="H1587" s="15">
        <f t="shared" ref="H1587:L1589" si="724">H1588</f>
        <v>4974.1000000000004</v>
      </c>
      <c r="I1587" s="15">
        <f t="shared" si="724"/>
        <v>4974.1000000000004</v>
      </c>
      <c r="J1587" s="15">
        <f t="shared" si="724"/>
        <v>4972.3221800000001</v>
      </c>
      <c r="K1587" s="81">
        <f t="shared" si="705"/>
        <v>99.964258458816673</v>
      </c>
      <c r="L1587" s="15">
        <f t="shared" si="724"/>
        <v>0</v>
      </c>
      <c r="M1587" s="65"/>
      <c r="N1587" s="65"/>
    </row>
    <row r="1588" spans="1:14" s="9" customFormat="1" x14ac:dyDescent="0.3">
      <c r="A1588" s="11" t="s">
        <v>1412</v>
      </c>
      <c r="B1588" s="48" t="s">
        <v>924</v>
      </c>
      <c r="C1588" s="48" t="s">
        <v>1374</v>
      </c>
      <c r="D1588" s="48" t="s">
        <v>1374</v>
      </c>
      <c r="E1588" s="11"/>
      <c r="F1588" s="11"/>
      <c r="G1588" s="7" t="s">
        <v>1221</v>
      </c>
      <c r="H1588" s="16">
        <f t="shared" si="724"/>
        <v>4974.1000000000004</v>
      </c>
      <c r="I1588" s="16">
        <f t="shared" si="724"/>
        <v>4974.1000000000004</v>
      </c>
      <c r="J1588" s="16">
        <f t="shared" si="724"/>
        <v>4972.3221800000001</v>
      </c>
      <c r="K1588" s="82">
        <f t="shared" si="705"/>
        <v>99.964258458816673</v>
      </c>
      <c r="L1588" s="16">
        <f t="shared" si="724"/>
        <v>0</v>
      </c>
      <c r="M1588" s="65"/>
      <c r="N1588" s="65"/>
    </row>
    <row r="1589" spans="1:14" x14ac:dyDescent="0.3">
      <c r="A1589" s="8" t="s">
        <v>1412</v>
      </c>
      <c r="B1589" s="62" t="s">
        <v>924</v>
      </c>
      <c r="C1589" s="68" t="s">
        <v>1374</v>
      </c>
      <c r="D1589" s="68" t="s">
        <v>1374</v>
      </c>
      <c r="E1589" s="8" t="s">
        <v>390</v>
      </c>
      <c r="F1589" s="8"/>
      <c r="G1589" s="13" t="s">
        <v>862</v>
      </c>
      <c r="H1589" s="14">
        <f t="shared" si="724"/>
        <v>4974.1000000000004</v>
      </c>
      <c r="I1589" s="14">
        <f t="shared" si="724"/>
        <v>4974.1000000000004</v>
      </c>
      <c r="J1589" s="14">
        <f t="shared" si="724"/>
        <v>4972.3221800000001</v>
      </c>
      <c r="K1589" s="78">
        <f t="shared" si="705"/>
        <v>99.964258458816673</v>
      </c>
      <c r="L1589" s="14">
        <f t="shared" si="724"/>
        <v>0</v>
      </c>
      <c r="M1589" s="50"/>
      <c r="N1589" s="50"/>
    </row>
    <row r="1590" spans="1:14" ht="46.8" x14ac:dyDescent="0.3">
      <c r="A1590" s="8" t="s">
        <v>1412</v>
      </c>
      <c r="B1590" s="62" t="s">
        <v>924</v>
      </c>
      <c r="C1590" s="68" t="s">
        <v>1374</v>
      </c>
      <c r="D1590" s="68" t="s">
        <v>1374</v>
      </c>
      <c r="E1590" s="8" t="s">
        <v>59</v>
      </c>
      <c r="F1590" s="8"/>
      <c r="G1590" s="23" t="s">
        <v>1295</v>
      </c>
      <c r="H1590" s="14">
        <f t="shared" ref="H1590:L1593" si="725">H1591</f>
        <v>4974.1000000000004</v>
      </c>
      <c r="I1590" s="14">
        <f t="shared" si="725"/>
        <v>4974.1000000000004</v>
      </c>
      <c r="J1590" s="14">
        <f t="shared" si="725"/>
        <v>4972.3221800000001</v>
      </c>
      <c r="K1590" s="78">
        <f t="shared" si="705"/>
        <v>99.964258458816673</v>
      </c>
      <c r="L1590" s="14">
        <f t="shared" si="725"/>
        <v>0</v>
      </c>
      <c r="M1590" s="50"/>
      <c r="N1590" s="50"/>
    </row>
    <row r="1591" spans="1:14" ht="31.2" x14ac:dyDescent="0.3">
      <c r="A1591" s="8" t="s">
        <v>1412</v>
      </c>
      <c r="B1591" s="62" t="s">
        <v>924</v>
      </c>
      <c r="C1591" s="68" t="s">
        <v>1374</v>
      </c>
      <c r="D1591" s="68" t="s">
        <v>1374</v>
      </c>
      <c r="E1591" s="8" t="s">
        <v>60</v>
      </c>
      <c r="F1591" s="8"/>
      <c r="G1591" s="23" t="s">
        <v>1296</v>
      </c>
      <c r="H1591" s="14">
        <f t="shared" si="725"/>
        <v>4974.1000000000004</v>
      </c>
      <c r="I1591" s="14">
        <f t="shared" si="725"/>
        <v>4974.1000000000004</v>
      </c>
      <c r="J1591" s="14">
        <f t="shared" si="725"/>
        <v>4972.3221800000001</v>
      </c>
      <c r="K1591" s="78">
        <f t="shared" si="705"/>
        <v>99.964258458816673</v>
      </c>
      <c r="L1591" s="14">
        <f t="shared" si="725"/>
        <v>0</v>
      </c>
      <c r="M1591" s="50"/>
      <c r="N1591" s="50"/>
    </row>
    <row r="1592" spans="1:14" ht="62.4" x14ac:dyDescent="0.3">
      <c r="A1592" s="8" t="s">
        <v>1412</v>
      </c>
      <c r="B1592" s="62" t="s">
        <v>924</v>
      </c>
      <c r="C1592" s="68" t="s">
        <v>1374</v>
      </c>
      <c r="D1592" s="68" t="s">
        <v>1374</v>
      </c>
      <c r="E1592" s="8" t="s">
        <v>62</v>
      </c>
      <c r="F1592" s="8"/>
      <c r="G1592" s="18" t="s">
        <v>298</v>
      </c>
      <c r="H1592" s="14">
        <f t="shared" si="725"/>
        <v>4974.1000000000004</v>
      </c>
      <c r="I1592" s="14">
        <f t="shared" si="725"/>
        <v>4974.1000000000004</v>
      </c>
      <c r="J1592" s="14">
        <f t="shared" si="725"/>
        <v>4972.3221800000001</v>
      </c>
      <c r="K1592" s="78">
        <f t="shared" si="705"/>
        <v>99.964258458816673</v>
      </c>
      <c r="L1592" s="14">
        <f t="shared" si="725"/>
        <v>0</v>
      </c>
      <c r="M1592" s="50"/>
      <c r="N1592" s="50"/>
    </row>
    <row r="1593" spans="1:14" ht="31.2" x14ac:dyDescent="0.3">
      <c r="A1593" s="8" t="s">
        <v>1412</v>
      </c>
      <c r="B1593" s="62" t="s">
        <v>924</v>
      </c>
      <c r="C1593" s="68" t="s">
        <v>1374</v>
      </c>
      <c r="D1593" s="68" t="s">
        <v>1374</v>
      </c>
      <c r="E1593" s="8" t="s">
        <v>62</v>
      </c>
      <c r="F1593" s="45" t="s">
        <v>402</v>
      </c>
      <c r="G1593" s="23" t="s">
        <v>819</v>
      </c>
      <c r="H1593" s="14">
        <f t="shared" si="725"/>
        <v>4974.1000000000004</v>
      </c>
      <c r="I1593" s="14">
        <f t="shared" si="725"/>
        <v>4974.1000000000004</v>
      </c>
      <c r="J1593" s="14">
        <f t="shared" si="725"/>
        <v>4972.3221800000001</v>
      </c>
      <c r="K1593" s="78">
        <f t="shared" si="705"/>
        <v>99.964258458816673</v>
      </c>
      <c r="L1593" s="14">
        <f t="shared" si="725"/>
        <v>0</v>
      </c>
      <c r="M1593" s="50"/>
      <c r="N1593" s="50"/>
    </row>
    <row r="1594" spans="1:14" ht="46.8" x14ac:dyDescent="0.3">
      <c r="A1594" s="8" t="s">
        <v>1412</v>
      </c>
      <c r="B1594" s="62" t="s">
        <v>924</v>
      </c>
      <c r="C1594" s="68" t="s">
        <v>1374</v>
      </c>
      <c r="D1594" s="68" t="s">
        <v>1374</v>
      </c>
      <c r="E1594" s="8" t="s">
        <v>62</v>
      </c>
      <c r="F1594" s="45" t="s">
        <v>280</v>
      </c>
      <c r="G1594" s="23" t="s">
        <v>821</v>
      </c>
      <c r="H1594" s="14">
        <f>3509.9+1464.2</f>
        <v>4974.1000000000004</v>
      </c>
      <c r="I1594" s="14">
        <v>4974.1000000000004</v>
      </c>
      <c r="J1594" s="14">
        <v>4972.3221800000001</v>
      </c>
      <c r="K1594" s="78">
        <f t="shared" si="705"/>
        <v>99.964258458816673</v>
      </c>
      <c r="L1594" s="14"/>
      <c r="M1594" s="50"/>
      <c r="N1594" s="50"/>
    </row>
    <row r="1595" spans="1:14" s="3" customFormat="1" x14ac:dyDescent="0.3">
      <c r="A1595" s="10" t="s">
        <v>1412</v>
      </c>
      <c r="B1595" s="43" t="s">
        <v>1402</v>
      </c>
      <c r="C1595" s="43" t="s">
        <v>1402</v>
      </c>
      <c r="D1595" s="43" t="s">
        <v>915</v>
      </c>
      <c r="E1595" s="10"/>
      <c r="F1595" s="10"/>
      <c r="G1595" s="5" t="s">
        <v>1405</v>
      </c>
      <c r="H1595" s="15">
        <f t="shared" ref="H1595:L1595" si="726">H1596</f>
        <v>1429.2539999999999</v>
      </c>
      <c r="I1595" s="15">
        <f t="shared" si="726"/>
        <v>5491.3269500000006</v>
      </c>
      <c r="J1595" s="15">
        <f t="shared" si="726"/>
        <v>5195.6929799999998</v>
      </c>
      <c r="K1595" s="81">
        <f t="shared" si="705"/>
        <v>94.616347329309889</v>
      </c>
      <c r="L1595" s="15">
        <f t="shared" si="726"/>
        <v>0</v>
      </c>
      <c r="M1595" s="65"/>
      <c r="N1595" s="65"/>
    </row>
    <row r="1596" spans="1:14" s="9" customFormat="1" x14ac:dyDescent="0.3">
      <c r="A1596" s="11" t="s">
        <v>1412</v>
      </c>
      <c r="B1596" s="48" t="s">
        <v>926</v>
      </c>
      <c r="C1596" s="48" t="s">
        <v>1402</v>
      </c>
      <c r="D1596" s="48" t="s">
        <v>1372</v>
      </c>
      <c r="E1596" s="11"/>
      <c r="F1596" s="11"/>
      <c r="G1596" s="7" t="s">
        <v>1406</v>
      </c>
      <c r="H1596" s="16">
        <f>H1597+H1608</f>
        <v>1429.2539999999999</v>
      </c>
      <c r="I1596" s="16">
        <f>I1597+I1608</f>
        <v>5491.3269500000006</v>
      </c>
      <c r="J1596" s="16">
        <f t="shared" ref="J1596" si="727">J1597+J1608</f>
        <v>5195.6929799999998</v>
      </c>
      <c r="K1596" s="82">
        <f t="shared" si="705"/>
        <v>94.616347329309889</v>
      </c>
      <c r="L1596" s="16">
        <f>L1597+L1608</f>
        <v>0</v>
      </c>
      <c r="M1596" s="65"/>
      <c r="N1596" s="65"/>
    </row>
    <row r="1597" spans="1:14" x14ac:dyDescent="0.3">
      <c r="A1597" s="8" t="s">
        <v>1412</v>
      </c>
      <c r="B1597" s="62" t="s">
        <v>926</v>
      </c>
      <c r="C1597" s="68" t="s">
        <v>1402</v>
      </c>
      <c r="D1597" s="68" t="s">
        <v>1372</v>
      </c>
      <c r="E1597" s="8" t="s">
        <v>387</v>
      </c>
      <c r="F1597" s="8"/>
      <c r="G1597" s="18" t="s">
        <v>851</v>
      </c>
      <c r="H1597" s="14">
        <f>H1598+H1603</f>
        <v>1382.279</v>
      </c>
      <c r="I1597" s="14">
        <f>I1598+I1603</f>
        <v>1382.279</v>
      </c>
      <c r="J1597" s="14">
        <f t="shared" ref="J1597" si="728">J1598+J1603</f>
        <v>1375.7939999999999</v>
      </c>
      <c r="K1597" s="78">
        <f t="shared" si="705"/>
        <v>99.530847245744155</v>
      </c>
      <c r="L1597" s="14">
        <f>L1598+L1603</f>
        <v>0</v>
      </c>
      <c r="M1597" s="50"/>
      <c r="N1597" s="50"/>
    </row>
    <row r="1598" spans="1:14" ht="31.2" x14ac:dyDescent="0.3">
      <c r="A1598" s="8" t="s">
        <v>1412</v>
      </c>
      <c r="B1598" s="62" t="s">
        <v>926</v>
      </c>
      <c r="C1598" s="68" t="s">
        <v>1402</v>
      </c>
      <c r="D1598" s="68" t="s">
        <v>1372</v>
      </c>
      <c r="E1598" s="8" t="s">
        <v>410</v>
      </c>
      <c r="F1598" s="8"/>
      <c r="G1598" s="13" t="s">
        <v>852</v>
      </c>
      <c r="H1598" s="14">
        <f t="shared" ref="H1598:L1601" si="729">H1599</f>
        <v>1271.557</v>
      </c>
      <c r="I1598" s="14">
        <f t="shared" si="729"/>
        <v>1271.557</v>
      </c>
      <c r="J1598" s="14">
        <f t="shared" si="729"/>
        <v>1265.0719999999999</v>
      </c>
      <c r="K1598" s="78">
        <f t="shared" si="705"/>
        <v>99.489995336426119</v>
      </c>
      <c r="L1598" s="14">
        <f t="shared" si="729"/>
        <v>0</v>
      </c>
      <c r="M1598" s="50"/>
      <c r="N1598" s="50"/>
    </row>
    <row r="1599" spans="1:14" ht="31.2" x14ac:dyDescent="0.3">
      <c r="A1599" s="8" t="s">
        <v>1412</v>
      </c>
      <c r="B1599" s="62" t="s">
        <v>926</v>
      </c>
      <c r="C1599" s="68" t="s">
        <v>1402</v>
      </c>
      <c r="D1599" s="68" t="s">
        <v>1372</v>
      </c>
      <c r="E1599" s="8" t="s">
        <v>411</v>
      </c>
      <c r="F1599" s="8"/>
      <c r="G1599" s="13" t="s">
        <v>853</v>
      </c>
      <c r="H1599" s="14">
        <f t="shared" si="729"/>
        <v>1271.557</v>
      </c>
      <c r="I1599" s="14">
        <f t="shared" si="729"/>
        <v>1271.557</v>
      </c>
      <c r="J1599" s="14">
        <f t="shared" si="729"/>
        <v>1265.0719999999999</v>
      </c>
      <c r="K1599" s="78">
        <f t="shared" si="705"/>
        <v>99.489995336426119</v>
      </c>
      <c r="L1599" s="14">
        <f t="shared" si="729"/>
        <v>0</v>
      </c>
      <c r="M1599" s="50"/>
      <c r="N1599" s="50"/>
    </row>
    <row r="1600" spans="1:14" ht="31.2" x14ac:dyDescent="0.3">
      <c r="A1600" s="8" t="s">
        <v>1412</v>
      </c>
      <c r="B1600" s="62" t="s">
        <v>926</v>
      </c>
      <c r="C1600" s="68" t="s">
        <v>1402</v>
      </c>
      <c r="D1600" s="68" t="s">
        <v>1372</v>
      </c>
      <c r="E1600" s="8" t="s">
        <v>413</v>
      </c>
      <c r="F1600" s="8"/>
      <c r="G1600" s="13" t="s">
        <v>855</v>
      </c>
      <c r="H1600" s="14">
        <f t="shared" si="729"/>
        <v>1271.557</v>
      </c>
      <c r="I1600" s="14">
        <f t="shared" si="729"/>
        <v>1271.557</v>
      </c>
      <c r="J1600" s="14">
        <f t="shared" si="729"/>
        <v>1265.0719999999999</v>
      </c>
      <c r="K1600" s="78">
        <f t="shared" si="705"/>
        <v>99.489995336426119</v>
      </c>
      <c r="L1600" s="14">
        <f t="shared" si="729"/>
        <v>0</v>
      </c>
      <c r="M1600" s="50"/>
      <c r="N1600" s="50"/>
    </row>
    <row r="1601" spans="1:14" ht="31.2" x14ac:dyDescent="0.3">
      <c r="A1601" s="8" t="s">
        <v>1412</v>
      </c>
      <c r="B1601" s="62" t="s">
        <v>926</v>
      </c>
      <c r="C1601" s="68" t="s">
        <v>1402</v>
      </c>
      <c r="D1601" s="68" t="s">
        <v>1372</v>
      </c>
      <c r="E1601" s="8" t="s">
        <v>413</v>
      </c>
      <c r="F1601" s="45" t="s">
        <v>380</v>
      </c>
      <c r="G1601" s="23" t="s">
        <v>809</v>
      </c>
      <c r="H1601" s="14">
        <f t="shared" si="729"/>
        <v>1271.557</v>
      </c>
      <c r="I1601" s="14">
        <f t="shared" si="729"/>
        <v>1271.557</v>
      </c>
      <c r="J1601" s="14">
        <f t="shared" si="729"/>
        <v>1265.0719999999999</v>
      </c>
      <c r="K1601" s="78">
        <f t="shared" si="705"/>
        <v>99.489995336426119</v>
      </c>
      <c r="L1601" s="14">
        <f t="shared" si="729"/>
        <v>0</v>
      </c>
      <c r="M1601" s="50"/>
      <c r="N1601" s="50"/>
    </row>
    <row r="1602" spans="1:14" ht="31.2" x14ac:dyDescent="0.3">
      <c r="A1602" s="8" t="s">
        <v>1412</v>
      </c>
      <c r="B1602" s="62" t="s">
        <v>926</v>
      </c>
      <c r="C1602" s="68" t="s">
        <v>1402</v>
      </c>
      <c r="D1602" s="68" t="s">
        <v>1372</v>
      </c>
      <c r="E1602" s="8" t="s">
        <v>413</v>
      </c>
      <c r="F1602" s="8" t="s">
        <v>247</v>
      </c>
      <c r="G1602" s="23" t="s">
        <v>810</v>
      </c>
      <c r="H1602" s="14">
        <f>1281.6-0.5-9.543</f>
        <v>1271.557</v>
      </c>
      <c r="I1602" s="14">
        <v>1271.557</v>
      </c>
      <c r="J1602" s="14">
        <v>1265.0719999999999</v>
      </c>
      <c r="K1602" s="78">
        <f t="shared" si="705"/>
        <v>99.489995336426119</v>
      </c>
      <c r="L1602" s="14"/>
      <c r="M1602" s="50"/>
      <c r="N1602" s="50"/>
    </row>
    <row r="1603" spans="1:14" ht="31.2" x14ac:dyDescent="0.3">
      <c r="A1603" s="8" t="s">
        <v>1412</v>
      </c>
      <c r="B1603" s="62" t="s">
        <v>926</v>
      </c>
      <c r="C1603" s="68" t="s">
        <v>1402</v>
      </c>
      <c r="D1603" s="68" t="s">
        <v>1372</v>
      </c>
      <c r="E1603" s="8" t="s">
        <v>423</v>
      </c>
      <c r="F1603" s="8"/>
      <c r="G1603" s="13" t="s">
        <v>861</v>
      </c>
      <c r="H1603" s="14">
        <f t="shared" ref="H1603:L1606" si="730">H1604</f>
        <v>110.72200000000004</v>
      </c>
      <c r="I1603" s="14">
        <f t="shared" si="730"/>
        <v>110.72199999999999</v>
      </c>
      <c r="J1603" s="14">
        <f t="shared" si="730"/>
        <v>110.72199999999999</v>
      </c>
      <c r="K1603" s="78">
        <f t="shared" si="705"/>
        <v>100</v>
      </c>
      <c r="L1603" s="14">
        <f t="shared" si="730"/>
        <v>0</v>
      </c>
      <c r="M1603" s="50"/>
      <c r="N1603" s="50"/>
    </row>
    <row r="1604" spans="1:14" ht="46.8" x14ac:dyDescent="0.3">
      <c r="A1604" s="8" t="s">
        <v>1412</v>
      </c>
      <c r="B1604" s="62" t="s">
        <v>926</v>
      </c>
      <c r="C1604" s="68" t="s">
        <v>1402</v>
      </c>
      <c r="D1604" s="68" t="s">
        <v>1372</v>
      </c>
      <c r="E1604" s="8" t="s">
        <v>424</v>
      </c>
      <c r="F1604" s="8"/>
      <c r="G1604" s="18" t="s">
        <v>113</v>
      </c>
      <c r="H1604" s="14">
        <f t="shared" si="730"/>
        <v>110.72200000000004</v>
      </c>
      <c r="I1604" s="14">
        <f t="shared" si="730"/>
        <v>110.72199999999999</v>
      </c>
      <c r="J1604" s="14">
        <f t="shared" si="730"/>
        <v>110.72199999999999</v>
      </c>
      <c r="K1604" s="78">
        <f t="shared" si="705"/>
        <v>100</v>
      </c>
      <c r="L1604" s="14">
        <f t="shared" si="730"/>
        <v>0</v>
      </c>
      <c r="M1604" s="50"/>
      <c r="N1604" s="50"/>
    </row>
    <row r="1605" spans="1:14" ht="46.8" x14ac:dyDescent="0.3">
      <c r="A1605" s="8" t="s">
        <v>1412</v>
      </c>
      <c r="B1605" s="62" t="s">
        <v>926</v>
      </c>
      <c r="C1605" s="68" t="s">
        <v>1402</v>
      </c>
      <c r="D1605" s="68" t="s">
        <v>1372</v>
      </c>
      <c r="E1605" s="8" t="s">
        <v>445</v>
      </c>
      <c r="F1605" s="8"/>
      <c r="G1605" s="13" t="s">
        <v>1341</v>
      </c>
      <c r="H1605" s="14">
        <f t="shared" si="730"/>
        <v>110.72200000000004</v>
      </c>
      <c r="I1605" s="14">
        <f t="shared" si="730"/>
        <v>110.72199999999999</v>
      </c>
      <c r="J1605" s="14">
        <f t="shared" si="730"/>
        <v>110.72199999999999</v>
      </c>
      <c r="K1605" s="78">
        <f t="shared" si="705"/>
        <v>100</v>
      </c>
      <c r="L1605" s="14">
        <f t="shared" si="730"/>
        <v>0</v>
      </c>
      <c r="M1605" s="50"/>
      <c r="N1605" s="50"/>
    </row>
    <row r="1606" spans="1:14" ht="31.2" x14ac:dyDescent="0.3">
      <c r="A1606" s="8" t="s">
        <v>1412</v>
      </c>
      <c r="B1606" s="62" t="s">
        <v>926</v>
      </c>
      <c r="C1606" s="68" t="s">
        <v>1402</v>
      </c>
      <c r="D1606" s="68" t="s">
        <v>1372</v>
      </c>
      <c r="E1606" s="8" t="s">
        <v>445</v>
      </c>
      <c r="F1606" s="45" t="s">
        <v>380</v>
      </c>
      <c r="G1606" s="23" t="s">
        <v>809</v>
      </c>
      <c r="H1606" s="14">
        <f t="shared" si="730"/>
        <v>110.72200000000004</v>
      </c>
      <c r="I1606" s="14">
        <f t="shared" si="730"/>
        <v>110.72199999999999</v>
      </c>
      <c r="J1606" s="14">
        <f t="shared" si="730"/>
        <v>110.72199999999999</v>
      </c>
      <c r="K1606" s="78">
        <f t="shared" si="705"/>
        <v>100</v>
      </c>
      <c r="L1606" s="14">
        <f t="shared" si="730"/>
        <v>0</v>
      </c>
      <c r="M1606" s="50"/>
      <c r="N1606" s="50"/>
    </row>
    <row r="1607" spans="1:14" ht="31.2" x14ac:dyDescent="0.3">
      <c r="A1607" s="8" t="s">
        <v>1412</v>
      </c>
      <c r="B1607" s="62" t="s">
        <v>926</v>
      </c>
      <c r="C1607" s="68" t="s">
        <v>1402</v>
      </c>
      <c r="D1607" s="68" t="s">
        <v>1372</v>
      </c>
      <c r="E1607" s="8" t="s">
        <v>445</v>
      </c>
      <c r="F1607" s="8" t="s">
        <v>247</v>
      </c>
      <c r="G1607" s="23" t="s">
        <v>810</v>
      </c>
      <c r="H1607" s="14">
        <f>396.422-285.7</f>
        <v>110.72200000000004</v>
      </c>
      <c r="I1607" s="14">
        <v>110.72199999999999</v>
      </c>
      <c r="J1607" s="14">
        <v>110.72199999999999</v>
      </c>
      <c r="K1607" s="78">
        <f t="shared" si="705"/>
        <v>100</v>
      </c>
      <c r="L1607" s="14"/>
      <c r="M1607" s="50"/>
      <c r="N1607" s="50"/>
    </row>
    <row r="1608" spans="1:14" ht="31.2" x14ac:dyDescent="0.3">
      <c r="A1608" s="8" t="s">
        <v>1412</v>
      </c>
      <c r="B1608" s="62" t="s">
        <v>926</v>
      </c>
      <c r="C1608" s="68" t="s">
        <v>1402</v>
      </c>
      <c r="D1608" s="68" t="s">
        <v>1372</v>
      </c>
      <c r="E1608" s="8" t="s">
        <v>429</v>
      </c>
      <c r="F1608" s="8"/>
      <c r="G1608" s="23" t="s">
        <v>1140</v>
      </c>
      <c r="H1608" s="14">
        <f t="shared" ref="H1608:L1610" si="731">H1609</f>
        <v>46.975000000000001</v>
      </c>
      <c r="I1608" s="14">
        <f t="shared" si="731"/>
        <v>4109.0479500000001</v>
      </c>
      <c r="J1608" s="14">
        <f t="shared" si="731"/>
        <v>3819.8989799999999</v>
      </c>
      <c r="K1608" s="78">
        <f t="shared" ref="K1608:K1671" si="732">J1608/I1608*100</f>
        <v>92.963115215046344</v>
      </c>
      <c r="L1608" s="14">
        <f t="shared" si="731"/>
        <v>0</v>
      </c>
      <c r="M1608" s="50"/>
      <c r="N1608" s="50"/>
    </row>
    <row r="1609" spans="1:14" ht="46.8" x14ac:dyDescent="0.3">
      <c r="A1609" s="8" t="s">
        <v>1412</v>
      </c>
      <c r="B1609" s="62" t="s">
        <v>926</v>
      </c>
      <c r="C1609" s="68" t="s">
        <v>1402</v>
      </c>
      <c r="D1609" s="68" t="s">
        <v>1372</v>
      </c>
      <c r="E1609" s="8" t="s">
        <v>535</v>
      </c>
      <c r="F1609" s="8"/>
      <c r="G1609" s="31" t="s">
        <v>176</v>
      </c>
      <c r="H1609" s="14">
        <f>H1610+H1612</f>
        <v>46.975000000000001</v>
      </c>
      <c r="I1609" s="14">
        <f t="shared" ref="I1609:L1609" si="733">I1610+I1612</f>
        <v>4109.0479500000001</v>
      </c>
      <c r="J1609" s="14">
        <f t="shared" si="733"/>
        <v>3819.8989799999999</v>
      </c>
      <c r="K1609" s="78">
        <f t="shared" si="732"/>
        <v>92.963115215046344</v>
      </c>
      <c r="L1609" s="14">
        <f t="shared" si="733"/>
        <v>0</v>
      </c>
      <c r="M1609" s="50"/>
      <c r="N1609" s="50"/>
    </row>
    <row r="1610" spans="1:14" ht="31.2" x14ac:dyDescent="0.3">
      <c r="A1610" s="8" t="s">
        <v>1412</v>
      </c>
      <c r="B1610" s="62" t="s">
        <v>926</v>
      </c>
      <c r="C1610" s="68" t="s">
        <v>1402</v>
      </c>
      <c r="D1610" s="68" t="s">
        <v>1372</v>
      </c>
      <c r="E1610" s="8" t="s">
        <v>535</v>
      </c>
      <c r="F1610" s="45" t="s">
        <v>380</v>
      </c>
      <c r="G1610" s="23" t="s">
        <v>809</v>
      </c>
      <c r="H1610" s="14">
        <f t="shared" si="731"/>
        <v>46.975000000000001</v>
      </c>
      <c r="I1610" s="14">
        <f t="shared" si="731"/>
        <v>3287.8239699999999</v>
      </c>
      <c r="J1610" s="14">
        <f t="shared" si="731"/>
        <v>2998.6750000000002</v>
      </c>
      <c r="K1610" s="78">
        <f t="shared" si="732"/>
        <v>91.205460735174341</v>
      </c>
      <c r="L1610" s="14">
        <f t="shared" si="731"/>
        <v>0</v>
      </c>
      <c r="M1610" s="50"/>
      <c r="N1610" s="50"/>
    </row>
    <row r="1611" spans="1:14" ht="31.2" x14ac:dyDescent="0.3">
      <c r="A1611" s="8" t="s">
        <v>1412</v>
      </c>
      <c r="B1611" s="62" t="s">
        <v>926</v>
      </c>
      <c r="C1611" s="68" t="s">
        <v>1402</v>
      </c>
      <c r="D1611" s="68" t="s">
        <v>1372</v>
      </c>
      <c r="E1611" s="8" t="s">
        <v>535</v>
      </c>
      <c r="F1611" s="8" t="s">
        <v>247</v>
      </c>
      <c r="G1611" s="23" t="s">
        <v>810</v>
      </c>
      <c r="H1611" s="14">
        <v>46.975000000000001</v>
      </c>
      <c r="I1611" s="14">
        <v>3287.8239699999999</v>
      </c>
      <c r="J1611" s="14">
        <v>2998.6750000000002</v>
      </c>
      <c r="K1611" s="78">
        <f t="shared" si="732"/>
        <v>91.205460735174341</v>
      </c>
      <c r="L1611" s="14"/>
      <c r="M1611" s="50"/>
      <c r="N1611" s="50"/>
    </row>
    <row r="1612" spans="1:14" ht="31.2" x14ac:dyDescent="0.3">
      <c r="A1612" s="8" t="s">
        <v>1412</v>
      </c>
      <c r="B1612" s="62" t="s">
        <v>926</v>
      </c>
      <c r="C1612" s="68" t="s">
        <v>1402</v>
      </c>
      <c r="D1612" s="68" t="s">
        <v>1372</v>
      </c>
      <c r="E1612" s="8" t="s">
        <v>535</v>
      </c>
      <c r="F1612" s="8" t="s">
        <v>402</v>
      </c>
      <c r="G1612" s="23" t="s">
        <v>819</v>
      </c>
      <c r="H1612" s="14">
        <f>H1613</f>
        <v>0</v>
      </c>
      <c r="I1612" s="14">
        <f t="shared" ref="I1612:L1612" si="734">I1613</f>
        <v>821.22397999999998</v>
      </c>
      <c r="J1612" s="14">
        <f t="shared" si="734"/>
        <v>821.22397999999998</v>
      </c>
      <c r="K1612" s="78">
        <f t="shared" si="732"/>
        <v>100</v>
      </c>
      <c r="L1612" s="14">
        <f t="shared" si="734"/>
        <v>0</v>
      </c>
      <c r="M1612" s="50"/>
      <c r="N1612" s="50"/>
    </row>
    <row r="1613" spans="1:14" ht="46.8" x14ac:dyDescent="0.3">
      <c r="A1613" s="8" t="s">
        <v>1412</v>
      </c>
      <c r="B1613" s="62" t="s">
        <v>926</v>
      </c>
      <c r="C1613" s="68" t="s">
        <v>1402</v>
      </c>
      <c r="D1613" s="68" t="s">
        <v>1372</v>
      </c>
      <c r="E1613" s="8" t="s">
        <v>535</v>
      </c>
      <c r="F1613" s="8" t="s">
        <v>280</v>
      </c>
      <c r="G1613" s="23" t="s">
        <v>821</v>
      </c>
      <c r="H1613" s="19">
        <v>0</v>
      </c>
      <c r="I1613" s="14">
        <v>821.22397999999998</v>
      </c>
      <c r="J1613" s="20">
        <v>821.22397999999998</v>
      </c>
      <c r="K1613" s="77">
        <f t="shared" si="732"/>
        <v>100</v>
      </c>
      <c r="L1613" s="14"/>
      <c r="M1613" s="50"/>
      <c r="N1613" s="50"/>
    </row>
    <row r="1614" spans="1:14" s="3" customFormat="1" x14ac:dyDescent="0.3">
      <c r="A1614" s="10" t="s">
        <v>1412</v>
      </c>
      <c r="B1614" s="43" t="s">
        <v>1382</v>
      </c>
      <c r="C1614" s="43" t="s">
        <v>1382</v>
      </c>
      <c r="D1614" s="43" t="s">
        <v>915</v>
      </c>
      <c r="E1614" s="10"/>
      <c r="F1614" s="10"/>
      <c r="G1614" s="5" t="s">
        <v>1417</v>
      </c>
      <c r="H1614" s="15">
        <f t="shared" ref="H1614:L1619" si="735">H1615</f>
        <v>1791.7130000000002</v>
      </c>
      <c r="I1614" s="15">
        <f t="shared" si="735"/>
        <v>1791.713</v>
      </c>
      <c r="J1614" s="15">
        <f t="shared" si="735"/>
        <v>1791.7125000000001</v>
      </c>
      <c r="K1614" s="81">
        <f t="shared" si="732"/>
        <v>99.99997209374493</v>
      </c>
      <c r="L1614" s="15">
        <f t="shared" si="735"/>
        <v>0</v>
      </c>
      <c r="M1614" s="65"/>
      <c r="N1614" s="65"/>
    </row>
    <row r="1615" spans="1:14" s="9" customFormat="1" x14ac:dyDescent="0.3">
      <c r="A1615" s="11" t="s">
        <v>1412</v>
      </c>
      <c r="B1615" s="48" t="s">
        <v>914</v>
      </c>
      <c r="C1615" s="48" t="s">
        <v>1382</v>
      </c>
      <c r="D1615" s="48" t="s">
        <v>1478</v>
      </c>
      <c r="E1615" s="11"/>
      <c r="F1615" s="11"/>
      <c r="G1615" s="7" t="s">
        <v>1425</v>
      </c>
      <c r="H1615" s="16">
        <f t="shared" si="735"/>
        <v>1791.7130000000002</v>
      </c>
      <c r="I1615" s="16">
        <f>I1616+I1621</f>
        <v>1791.713</v>
      </c>
      <c r="J1615" s="16">
        <f t="shared" ref="J1615:L1615" si="736">J1616+J1621</f>
        <v>1791.7125000000001</v>
      </c>
      <c r="K1615" s="82">
        <f t="shared" si="732"/>
        <v>99.99997209374493</v>
      </c>
      <c r="L1615" s="16">
        <f t="shared" si="736"/>
        <v>0</v>
      </c>
      <c r="M1615" s="65"/>
      <c r="N1615" s="65"/>
    </row>
    <row r="1616" spans="1:14" ht="31.2" x14ac:dyDescent="0.3">
      <c r="A1616" s="8" t="s">
        <v>1412</v>
      </c>
      <c r="B1616" s="62" t="s">
        <v>914</v>
      </c>
      <c r="C1616" s="68" t="s">
        <v>1382</v>
      </c>
      <c r="D1616" s="68" t="s">
        <v>1478</v>
      </c>
      <c r="E1616" s="8" t="s">
        <v>446</v>
      </c>
      <c r="F1616" s="8"/>
      <c r="G1616" s="23" t="s">
        <v>864</v>
      </c>
      <c r="H1616" s="14">
        <f t="shared" si="735"/>
        <v>1791.7130000000002</v>
      </c>
      <c r="I1616" s="14">
        <f t="shared" si="735"/>
        <v>1791.713</v>
      </c>
      <c r="J1616" s="14">
        <f t="shared" si="735"/>
        <v>1791.7125000000001</v>
      </c>
      <c r="K1616" s="78">
        <f t="shared" si="732"/>
        <v>99.99997209374493</v>
      </c>
      <c r="L1616" s="14">
        <f t="shared" si="735"/>
        <v>0</v>
      </c>
      <c r="M1616" s="50"/>
      <c r="N1616" s="50"/>
    </row>
    <row r="1617" spans="1:14" ht="31.2" x14ac:dyDescent="0.3">
      <c r="A1617" s="8" t="s">
        <v>1412</v>
      </c>
      <c r="B1617" s="62" t="s">
        <v>914</v>
      </c>
      <c r="C1617" s="68" t="s">
        <v>1382</v>
      </c>
      <c r="D1617" s="68" t="s">
        <v>1478</v>
      </c>
      <c r="E1617" s="8" t="s">
        <v>666</v>
      </c>
      <c r="F1617" s="8"/>
      <c r="G1617" s="13" t="s">
        <v>1167</v>
      </c>
      <c r="H1617" s="14">
        <f t="shared" si="735"/>
        <v>1791.7130000000002</v>
      </c>
      <c r="I1617" s="14">
        <f t="shared" si="735"/>
        <v>1791.713</v>
      </c>
      <c r="J1617" s="14">
        <f t="shared" si="735"/>
        <v>1791.7125000000001</v>
      </c>
      <c r="K1617" s="78">
        <f t="shared" si="732"/>
        <v>99.99997209374493</v>
      </c>
      <c r="L1617" s="14">
        <f t="shared" si="735"/>
        <v>0</v>
      </c>
      <c r="M1617" s="50"/>
      <c r="N1617" s="50"/>
    </row>
    <row r="1618" spans="1:14" ht="62.4" x14ac:dyDescent="0.3">
      <c r="A1618" s="8" t="s">
        <v>1412</v>
      </c>
      <c r="B1618" s="62" t="s">
        <v>914</v>
      </c>
      <c r="C1618" s="68" t="s">
        <v>1382</v>
      </c>
      <c r="D1618" s="68" t="s">
        <v>1478</v>
      </c>
      <c r="E1618" s="8" t="s">
        <v>674</v>
      </c>
      <c r="F1618" s="8"/>
      <c r="G1618" s="18" t="s">
        <v>1184</v>
      </c>
      <c r="H1618" s="14">
        <f t="shared" si="735"/>
        <v>1791.7130000000002</v>
      </c>
      <c r="I1618" s="14">
        <f t="shared" si="735"/>
        <v>1791.713</v>
      </c>
      <c r="J1618" s="14">
        <f t="shared" si="735"/>
        <v>1791.7125000000001</v>
      </c>
      <c r="K1618" s="78">
        <f t="shared" si="732"/>
        <v>99.99997209374493</v>
      </c>
      <c r="L1618" s="14">
        <f t="shared" si="735"/>
        <v>0</v>
      </c>
      <c r="M1618" s="50"/>
      <c r="N1618" s="50"/>
    </row>
    <row r="1619" spans="1:14" ht="31.2" x14ac:dyDescent="0.3">
      <c r="A1619" s="8" t="s">
        <v>1412</v>
      </c>
      <c r="B1619" s="62" t="s">
        <v>914</v>
      </c>
      <c r="C1619" s="68" t="s">
        <v>1382</v>
      </c>
      <c r="D1619" s="68" t="s">
        <v>1478</v>
      </c>
      <c r="E1619" s="8" t="s">
        <v>674</v>
      </c>
      <c r="F1619" s="45" t="s">
        <v>380</v>
      </c>
      <c r="G1619" s="23" t="s">
        <v>809</v>
      </c>
      <c r="H1619" s="14">
        <f t="shared" si="735"/>
        <v>1791.7130000000002</v>
      </c>
      <c r="I1619" s="14">
        <f t="shared" si="735"/>
        <v>1791.713</v>
      </c>
      <c r="J1619" s="14">
        <f t="shared" si="735"/>
        <v>1791.7125000000001</v>
      </c>
      <c r="K1619" s="78">
        <f t="shared" si="732"/>
        <v>99.99997209374493</v>
      </c>
      <c r="L1619" s="14">
        <f t="shared" si="735"/>
        <v>0</v>
      </c>
      <c r="M1619" s="50"/>
      <c r="N1619" s="50"/>
    </row>
    <row r="1620" spans="1:14" ht="31.2" x14ac:dyDescent="0.3">
      <c r="A1620" s="8" t="s">
        <v>1412</v>
      </c>
      <c r="B1620" s="62" t="s">
        <v>914</v>
      </c>
      <c r="C1620" s="68" t="s">
        <v>1382</v>
      </c>
      <c r="D1620" s="68" t="s">
        <v>1478</v>
      </c>
      <c r="E1620" s="8" t="s">
        <v>674</v>
      </c>
      <c r="F1620" s="8" t="s">
        <v>247</v>
      </c>
      <c r="G1620" s="23" t="s">
        <v>810</v>
      </c>
      <c r="H1620" s="14">
        <f>1877.5-85.1-0.687</f>
        <v>1791.7130000000002</v>
      </c>
      <c r="I1620" s="14">
        <v>1791.713</v>
      </c>
      <c r="J1620" s="14">
        <v>1791.7125000000001</v>
      </c>
      <c r="K1620" s="78">
        <f t="shared" si="732"/>
        <v>99.99997209374493</v>
      </c>
      <c r="L1620" s="14"/>
      <c r="M1620" s="50"/>
      <c r="N1620" s="50"/>
    </row>
    <row r="1621" spans="1:14" ht="31.2" hidden="1" x14ac:dyDescent="0.3">
      <c r="A1621" s="8" t="s">
        <v>1412</v>
      </c>
      <c r="B1621" s="62" t="s">
        <v>914</v>
      </c>
      <c r="C1621" s="68" t="s">
        <v>1382</v>
      </c>
      <c r="D1621" s="68" t="s">
        <v>1478</v>
      </c>
      <c r="E1621" s="8" t="s">
        <v>429</v>
      </c>
      <c r="F1621" s="8"/>
      <c r="G1621" s="13" t="s">
        <v>1140</v>
      </c>
      <c r="H1621" s="20">
        <v>0</v>
      </c>
      <c r="I1621" s="14">
        <f>I1622</f>
        <v>0</v>
      </c>
      <c r="J1621" s="14">
        <f t="shared" ref="J1621:L1623" si="737">J1622</f>
        <v>0</v>
      </c>
      <c r="K1621" s="78" t="e">
        <f t="shared" si="732"/>
        <v>#DIV/0!</v>
      </c>
      <c r="L1621" s="14">
        <f t="shared" si="737"/>
        <v>0</v>
      </c>
      <c r="M1621" s="50">
        <v>111</v>
      </c>
      <c r="N1621" s="50"/>
    </row>
    <row r="1622" spans="1:14" ht="46.8" hidden="1" x14ac:dyDescent="0.3">
      <c r="A1622" s="8" t="s">
        <v>1412</v>
      </c>
      <c r="B1622" s="62" t="s">
        <v>914</v>
      </c>
      <c r="C1622" s="68" t="s">
        <v>1382</v>
      </c>
      <c r="D1622" s="68" t="s">
        <v>1478</v>
      </c>
      <c r="E1622" s="8" t="s">
        <v>535</v>
      </c>
      <c r="F1622" s="8"/>
      <c r="G1622" s="13" t="s">
        <v>176</v>
      </c>
      <c r="H1622" s="20">
        <v>0</v>
      </c>
      <c r="I1622" s="14">
        <f>I1623</f>
        <v>0</v>
      </c>
      <c r="J1622" s="14">
        <f t="shared" si="737"/>
        <v>0</v>
      </c>
      <c r="K1622" s="78" t="e">
        <f t="shared" si="732"/>
        <v>#DIV/0!</v>
      </c>
      <c r="L1622" s="14">
        <f t="shared" si="737"/>
        <v>0</v>
      </c>
      <c r="M1622" s="50">
        <v>111</v>
      </c>
      <c r="N1622" s="50"/>
    </row>
    <row r="1623" spans="1:14" ht="31.2" hidden="1" x14ac:dyDescent="0.3">
      <c r="A1623" s="8" t="s">
        <v>1412</v>
      </c>
      <c r="B1623" s="62" t="s">
        <v>914</v>
      </c>
      <c r="C1623" s="68" t="s">
        <v>1382</v>
      </c>
      <c r="D1623" s="68" t="s">
        <v>1478</v>
      </c>
      <c r="E1623" s="8" t="s">
        <v>535</v>
      </c>
      <c r="F1623" s="45" t="s">
        <v>380</v>
      </c>
      <c r="G1623" s="23" t="s">
        <v>809</v>
      </c>
      <c r="H1623" s="20">
        <v>0</v>
      </c>
      <c r="I1623" s="14">
        <f>I1624</f>
        <v>0</v>
      </c>
      <c r="J1623" s="14">
        <f t="shared" si="737"/>
        <v>0</v>
      </c>
      <c r="K1623" s="78" t="e">
        <f t="shared" si="732"/>
        <v>#DIV/0!</v>
      </c>
      <c r="L1623" s="14">
        <f t="shared" si="737"/>
        <v>0</v>
      </c>
      <c r="M1623" s="50">
        <v>111</v>
      </c>
      <c r="N1623" s="50"/>
    </row>
    <row r="1624" spans="1:14" ht="31.2" hidden="1" x14ac:dyDescent="0.3">
      <c r="A1624" s="8" t="s">
        <v>1412</v>
      </c>
      <c r="B1624" s="62" t="s">
        <v>914</v>
      </c>
      <c r="C1624" s="68" t="s">
        <v>1382</v>
      </c>
      <c r="D1624" s="68" t="s">
        <v>1478</v>
      </c>
      <c r="E1624" s="8" t="s">
        <v>535</v>
      </c>
      <c r="F1624" s="8" t="s">
        <v>247</v>
      </c>
      <c r="G1624" s="23" t="s">
        <v>810</v>
      </c>
      <c r="H1624" s="20">
        <v>0</v>
      </c>
      <c r="I1624" s="14">
        <v>0</v>
      </c>
      <c r="J1624" s="14">
        <v>0</v>
      </c>
      <c r="K1624" s="78" t="e">
        <f t="shared" si="732"/>
        <v>#DIV/0!</v>
      </c>
      <c r="L1624" s="14"/>
      <c r="M1624" s="50">
        <v>111</v>
      </c>
      <c r="N1624" s="50"/>
    </row>
    <row r="1625" spans="1:14" s="3" customFormat="1" ht="31.2" x14ac:dyDescent="0.3">
      <c r="A1625" s="10" t="s">
        <v>1414</v>
      </c>
      <c r="B1625" s="43" t="s">
        <v>915</v>
      </c>
      <c r="C1625" s="43" t="s">
        <v>915</v>
      </c>
      <c r="D1625" s="43" t="s">
        <v>915</v>
      </c>
      <c r="E1625" s="10"/>
      <c r="F1625" s="10"/>
      <c r="G1625" s="5" t="s">
        <v>1413</v>
      </c>
      <c r="H1625" s="15">
        <f t="shared" ref="H1625:L1625" si="738">H1626+H1718+H1788+H1862+H1685+H1874+H1882+H1896</f>
        <v>466120.50600000005</v>
      </c>
      <c r="I1625" s="15">
        <f t="shared" si="738"/>
        <v>586452.89674999996</v>
      </c>
      <c r="J1625" s="15">
        <f t="shared" si="738"/>
        <v>579528.93272000004</v>
      </c>
      <c r="K1625" s="81">
        <f t="shared" si="732"/>
        <v>98.819348652147326</v>
      </c>
      <c r="L1625" s="15">
        <f t="shared" si="738"/>
        <v>0</v>
      </c>
      <c r="M1625" s="65"/>
      <c r="N1625" s="65"/>
    </row>
    <row r="1626" spans="1:14" s="3" customFormat="1" x14ac:dyDescent="0.3">
      <c r="A1626" s="10" t="s">
        <v>1414</v>
      </c>
      <c r="B1626" s="43" t="s">
        <v>1372</v>
      </c>
      <c r="C1626" s="43" t="s">
        <v>1372</v>
      </c>
      <c r="D1626" s="43" t="s">
        <v>915</v>
      </c>
      <c r="E1626" s="10"/>
      <c r="F1626" s="10"/>
      <c r="G1626" s="5" t="s">
        <v>1376</v>
      </c>
      <c r="H1626" s="15">
        <f>H1627+H1649</f>
        <v>61363.902999999998</v>
      </c>
      <c r="I1626" s="15">
        <f>I1627+I1649</f>
        <v>61357.103000000003</v>
      </c>
      <c r="J1626" s="15">
        <f t="shared" ref="J1626" si="739">J1627+J1649</f>
        <v>57719.813049999997</v>
      </c>
      <c r="K1626" s="81">
        <f t="shared" si="732"/>
        <v>94.071933366867071</v>
      </c>
      <c r="L1626" s="15">
        <f>L1627+L1649</f>
        <v>0</v>
      </c>
      <c r="M1626" s="65"/>
      <c r="N1626" s="65"/>
    </row>
    <row r="1627" spans="1:14" s="9" customFormat="1" ht="62.4" x14ac:dyDescent="0.3">
      <c r="A1627" s="11" t="s">
        <v>1414</v>
      </c>
      <c r="B1627" s="48" t="s">
        <v>934</v>
      </c>
      <c r="C1627" s="48" t="s">
        <v>1372</v>
      </c>
      <c r="D1627" s="48" t="s">
        <v>1386</v>
      </c>
      <c r="E1627" s="11"/>
      <c r="F1627" s="11"/>
      <c r="G1627" s="7" t="s">
        <v>1418</v>
      </c>
      <c r="H1627" s="16">
        <f>H1636+H1628</f>
        <v>47281.599999999999</v>
      </c>
      <c r="I1627" s="16">
        <f>I1636+I1628</f>
        <v>47264.800000000003</v>
      </c>
      <c r="J1627" s="16">
        <f t="shared" ref="J1627" si="740">J1636+J1628</f>
        <v>47152.391069999998</v>
      </c>
      <c r="K1627" s="82">
        <f t="shared" si="732"/>
        <v>99.762171996919463</v>
      </c>
      <c r="L1627" s="16">
        <f>L1636+L1628</f>
        <v>0</v>
      </c>
      <c r="M1627" s="65"/>
      <c r="N1627" s="65"/>
    </row>
    <row r="1628" spans="1:14" ht="31.2" x14ac:dyDescent="0.3">
      <c r="A1628" s="8" t="s">
        <v>1414</v>
      </c>
      <c r="B1628" s="62" t="s">
        <v>934</v>
      </c>
      <c r="C1628" s="68" t="s">
        <v>1372</v>
      </c>
      <c r="D1628" s="68" t="s">
        <v>1386</v>
      </c>
      <c r="E1628" s="8" t="s">
        <v>396</v>
      </c>
      <c r="F1628" s="8"/>
      <c r="G1628" s="13" t="s">
        <v>876</v>
      </c>
      <c r="H1628" s="14">
        <f t="shared" ref="H1628:L1630" si="741">H1629</f>
        <v>5024.3999999999996</v>
      </c>
      <c r="I1628" s="14">
        <f t="shared" si="741"/>
        <v>5024.3999999999996</v>
      </c>
      <c r="J1628" s="14">
        <f t="shared" si="741"/>
        <v>5011.9492</v>
      </c>
      <c r="K1628" s="78">
        <f t="shared" si="732"/>
        <v>99.752193296712051</v>
      </c>
      <c r="L1628" s="14">
        <f t="shared" si="741"/>
        <v>0</v>
      </c>
      <c r="M1628" s="50"/>
      <c r="N1628" s="50"/>
    </row>
    <row r="1629" spans="1:14" ht="31.2" x14ac:dyDescent="0.3">
      <c r="A1629" s="8" t="s">
        <v>1414</v>
      </c>
      <c r="B1629" s="62" t="s">
        <v>934</v>
      </c>
      <c r="C1629" s="68" t="s">
        <v>1372</v>
      </c>
      <c r="D1629" s="68" t="s">
        <v>1386</v>
      </c>
      <c r="E1629" s="8" t="s">
        <v>485</v>
      </c>
      <c r="F1629" s="8"/>
      <c r="G1629" s="13" t="s">
        <v>877</v>
      </c>
      <c r="H1629" s="14">
        <f t="shared" si="741"/>
        <v>5024.3999999999996</v>
      </c>
      <c r="I1629" s="14">
        <f t="shared" si="741"/>
        <v>5024.3999999999996</v>
      </c>
      <c r="J1629" s="14">
        <f t="shared" si="741"/>
        <v>5011.9492</v>
      </c>
      <c r="K1629" s="78">
        <f t="shared" si="732"/>
        <v>99.752193296712051</v>
      </c>
      <c r="L1629" s="14">
        <f t="shared" si="741"/>
        <v>0</v>
      </c>
      <c r="M1629" s="50"/>
      <c r="N1629" s="50"/>
    </row>
    <row r="1630" spans="1:14" ht="62.4" x14ac:dyDescent="0.3">
      <c r="A1630" s="8" t="s">
        <v>1414</v>
      </c>
      <c r="B1630" s="62" t="s">
        <v>934</v>
      </c>
      <c r="C1630" s="68" t="s">
        <v>1372</v>
      </c>
      <c r="D1630" s="68" t="s">
        <v>1386</v>
      </c>
      <c r="E1630" s="8" t="s">
        <v>518</v>
      </c>
      <c r="F1630" s="8"/>
      <c r="G1630" s="18" t="s">
        <v>878</v>
      </c>
      <c r="H1630" s="14">
        <f t="shared" si="741"/>
        <v>5024.3999999999996</v>
      </c>
      <c r="I1630" s="14">
        <f t="shared" si="741"/>
        <v>5024.3999999999996</v>
      </c>
      <c r="J1630" s="14">
        <f t="shared" si="741"/>
        <v>5011.9492</v>
      </c>
      <c r="K1630" s="78">
        <f t="shared" si="732"/>
        <v>99.752193296712051</v>
      </c>
      <c r="L1630" s="14">
        <f t="shared" si="741"/>
        <v>0</v>
      </c>
      <c r="M1630" s="50"/>
      <c r="N1630" s="50"/>
    </row>
    <row r="1631" spans="1:14" ht="31.2" x14ac:dyDescent="0.3">
      <c r="A1631" s="8" t="s">
        <v>1414</v>
      </c>
      <c r="B1631" s="62" t="s">
        <v>934</v>
      </c>
      <c r="C1631" s="68" t="s">
        <v>1372</v>
      </c>
      <c r="D1631" s="68" t="s">
        <v>1386</v>
      </c>
      <c r="E1631" s="8" t="s">
        <v>244</v>
      </c>
      <c r="F1631" s="8"/>
      <c r="G1631" s="18" t="s">
        <v>879</v>
      </c>
      <c r="H1631" s="14">
        <f>H1632</f>
        <v>5024.3999999999996</v>
      </c>
      <c r="I1631" s="14">
        <f>I1632+I1634</f>
        <v>5024.3999999999996</v>
      </c>
      <c r="J1631" s="14">
        <f t="shared" ref="J1631:L1631" si="742">J1632+J1634</f>
        <v>5011.9492</v>
      </c>
      <c r="K1631" s="78">
        <f t="shared" si="732"/>
        <v>99.752193296712051</v>
      </c>
      <c r="L1631" s="14">
        <f t="shared" si="742"/>
        <v>0</v>
      </c>
      <c r="M1631" s="50"/>
      <c r="N1631" s="50"/>
    </row>
    <row r="1632" spans="1:14" ht="78" x14ac:dyDescent="0.3">
      <c r="A1632" s="8" t="s">
        <v>1414</v>
      </c>
      <c r="B1632" s="62" t="s">
        <v>934</v>
      </c>
      <c r="C1632" s="68" t="s">
        <v>1372</v>
      </c>
      <c r="D1632" s="68" t="s">
        <v>1386</v>
      </c>
      <c r="E1632" s="8" t="s">
        <v>244</v>
      </c>
      <c r="F1632" s="45" t="s">
        <v>431</v>
      </c>
      <c r="G1632" s="23" t="s">
        <v>806</v>
      </c>
      <c r="H1632" s="14">
        <f t="shared" ref="H1632:L1632" si="743">H1633</f>
        <v>5024.3999999999996</v>
      </c>
      <c r="I1632" s="14">
        <f t="shared" si="743"/>
        <v>4841.7093699999996</v>
      </c>
      <c r="J1632" s="14">
        <f t="shared" si="743"/>
        <v>4835.4071000000004</v>
      </c>
      <c r="K1632" s="78">
        <f t="shared" si="732"/>
        <v>99.869833781452286</v>
      </c>
      <c r="L1632" s="14">
        <f t="shared" si="743"/>
        <v>0</v>
      </c>
      <c r="M1632" s="50"/>
      <c r="N1632" s="50"/>
    </row>
    <row r="1633" spans="1:14" ht="31.2" x14ac:dyDescent="0.3">
      <c r="A1633" s="8" t="s">
        <v>1414</v>
      </c>
      <c r="B1633" s="62" t="s">
        <v>934</v>
      </c>
      <c r="C1633" s="68" t="s">
        <v>1372</v>
      </c>
      <c r="D1633" s="68" t="s">
        <v>1386</v>
      </c>
      <c r="E1633" s="8" t="s">
        <v>244</v>
      </c>
      <c r="F1633" s="45" t="s">
        <v>233</v>
      </c>
      <c r="G1633" s="23" t="s">
        <v>808</v>
      </c>
      <c r="H1633" s="14">
        <v>5024.3999999999996</v>
      </c>
      <c r="I1633" s="14">
        <v>4841.7093699999996</v>
      </c>
      <c r="J1633" s="14">
        <v>4835.4071000000004</v>
      </c>
      <c r="K1633" s="78">
        <f t="shared" si="732"/>
        <v>99.869833781452286</v>
      </c>
      <c r="L1633" s="14"/>
      <c r="M1633" s="50"/>
      <c r="N1633" s="50"/>
    </row>
    <row r="1634" spans="1:14" ht="31.2" x14ac:dyDescent="0.3">
      <c r="A1634" s="8" t="s">
        <v>1414</v>
      </c>
      <c r="B1634" s="62" t="s">
        <v>934</v>
      </c>
      <c r="C1634" s="68" t="s">
        <v>1372</v>
      </c>
      <c r="D1634" s="68" t="s">
        <v>1386</v>
      </c>
      <c r="E1634" s="8" t="s">
        <v>244</v>
      </c>
      <c r="F1634" s="45" t="s">
        <v>380</v>
      </c>
      <c r="G1634" s="23" t="s">
        <v>809</v>
      </c>
      <c r="H1634" s="20">
        <v>0</v>
      </c>
      <c r="I1634" s="14">
        <f>I1635</f>
        <v>182.69063</v>
      </c>
      <c r="J1634" s="14">
        <f t="shared" ref="J1634:L1634" si="744">J1635</f>
        <v>176.5421</v>
      </c>
      <c r="K1634" s="78">
        <f t="shared" si="732"/>
        <v>96.634457935801095</v>
      </c>
      <c r="L1634" s="14">
        <f t="shared" si="744"/>
        <v>0</v>
      </c>
      <c r="M1634" s="50"/>
      <c r="N1634" s="50"/>
    </row>
    <row r="1635" spans="1:14" ht="31.2" x14ac:dyDescent="0.3">
      <c r="A1635" s="8" t="s">
        <v>1414</v>
      </c>
      <c r="B1635" s="62" t="s">
        <v>934</v>
      </c>
      <c r="C1635" s="68" t="s">
        <v>1372</v>
      </c>
      <c r="D1635" s="68" t="s">
        <v>1386</v>
      </c>
      <c r="E1635" s="8" t="s">
        <v>244</v>
      </c>
      <c r="F1635" s="8" t="s">
        <v>247</v>
      </c>
      <c r="G1635" s="23" t="s">
        <v>810</v>
      </c>
      <c r="H1635" s="20">
        <v>0</v>
      </c>
      <c r="I1635" s="14">
        <v>182.69063</v>
      </c>
      <c r="J1635" s="14">
        <v>176.5421</v>
      </c>
      <c r="K1635" s="78">
        <f t="shared" si="732"/>
        <v>96.634457935801095</v>
      </c>
      <c r="L1635" s="14"/>
      <c r="M1635" s="50"/>
      <c r="N1635" s="50"/>
    </row>
    <row r="1636" spans="1:14" ht="31.2" x14ac:dyDescent="0.3">
      <c r="A1636" s="8" t="s">
        <v>1414</v>
      </c>
      <c r="B1636" s="62" t="s">
        <v>934</v>
      </c>
      <c r="C1636" s="68" t="s">
        <v>1372</v>
      </c>
      <c r="D1636" s="68" t="s">
        <v>1386</v>
      </c>
      <c r="E1636" s="8" t="s">
        <v>343</v>
      </c>
      <c r="F1636" s="8"/>
      <c r="G1636" s="23" t="s">
        <v>1157</v>
      </c>
      <c r="H1636" s="14">
        <f t="shared" ref="H1636:L1636" si="745">H1637</f>
        <v>42257.2</v>
      </c>
      <c r="I1636" s="14">
        <f t="shared" si="745"/>
        <v>42240.4</v>
      </c>
      <c r="J1636" s="14">
        <f t="shared" si="745"/>
        <v>42140.441869999995</v>
      </c>
      <c r="K1636" s="78">
        <f t="shared" si="732"/>
        <v>99.763358940729717</v>
      </c>
      <c r="L1636" s="14">
        <f t="shared" si="745"/>
        <v>0</v>
      </c>
      <c r="M1636" s="50"/>
      <c r="N1636" s="50"/>
    </row>
    <row r="1637" spans="1:14" x14ac:dyDescent="0.3">
      <c r="A1637" s="8" t="s">
        <v>1414</v>
      </c>
      <c r="B1637" s="62" t="s">
        <v>934</v>
      </c>
      <c r="C1637" s="68" t="s">
        <v>1372</v>
      </c>
      <c r="D1637" s="68" t="s">
        <v>1386</v>
      </c>
      <c r="E1637" s="8" t="s">
        <v>351</v>
      </c>
      <c r="F1637" s="8"/>
      <c r="G1637" s="13" t="s">
        <v>1158</v>
      </c>
      <c r="H1637" s="14">
        <f>H1638+H1641</f>
        <v>42257.2</v>
      </c>
      <c r="I1637" s="14">
        <f>I1638+I1641</f>
        <v>42240.4</v>
      </c>
      <c r="J1637" s="14">
        <f t="shared" ref="J1637" si="746">J1638+J1641</f>
        <v>42140.441869999995</v>
      </c>
      <c r="K1637" s="78">
        <f t="shared" si="732"/>
        <v>99.763358940729717</v>
      </c>
      <c r="L1637" s="14">
        <f>L1638+L1641</f>
        <v>0</v>
      </c>
      <c r="M1637" s="50"/>
      <c r="N1637" s="50"/>
    </row>
    <row r="1638" spans="1:14" ht="31.2" x14ac:dyDescent="0.3">
      <c r="A1638" s="8" t="s">
        <v>1414</v>
      </c>
      <c r="B1638" s="62" t="s">
        <v>934</v>
      </c>
      <c r="C1638" s="68" t="s">
        <v>1372</v>
      </c>
      <c r="D1638" s="68" t="s">
        <v>1386</v>
      </c>
      <c r="E1638" s="8" t="s">
        <v>352</v>
      </c>
      <c r="F1638" s="8"/>
      <c r="G1638" s="13" t="s">
        <v>1152</v>
      </c>
      <c r="H1638" s="14">
        <f t="shared" ref="H1638:L1639" si="747">H1639</f>
        <v>38561.1</v>
      </c>
      <c r="I1638" s="14">
        <f t="shared" si="747"/>
        <v>38615.883170000001</v>
      </c>
      <c r="J1638" s="14">
        <f t="shared" si="747"/>
        <v>38608.962119999997</v>
      </c>
      <c r="K1638" s="78">
        <f t="shared" si="732"/>
        <v>99.982077193548733</v>
      </c>
      <c r="L1638" s="14">
        <f t="shared" si="747"/>
        <v>0</v>
      </c>
      <c r="M1638" s="50"/>
      <c r="N1638" s="50"/>
    </row>
    <row r="1639" spans="1:14" ht="78" x14ac:dyDescent="0.3">
      <c r="A1639" s="8" t="s">
        <v>1414</v>
      </c>
      <c r="B1639" s="62" t="s">
        <v>934</v>
      </c>
      <c r="C1639" s="68" t="s">
        <v>1372</v>
      </c>
      <c r="D1639" s="68" t="s">
        <v>1386</v>
      </c>
      <c r="E1639" s="8" t="s">
        <v>352</v>
      </c>
      <c r="F1639" s="45" t="s">
        <v>431</v>
      </c>
      <c r="G1639" s="23" t="s">
        <v>806</v>
      </c>
      <c r="H1639" s="14">
        <f t="shared" si="747"/>
        <v>38561.1</v>
      </c>
      <c r="I1639" s="14">
        <f t="shared" si="747"/>
        <v>38615.883170000001</v>
      </c>
      <c r="J1639" s="14">
        <f t="shared" si="747"/>
        <v>38608.962119999997</v>
      </c>
      <c r="K1639" s="78">
        <f t="shared" si="732"/>
        <v>99.982077193548733</v>
      </c>
      <c r="L1639" s="14">
        <f t="shared" si="747"/>
        <v>0</v>
      </c>
      <c r="M1639" s="50"/>
      <c r="N1639" s="50"/>
    </row>
    <row r="1640" spans="1:14" ht="31.2" x14ac:dyDescent="0.3">
      <c r="A1640" s="8" t="s">
        <v>1414</v>
      </c>
      <c r="B1640" s="62" t="s">
        <v>934</v>
      </c>
      <c r="C1640" s="68" t="s">
        <v>1372</v>
      </c>
      <c r="D1640" s="68" t="s">
        <v>1386</v>
      </c>
      <c r="E1640" s="8" t="s">
        <v>352</v>
      </c>
      <c r="F1640" s="45" t="s">
        <v>233</v>
      </c>
      <c r="G1640" s="23" t="s">
        <v>808</v>
      </c>
      <c r="H1640" s="14">
        <v>38561.1</v>
      </c>
      <c r="I1640" s="14">
        <v>38615.883170000001</v>
      </c>
      <c r="J1640" s="14">
        <v>38608.962119999997</v>
      </c>
      <c r="K1640" s="78">
        <f t="shared" si="732"/>
        <v>99.982077193548733</v>
      </c>
      <c r="L1640" s="14"/>
      <c r="M1640" s="50"/>
      <c r="N1640" s="50"/>
    </row>
    <row r="1641" spans="1:14" ht="31.2" x14ac:dyDescent="0.3">
      <c r="A1641" s="8" t="s">
        <v>1414</v>
      </c>
      <c r="B1641" s="62" t="s">
        <v>934</v>
      </c>
      <c r="C1641" s="68" t="s">
        <v>1372</v>
      </c>
      <c r="D1641" s="68" t="s">
        <v>1386</v>
      </c>
      <c r="E1641" s="8" t="s">
        <v>353</v>
      </c>
      <c r="F1641" s="8"/>
      <c r="G1641" s="13" t="s">
        <v>1154</v>
      </c>
      <c r="H1641" s="14">
        <f>H1644+H1646</f>
        <v>3696.1</v>
      </c>
      <c r="I1641" s="14">
        <f>I1644+I1646+I1642</f>
        <v>3624.5168300000005</v>
      </c>
      <c r="J1641" s="14">
        <f t="shared" ref="J1641:L1641" si="748">J1644+J1646+J1642</f>
        <v>3531.4797500000004</v>
      </c>
      <c r="K1641" s="78">
        <f t="shared" si="732"/>
        <v>97.433117726756421</v>
      </c>
      <c r="L1641" s="14">
        <f t="shared" si="748"/>
        <v>0</v>
      </c>
      <c r="M1641" s="50"/>
      <c r="N1641" s="50"/>
    </row>
    <row r="1642" spans="1:14" ht="78" x14ac:dyDescent="0.3">
      <c r="A1642" s="8" t="s">
        <v>1414</v>
      </c>
      <c r="B1642" s="62" t="s">
        <v>934</v>
      </c>
      <c r="C1642" s="68" t="s">
        <v>1372</v>
      </c>
      <c r="D1642" s="68" t="s">
        <v>1386</v>
      </c>
      <c r="E1642" s="8" t="s">
        <v>353</v>
      </c>
      <c r="F1642" s="45" t="s">
        <v>431</v>
      </c>
      <c r="G1642" s="23" t="s">
        <v>806</v>
      </c>
      <c r="H1642" s="20">
        <v>0</v>
      </c>
      <c r="I1642" s="14">
        <f>I1643</f>
        <v>8.5640599999999996</v>
      </c>
      <c r="J1642" s="14">
        <f t="shared" ref="J1642:L1642" si="749">J1643</f>
        <v>8.5640599999999996</v>
      </c>
      <c r="K1642" s="78">
        <f t="shared" si="732"/>
        <v>100</v>
      </c>
      <c r="L1642" s="14">
        <f t="shared" si="749"/>
        <v>0</v>
      </c>
      <c r="M1642" s="50"/>
      <c r="N1642" s="50"/>
    </row>
    <row r="1643" spans="1:14" ht="31.2" x14ac:dyDescent="0.3">
      <c r="A1643" s="8" t="s">
        <v>1414</v>
      </c>
      <c r="B1643" s="62" t="s">
        <v>934</v>
      </c>
      <c r="C1643" s="68" t="s">
        <v>1372</v>
      </c>
      <c r="D1643" s="68" t="s">
        <v>1386</v>
      </c>
      <c r="E1643" s="8" t="s">
        <v>353</v>
      </c>
      <c r="F1643" s="45" t="s">
        <v>233</v>
      </c>
      <c r="G1643" s="23" t="s">
        <v>808</v>
      </c>
      <c r="H1643" s="20">
        <v>0</v>
      </c>
      <c r="I1643" s="14">
        <v>8.5640599999999996</v>
      </c>
      <c r="J1643" s="14">
        <v>8.5640599999999996</v>
      </c>
      <c r="K1643" s="78">
        <f t="shared" si="732"/>
        <v>100</v>
      </c>
      <c r="L1643" s="14"/>
      <c r="M1643" s="50"/>
      <c r="N1643" s="50"/>
    </row>
    <row r="1644" spans="1:14" ht="31.2" x14ac:dyDescent="0.3">
      <c r="A1644" s="8" t="s">
        <v>1414</v>
      </c>
      <c r="B1644" s="62" t="s">
        <v>934</v>
      </c>
      <c r="C1644" s="68" t="s">
        <v>1372</v>
      </c>
      <c r="D1644" s="68" t="s">
        <v>1386</v>
      </c>
      <c r="E1644" s="8" t="s">
        <v>353</v>
      </c>
      <c r="F1644" s="45" t="s">
        <v>380</v>
      </c>
      <c r="G1644" s="23" t="s">
        <v>809</v>
      </c>
      <c r="H1644" s="14">
        <f t="shared" ref="H1644:L1644" si="750">H1645</f>
        <v>3683</v>
      </c>
      <c r="I1644" s="14">
        <f t="shared" si="750"/>
        <v>3588.1527700000001</v>
      </c>
      <c r="J1644" s="14">
        <f t="shared" si="750"/>
        <v>3495.1156900000001</v>
      </c>
      <c r="K1644" s="78">
        <f t="shared" si="732"/>
        <v>97.407103711473241</v>
      </c>
      <c r="L1644" s="14">
        <f t="shared" si="750"/>
        <v>0</v>
      </c>
      <c r="M1644" s="50"/>
      <c r="N1644" s="50"/>
    </row>
    <row r="1645" spans="1:14" ht="31.2" x14ac:dyDescent="0.3">
      <c r="A1645" s="8" t="s">
        <v>1414</v>
      </c>
      <c r="B1645" s="62" t="s">
        <v>934</v>
      </c>
      <c r="C1645" s="68" t="s">
        <v>1372</v>
      </c>
      <c r="D1645" s="68" t="s">
        <v>1386</v>
      </c>
      <c r="E1645" s="8" t="s">
        <v>353</v>
      </c>
      <c r="F1645" s="8" t="s">
        <v>247</v>
      </c>
      <c r="G1645" s="23" t="s">
        <v>810</v>
      </c>
      <c r="H1645" s="14">
        <v>3683</v>
      </c>
      <c r="I1645" s="14">
        <v>3588.1527700000001</v>
      </c>
      <c r="J1645" s="14">
        <v>3495.1156900000001</v>
      </c>
      <c r="K1645" s="78">
        <f t="shared" si="732"/>
        <v>97.407103711473241</v>
      </c>
      <c r="L1645" s="14"/>
      <c r="M1645" s="50"/>
      <c r="N1645" s="50"/>
    </row>
    <row r="1646" spans="1:14" x14ac:dyDescent="0.3">
      <c r="A1646" s="8" t="s">
        <v>1414</v>
      </c>
      <c r="B1646" s="62" t="s">
        <v>934</v>
      </c>
      <c r="C1646" s="68" t="s">
        <v>1372</v>
      </c>
      <c r="D1646" s="68" t="s">
        <v>1386</v>
      </c>
      <c r="E1646" s="8" t="s">
        <v>353</v>
      </c>
      <c r="F1646" s="45" t="s">
        <v>464</v>
      </c>
      <c r="G1646" s="23" t="s">
        <v>822</v>
      </c>
      <c r="H1646" s="14">
        <f>H1648</f>
        <v>13.1</v>
      </c>
      <c r="I1646" s="14">
        <f>I1648+I1647</f>
        <v>27.799999999999997</v>
      </c>
      <c r="J1646" s="14">
        <f t="shared" ref="J1646:L1646" si="751">J1648+J1647</f>
        <v>27.799999999999997</v>
      </c>
      <c r="K1646" s="78">
        <f t="shared" si="732"/>
        <v>100</v>
      </c>
      <c r="L1646" s="14">
        <f t="shared" si="751"/>
        <v>0</v>
      </c>
      <c r="M1646" s="50"/>
      <c r="N1646" s="50"/>
    </row>
    <row r="1647" spans="1:14" x14ac:dyDescent="0.3">
      <c r="A1647" s="8" t="s">
        <v>1414</v>
      </c>
      <c r="B1647" s="62" t="s">
        <v>934</v>
      </c>
      <c r="C1647" s="68" t="s">
        <v>1372</v>
      </c>
      <c r="D1647" s="68" t="s">
        <v>1386</v>
      </c>
      <c r="E1647" s="8" t="s">
        <v>353</v>
      </c>
      <c r="F1647" s="45" t="s">
        <v>728</v>
      </c>
      <c r="G1647" s="23" t="s">
        <v>823</v>
      </c>
      <c r="H1647" s="20">
        <v>0</v>
      </c>
      <c r="I1647" s="14">
        <v>14.7</v>
      </c>
      <c r="J1647" s="14">
        <v>14.7</v>
      </c>
      <c r="K1647" s="78">
        <f t="shared" si="732"/>
        <v>100</v>
      </c>
      <c r="L1647" s="14"/>
      <c r="M1647" s="50"/>
      <c r="N1647" s="50"/>
    </row>
    <row r="1648" spans="1:14" x14ac:dyDescent="0.3">
      <c r="A1648" s="8" t="s">
        <v>1414</v>
      </c>
      <c r="B1648" s="62" t="s">
        <v>934</v>
      </c>
      <c r="C1648" s="68" t="s">
        <v>1372</v>
      </c>
      <c r="D1648" s="68" t="s">
        <v>1386</v>
      </c>
      <c r="E1648" s="8" t="s">
        <v>353</v>
      </c>
      <c r="F1648" s="45" t="s">
        <v>729</v>
      </c>
      <c r="G1648" s="23" t="s">
        <v>824</v>
      </c>
      <c r="H1648" s="14">
        <v>13.1</v>
      </c>
      <c r="I1648" s="14">
        <v>13.1</v>
      </c>
      <c r="J1648" s="14">
        <v>13.1</v>
      </c>
      <c r="K1648" s="78">
        <f t="shared" si="732"/>
        <v>100</v>
      </c>
      <c r="L1648" s="14"/>
      <c r="M1648" s="50"/>
      <c r="N1648" s="50"/>
    </row>
    <row r="1649" spans="1:14" s="9" customFormat="1" x14ac:dyDescent="0.3">
      <c r="A1649" s="11" t="s">
        <v>1414</v>
      </c>
      <c r="B1649" s="48" t="s">
        <v>912</v>
      </c>
      <c r="C1649" s="48" t="s">
        <v>1372</v>
      </c>
      <c r="D1649" s="48" t="s">
        <v>1477</v>
      </c>
      <c r="E1649" s="11"/>
      <c r="F1649" s="11"/>
      <c r="G1649" s="7" t="s">
        <v>1377</v>
      </c>
      <c r="H1649" s="16">
        <f>H1650+H1659</f>
        <v>14082.302999999998</v>
      </c>
      <c r="I1649" s="16">
        <f>I1650+I1659+I1681</f>
        <v>14092.303</v>
      </c>
      <c r="J1649" s="16">
        <f t="shared" ref="J1649:L1649" si="752">J1650+J1659+J1681</f>
        <v>10567.421979999999</v>
      </c>
      <c r="K1649" s="82">
        <f t="shared" si="732"/>
        <v>74.987189673682138</v>
      </c>
      <c r="L1649" s="16">
        <f t="shared" si="752"/>
        <v>0</v>
      </c>
      <c r="M1649" s="65"/>
      <c r="N1649" s="65"/>
    </row>
    <row r="1650" spans="1:14" ht="46.8" x14ac:dyDescent="0.3">
      <c r="A1650" s="8" t="s">
        <v>1414</v>
      </c>
      <c r="B1650" s="62" t="s">
        <v>912</v>
      </c>
      <c r="C1650" s="68" t="s">
        <v>1372</v>
      </c>
      <c r="D1650" s="68" t="s">
        <v>1477</v>
      </c>
      <c r="E1650" s="8" t="s">
        <v>338</v>
      </c>
      <c r="F1650" s="8"/>
      <c r="G1650" s="13" t="s">
        <v>843</v>
      </c>
      <c r="H1650" s="14">
        <f>H1651+H1655</f>
        <v>320</v>
      </c>
      <c r="I1650" s="14">
        <f>I1651+I1655</f>
        <v>320</v>
      </c>
      <c r="J1650" s="14">
        <f t="shared" ref="J1650" si="753">J1651+J1655</f>
        <v>320</v>
      </c>
      <c r="K1650" s="78">
        <f t="shared" si="732"/>
        <v>100</v>
      </c>
      <c r="L1650" s="14">
        <f>L1651+L1655</f>
        <v>0</v>
      </c>
      <c r="M1650" s="50"/>
      <c r="N1650" s="50"/>
    </row>
    <row r="1651" spans="1:14" ht="46.8" x14ac:dyDescent="0.3">
      <c r="A1651" s="8" t="s">
        <v>1414</v>
      </c>
      <c r="B1651" s="62" t="s">
        <v>912</v>
      </c>
      <c r="C1651" s="68" t="s">
        <v>1372</v>
      </c>
      <c r="D1651" s="68" t="s">
        <v>1477</v>
      </c>
      <c r="E1651" s="8" t="s">
        <v>339</v>
      </c>
      <c r="F1651" s="8"/>
      <c r="G1651" s="13" t="s">
        <v>844</v>
      </c>
      <c r="H1651" s="14">
        <f t="shared" ref="H1651:L1653" si="754">H1652</f>
        <v>95</v>
      </c>
      <c r="I1651" s="14">
        <f t="shared" si="754"/>
        <v>95</v>
      </c>
      <c r="J1651" s="14">
        <f t="shared" si="754"/>
        <v>95</v>
      </c>
      <c r="K1651" s="78">
        <f t="shared" si="732"/>
        <v>100</v>
      </c>
      <c r="L1651" s="14">
        <f t="shared" si="754"/>
        <v>0</v>
      </c>
      <c r="M1651" s="50"/>
      <c r="N1651" s="50"/>
    </row>
    <row r="1652" spans="1:14" ht="62.4" x14ac:dyDescent="0.3">
      <c r="A1652" s="8" t="s">
        <v>1414</v>
      </c>
      <c r="B1652" s="62" t="s">
        <v>912</v>
      </c>
      <c r="C1652" s="68" t="s">
        <v>1372</v>
      </c>
      <c r="D1652" s="68" t="s">
        <v>1477</v>
      </c>
      <c r="E1652" s="8" t="s">
        <v>340</v>
      </c>
      <c r="F1652" s="8"/>
      <c r="G1652" s="13" t="s">
        <v>845</v>
      </c>
      <c r="H1652" s="14">
        <f t="shared" si="754"/>
        <v>95</v>
      </c>
      <c r="I1652" s="14">
        <f t="shared" si="754"/>
        <v>95</v>
      </c>
      <c r="J1652" s="14">
        <f t="shared" si="754"/>
        <v>95</v>
      </c>
      <c r="K1652" s="78">
        <f t="shared" si="732"/>
        <v>100</v>
      </c>
      <c r="L1652" s="14">
        <f t="shared" si="754"/>
        <v>0</v>
      </c>
      <c r="M1652" s="50"/>
      <c r="N1652" s="50"/>
    </row>
    <row r="1653" spans="1:14" ht="31.2" x14ac:dyDescent="0.3">
      <c r="A1653" s="8" t="s">
        <v>1414</v>
      </c>
      <c r="B1653" s="62" t="s">
        <v>912</v>
      </c>
      <c r="C1653" s="68" t="s">
        <v>1372</v>
      </c>
      <c r="D1653" s="68" t="s">
        <v>1477</v>
      </c>
      <c r="E1653" s="8" t="s">
        <v>340</v>
      </c>
      <c r="F1653" s="45" t="s">
        <v>402</v>
      </c>
      <c r="G1653" s="23" t="s">
        <v>819</v>
      </c>
      <c r="H1653" s="14">
        <f t="shared" si="754"/>
        <v>95</v>
      </c>
      <c r="I1653" s="14">
        <f t="shared" si="754"/>
        <v>95</v>
      </c>
      <c r="J1653" s="14">
        <f t="shared" si="754"/>
        <v>95</v>
      </c>
      <c r="K1653" s="78">
        <f t="shared" si="732"/>
        <v>100</v>
      </c>
      <c r="L1653" s="14">
        <f t="shared" si="754"/>
        <v>0</v>
      </c>
      <c r="M1653" s="50"/>
      <c r="N1653" s="50"/>
    </row>
    <row r="1654" spans="1:14" ht="46.8" x14ac:dyDescent="0.3">
      <c r="A1654" s="8" t="s">
        <v>1414</v>
      </c>
      <c r="B1654" s="62" t="s">
        <v>912</v>
      </c>
      <c r="C1654" s="68" t="s">
        <v>1372</v>
      </c>
      <c r="D1654" s="68" t="s">
        <v>1477</v>
      </c>
      <c r="E1654" s="8" t="s">
        <v>340</v>
      </c>
      <c r="F1654" s="45" t="s">
        <v>280</v>
      </c>
      <c r="G1654" s="23" t="s">
        <v>821</v>
      </c>
      <c r="H1654" s="14">
        <v>95</v>
      </c>
      <c r="I1654" s="14">
        <v>95</v>
      </c>
      <c r="J1654" s="14">
        <v>95</v>
      </c>
      <c r="K1654" s="78">
        <f t="shared" si="732"/>
        <v>100</v>
      </c>
      <c r="L1654" s="14"/>
      <c r="M1654" s="50"/>
      <c r="N1654" s="50"/>
    </row>
    <row r="1655" spans="1:14" ht="46.8" x14ac:dyDescent="0.3">
      <c r="A1655" s="8" t="s">
        <v>1414</v>
      </c>
      <c r="B1655" s="62" t="s">
        <v>912</v>
      </c>
      <c r="C1655" s="68" t="s">
        <v>1372</v>
      </c>
      <c r="D1655" s="68" t="s">
        <v>1477</v>
      </c>
      <c r="E1655" s="8" t="s">
        <v>341</v>
      </c>
      <c r="F1655" s="8"/>
      <c r="G1655" s="13" t="s">
        <v>846</v>
      </c>
      <c r="H1655" s="14">
        <f t="shared" ref="H1655:L1657" si="755">H1656</f>
        <v>225</v>
      </c>
      <c r="I1655" s="14">
        <f t="shared" si="755"/>
        <v>225</v>
      </c>
      <c r="J1655" s="14">
        <f t="shared" si="755"/>
        <v>225</v>
      </c>
      <c r="K1655" s="78">
        <f t="shared" si="732"/>
        <v>100</v>
      </c>
      <c r="L1655" s="14">
        <f t="shared" si="755"/>
        <v>0</v>
      </c>
      <c r="M1655" s="50"/>
      <c r="N1655" s="50"/>
    </row>
    <row r="1656" spans="1:14" ht="62.4" x14ac:dyDescent="0.3">
      <c r="A1656" s="8" t="s">
        <v>1414</v>
      </c>
      <c r="B1656" s="62" t="s">
        <v>912</v>
      </c>
      <c r="C1656" s="68" t="s">
        <v>1372</v>
      </c>
      <c r="D1656" s="68" t="s">
        <v>1477</v>
      </c>
      <c r="E1656" s="8" t="s">
        <v>342</v>
      </c>
      <c r="F1656" s="8"/>
      <c r="G1656" s="13" t="s">
        <v>847</v>
      </c>
      <c r="H1656" s="14">
        <f t="shared" si="755"/>
        <v>225</v>
      </c>
      <c r="I1656" s="14">
        <f t="shared" si="755"/>
        <v>225</v>
      </c>
      <c r="J1656" s="14">
        <f t="shared" si="755"/>
        <v>225</v>
      </c>
      <c r="K1656" s="78">
        <f t="shared" si="732"/>
        <v>100</v>
      </c>
      <c r="L1656" s="14">
        <f t="shared" si="755"/>
        <v>0</v>
      </c>
      <c r="M1656" s="50"/>
      <c r="N1656" s="50"/>
    </row>
    <row r="1657" spans="1:14" ht="31.2" x14ac:dyDescent="0.3">
      <c r="A1657" s="8" t="s">
        <v>1414</v>
      </c>
      <c r="B1657" s="62" t="s">
        <v>912</v>
      </c>
      <c r="C1657" s="68" t="s">
        <v>1372</v>
      </c>
      <c r="D1657" s="68" t="s">
        <v>1477</v>
      </c>
      <c r="E1657" s="8" t="s">
        <v>342</v>
      </c>
      <c r="F1657" s="45" t="s">
        <v>402</v>
      </c>
      <c r="G1657" s="23" t="s">
        <v>819</v>
      </c>
      <c r="H1657" s="14">
        <f t="shared" si="755"/>
        <v>225</v>
      </c>
      <c r="I1657" s="14">
        <f t="shared" si="755"/>
        <v>225</v>
      </c>
      <c r="J1657" s="14">
        <f t="shared" si="755"/>
        <v>225</v>
      </c>
      <c r="K1657" s="78">
        <f t="shared" si="732"/>
        <v>100</v>
      </c>
      <c r="L1657" s="14">
        <f t="shared" si="755"/>
        <v>0</v>
      </c>
      <c r="M1657" s="50"/>
      <c r="N1657" s="50"/>
    </row>
    <row r="1658" spans="1:14" ht="46.8" x14ac:dyDescent="0.3">
      <c r="A1658" s="8" t="s">
        <v>1414</v>
      </c>
      <c r="B1658" s="62" t="s">
        <v>912</v>
      </c>
      <c r="C1658" s="68" t="s">
        <v>1372</v>
      </c>
      <c r="D1658" s="68" t="s">
        <v>1477</v>
      </c>
      <c r="E1658" s="8" t="s">
        <v>342</v>
      </c>
      <c r="F1658" s="45" t="s">
        <v>280</v>
      </c>
      <c r="G1658" s="23" t="s">
        <v>821</v>
      </c>
      <c r="H1658" s="14">
        <v>225</v>
      </c>
      <c r="I1658" s="14">
        <v>225</v>
      </c>
      <c r="J1658" s="14">
        <v>225</v>
      </c>
      <c r="K1658" s="78">
        <f t="shared" si="732"/>
        <v>100</v>
      </c>
      <c r="L1658" s="14"/>
      <c r="M1658" s="50"/>
      <c r="N1658" s="50"/>
    </row>
    <row r="1659" spans="1:14" x14ac:dyDescent="0.3">
      <c r="A1659" s="8" t="s">
        <v>1414</v>
      </c>
      <c r="B1659" s="62" t="s">
        <v>912</v>
      </c>
      <c r="C1659" s="68" t="s">
        <v>1372</v>
      </c>
      <c r="D1659" s="68" t="s">
        <v>1477</v>
      </c>
      <c r="E1659" s="8" t="s">
        <v>354</v>
      </c>
      <c r="F1659" s="8"/>
      <c r="G1659" s="13" t="s">
        <v>869</v>
      </c>
      <c r="H1659" s="14">
        <f>H1660+H1671</f>
        <v>13762.302999999998</v>
      </c>
      <c r="I1659" s="14">
        <f>I1660+I1671</f>
        <v>13762.303</v>
      </c>
      <c r="J1659" s="14">
        <f t="shared" ref="J1659" si="756">J1660+J1671</f>
        <v>10237.421979999999</v>
      </c>
      <c r="K1659" s="78">
        <f t="shared" si="732"/>
        <v>74.387418878947798</v>
      </c>
      <c r="L1659" s="14">
        <f>L1660+L1671</f>
        <v>0</v>
      </c>
      <c r="M1659" s="50"/>
      <c r="N1659" s="50"/>
    </row>
    <row r="1660" spans="1:14" ht="46.8" x14ac:dyDescent="0.3">
      <c r="A1660" s="8" t="s">
        <v>1414</v>
      </c>
      <c r="B1660" s="62" t="s">
        <v>912</v>
      </c>
      <c r="C1660" s="68" t="s">
        <v>1372</v>
      </c>
      <c r="D1660" s="68" t="s">
        <v>1477</v>
      </c>
      <c r="E1660" s="8" t="s">
        <v>648</v>
      </c>
      <c r="F1660" s="8"/>
      <c r="G1660" s="13" t="s">
        <v>870</v>
      </c>
      <c r="H1660" s="14">
        <f t="shared" ref="H1660:L1660" si="757">H1661</f>
        <v>5454.4</v>
      </c>
      <c r="I1660" s="14">
        <f t="shared" si="757"/>
        <v>5454.4</v>
      </c>
      <c r="J1660" s="14">
        <f t="shared" si="757"/>
        <v>5454.4</v>
      </c>
      <c r="K1660" s="78">
        <f t="shared" si="732"/>
        <v>100</v>
      </c>
      <c r="L1660" s="14">
        <f t="shared" si="757"/>
        <v>0</v>
      </c>
      <c r="M1660" s="50"/>
      <c r="N1660" s="50"/>
    </row>
    <row r="1661" spans="1:14" ht="46.8" x14ac:dyDescent="0.3">
      <c r="A1661" s="8" t="s">
        <v>1414</v>
      </c>
      <c r="B1661" s="62" t="s">
        <v>912</v>
      </c>
      <c r="C1661" s="68" t="s">
        <v>1372</v>
      </c>
      <c r="D1661" s="68" t="s">
        <v>1477</v>
      </c>
      <c r="E1661" s="8" t="s">
        <v>1305</v>
      </c>
      <c r="F1661" s="8"/>
      <c r="G1661" s="18" t="s">
        <v>115</v>
      </c>
      <c r="H1661" s="14">
        <f>H1662+H1665+H1668</f>
        <v>5454.4</v>
      </c>
      <c r="I1661" s="14">
        <f>I1662+I1665+I1668</f>
        <v>5454.4</v>
      </c>
      <c r="J1661" s="14">
        <f t="shared" ref="J1661" si="758">J1662+J1665+J1668</f>
        <v>5454.4</v>
      </c>
      <c r="K1661" s="78">
        <f t="shared" si="732"/>
        <v>100</v>
      </c>
      <c r="L1661" s="14">
        <f>L1662+L1665+L1668</f>
        <v>0</v>
      </c>
      <c r="M1661" s="50"/>
      <c r="N1661" s="50"/>
    </row>
    <row r="1662" spans="1:14" ht="31.2" x14ac:dyDescent="0.3">
      <c r="A1662" s="8" t="s">
        <v>1414</v>
      </c>
      <c r="B1662" s="62" t="s">
        <v>912</v>
      </c>
      <c r="C1662" s="68" t="s">
        <v>1372</v>
      </c>
      <c r="D1662" s="68" t="s">
        <v>1477</v>
      </c>
      <c r="E1662" s="8" t="s">
        <v>1306</v>
      </c>
      <c r="F1662" s="8"/>
      <c r="G1662" s="13" t="s">
        <v>872</v>
      </c>
      <c r="H1662" s="14">
        <f t="shared" ref="H1662:L1663" si="759">H1663</f>
        <v>4552.8999999999996</v>
      </c>
      <c r="I1662" s="14">
        <f t="shared" si="759"/>
        <v>4552.8999999999996</v>
      </c>
      <c r="J1662" s="14">
        <f t="shared" si="759"/>
        <v>4552.8999999999996</v>
      </c>
      <c r="K1662" s="78">
        <f t="shared" si="732"/>
        <v>100</v>
      </c>
      <c r="L1662" s="14">
        <f t="shared" si="759"/>
        <v>0</v>
      </c>
      <c r="M1662" s="50"/>
      <c r="N1662" s="50"/>
    </row>
    <row r="1663" spans="1:14" ht="31.2" x14ac:dyDescent="0.3">
      <c r="A1663" s="8" t="s">
        <v>1414</v>
      </c>
      <c r="B1663" s="62" t="s">
        <v>912</v>
      </c>
      <c r="C1663" s="68" t="s">
        <v>1372</v>
      </c>
      <c r="D1663" s="68" t="s">
        <v>1477</v>
      </c>
      <c r="E1663" s="8" t="s">
        <v>1306</v>
      </c>
      <c r="F1663" s="45" t="s">
        <v>402</v>
      </c>
      <c r="G1663" s="23" t="s">
        <v>819</v>
      </c>
      <c r="H1663" s="14">
        <f t="shared" si="759"/>
        <v>4552.8999999999996</v>
      </c>
      <c r="I1663" s="14">
        <f t="shared" si="759"/>
        <v>4552.8999999999996</v>
      </c>
      <c r="J1663" s="14">
        <f t="shared" si="759"/>
        <v>4552.8999999999996</v>
      </c>
      <c r="K1663" s="78">
        <f t="shared" si="732"/>
        <v>100</v>
      </c>
      <c r="L1663" s="14">
        <f t="shared" si="759"/>
        <v>0</v>
      </c>
      <c r="M1663" s="50"/>
      <c r="N1663" s="50"/>
    </row>
    <row r="1664" spans="1:14" ht="46.8" x14ac:dyDescent="0.3">
      <c r="A1664" s="8" t="s">
        <v>1414</v>
      </c>
      <c r="B1664" s="62" t="s">
        <v>912</v>
      </c>
      <c r="C1664" s="68" t="s">
        <v>1372</v>
      </c>
      <c r="D1664" s="68" t="s">
        <v>1477</v>
      </c>
      <c r="E1664" s="8" t="s">
        <v>1306</v>
      </c>
      <c r="F1664" s="45" t="s">
        <v>280</v>
      </c>
      <c r="G1664" s="23" t="s">
        <v>821</v>
      </c>
      <c r="H1664" s="14">
        <v>4552.8999999999996</v>
      </c>
      <c r="I1664" s="14">
        <v>4552.8999999999996</v>
      </c>
      <c r="J1664" s="14">
        <v>4552.8999999999996</v>
      </c>
      <c r="K1664" s="78">
        <f t="shared" si="732"/>
        <v>100</v>
      </c>
      <c r="L1664" s="14"/>
      <c r="M1664" s="50"/>
      <c r="N1664" s="50"/>
    </row>
    <row r="1665" spans="1:14" ht="31.2" x14ac:dyDescent="0.3">
      <c r="A1665" s="8" t="s">
        <v>1414</v>
      </c>
      <c r="B1665" s="62" t="s">
        <v>912</v>
      </c>
      <c r="C1665" s="68" t="s">
        <v>1372</v>
      </c>
      <c r="D1665" s="68" t="s">
        <v>1477</v>
      </c>
      <c r="E1665" s="8" t="s">
        <v>1307</v>
      </c>
      <c r="F1665" s="8"/>
      <c r="G1665" s="18" t="s">
        <v>758</v>
      </c>
      <c r="H1665" s="14">
        <f t="shared" ref="H1665:L1666" si="760">H1666</f>
        <v>521.5</v>
      </c>
      <c r="I1665" s="14">
        <f t="shared" si="760"/>
        <v>521.5</v>
      </c>
      <c r="J1665" s="14">
        <f t="shared" si="760"/>
        <v>521.5</v>
      </c>
      <c r="K1665" s="78">
        <f t="shared" si="732"/>
        <v>100</v>
      </c>
      <c r="L1665" s="14">
        <f t="shared" si="760"/>
        <v>0</v>
      </c>
      <c r="M1665" s="50"/>
      <c r="N1665" s="50"/>
    </row>
    <row r="1666" spans="1:14" ht="31.2" x14ac:dyDescent="0.3">
      <c r="A1666" s="8" t="s">
        <v>1414</v>
      </c>
      <c r="B1666" s="62" t="s">
        <v>912</v>
      </c>
      <c r="C1666" s="68" t="s">
        <v>1372</v>
      </c>
      <c r="D1666" s="68" t="s">
        <v>1477</v>
      </c>
      <c r="E1666" s="8" t="s">
        <v>1307</v>
      </c>
      <c r="F1666" s="45" t="s">
        <v>402</v>
      </c>
      <c r="G1666" s="23" t="s">
        <v>819</v>
      </c>
      <c r="H1666" s="14">
        <f t="shared" si="760"/>
        <v>521.5</v>
      </c>
      <c r="I1666" s="14">
        <f t="shared" si="760"/>
        <v>521.5</v>
      </c>
      <c r="J1666" s="14">
        <f t="shared" si="760"/>
        <v>521.5</v>
      </c>
      <c r="K1666" s="78">
        <f t="shared" si="732"/>
        <v>100</v>
      </c>
      <c r="L1666" s="14">
        <f t="shared" si="760"/>
        <v>0</v>
      </c>
      <c r="M1666" s="50"/>
      <c r="N1666" s="50"/>
    </row>
    <row r="1667" spans="1:14" ht="46.8" x14ac:dyDescent="0.3">
      <c r="A1667" s="8" t="s">
        <v>1414</v>
      </c>
      <c r="B1667" s="62" t="s">
        <v>912</v>
      </c>
      <c r="C1667" s="68" t="s">
        <v>1372</v>
      </c>
      <c r="D1667" s="68" t="s">
        <v>1477</v>
      </c>
      <c r="E1667" s="8" t="s">
        <v>1307</v>
      </c>
      <c r="F1667" s="45" t="s">
        <v>280</v>
      </c>
      <c r="G1667" s="23" t="s">
        <v>821</v>
      </c>
      <c r="H1667" s="14">
        <v>521.5</v>
      </c>
      <c r="I1667" s="14">
        <v>521.5</v>
      </c>
      <c r="J1667" s="14">
        <v>521.5</v>
      </c>
      <c r="K1667" s="78">
        <f t="shared" si="732"/>
        <v>100</v>
      </c>
      <c r="L1667" s="14"/>
      <c r="M1667" s="50"/>
      <c r="N1667" s="50"/>
    </row>
    <row r="1668" spans="1:14" ht="62.4" x14ac:dyDescent="0.3">
      <c r="A1668" s="8" t="s">
        <v>1414</v>
      </c>
      <c r="B1668" s="62" t="s">
        <v>912</v>
      </c>
      <c r="C1668" s="68" t="s">
        <v>1372</v>
      </c>
      <c r="D1668" s="68" t="s">
        <v>1477</v>
      </c>
      <c r="E1668" s="8" t="s">
        <v>1308</v>
      </c>
      <c r="F1668" s="8"/>
      <c r="G1668" s="13" t="s">
        <v>301</v>
      </c>
      <c r="H1668" s="14">
        <f t="shared" ref="H1668:L1669" si="761">H1669</f>
        <v>380</v>
      </c>
      <c r="I1668" s="14">
        <f t="shared" si="761"/>
        <v>380</v>
      </c>
      <c r="J1668" s="14">
        <f t="shared" si="761"/>
        <v>380</v>
      </c>
      <c r="K1668" s="78">
        <f t="shared" si="732"/>
        <v>100</v>
      </c>
      <c r="L1668" s="14">
        <f t="shared" si="761"/>
        <v>0</v>
      </c>
      <c r="M1668" s="50"/>
      <c r="N1668" s="50"/>
    </row>
    <row r="1669" spans="1:14" ht="31.2" x14ac:dyDescent="0.3">
      <c r="A1669" s="8" t="s">
        <v>1414</v>
      </c>
      <c r="B1669" s="62" t="s">
        <v>912</v>
      </c>
      <c r="C1669" s="68" t="s">
        <v>1372</v>
      </c>
      <c r="D1669" s="68" t="s">
        <v>1477</v>
      </c>
      <c r="E1669" s="8" t="s">
        <v>1308</v>
      </c>
      <c r="F1669" s="45" t="s">
        <v>402</v>
      </c>
      <c r="G1669" s="23" t="s">
        <v>819</v>
      </c>
      <c r="H1669" s="14">
        <f t="shared" si="761"/>
        <v>380</v>
      </c>
      <c r="I1669" s="14">
        <f t="shared" si="761"/>
        <v>380</v>
      </c>
      <c r="J1669" s="14">
        <f t="shared" si="761"/>
        <v>380</v>
      </c>
      <c r="K1669" s="78">
        <f t="shared" si="732"/>
        <v>100</v>
      </c>
      <c r="L1669" s="14">
        <f t="shared" si="761"/>
        <v>0</v>
      </c>
      <c r="M1669" s="50"/>
      <c r="N1669" s="50"/>
    </row>
    <row r="1670" spans="1:14" ht="46.8" x14ac:dyDescent="0.3">
      <c r="A1670" s="8" t="s">
        <v>1414</v>
      </c>
      <c r="B1670" s="62" t="s">
        <v>912</v>
      </c>
      <c r="C1670" s="68" t="s">
        <v>1372</v>
      </c>
      <c r="D1670" s="68" t="s">
        <v>1477</v>
      </c>
      <c r="E1670" s="8" t="s">
        <v>1308</v>
      </c>
      <c r="F1670" s="45" t="s">
        <v>280</v>
      </c>
      <c r="G1670" s="23" t="s">
        <v>821</v>
      </c>
      <c r="H1670" s="14">
        <v>380</v>
      </c>
      <c r="I1670" s="14">
        <v>380</v>
      </c>
      <c r="J1670" s="14">
        <v>380</v>
      </c>
      <c r="K1670" s="78">
        <f t="shared" si="732"/>
        <v>100</v>
      </c>
      <c r="L1670" s="14"/>
      <c r="M1670" s="50"/>
      <c r="N1670" s="50"/>
    </row>
    <row r="1671" spans="1:14" ht="31.2" x14ac:dyDescent="0.3">
      <c r="A1671" s="8" t="s">
        <v>1414</v>
      </c>
      <c r="B1671" s="62" t="s">
        <v>912</v>
      </c>
      <c r="C1671" s="68" t="s">
        <v>1372</v>
      </c>
      <c r="D1671" s="68" t="s">
        <v>1477</v>
      </c>
      <c r="E1671" s="8" t="s">
        <v>1310</v>
      </c>
      <c r="F1671" s="8"/>
      <c r="G1671" s="18" t="s">
        <v>116</v>
      </c>
      <c r="H1671" s="14">
        <f t="shared" ref="H1671:L1671" si="762">H1672</f>
        <v>8307.9029999999984</v>
      </c>
      <c r="I1671" s="14">
        <f t="shared" si="762"/>
        <v>8307.9030000000002</v>
      </c>
      <c r="J1671" s="14">
        <f t="shared" si="762"/>
        <v>4783.0219799999995</v>
      </c>
      <c r="K1671" s="78">
        <f t="shared" si="732"/>
        <v>57.571952633534593</v>
      </c>
      <c r="L1671" s="14">
        <f t="shared" si="762"/>
        <v>0</v>
      </c>
      <c r="M1671" s="50"/>
      <c r="N1671" s="50"/>
    </row>
    <row r="1672" spans="1:14" ht="78" x14ac:dyDescent="0.3">
      <c r="A1672" s="8" t="s">
        <v>1414</v>
      </c>
      <c r="B1672" s="62" t="s">
        <v>912</v>
      </c>
      <c r="C1672" s="68" t="s">
        <v>1372</v>
      </c>
      <c r="D1672" s="68" t="s">
        <v>1477</v>
      </c>
      <c r="E1672" s="8" t="s">
        <v>1311</v>
      </c>
      <c r="F1672" s="8"/>
      <c r="G1672" s="13" t="s">
        <v>873</v>
      </c>
      <c r="H1672" s="14">
        <f>H1673+H1678</f>
        <v>8307.9029999999984</v>
      </c>
      <c r="I1672" s="14">
        <f>I1673+I1678</f>
        <v>8307.9030000000002</v>
      </c>
      <c r="J1672" s="14">
        <f t="shared" ref="J1672" si="763">J1673+J1678</f>
        <v>4783.0219799999995</v>
      </c>
      <c r="K1672" s="78">
        <f t="shared" ref="K1672:K1735" si="764">J1672/I1672*100</f>
        <v>57.571952633534593</v>
      </c>
      <c r="L1672" s="14">
        <f>L1673+L1678</f>
        <v>0</v>
      </c>
      <c r="M1672" s="50"/>
      <c r="N1672" s="50"/>
    </row>
    <row r="1673" spans="1:14" ht="31.2" x14ac:dyDescent="0.3">
      <c r="A1673" s="8" t="s">
        <v>1414</v>
      </c>
      <c r="B1673" s="62" t="s">
        <v>912</v>
      </c>
      <c r="C1673" s="68" t="s">
        <v>1372</v>
      </c>
      <c r="D1673" s="68" t="s">
        <v>1477</v>
      </c>
      <c r="E1673" s="8" t="s">
        <v>1312</v>
      </c>
      <c r="F1673" s="8"/>
      <c r="G1673" s="13" t="s">
        <v>874</v>
      </c>
      <c r="H1673" s="14">
        <f>H1674+H1676</f>
        <v>8086.9029999999993</v>
      </c>
      <c r="I1673" s="14">
        <f>I1674+I1676</f>
        <v>8086.9030000000002</v>
      </c>
      <c r="J1673" s="14">
        <f t="shared" ref="J1673" si="765">J1674+J1676</f>
        <v>4562.0219799999995</v>
      </c>
      <c r="K1673" s="78">
        <f t="shared" si="764"/>
        <v>56.412473106206406</v>
      </c>
      <c r="L1673" s="14">
        <f>L1674+L1676</f>
        <v>0</v>
      </c>
      <c r="M1673" s="50"/>
      <c r="N1673" s="50"/>
    </row>
    <row r="1674" spans="1:14" ht="31.2" x14ac:dyDescent="0.3">
      <c r="A1674" s="8" t="s">
        <v>1414</v>
      </c>
      <c r="B1674" s="62" t="s">
        <v>912</v>
      </c>
      <c r="C1674" s="68" t="s">
        <v>1372</v>
      </c>
      <c r="D1674" s="68" t="s">
        <v>1477</v>
      </c>
      <c r="E1674" s="8" t="s">
        <v>1312</v>
      </c>
      <c r="F1674" s="45" t="s">
        <v>380</v>
      </c>
      <c r="G1674" s="23" t="s">
        <v>809</v>
      </c>
      <c r="H1674" s="14">
        <f t="shared" ref="H1674:L1674" si="766">H1675</f>
        <v>8016.7029999999995</v>
      </c>
      <c r="I1674" s="14">
        <f t="shared" si="766"/>
        <v>8016.7030000000004</v>
      </c>
      <c r="J1674" s="14">
        <f t="shared" si="766"/>
        <v>4504.2419799999998</v>
      </c>
      <c r="K1674" s="78">
        <f t="shared" si="764"/>
        <v>56.185715998210227</v>
      </c>
      <c r="L1674" s="14">
        <f t="shared" si="766"/>
        <v>0</v>
      </c>
      <c r="M1674" s="50"/>
      <c r="N1674" s="50"/>
    </row>
    <row r="1675" spans="1:14" ht="31.2" x14ac:dyDescent="0.3">
      <c r="A1675" s="8" t="s">
        <v>1414</v>
      </c>
      <c r="B1675" s="62" t="s">
        <v>912</v>
      </c>
      <c r="C1675" s="68" t="s">
        <v>1372</v>
      </c>
      <c r="D1675" s="68" t="s">
        <v>1477</v>
      </c>
      <c r="E1675" s="8" t="s">
        <v>1312</v>
      </c>
      <c r="F1675" s="8" t="s">
        <v>247</v>
      </c>
      <c r="G1675" s="23" t="s">
        <v>810</v>
      </c>
      <c r="H1675" s="14">
        <f>4618.2+3400-1.497</f>
        <v>8016.7029999999995</v>
      </c>
      <c r="I1675" s="14">
        <v>8016.7030000000004</v>
      </c>
      <c r="J1675" s="14">
        <v>4504.2419799999998</v>
      </c>
      <c r="K1675" s="78">
        <f t="shared" si="764"/>
        <v>56.185715998210227</v>
      </c>
      <c r="L1675" s="14"/>
      <c r="M1675" s="50"/>
      <c r="N1675" s="50"/>
    </row>
    <row r="1676" spans="1:14" x14ac:dyDescent="0.3">
      <c r="A1676" s="8" t="s">
        <v>1414</v>
      </c>
      <c r="B1676" s="62" t="s">
        <v>912</v>
      </c>
      <c r="C1676" s="68" t="s">
        <v>1372</v>
      </c>
      <c r="D1676" s="68" t="s">
        <v>1477</v>
      </c>
      <c r="E1676" s="8" t="s">
        <v>1312</v>
      </c>
      <c r="F1676" s="45" t="s">
        <v>464</v>
      </c>
      <c r="G1676" s="23" t="s">
        <v>822</v>
      </c>
      <c r="H1676" s="14">
        <f t="shared" ref="H1676:L1676" si="767">H1677</f>
        <v>70.2</v>
      </c>
      <c r="I1676" s="14">
        <f t="shared" si="767"/>
        <v>70.2</v>
      </c>
      <c r="J1676" s="14">
        <f t="shared" si="767"/>
        <v>57.78</v>
      </c>
      <c r="K1676" s="78">
        <f t="shared" si="764"/>
        <v>82.307692307692307</v>
      </c>
      <c r="L1676" s="14">
        <f t="shared" si="767"/>
        <v>0</v>
      </c>
      <c r="M1676" s="50"/>
      <c r="N1676" s="50"/>
    </row>
    <row r="1677" spans="1:14" x14ac:dyDescent="0.3">
      <c r="A1677" s="8" t="s">
        <v>1414</v>
      </c>
      <c r="B1677" s="62" t="s">
        <v>912</v>
      </c>
      <c r="C1677" s="68" t="s">
        <v>1372</v>
      </c>
      <c r="D1677" s="68" t="s">
        <v>1477</v>
      </c>
      <c r="E1677" s="8" t="s">
        <v>1312</v>
      </c>
      <c r="F1677" s="45" t="s">
        <v>729</v>
      </c>
      <c r="G1677" s="23" t="s">
        <v>824</v>
      </c>
      <c r="H1677" s="14">
        <v>70.2</v>
      </c>
      <c r="I1677" s="14">
        <v>70.2</v>
      </c>
      <c r="J1677" s="14">
        <v>57.78</v>
      </c>
      <c r="K1677" s="78">
        <f t="shared" si="764"/>
        <v>82.307692307692307</v>
      </c>
      <c r="L1677" s="14"/>
      <c r="M1677" s="50"/>
      <c r="N1677" s="50"/>
    </row>
    <row r="1678" spans="1:14" ht="78" x14ac:dyDescent="0.3">
      <c r="A1678" s="8" t="s">
        <v>1414</v>
      </c>
      <c r="B1678" s="62" t="s">
        <v>912</v>
      </c>
      <c r="C1678" s="68" t="s">
        <v>1372</v>
      </c>
      <c r="D1678" s="68" t="s">
        <v>1477</v>
      </c>
      <c r="E1678" s="8" t="s">
        <v>1313</v>
      </c>
      <c r="F1678" s="8"/>
      <c r="G1678" s="13" t="s">
        <v>875</v>
      </c>
      <c r="H1678" s="14">
        <f t="shared" ref="H1678:L1679" si="768">H1679</f>
        <v>221</v>
      </c>
      <c r="I1678" s="14">
        <f t="shared" si="768"/>
        <v>221</v>
      </c>
      <c r="J1678" s="14">
        <f t="shared" si="768"/>
        <v>221</v>
      </c>
      <c r="K1678" s="78">
        <f t="shared" si="764"/>
        <v>100</v>
      </c>
      <c r="L1678" s="14">
        <f t="shared" si="768"/>
        <v>0</v>
      </c>
      <c r="M1678" s="50"/>
      <c r="N1678" s="50"/>
    </row>
    <row r="1679" spans="1:14" ht="31.2" x14ac:dyDescent="0.3">
      <c r="A1679" s="8" t="s">
        <v>1414</v>
      </c>
      <c r="B1679" s="62" t="s">
        <v>912</v>
      </c>
      <c r="C1679" s="68" t="s">
        <v>1372</v>
      </c>
      <c r="D1679" s="68" t="s">
        <v>1477</v>
      </c>
      <c r="E1679" s="8" t="s">
        <v>1313</v>
      </c>
      <c r="F1679" s="45" t="s">
        <v>380</v>
      </c>
      <c r="G1679" s="23" t="s">
        <v>809</v>
      </c>
      <c r="H1679" s="14">
        <f t="shared" si="768"/>
        <v>221</v>
      </c>
      <c r="I1679" s="14">
        <f t="shared" si="768"/>
        <v>221</v>
      </c>
      <c r="J1679" s="14">
        <f t="shared" si="768"/>
        <v>221</v>
      </c>
      <c r="K1679" s="78">
        <f t="shared" si="764"/>
        <v>100</v>
      </c>
      <c r="L1679" s="14">
        <f t="shared" si="768"/>
        <v>0</v>
      </c>
      <c r="M1679" s="50"/>
      <c r="N1679" s="50"/>
    </row>
    <row r="1680" spans="1:14" ht="31.2" x14ac:dyDescent="0.3">
      <c r="A1680" s="8" t="s">
        <v>1414</v>
      </c>
      <c r="B1680" s="62" t="s">
        <v>912</v>
      </c>
      <c r="C1680" s="68" t="s">
        <v>1372</v>
      </c>
      <c r="D1680" s="68" t="s">
        <v>1477</v>
      </c>
      <c r="E1680" s="8" t="s">
        <v>1313</v>
      </c>
      <c r="F1680" s="8" t="s">
        <v>247</v>
      </c>
      <c r="G1680" s="23" t="s">
        <v>810</v>
      </c>
      <c r="H1680" s="14">
        <f>221.5-0.5</f>
        <v>221</v>
      </c>
      <c r="I1680" s="14">
        <v>221</v>
      </c>
      <c r="J1680" s="14">
        <v>221</v>
      </c>
      <c r="K1680" s="78">
        <f t="shared" si="764"/>
        <v>100</v>
      </c>
      <c r="L1680" s="14"/>
      <c r="M1680" s="50"/>
      <c r="N1680" s="50"/>
    </row>
    <row r="1681" spans="1:14" ht="31.2" x14ac:dyDescent="0.3">
      <c r="A1681" s="8" t="s">
        <v>1414</v>
      </c>
      <c r="B1681" s="62" t="s">
        <v>912</v>
      </c>
      <c r="C1681" s="68" t="s">
        <v>1372</v>
      </c>
      <c r="D1681" s="68" t="s">
        <v>1477</v>
      </c>
      <c r="E1681" s="8" t="s">
        <v>429</v>
      </c>
      <c r="F1681" s="8"/>
      <c r="G1681" s="13" t="s">
        <v>1140</v>
      </c>
      <c r="H1681" s="20">
        <v>0</v>
      </c>
      <c r="I1681" s="14">
        <f>I1682</f>
        <v>10</v>
      </c>
      <c r="J1681" s="14">
        <f t="shared" ref="J1681:L1683" si="769">J1682</f>
        <v>10</v>
      </c>
      <c r="K1681" s="78">
        <f t="shared" si="764"/>
        <v>100</v>
      </c>
      <c r="L1681" s="14">
        <f t="shared" si="769"/>
        <v>0</v>
      </c>
      <c r="M1681" s="50"/>
      <c r="N1681" s="50"/>
    </row>
    <row r="1682" spans="1:14" ht="46.8" x14ac:dyDescent="0.3">
      <c r="A1682" s="8" t="s">
        <v>1414</v>
      </c>
      <c r="B1682" s="62" t="s">
        <v>912</v>
      </c>
      <c r="C1682" s="68" t="s">
        <v>1372</v>
      </c>
      <c r="D1682" s="68" t="s">
        <v>1477</v>
      </c>
      <c r="E1682" s="8" t="s">
        <v>535</v>
      </c>
      <c r="F1682" s="8"/>
      <c r="G1682" s="13" t="s">
        <v>176</v>
      </c>
      <c r="H1682" s="20">
        <v>0</v>
      </c>
      <c r="I1682" s="14">
        <f>I1683</f>
        <v>10</v>
      </c>
      <c r="J1682" s="14">
        <f t="shared" si="769"/>
        <v>10</v>
      </c>
      <c r="K1682" s="78">
        <f t="shared" si="764"/>
        <v>100</v>
      </c>
      <c r="L1682" s="14">
        <f t="shared" si="769"/>
        <v>0</v>
      </c>
      <c r="M1682" s="50"/>
      <c r="N1682" s="50"/>
    </row>
    <row r="1683" spans="1:14" ht="31.2" x14ac:dyDescent="0.3">
      <c r="A1683" s="8" t="s">
        <v>1414</v>
      </c>
      <c r="B1683" s="62" t="s">
        <v>912</v>
      </c>
      <c r="C1683" s="68" t="s">
        <v>1372</v>
      </c>
      <c r="D1683" s="68" t="s">
        <v>1477</v>
      </c>
      <c r="E1683" s="8" t="s">
        <v>535</v>
      </c>
      <c r="F1683" s="45" t="s">
        <v>380</v>
      </c>
      <c r="G1683" s="23" t="s">
        <v>809</v>
      </c>
      <c r="H1683" s="20">
        <v>0</v>
      </c>
      <c r="I1683" s="14">
        <f>I1684</f>
        <v>10</v>
      </c>
      <c r="J1683" s="14">
        <f t="shared" si="769"/>
        <v>10</v>
      </c>
      <c r="K1683" s="78">
        <f t="shared" si="764"/>
        <v>100</v>
      </c>
      <c r="L1683" s="14">
        <f t="shared" si="769"/>
        <v>0</v>
      </c>
      <c r="M1683" s="50"/>
      <c r="N1683" s="50"/>
    </row>
    <row r="1684" spans="1:14" ht="31.2" x14ac:dyDescent="0.3">
      <c r="A1684" s="8" t="s">
        <v>1414</v>
      </c>
      <c r="B1684" s="62" t="s">
        <v>912</v>
      </c>
      <c r="C1684" s="68" t="s">
        <v>1372</v>
      </c>
      <c r="D1684" s="68" t="s">
        <v>1477</v>
      </c>
      <c r="E1684" s="8" t="s">
        <v>535</v>
      </c>
      <c r="F1684" s="8" t="s">
        <v>247</v>
      </c>
      <c r="G1684" s="23" t="s">
        <v>810</v>
      </c>
      <c r="H1684" s="20">
        <v>0</v>
      </c>
      <c r="I1684" s="14">
        <v>10</v>
      </c>
      <c r="J1684" s="14">
        <v>10</v>
      </c>
      <c r="K1684" s="78">
        <f t="shared" si="764"/>
        <v>100</v>
      </c>
      <c r="L1684" s="14"/>
      <c r="M1684" s="50"/>
      <c r="N1684" s="50"/>
    </row>
    <row r="1685" spans="1:14" s="3" customFormat="1" ht="31.2" x14ac:dyDescent="0.3">
      <c r="A1685" s="10" t="s">
        <v>1414</v>
      </c>
      <c r="B1685" s="43" t="s">
        <v>1391</v>
      </c>
      <c r="C1685" s="43" t="s">
        <v>1391</v>
      </c>
      <c r="D1685" s="43" t="s">
        <v>915</v>
      </c>
      <c r="E1685" s="10"/>
      <c r="F1685" s="10"/>
      <c r="G1685" s="5" t="s">
        <v>1415</v>
      </c>
      <c r="H1685" s="15">
        <f>H1693+H1686</f>
        <v>893.90899999999988</v>
      </c>
      <c r="I1685" s="15">
        <f>I1693+I1686</f>
        <v>1301.4810000000002</v>
      </c>
      <c r="J1685" s="15">
        <f t="shared" ref="J1685" si="770">J1693+J1686</f>
        <v>1054.6320499999999</v>
      </c>
      <c r="K1685" s="81">
        <f t="shared" si="764"/>
        <v>81.033226762434481</v>
      </c>
      <c r="L1685" s="15">
        <f>L1693+L1686</f>
        <v>0</v>
      </c>
      <c r="M1685" s="65"/>
      <c r="N1685" s="65"/>
    </row>
    <row r="1686" spans="1:14" s="9" customFormat="1" ht="46.8" x14ac:dyDescent="0.3">
      <c r="A1686" s="11" t="s">
        <v>1414</v>
      </c>
      <c r="B1686" s="48" t="s">
        <v>935</v>
      </c>
      <c r="C1686" s="48" t="s">
        <v>1391</v>
      </c>
      <c r="D1686" s="48" t="s">
        <v>1398</v>
      </c>
      <c r="E1686" s="11"/>
      <c r="F1686" s="11"/>
      <c r="G1686" s="7" t="s">
        <v>1420</v>
      </c>
      <c r="H1686" s="16">
        <f t="shared" ref="H1686:L1691" si="771">H1687</f>
        <v>47.5</v>
      </c>
      <c r="I1686" s="16">
        <f t="shared" si="771"/>
        <v>47.5</v>
      </c>
      <c r="J1686" s="16">
        <f t="shared" si="771"/>
        <v>16.707650000000001</v>
      </c>
      <c r="K1686" s="82">
        <f t="shared" si="764"/>
        <v>35.173999999999999</v>
      </c>
      <c r="L1686" s="16">
        <f t="shared" si="771"/>
        <v>0</v>
      </c>
      <c r="M1686" s="65"/>
      <c r="N1686" s="65"/>
    </row>
    <row r="1687" spans="1:14" ht="46.8" x14ac:dyDescent="0.3">
      <c r="A1687" s="8" t="s">
        <v>1414</v>
      </c>
      <c r="B1687" s="62" t="s">
        <v>935</v>
      </c>
      <c r="C1687" s="68" t="s">
        <v>1391</v>
      </c>
      <c r="D1687" s="68" t="s">
        <v>1398</v>
      </c>
      <c r="E1687" s="8" t="s">
        <v>381</v>
      </c>
      <c r="F1687" s="8"/>
      <c r="G1687" s="18" t="s">
        <v>1061</v>
      </c>
      <c r="H1687" s="14">
        <f t="shared" si="771"/>
        <v>47.5</v>
      </c>
      <c r="I1687" s="14">
        <f t="shared" si="771"/>
        <v>47.5</v>
      </c>
      <c r="J1687" s="14">
        <f t="shared" si="771"/>
        <v>16.707650000000001</v>
      </c>
      <c r="K1687" s="78">
        <f t="shared" si="764"/>
        <v>35.173999999999999</v>
      </c>
      <c r="L1687" s="14">
        <f t="shared" si="771"/>
        <v>0</v>
      </c>
      <c r="M1687" s="50"/>
      <c r="N1687" s="50"/>
    </row>
    <row r="1688" spans="1:14" ht="62.4" x14ac:dyDescent="0.3">
      <c r="A1688" s="8" t="s">
        <v>1414</v>
      </c>
      <c r="B1688" s="62" t="s">
        <v>935</v>
      </c>
      <c r="C1688" s="68" t="s">
        <v>1391</v>
      </c>
      <c r="D1688" s="68" t="s">
        <v>1398</v>
      </c>
      <c r="E1688" s="8" t="s">
        <v>382</v>
      </c>
      <c r="F1688" s="8"/>
      <c r="G1688" s="18" t="s">
        <v>1062</v>
      </c>
      <c r="H1688" s="14">
        <f t="shared" si="771"/>
        <v>47.5</v>
      </c>
      <c r="I1688" s="14">
        <f t="shared" si="771"/>
        <v>47.5</v>
      </c>
      <c r="J1688" s="14">
        <f t="shared" si="771"/>
        <v>16.707650000000001</v>
      </c>
      <c r="K1688" s="78">
        <f t="shared" si="764"/>
        <v>35.173999999999999</v>
      </c>
      <c r="L1688" s="14">
        <f t="shared" si="771"/>
        <v>0</v>
      </c>
      <c r="M1688" s="50"/>
      <c r="N1688" s="50"/>
    </row>
    <row r="1689" spans="1:14" ht="46.8" x14ac:dyDescent="0.3">
      <c r="A1689" s="8" t="s">
        <v>1414</v>
      </c>
      <c r="B1689" s="62" t="s">
        <v>935</v>
      </c>
      <c r="C1689" s="68" t="s">
        <v>1391</v>
      </c>
      <c r="D1689" s="68" t="s">
        <v>1398</v>
      </c>
      <c r="E1689" s="8" t="s">
        <v>53</v>
      </c>
      <c r="F1689" s="8"/>
      <c r="G1689" s="31" t="s">
        <v>1318</v>
      </c>
      <c r="H1689" s="14">
        <f t="shared" si="771"/>
        <v>47.5</v>
      </c>
      <c r="I1689" s="14">
        <f t="shared" si="771"/>
        <v>47.5</v>
      </c>
      <c r="J1689" s="14">
        <f t="shared" si="771"/>
        <v>16.707650000000001</v>
      </c>
      <c r="K1689" s="78">
        <f t="shared" si="764"/>
        <v>35.173999999999999</v>
      </c>
      <c r="L1689" s="14">
        <f t="shared" si="771"/>
        <v>0</v>
      </c>
      <c r="M1689" s="50"/>
      <c r="N1689" s="50"/>
    </row>
    <row r="1690" spans="1:14" ht="31.2" x14ac:dyDescent="0.3">
      <c r="A1690" s="8" t="s">
        <v>1414</v>
      </c>
      <c r="B1690" s="62" t="s">
        <v>935</v>
      </c>
      <c r="C1690" s="68" t="s">
        <v>1391</v>
      </c>
      <c r="D1690" s="68" t="s">
        <v>1398</v>
      </c>
      <c r="E1690" s="8" t="s">
        <v>93</v>
      </c>
      <c r="F1690" s="8"/>
      <c r="G1690" s="23" t="s">
        <v>161</v>
      </c>
      <c r="H1690" s="14">
        <f t="shared" si="771"/>
        <v>47.5</v>
      </c>
      <c r="I1690" s="14">
        <f t="shared" si="771"/>
        <v>47.5</v>
      </c>
      <c r="J1690" s="14">
        <f t="shared" si="771"/>
        <v>16.707650000000001</v>
      </c>
      <c r="K1690" s="78">
        <f t="shared" si="764"/>
        <v>35.173999999999999</v>
      </c>
      <c r="L1690" s="14">
        <f t="shared" si="771"/>
        <v>0</v>
      </c>
      <c r="M1690" s="50"/>
      <c r="N1690" s="50"/>
    </row>
    <row r="1691" spans="1:14" ht="31.2" x14ac:dyDescent="0.3">
      <c r="A1691" s="8" t="s">
        <v>1414</v>
      </c>
      <c r="B1691" s="62" t="s">
        <v>935</v>
      </c>
      <c r="C1691" s="68" t="s">
        <v>1391</v>
      </c>
      <c r="D1691" s="68" t="s">
        <v>1398</v>
      </c>
      <c r="E1691" s="8" t="s">
        <v>93</v>
      </c>
      <c r="F1691" s="45" t="s">
        <v>380</v>
      </c>
      <c r="G1691" s="23" t="s">
        <v>809</v>
      </c>
      <c r="H1691" s="14">
        <f t="shared" si="771"/>
        <v>47.5</v>
      </c>
      <c r="I1691" s="14">
        <f t="shared" si="771"/>
        <v>47.5</v>
      </c>
      <c r="J1691" s="14">
        <f t="shared" si="771"/>
        <v>16.707650000000001</v>
      </c>
      <c r="K1691" s="78">
        <f t="shared" si="764"/>
        <v>35.173999999999999</v>
      </c>
      <c r="L1691" s="14">
        <f t="shared" si="771"/>
        <v>0</v>
      </c>
      <c r="M1691" s="50"/>
      <c r="N1691" s="50"/>
    </row>
    <row r="1692" spans="1:14" ht="31.2" x14ac:dyDescent="0.3">
      <c r="A1692" s="8" t="s">
        <v>1414</v>
      </c>
      <c r="B1692" s="62" t="s">
        <v>935</v>
      </c>
      <c r="C1692" s="68" t="s">
        <v>1391</v>
      </c>
      <c r="D1692" s="68" t="s">
        <v>1398</v>
      </c>
      <c r="E1692" s="8" t="s">
        <v>93</v>
      </c>
      <c r="F1692" s="8" t="s">
        <v>247</v>
      </c>
      <c r="G1692" s="23" t="s">
        <v>810</v>
      </c>
      <c r="H1692" s="14">
        <v>47.5</v>
      </c>
      <c r="I1692" s="14">
        <v>47.5</v>
      </c>
      <c r="J1692" s="14">
        <v>16.707650000000001</v>
      </c>
      <c r="K1692" s="78">
        <f t="shared" si="764"/>
        <v>35.173999999999999</v>
      </c>
      <c r="L1692" s="14"/>
      <c r="M1692" s="50"/>
      <c r="N1692" s="50"/>
    </row>
    <row r="1693" spans="1:14" s="9" customFormat="1" ht="31.2" x14ac:dyDescent="0.3">
      <c r="A1693" s="11" t="s">
        <v>1414</v>
      </c>
      <c r="B1693" s="48" t="s">
        <v>936</v>
      </c>
      <c r="C1693" s="48" t="s">
        <v>1391</v>
      </c>
      <c r="D1693" s="48" t="s">
        <v>1480</v>
      </c>
      <c r="E1693" s="11"/>
      <c r="F1693" s="11"/>
      <c r="G1693" s="7" t="s">
        <v>1421</v>
      </c>
      <c r="H1693" s="16">
        <f>H1694+H1700</f>
        <v>846.40899999999988</v>
      </c>
      <c r="I1693" s="16">
        <f>I1694+I1700+I1708</f>
        <v>1253.9810000000002</v>
      </c>
      <c r="J1693" s="16">
        <f t="shared" ref="J1693:L1693" si="772">J1694+J1700+J1708</f>
        <v>1037.9243999999999</v>
      </c>
      <c r="K1693" s="82">
        <f t="shared" si="764"/>
        <v>82.770345005227327</v>
      </c>
      <c r="L1693" s="16">
        <f t="shared" si="772"/>
        <v>0</v>
      </c>
      <c r="M1693" s="65"/>
      <c r="N1693" s="65"/>
    </row>
    <row r="1694" spans="1:14" ht="31.2" x14ac:dyDescent="0.3">
      <c r="A1694" s="8" t="s">
        <v>1414</v>
      </c>
      <c r="B1694" s="62" t="s">
        <v>936</v>
      </c>
      <c r="C1694" s="68" t="s">
        <v>1391</v>
      </c>
      <c r="D1694" s="68" t="s">
        <v>1480</v>
      </c>
      <c r="E1694" s="8" t="s">
        <v>383</v>
      </c>
      <c r="F1694" s="8"/>
      <c r="G1694" s="13" t="s">
        <v>1055</v>
      </c>
      <c r="H1694" s="14">
        <f t="shared" ref="H1694:L1698" si="773">H1695</f>
        <v>200</v>
      </c>
      <c r="I1694" s="14">
        <f t="shared" si="773"/>
        <v>200</v>
      </c>
      <c r="J1694" s="14">
        <f t="shared" si="773"/>
        <v>200</v>
      </c>
      <c r="K1694" s="78">
        <f t="shared" si="764"/>
        <v>100</v>
      </c>
      <c r="L1694" s="14">
        <f t="shared" si="773"/>
        <v>0</v>
      </c>
      <c r="M1694" s="50"/>
      <c r="N1694" s="50"/>
    </row>
    <row r="1695" spans="1:14" ht="46.8" x14ac:dyDescent="0.3">
      <c r="A1695" s="8" t="s">
        <v>1414</v>
      </c>
      <c r="B1695" s="62" t="s">
        <v>936</v>
      </c>
      <c r="C1695" s="68" t="s">
        <v>1391</v>
      </c>
      <c r="D1695" s="68" t="s">
        <v>1480</v>
      </c>
      <c r="E1695" s="8" t="s">
        <v>432</v>
      </c>
      <c r="F1695" s="8"/>
      <c r="G1695" s="13" t="s">
        <v>1056</v>
      </c>
      <c r="H1695" s="14">
        <f t="shared" si="773"/>
        <v>200</v>
      </c>
      <c r="I1695" s="14">
        <f t="shared" si="773"/>
        <v>200</v>
      </c>
      <c r="J1695" s="14">
        <f t="shared" si="773"/>
        <v>200</v>
      </c>
      <c r="K1695" s="78">
        <f t="shared" si="764"/>
        <v>100</v>
      </c>
      <c r="L1695" s="14">
        <f t="shared" si="773"/>
        <v>0</v>
      </c>
      <c r="M1695" s="50"/>
      <c r="N1695" s="50"/>
    </row>
    <row r="1696" spans="1:14" ht="46.8" x14ac:dyDescent="0.3">
      <c r="A1696" s="8" t="s">
        <v>1414</v>
      </c>
      <c r="B1696" s="62" t="s">
        <v>936</v>
      </c>
      <c r="C1696" s="68" t="s">
        <v>1391</v>
      </c>
      <c r="D1696" s="68" t="s">
        <v>1480</v>
      </c>
      <c r="E1696" s="8" t="s">
        <v>433</v>
      </c>
      <c r="F1696" s="8"/>
      <c r="G1696" s="18" t="s">
        <v>132</v>
      </c>
      <c r="H1696" s="14">
        <f t="shared" si="773"/>
        <v>200</v>
      </c>
      <c r="I1696" s="14">
        <f t="shared" si="773"/>
        <v>200</v>
      </c>
      <c r="J1696" s="14">
        <f t="shared" si="773"/>
        <v>200</v>
      </c>
      <c r="K1696" s="78">
        <f t="shared" si="764"/>
        <v>100</v>
      </c>
      <c r="L1696" s="14">
        <f t="shared" si="773"/>
        <v>0</v>
      </c>
      <c r="M1696" s="50"/>
      <c r="N1696" s="50"/>
    </row>
    <row r="1697" spans="1:14" ht="31.2" x14ac:dyDescent="0.3">
      <c r="A1697" s="8" t="s">
        <v>1414</v>
      </c>
      <c r="B1697" s="62" t="s">
        <v>936</v>
      </c>
      <c r="C1697" s="68" t="s">
        <v>1391</v>
      </c>
      <c r="D1697" s="68" t="s">
        <v>1480</v>
      </c>
      <c r="E1697" s="8" t="s">
        <v>434</v>
      </c>
      <c r="F1697" s="8"/>
      <c r="G1697" s="13" t="s">
        <v>1058</v>
      </c>
      <c r="H1697" s="14">
        <f t="shared" si="773"/>
        <v>200</v>
      </c>
      <c r="I1697" s="14">
        <f t="shared" si="773"/>
        <v>200</v>
      </c>
      <c r="J1697" s="14">
        <f t="shared" si="773"/>
        <v>200</v>
      </c>
      <c r="K1697" s="78">
        <f t="shared" si="764"/>
        <v>100</v>
      </c>
      <c r="L1697" s="14">
        <f t="shared" si="773"/>
        <v>0</v>
      </c>
      <c r="M1697" s="50"/>
      <c r="N1697" s="50"/>
    </row>
    <row r="1698" spans="1:14" ht="31.2" x14ac:dyDescent="0.3">
      <c r="A1698" s="8" t="s">
        <v>1414</v>
      </c>
      <c r="B1698" s="62" t="s">
        <v>936</v>
      </c>
      <c r="C1698" s="68" t="s">
        <v>1391</v>
      </c>
      <c r="D1698" s="68" t="s">
        <v>1480</v>
      </c>
      <c r="E1698" s="8" t="s">
        <v>434</v>
      </c>
      <c r="F1698" s="45" t="s">
        <v>380</v>
      </c>
      <c r="G1698" s="23" t="s">
        <v>809</v>
      </c>
      <c r="H1698" s="14">
        <f t="shared" si="773"/>
        <v>200</v>
      </c>
      <c r="I1698" s="14">
        <f t="shared" si="773"/>
        <v>200</v>
      </c>
      <c r="J1698" s="14">
        <f t="shared" si="773"/>
        <v>200</v>
      </c>
      <c r="K1698" s="78">
        <f t="shared" si="764"/>
        <v>100</v>
      </c>
      <c r="L1698" s="14">
        <f t="shared" si="773"/>
        <v>0</v>
      </c>
      <c r="M1698" s="50"/>
      <c r="N1698" s="50"/>
    </row>
    <row r="1699" spans="1:14" ht="31.2" x14ac:dyDescent="0.3">
      <c r="A1699" s="8" t="s">
        <v>1414</v>
      </c>
      <c r="B1699" s="62" t="s">
        <v>936</v>
      </c>
      <c r="C1699" s="68" t="s">
        <v>1391</v>
      </c>
      <c r="D1699" s="68" t="s">
        <v>1480</v>
      </c>
      <c r="E1699" s="8" t="s">
        <v>434</v>
      </c>
      <c r="F1699" s="8" t="s">
        <v>247</v>
      </c>
      <c r="G1699" s="23" t="s">
        <v>810</v>
      </c>
      <c r="H1699" s="14">
        <v>200</v>
      </c>
      <c r="I1699" s="14">
        <v>200</v>
      </c>
      <c r="J1699" s="14">
        <v>200</v>
      </c>
      <c r="K1699" s="78">
        <f t="shared" si="764"/>
        <v>100</v>
      </c>
      <c r="L1699" s="14"/>
      <c r="M1699" s="50"/>
      <c r="N1699" s="50"/>
    </row>
    <row r="1700" spans="1:14" ht="46.8" x14ac:dyDescent="0.3">
      <c r="A1700" s="8" t="s">
        <v>1414</v>
      </c>
      <c r="B1700" s="62" t="s">
        <v>936</v>
      </c>
      <c r="C1700" s="68" t="s">
        <v>1391</v>
      </c>
      <c r="D1700" s="68" t="s">
        <v>1480</v>
      </c>
      <c r="E1700" s="8" t="s">
        <v>381</v>
      </c>
      <c r="F1700" s="8"/>
      <c r="G1700" s="18" t="s">
        <v>1061</v>
      </c>
      <c r="H1700" s="14">
        <f t="shared" ref="H1700:L1704" si="774">H1701</f>
        <v>646.40899999999988</v>
      </c>
      <c r="I1700" s="14">
        <f t="shared" si="774"/>
        <v>646.40900000000011</v>
      </c>
      <c r="J1700" s="14">
        <f t="shared" si="774"/>
        <v>430.35239999999999</v>
      </c>
      <c r="K1700" s="78">
        <f t="shared" si="764"/>
        <v>66.575867600853329</v>
      </c>
      <c r="L1700" s="14">
        <f t="shared" si="774"/>
        <v>0</v>
      </c>
      <c r="M1700" s="50"/>
      <c r="N1700" s="50"/>
    </row>
    <row r="1701" spans="1:14" ht="31.2" x14ac:dyDescent="0.3">
      <c r="A1701" s="8" t="s">
        <v>1414</v>
      </c>
      <c r="B1701" s="62" t="s">
        <v>936</v>
      </c>
      <c r="C1701" s="68" t="s">
        <v>1391</v>
      </c>
      <c r="D1701" s="68" t="s">
        <v>1480</v>
      </c>
      <c r="E1701" s="8" t="s">
        <v>435</v>
      </c>
      <c r="F1701" s="8"/>
      <c r="G1701" s="13" t="s">
        <v>1064</v>
      </c>
      <c r="H1701" s="14">
        <f t="shared" si="774"/>
        <v>646.40899999999988</v>
      </c>
      <c r="I1701" s="14">
        <f t="shared" si="774"/>
        <v>646.40900000000011</v>
      </c>
      <c r="J1701" s="14">
        <f t="shared" si="774"/>
        <v>430.35239999999999</v>
      </c>
      <c r="K1701" s="78">
        <f t="shared" si="764"/>
        <v>66.575867600853329</v>
      </c>
      <c r="L1701" s="14">
        <f t="shared" si="774"/>
        <v>0</v>
      </c>
      <c r="M1701" s="50"/>
      <c r="N1701" s="50"/>
    </row>
    <row r="1702" spans="1:14" ht="46.8" x14ac:dyDescent="0.3">
      <c r="A1702" s="8" t="s">
        <v>1414</v>
      </c>
      <c r="B1702" s="62" t="s">
        <v>936</v>
      </c>
      <c r="C1702" s="68" t="s">
        <v>1391</v>
      </c>
      <c r="D1702" s="68" t="s">
        <v>1480</v>
      </c>
      <c r="E1702" s="8" t="s">
        <v>436</v>
      </c>
      <c r="F1702" s="8"/>
      <c r="G1702" s="13" t="s">
        <v>1211</v>
      </c>
      <c r="H1702" s="14">
        <f t="shared" si="774"/>
        <v>646.40899999999988</v>
      </c>
      <c r="I1702" s="14">
        <f t="shared" si="774"/>
        <v>646.40900000000011</v>
      </c>
      <c r="J1702" s="14">
        <f t="shared" si="774"/>
        <v>430.35239999999999</v>
      </c>
      <c r="K1702" s="78">
        <f t="shared" si="764"/>
        <v>66.575867600853329</v>
      </c>
      <c r="L1702" s="14">
        <f t="shared" si="774"/>
        <v>0</v>
      </c>
      <c r="M1702" s="50"/>
      <c r="N1702" s="50"/>
    </row>
    <row r="1703" spans="1:14" ht="46.8" x14ac:dyDescent="0.3">
      <c r="A1703" s="8" t="s">
        <v>1414</v>
      </c>
      <c r="B1703" s="62" t="s">
        <v>936</v>
      </c>
      <c r="C1703" s="68" t="s">
        <v>1391</v>
      </c>
      <c r="D1703" s="68" t="s">
        <v>1480</v>
      </c>
      <c r="E1703" s="8" t="s">
        <v>437</v>
      </c>
      <c r="F1703" s="8"/>
      <c r="G1703" s="18" t="s">
        <v>19</v>
      </c>
      <c r="H1703" s="14">
        <f>H1704+H1706</f>
        <v>646.40899999999988</v>
      </c>
      <c r="I1703" s="14">
        <f>I1704+I1706</f>
        <v>646.40900000000011</v>
      </c>
      <c r="J1703" s="14">
        <f t="shared" ref="J1703" si="775">J1704+J1706</f>
        <v>430.35239999999999</v>
      </c>
      <c r="K1703" s="78">
        <f t="shared" si="764"/>
        <v>66.575867600853329</v>
      </c>
      <c r="L1703" s="14">
        <f>L1704+L1706</f>
        <v>0</v>
      </c>
      <c r="M1703" s="50"/>
      <c r="N1703" s="50"/>
    </row>
    <row r="1704" spans="1:14" ht="31.2" x14ac:dyDescent="0.3">
      <c r="A1704" s="8" t="s">
        <v>1414</v>
      </c>
      <c r="B1704" s="62" t="s">
        <v>936</v>
      </c>
      <c r="C1704" s="68" t="s">
        <v>1391</v>
      </c>
      <c r="D1704" s="68" t="s">
        <v>1480</v>
      </c>
      <c r="E1704" s="8" t="s">
        <v>437</v>
      </c>
      <c r="F1704" s="45" t="s">
        <v>380</v>
      </c>
      <c r="G1704" s="23" t="s">
        <v>809</v>
      </c>
      <c r="H1704" s="14">
        <f t="shared" si="774"/>
        <v>569.44999999999993</v>
      </c>
      <c r="I1704" s="14">
        <f t="shared" si="774"/>
        <v>569.45000000000005</v>
      </c>
      <c r="J1704" s="14">
        <f t="shared" si="774"/>
        <v>353.39339999999999</v>
      </c>
      <c r="K1704" s="78">
        <f t="shared" si="764"/>
        <v>62.05872332952849</v>
      </c>
      <c r="L1704" s="14">
        <f t="shared" si="774"/>
        <v>0</v>
      </c>
      <c r="M1704" s="50"/>
      <c r="N1704" s="50"/>
    </row>
    <row r="1705" spans="1:14" ht="31.2" x14ac:dyDescent="0.3">
      <c r="A1705" s="8" t="s">
        <v>1414</v>
      </c>
      <c r="B1705" s="62" t="s">
        <v>936</v>
      </c>
      <c r="C1705" s="68" t="s">
        <v>1391</v>
      </c>
      <c r="D1705" s="68" t="s">
        <v>1480</v>
      </c>
      <c r="E1705" s="8" t="s">
        <v>437</v>
      </c>
      <c r="F1705" s="8" t="s">
        <v>247</v>
      </c>
      <c r="G1705" s="23" t="s">
        <v>810</v>
      </c>
      <c r="H1705" s="14">
        <f>433.2+172.7-36.45</f>
        <v>569.44999999999993</v>
      </c>
      <c r="I1705" s="14">
        <v>569.45000000000005</v>
      </c>
      <c r="J1705" s="14">
        <v>353.39339999999999</v>
      </c>
      <c r="K1705" s="78">
        <f t="shared" si="764"/>
        <v>62.05872332952849</v>
      </c>
      <c r="L1705" s="14"/>
      <c r="M1705" s="50"/>
      <c r="N1705" s="50"/>
    </row>
    <row r="1706" spans="1:14" x14ac:dyDescent="0.3">
      <c r="A1706" s="8" t="s">
        <v>1414</v>
      </c>
      <c r="B1706" s="62" t="s">
        <v>936</v>
      </c>
      <c r="C1706" s="68" t="s">
        <v>1391</v>
      </c>
      <c r="D1706" s="68" t="s">
        <v>1480</v>
      </c>
      <c r="E1706" s="8" t="s">
        <v>437</v>
      </c>
      <c r="F1706" s="45" t="s">
        <v>464</v>
      </c>
      <c r="G1706" s="23" t="s">
        <v>822</v>
      </c>
      <c r="H1706" s="14">
        <f t="shared" ref="H1706:L1706" si="776">H1707</f>
        <v>76.959000000000003</v>
      </c>
      <c r="I1706" s="14">
        <f t="shared" si="776"/>
        <v>76.959000000000003</v>
      </c>
      <c r="J1706" s="14">
        <f t="shared" si="776"/>
        <v>76.959000000000003</v>
      </c>
      <c r="K1706" s="78">
        <f t="shared" si="764"/>
        <v>100</v>
      </c>
      <c r="L1706" s="14">
        <f t="shared" si="776"/>
        <v>0</v>
      </c>
      <c r="M1706" s="50"/>
      <c r="N1706" s="50"/>
    </row>
    <row r="1707" spans="1:14" x14ac:dyDescent="0.3">
      <c r="A1707" s="8" t="s">
        <v>1414</v>
      </c>
      <c r="B1707" s="62" t="s">
        <v>936</v>
      </c>
      <c r="C1707" s="68" t="s">
        <v>1391</v>
      </c>
      <c r="D1707" s="68" t="s">
        <v>1480</v>
      </c>
      <c r="E1707" s="8" t="s">
        <v>437</v>
      </c>
      <c r="F1707" s="45" t="s">
        <v>729</v>
      </c>
      <c r="G1707" s="23" t="s">
        <v>824</v>
      </c>
      <c r="H1707" s="14">
        <f>77.8-0.841</f>
        <v>76.959000000000003</v>
      </c>
      <c r="I1707" s="14">
        <v>76.959000000000003</v>
      </c>
      <c r="J1707" s="14">
        <v>76.959000000000003</v>
      </c>
      <c r="K1707" s="78">
        <f t="shared" si="764"/>
        <v>100</v>
      </c>
      <c r="L1707" s="14"/>
      <c r="M1707" s="50"/>
      <c r="N1707" s="50"/>
    </row>
    <row r="1708" spans="1:14" ht="31.2" x14ac:dyDescent="0.3">
      <c r="A1708" s="8" t="s">
        <v>1414</v>
      </c>
      <c r="B1708" s="62" t="s">
        <v>936</v>
      </c>
      <c r="C1708" s="68" t="s">
        <v>1391</v>
      </c>
      <c r="D1708" s="68" t="s">
        <v>1480</v>
      </c>
      <c r="E1708" s="8" t="s">
        <v>429</v>
      </c>
      <c r="F1708" s="8"/>
      <c r="G1708" s="13" t="s">
        <v>1140</v>
      </c>
      <c r="H1708" s="20">
        <v>0</v>
      </c>
      <c r="I1708" s="14">
        <f>I1709</f>
        <v>407.572</v>
      </c>
      <c r="J1708" s="14">
        <f t="shared" ref="J1708:L1708" si="777">J1709</f>
        <v>407.572</v>
      </c>
      <c r="K1708" s="78">
        <f t="shared" si="764"/>
        <v>100</v>
      </c>
      <c r="L1708" s="14">
        <f t="shared" si="777"/>
        <v>0</v>
      </c>
      <c r="M1708" s="50"/>
      <c r="N1708" s="50"/>
    </row>
    <row r="1709" spans="1:14" ht="17.25" customHeight="1" x14ac:dyDescent="0.3">
      <c r="A1709" s="8" t="s">
        <v>1414</v>
      </c>
      <c r="B1709" s="62" t="s">
        <v>936</v>
      </c>
      <c r="C1709" s="68" t="s">
        <v>1391</v>
      </c>
      <c r="D1709" s="68" t="s">
        <v>1480</v>
      </c>
      <c r="E1709" s="8" t="s">
        <v>430</v>
      </c>
      <c r="F1709" s="8"/>
      <c r="G1709" s="13" t="s">
        <v>1141</v>
      </c>
      <c r="H1709" s="20">
        <v>0</v>
      </c>
      <c r="I1709" s="14">
        <f>I1710+I1713</f>
        <v>407.572</v>
      </c>
      <c r="J1709" s="14">
        <f t="shared" ref="J1709:L1709" si="778">J1710+J1713</f>
        <v>407.572</v>
      </c>
      <c r="K1709" s="78">
        <f t="shared" si="764"/>
        <v>100</v>
      </c>
      <c r="L1709" s="14">
        <f t="shared" si="778"/>
        <v>0</v>
      </c>
      <c r="M1709" s="50"/>
      <c r="N1709" s="50"/>
    </row>
    <row r="1710" spans="1:14" ht="31.2" x14ac:dyDescent="0.3">
      <c r="A1710" s="8" t="s">
        <v>1414</v>
      </c>
      <c r="B1710" s="62" t="s">
        <v>936</v>
      </c>
      <c r="C1710" s="68" t="s">
        <v>1391</v>
      </c>
      <c r="D1710" s="68" t="s">
        <v>1480</v>
      </c>
      <c r="E1710" s="8" t="s">
        <v>209</v>
      </c>
      <c r="F1710" s="8"/>
      <c r="G1710" s="13" t="s">
        <v>1147</v>
      </c>
      <c r="H1710" s="20">
        <v>0</v>
      </c>
      <c r="I1710" s="14">
        <f>I1711</f>
        <v>126.32</v>
      </c>
      <c r="J1710" s="14">
        <f t="shared" ref="J1710:L1711" si="779">J1711</f>
        <v>126.32</v>
      </c>
      <c r="K1710" s="78">
        <f t="shared" si="764"/>
        <v>100</v>
      </c>
      <c r="L1710" s="14">
        <f t="shared" si="779"/>
        <v>0</v>
      </c>
      <c r="M1710" s="50"/>
      <c r="N1710" s="50"/>
    </row>
    <row r="1711" spans="1:14" ht="31.2" x14ac:dyDescent="0.3">
      <c r="A1711" s="8" t="s">
        <v>1414</v>
      </c>
      <c r="B1711" s="62" t="s">
        <v>936</v>
      </c>
      <c r="C1711" s="68" t="s">
        <v>1391</v>
      </c>
      <c r="D1711" s="68" t="s">
        <v>1480</v>
      </c>
      <c r="E1711" s="8" t="s">
        <v>209</v>
      </c>
      <c r="F1711" s="45" t="s">
        <v>380</v>
      </c>
      <c r="G1711" s="23" t="s">
        <v>809</v>
      </c>
      <c r="H1711" s="20">
        <v>0</v>
      </c>
      <c r="I1711" s="14">
        <f>I1712</f>
        <v>126.32</v>
      </c>
      <c r="J1711" s="14">
        <f t="shared" si="779"/>
        <v>126.32</v>
      </c>
      <c r="K1711" s="78">
        <f t="shared" si="764"/>
        <v>100</v>
      </c>
      <c r="L1711" s="14">
        <f t="shared" si="779"/>
        <v>0</v>
      </c>
      <c r="M1711" s="50"/>
      <c r="N1711" s="50"/>
    </row>
    <row r="1712" spans="1:14" ht="31.2" x14ac:dyDescent="0.3">
      <c r="A1712" s="8" t="s">
        <v>1414</v>
      </c>
      <c r="B1712" s="62" t="s">
        <v>936</v>
      </c>
      <c r="C1712" s="68" t="s">
        <v>1391</v>
      </c>
      <c r="D1712" s="68" t="s">
        <v>1480</v>
      </c>
      <c r="E1712" s="8" t="s">
        <v>209</v>
      </c>
      <c r="F1712" s="8" t="s">
        <v>247</v>
      </c>
      <c r="G1712" s="23" t="s">
        <v>810</v>
      </c>
      <c r="H1712" s="20">
        <v>0</v>
      </c>
      <c r="I1712" s="14">
        <v>126.32</v>
      </c>
      <c r="J1712" s="20">
        <v>126.32</v>
      </c>
      <c r="K1712" s="77">
        <f t="shared" si="764"/>
        <v>100</v>
      </c>
      <c r="L1712" s="14"/>
      <c r="M1712" s="50"/>
      <c r="N1712" s="50"/>
    </row>
    <row r="1713" spans="1:14" ht="31.2" x14ac:dyDescent="0.3">
      <c r="A1713" s="8" t="s">
        <v>1414</v>
      </c>
      <c r="B1713" s="62" t="s">
        <v>936</v>
      </c>
      <c r="C1713" s="68" t="s">
        <v>1391</v>
      </c>
      <c r="D1713" s="68" t="s">
        <v>1480</v>
      </c>
      <c r="E1713" s="8" t="s">
        <v>210</v>
      </c>
      <c r="F1713" s="8"/>
      <c r="G1713" s="13" t="s">
        <v>1183</v>
      </c>
      <c r="H1713" s="20">
        <v>0</v>
      </c>
      <c r="I1713" s="14">
        <f>I1714+I1716</f>
        <v>281.25200000000001</v>
      </c>
      <c r="J1713" s="14">
        <f t="shared" ref="J1713:L1713" si="780">J1714+J1716</f>
        <v>281.25200000000001</v>
      </c>
      <c r="K1713" s="78">
        <f t="shared" si="764"/>
        <v>100</v>
      </c>
      <c r="L1713" s="14">
        <f t="shared" si="780"/>
        <v>0</v>
      </c>
      <c r="M1713" s="50"/>
      <c r="N1713" s="50"/>
    </row>
    <row r="1714" spans="1:14" ht="78" x14ac:dyDescent="0.3">
      <c r="A1714" s="8" t="s">
        <v>1414</v>
      </c>
      <c r="B1714" s="62" t="s">
        <v>936</v>
      </c>
      <c r="C1714" s="68" t="s">
        <v>1391</v>
      </c>
      <c r="D1714" s="68" t="s">
        <v>1480</v>
      </c>
      <c r="E1714" s="8" t="s">
        <v>210</v>
      </c>
      <c r="F1714" s="45" t="s">
        <v>431</v>
      </c>
      <c r="G1714" s="23" t="s">
        <v>806</v>
      </c>
      <c r="H1714" s="20">
        <v>0</v>
      </c>
      <c r="I1714" s="14">
        <f>I1715</f>
        <v>105.21599999999999</v>
      </c>
      <c r="J1714" s="14">
        <f t="shared" ref="J1714:L1714" si="781">J1715</f>
        <v>105.21599999999999</v>
      </c>
      <c r="K1714" s="78">
        <f t="shared" si="764"/>
        <v>100</v>
      </c>
      <c r="L1714" s="14">
        <f t="shared" si="781"/>
        <v>0</v>
      </c>
      <c r="M1714" s="50"/>
      <c r="N1714" s="50"/>
    </row>
    <row r="1715" spans="1:14" ht="31.2" x14ac:dyDescent="0.3">
      <c r="A1715" s="8" t="s">
        <v>1414</v>
      </c>
      <c r="B1715" s="62" t="s">
        <v>936</v>
      </c>
      <c r="C1715" s="68" t="s">
        <v>1391</v>
      </c>
      <c r="D1715" s="68" t="s">
        <v>1480</v>
      </c>
      <c r="E1715" s="8" t="s">
        <v>210</v>
      </c>
      <c r="F1715" s="45" t="s">
        <v>233</v>
      </c>
      <c r="G1715" s="23" t="s">
        <v>808</v>
      </c>
      <c r="H1715" s="20">
        <v>0</v>
      </c>
      <c r="I1715" s="14">
        <v>105.21599999999999</v>
      </c>
      <c r="J1715" s="14">
        <v>105.21599999999999</v>
      </c>
      <c r="K1715" s="78">
        <f t="shared" si="764"/>
        <v>100</v>
      </c>
      <c r="L1715" s="14"/>
      <c r="M1715" s="50"/>
      <c r="N1715" s="50"/>
    </row>
    <row r="1716" spans="1:14" ht="31.2" x14ac:dyDescent="0.3">
      <c r="A1716" s="8" t="s">
        <v>1414</v>
      </c>
      <c r="B1716" s="62" t="s">
        <v>936</v>
      </c>
      <c r="C1716" s="68" t="s">
        <v>1391</v>
      </c>
      <c r="D1716" s="68" t="s">
        <v>1480</v>
      </c>
      <c r="E1716" s="8" t="s">
        <v>210</v>
      </c>
      <c r="F1716" s="45" t="s">
        <v>380</v>
      </c>
      <c r="G1716" s="23" t="s">
        <v>809</v>
      </c>
      <c r="H1716" s="20">
        <v>0</v>
      </c>
      <c r="I1716" s="14">
        <f>I1717</f>
        <v>176.036</v>
      </c>
      <c r="J1716" s="14">
        <f t="shared" ref="J1716:L1716" si="782">J1717</f>
        <v>176.036</v>
      </c>
      <c r="K1716" s="78">
        <f t="shared" si="764"/>
        <v>100</v>
      </c>
      <c r="L1716" s="14">
        <f t="shared" si="782"/>
        <v>0</v>
      </c>
      <c r="M1716" s="50"/>
      <c r="N1716" s="50"/>
    </row>
    <row r="1717" spans="1:14" ht="31.2" x14ac:dyDescent="0.3">
      <c r="A1717" s="8" t="s">
        <v>1414</v>
      </c>
      <c r="B1717" s="62" t="s">
        <v>936</v>
      </c>
      <c r="C1717" s="68" t="s">
        <v>1391</v>
      </c>
      <c r="D1717" s="68" t="s">
        <v>1480</v>
      </c>
      <c r="E1717" s="8" t="s">
        <v>210</v>
      </c>
      <c r="F1717" s="8" t="s">
        <v>247</v>
      </c>
      <c r="G1717" s="23" t="s">
        <v>810</v>
      </c>
      <c r="H1717" s="20">
        <v>0</v>
      </c>
      <c r="I1717" s="14">
        <v>176.036</v>
      </c>
      <c r="J1717" s="14">
        <v>176.036</v>
      </c>
      <c r="K1717" s="78">
        <f t="shared" si="764"/>
        <v>100</v>
      </c>
      <c r="L1717" s="14"/>
      <c r="M1717" s="50"/>
      <c r="N1717" s="50"/>
    </row>
    <row r="1718" spans="1:14" s="3" customFormat="1" x14ac:dyDescent="0.3">
      <c r="A1718" s="10" t="s">
        <v>1414</v>
      </c>
      <c r="B1718" s="43" t="s">
        <v>1386</v>
      </c>
      <c r="C1718" s="43" t="s">
        <v>1386</v>
      </c>
      <c r="D1718" s="43" t="s">
        <v>915</v>
      </c>
      <c r="E1718" s="10"/>
      <c r="F1718" s="10"/>
      <c r="G1718" s="5" t="s">
        <v>1388</v>
      </c>
      <c r="H1718" s="15">
        <f>H1719+H1762</f>
        <v>339911.80900000001</v>
      </c>
      <c r="I1718" s="15">
        <f>I1719+I1762</f>
        <v>420167.75167999999</v>
      </c>
      <c r="J1718" s="15">
        <f t="shared" ref="J1718" si="783">J1719+J1762</f>
        <v>417629.3749600001</v>
      </c>
      <c r="K1718" s="81">
        <f t="shared" si="764"/>
        <v>99.395865886934345</v>
      </c>
      <c r="L1718" s="15">
        <f>L1719+L1762</f>
        <v>0</v>
      </c>
      <c r="M1718" s="65"/>
      <c r="N1718" s="65"/>
    </row>
    <row r="1719" spans="1:14" s="9" customFormat="1" ht="16.5" customHeight="1" x14ac:dyDescent="0.3">
      <c r="A1719" s="11" t="s">
        <v>1414</v>
      </c>
      <c r="B1719" s="48" t="s">
        <v>937</v>
      </c>
      <c r="C1719" s="48" t="s">
        <v>1386</v>
      </c>
      <c r="D1719" s="48" t="s">
        <v>1398</v>
      </c>
      <c r="E1719" s="11"/>
      <c r="F1719" s="11"/>
      <c r="G1719" s="7" t="s">
        <v>1419</v>
      </c>
      <c r="H1719" s="16">
        <f>H1720+H1735+H1740+H1746+H1754</f>
        <v>338810.22000000003</v>
      </c>
      <c r="I1719" s="16">
        <f>I1720+I1735+I1740+I1746+I1754</f>
        <v>419066.16268000001</v>
      </c>
      <c r="J1719" s="16">
        <f t="shared" ref="J1719" si="784">J1720+J1735+J1740+J1746+J1754</f>
        <v>417165.28136000008</v>
      </c>
      <c r="K1719" s="82">
        <f t="shared" si="764"/>
        <v>99.546400666700592</v>
      </c>
      <c r="L1719" s="16">
        <f>L1720+L1735+L1740+L1746+L1754</f>
        <v>0</v>
      </c>
      <c r="M1719" s="65"/>
      <c r="N1719" s="65"/>
    </row>
    <row r="1720" spans="1:14" ht="31.2" x14ac:dyDescent="0.3">
      <c r="A1720" s="8" t="s">
        <v>1414</v>
      </c>
      <c r="B1720" s="62" t="s">
        <v>937</v>
      </c>
      <c r="C1720" s="68" t="s">
        <v>1386</v>
      </c>
      <c r="D1720" s="68" t="s">
        <v>1398</v>
      </c>
      <c r="E1720" s="8" t="s">
        <v>355</v>
      </c>
      <c r="F1720" s="8"/>
      <c r="G1720" s="13" t="s">
        <v>893</v>
      </c>
      <c r="H1720" s="14">
        <f t="shared" ref="H1720:L1721" si="785">H1721</f>
        <v>313653.28899999999</v>
      </c>
      <c r="I1720" s="14">
        <f t="shared" si="785"/>
        <v>387814.87565</v>
      </c>
      <c r="J1720" s="14">
        <f t="shared" si="785"/>
        <v>387067.82591000001</v>
      </c>
      <c r="K1720" s="78">
        <f t="shared" si="764"/>
        <v>99.807369498462933</v>
      </c>
      <c r="L1720" s="14">
        <f t="shared" si="785"/>
        <v>0</v>
      </c>
      <c r="M1720" s="50"/>
      <c r="N1720" s="50"/>
    </row>
    <row r="1721" spans="1:14" ht="31.2" x14ac:dyDescent="0.3">
      <c r="A1721" s="8" t="s">
        <v>1414</v>
      </c>
      <c r="B1721" s="62" t="s">
        <v>937</v>
      </c>
      <c r="C1721" s="68" t="s">
        <v>1386</v>
      </c>
      <c r="D1721" s="68" t="s">
        <v>1398</v>
      </c>
      <c r="E1721" s="8" t="s">
        <v>356</v>
      </c>
      <c r="F1721" s="8"/>
      <c r="G1721" s="13" t="s">
        <v>894</v>
      </c>
      <c r="H1721" s="14">
        <f t="shared" si="785"/>
        <v>313653.28899999999</v>
      </c>
      <c r="I1721" s="14">
        <f t="shared" si="785"/>
        <v>387814.87565</v>
      </c>
      <c r="J1721" s="14">
        <f t="shared" si="785"/>
        <v>387067.82591000001</v>
      </c>
      <c r="K1721" s="78">
        <f t="shared" si="764"/>
        <v>99.807369498462933</v>
      </c>
      <c r="L1721" s="14">
        <f t="shared" si="785"/>
        <v>0</v>
      </c>
      <c r="M1721" s="50"/>
      <c r="N1721" s="50"/>
    </row>
    <row r="1722" spans="1:14" ht="46.8" x14ac:dyDescent="0.3">
      <c r="A1722" s="8" t="s">
        <v>1414</v>
      </c>
      <c r="B1722" s="62" t="s">
        <v>937</v>
      </c>
      <c r="C1722" s="68" t="s">
        <v>1386</v>
      </c>
      <c r="D1722" s="68" t="s">
        <v>1398</v>
      </c>
      <c r="E1722" s="8" t="s">
        <v>357</v>
      </c>
      <c r="F1722" s="8"/>
      <c r="G1722" s="18" t="s">
        <v>121</v>
      </c>
      <c r="H1722" s="14">
        <f>H1723+H1726+H1729</f>
        <v>313653.28899999999</v>
      </c>
      <c r="I1722" s="14">
        <f>I1723+I1726+I1729+I1732</f>
        <v>387814.87565</v>
      </c>
      <c r="J1722" s="14">
        <f t="shared" ref="J1722:L1722" si="786">J1723+J1726+J1729+J1732</f>
        <v>387067.82591000001</v>
      </c>
      <c r="K1722" s="78">
        <f t="shared" si="764"/>
        <v>99.807369498462933</v>
      </c>
      <c r="L1722" s="14">
        <f t="shared" si="786"/>
        <v>0</v>
      </c>
      <c r="M1722" s="50"/>
      <c r="N1722" s="50"/>
    </row>
    <row r="1723" spans="1:14" x14ac:dyDescent="0.3">
      <c r="A1723" s="8" t="s">
        <v>1414</v>
      </c>
      <c r="B1723" s="62" t="s">
        <v>937</v>
      </c>
      <c r="C1723" s="68" t="s">
        <v>1386</v>
      </c>
      <c r="D1723" s="68" t="s">
        <v>1398</v>
      </c>
      <c r="E1723" s="8" t="s">
        <v>67</v>
      </c>
      <c r="F1723" s="8"/>
      <c r="G1723" s="23" t="s">
        <v>155</v>
      </c>
      <c r="H1723" s="14">
        <f t="shared" ref="H1723:L1724" si="787">H1724</f>
        <v>308173.44199999998</v>
      </c>
      <c r="I1723" s="14">
        <f t="shared" si="787"/>
        <v>308173.44199999998</v>
      </c>
      <c r="J1723" s="14">
        <f t="shared" si="787"/>
        <v>307426.39325999998</v>
      </c>
      <c r="K1723" s="78">
        <f t="shared" si="764"/>
        <v>99.75758821553481</v>
      </c>
      <c r="L1723" s="14">
        <f t="shared" si="787"/>
        <v>0</v>
      </c>
      <c r="M1723" s="50"/>
      <c r="N1723" s="50"/>
    </row>
    <row r="1724" spans="1:14" ht="31.2" x14ac:dyDescent="0.3">
      <c r="A1724" s="8" t="s">
        <v>1414</v>
      </c>
      <c r="B1724" s="62" t="s">
        <v>937</v>
      </c>
      <c r="C1724" s="68" t="s">
        <v>1386</v>
      </c>
      <c r="D1724" s="68" t="s">
        <v>1398</v>
      </c>
      <c r="E1724" s="8" t="s">
        <v>67</v>
      </c>
      <c r="F1724" s="45" t="s">
        <v>380</v>
      </c>
      <c r="G1724" s="23" t="s">
        <v>809</v>
      </c>
      <c r="H1724" s="14">
        <f t="shared" si="787"/>
        <v>308173.44199999998</v>
      </c>
      <c r="I1724" s="14">
        <f t="shared" si="787"/>
        <v>308173.44199999998</v>
      </c>
      <c r="J1724" s="14">
        <f t="shared" si="787"/>
        <v>307426.39325999998</v>
      </c>
      <c r="K1724" s="78">
        <f t="shared" si="764"/>
        <v>99.75758821553481</v>
      </c>
      <c r="L1724" s="14">
        <f t="shared" si="787"/>
        <v>0</v>
      </c>
      <c r="M1724" s="50"/>
      <c r="N1724" s="50"/>
    </row>
    <row r="1725" spans="1:14" ht="31.2" x14ac:dyDescent="0.3">
      <c r="A1725" s="8" t="s">
        <v>1414</v>
      </c>
      <c r="B1725" s="62" t="s">
        <v>937</v>
      </c>
      <c r="C1725" s="68" t="s">
        <v>1386</v>
      </c>
      <c r="D1725" s="68" t="s">
        <v>1398</v>
      </c>
      <c r="E1725" s="8" t="s">
        <v>67</v>
      </c>
      <c r="F1725" s="8" t="s">
        <v>247</v>
      </c>
      <c r="G1725" s="23" t="s">
        <v>810</v>
      </c>
      <c r="H1725" s="14">
        <f>311179.366-635.336-1671.788-698.8</f>
        <v>308173.44199999998</v>
      </c>
      <c r="I1725" s="14">
        <v>308173.44199999998</v>
      </c>
      <c r="J1725" s="14">
        <v>307426.39325999998</v>
      </c>
      <c r="K1725" s="78">
        <f t="shared" si="764"/>
        <v>99.75758821553481</v>
      </c>
      <c r="L1725" s="14"/>
      <c r="M1725" s="50"/>
      <c r="N1725" s="50"/>
    </row>
    <row r="1726" spans="1:14" ht="31.2" x14ac:dyDescent="0.3">
      <c r="A1726" s="8" t="s">
        <v>1414</v>
      </c>
      <c r="B1726" s="62" t="s">
        <v>937</v>
      </c>
      <c r="C1726" s="68" t="s">
        <v>1386</v>
      </c>
      <c r="D1726" s="68" t="s">
        <v>1398</v>
      </c>
      <c r="E1726" s="8" t="s">
        <v>68</v>
      </c>
      <c r="F1726" s="8"/>
      <c r="G1726" s="23" t="s">
        <v>182</v>
      </c>
      <c r="H1726" s="14">
        <f t="shared" ref="H1726:L1727" si="788">H1727</f>
        <v>5264.3460000000005</v>
      </c>
      <c r="I1726" s="14">
        <f t="shared" si="788"/>
        <v>5264.3459999999995</v>
      </c>
      <c r="J1726" s="14">
        <f t="shared" si="788"/>
        <v>5264.3459999999995</v>
      </c>
      <c r="K1726" s="78">
        <f t="shared" si="764"/>
        <v>100</v>
      </c>
      <c r="L1726" s="14">
        <f t="shared" si="788"/>
        <v>0</v>
      </c>
      <c r="M1726" s="50"/>
      <c r="N1726" s="50"/>
    </row>
    <row r="1727" spans="1:14" ht="31.2" x14ac:dyDescent="0.3">
      <c r="A1727" s="8" t="s">
        <v>1414</v>
      </c>
      <c r="B1727" s="62" t="s">
        <v>937</v>
      </c>
      <c r="C1727" s="68" t="s">
        <v>1386</v>
      </c>
      <c r="D1727" s="68" t="s">
        <v>1398</v>
      </c>
      <c r="E1727" s="8" t="s">
        <v>68</v>
      </c>
      <c r="F1727" s="45" t="s">
        <v>380</v>
      </c>
      <c r="G1727" s="23" t="s">
        <v>809</v>
      </c>
      <c r="H1727" s="14">
        <f t="shared" si="788"/>
        <v>5264.3460000000005</v>
      </c>
      <c r="I1727" s="14">
        <f t="shared" si="788"/>
        <v>5264.3459999999995</v>
      </c>
      <c r="J1727" s="14">
        <f t="shared" si="788"/>
        <v>5264.3459999999995</v>
      </c>
      <c r="K1727" s="78">
        <f t="shared" si="764"/>
        <v>100</v>
      </c>
      <c r="L1727" s="14">
        <f t="shared" si="788"/>
        <v>0</v>
      </c>
      <c r="M1727" s="50"/>
      <c r="N1727" s="50"/>
    </row>
    <row r="1728" spans="1:14" ht="31.2" x14ac:dyDescent="0.3">
      <c r="A1728" s="8" t="s">
        <v>1414</v>
      </c>
      <c r="B1728" s="62" t="s">
        <v>937</v>
      </c>
      <c r="C1728" s="68" t="s">
        <v>1386</v>
      </c>
      <c r="D1728" s="68" t="s">
        <v>1398</v>
      </c>
      <c r="E1728" s="8" t="s">
        <v>68</v>
      </c>
      <c r="F1728" s="8" t="s">
        <v>247</v>
      </c>
      <c r="G1728" s="23" t="s">
        <v>810</v>
      </c>
      <c r="H1728" s="14">
        <f>5290.8-23.958-2.496</f>
        <v>5264.3460000000005</v>
      </c>
      <c r="I1728" s="14">
        <v>5264.3459999999995</v>
      </c>
      <c r="J1728" s="14">
        <v>5264.3459999999995</v>
      </c>
      <c r="K1728" s="78">
        <f t="shared" si="764"/>
        <v>100</v>
      </c>
      <c r="L1728" s="14"/>
      <c r="M1728" s="50"/>
      <c r="N1728" s="50"/>
    </row>
    <row r="1729" spans="1:14" ht="31.2" x14ac:dyDescent="0.3">
      <c r="A1729" s="8" t="s">
        <v>1414</v>
      </c>
      <c r="B1729" s="62" t="s">
        <v>937</v>
      </c>
      <c r="C1729" s="68" t="s">
        <v>1386</v>
      </c>
      <c r="D1729" s="68" t="s">
        <v>1398</v>
      </c>
      <c r="E1729" s="8" t="s">
        <v>245</v>
      </c>
      <c r="F1729" s="8"/>
      <c r="G1729" s="23" t="s">
        <v>306</v>
      </c>
      <c r="H1729" s="14">
        <f t="shared" ref="H1729:L1730" si="789">H1730</f>
        <v>215.50100000000009</v>
      </c>
      <c r="I1729" s="14">
        <f t="shared" si="789"/>
        <v>215.501</v>
      </c>
      <c r="J1729" s="14">
        <f t="shared" si="789"/>
        <v>215.5</v>
      </c>
      <c r="K1729" s="78">
        <f t="shared" si="764"/>
        <v>99.999535965030319</v>
      </c>
      <c r="L1729" s="14">
        <f t="shared" si="789"/>
        <v>0</v>
      </c>
      <c r="M1729" s="50"/>
      <c r="N1729" s="50"/>
    </row>
    <row r="1730" spans="1:14" ht="31.2" x14ac:dyDescent="0.3">
      <c r="A1730" s="8" t="s">
        <v>1414</v>
      </c>
      <c r="B1730" s="62" t="s">
        <v>937</v>
      </c>
      <c r="C1730" s="68" t="s">
        <v>1386</v>
      </c>
      <c r="D1730" s="68" t="s">
        <v>1398</v>
      </c>
      <c r="E1730" s="8" t="s">
        <v>245</v>
      </c>
      <c r="F1730" s="45" t="s">
        <v>380</v>
      </c>
      <c r="G1730" s="23" t="s">
        <v>809</v>
      </c>
      <c r="H1730" s="14">
        <f t="shared" si="789"/>
        <v>215.50100000000009</v>
      </c>
      <c r="I1730" s="14">
        <f t="shared" si="789"/>
        <v>215.501</v>
      </c>
      <c r="J1730" s="14">
        <f t="shared" si="789"/>
        <v>215.5</v>
      </c>
      <c r="K1730" s="78">
        <f t="shared" si="764"/>
        <v>99.999535965030319</v>
      </c>
      <c r="L1730" s="14">
        <f t="shared" si="789"/>
        <v>0</v>
      </c>
      <c r="M1730" s="50"/>
      <c r="N1730" s="50"/>
    </row>
    <row r="1731" spans="1:14" ht="31.2" x14ac:dyDescent="0.3">
      <c r="A1731" s="8" t="s">
        <v>1414</v>
      </c>
      <c r="B1731" s="62" t="s">
        <v>937</v>
      </c>
      <c r="C1731" s="68" t="s">
        <v>1386</v>
      </c>
      <c r="D1731" s="68" t="s">
        <v>1398</v>
      </c>
      <c r="E1731" s="8" t="s">
        <v>245</v>
      </c>
      <c r="F1731" s="8" t="s">
        <v>247</v>
      </c>
      <c r="G1731" s="23" t="s">
        <v>810</v>
      </c>
      <c r="H1731" s="14">
        <f>813.445-597.944</f>
        <v>215.50100000000009</v>
      </c>
      <c r="I1731" s="14">
        <v>215.501</v>
      </c>
      <c r="J1731" s="14">
        <v>215.5</v>
      </c>
      <c r="K1731" s="78">
        <f t="shared" si="764"/>
        <v>99.999535965030319</v>
      </c>
      <c r="L1731" s="14"/>
      <c r="M1731" s="50"/>
      <c r="N1731" s="50"/>
    </row>
    <row r="1732" spans="1:14" ht="62.4" x14ac:dyDescent="0.3">
      <c r="A1732" s="8" t="s">
        <v>1414</v>
      </c>
      <c r="B1732" s="62" t="s">
        <v>937</v>
      </c>
      <c r="C1732" s="68" t="s">
        <v>1386</v>
      </c>
      <c r="D1732" s="68" t="s">
        <v>1398</v>
      </c>
      <c r="E1732" s="8" t="s">
        <v>963</v>
      </c>
      <c r="F1732" s="8"/>
      <c r="G1732" s="13" t="s">
        <v>964</v>
      </c>
      <c r="H1732" s="20">
        <v>0</v>
      </c>
      <c r="I1732" s="14">
        <f>I1733</f>
        <v>74161.586649999997</v>
      </c>
      <c r="J1732" s="14">
        <f t="shared" ref="J1732:L1733" si="790">J1733</f>
        <v>74161.586649999997</v>
      </c>
      <c r="K1732" s="78">
        <f t="shared" si="764"/>
        <v>100</v>
      </c>
      <c r="L1732" s="14">
        <f t="shared" si="790"/>
        <v>0</v>
      </c>
      <c r="M1732" s="50"/>
      <c r="N1732" s="50"/>
    </row>
    <row r="1733" spans="1:14" ht="31.2" x14ac:dyDescent="0.3">
      <c r="A1733" s="8" t="s">
        <v>1414</v>
      </c>
      <c r="B1733" s="62" t="s">
        <v>937</v>
      </c>
      <c r="C1733" s="68" t="s">
        <v>1386</v>
      </c>
      <c r="D1733" s="68" t="s">
        <v>1398</v>
      </c>
      <c r="E1733" s="8" t="s">
        <v>963</v>
      </c>
      <c r="F1733" s="45" t="s">
        <v>380</v>
      </c>
      <c r="G1733" s="23" t="s">
        <v>809</v>
      </c>
      <c r="H1733" s="20">
        <v>0</v>
      </c>
      <c r="I1733" s="14">
        <f>I1734</f>
        <v>74161.586649999997</v>
      </c>
      <c r="J1733" s="14">
        <f t="shared" si="790"/>
        <v>74161.586649999997</v>
      </c>
      <c r="K1733" s="78">
        <f t="shared" si="764"/>
        <v>100</v>
      </c>
      <c r="L1733" s="14">
        <f t="shared" si="790"/>
        <v>0</v>
      </c>
      <c r="M1733" s="50"/>
      <c r="N1733" s="50"/>
    </row>
    <row r="1734" spans="1:14" ht="31.2" x14ac:dyDescent="0.3">
      <c r="A1734" s="8" t="s">
        <v>1414</v>
      </c>
      <c r="B1734" s="62" t="s">
        <v>937</v>
      </c>
      <c r="C1734" s="68" t="s">
        <v>1386</v>
      </c>
      <c r="D1734" s="68" t="s">
        <v>1398</v>
      </c>
      <c r="E1734" s="8" t="s">
        <v>963</v>
      </c>
      <c r="F1734" s="8" t="s">
        <v>247</v>
      </c>
      <c r="G1734" s="23" t="s">
        <v>810</v>
      </c>
      <c r="H1734" s="20">
        <v>0</v>
      </c>
      <c r="I1734" s="14">
        <v>74161.586649999997</v>
      </c>
      <c r="J1734" s="14">
        <v>74161.586649999997</v>
      </c>
      <c r="K1734" s="78">
        <f t="shared" si="764"/>
        <v>100</v>
      </c>
      <c r="L1734" s="14"/>
      <c r="M1734" s="50"/>
      <c r="N1734" s="50"/>
    </row>
    <row r="1735" spans="1:14" ht="62.4" x14ac:dyDescent="0.3">
      <c r="A1735" s="8" t="s">
        <v>1414</v>
      </c>
      <c r="B1735" s="62" t="s">
        <v>937</v>
      </c>
      <c r="C1735" s="68" t="s">
        <v>1386</v>
      </c>
      <c r="D1735" s="68" t="s">
        <v>1398</v>
      </c>
      <c r="E1735" s="8" t="s">
        <v>358</v>
      </c>
      <c r="F1735" s="8"/>
      <c r="G1735" s="13" t="s">
        <v>1040</v>
      </c>
      <c r="H1735" s="14">
        <f t="shared" ref="H1735:L1738" si="791">H1736</f>
        <v>7427.3459999999995</v>
      </c>
      <c r="I1735" s="14">
        <f t="shared" si="791"/>
        <v>7427.3459999999995</v>
      </c>
      <c r="J1735" s="14">
        <f t="shared" si="791"/>
        <v>7173.3014499999999</v>
      </c>
      <c r="K1735" s="78">
        <f t="shared" si="764"/>
        <v>96.579605285656555</v>
      </c>
      <c r="L1735" s="14">
        <f t="shared" si="791"/>
        <v>0</v>
      </c>
      <c r="M1735" s="50"/>
      <c r="N1735" s="50"/>
    </row>
    <row r="1736" spans="1:14" ht="31.2" x14ac:dyDescent="0.3">
      <c r="A1736" s="8" t="s">
        <v>1414</v>
      </c>
      <c r="B1736" s="62" t="s">
        <v>937</v>
      </c>
      <c r="C1736" s="68" t="s">
        <v>1386</v>
      </c>
      <c r="D1736" s="68" t="s">
        <v>1398</v>
      </c>
      <c r="E1736" s="8" t="s">
        <v>359</v>
      </c>
      <c r="F1736" s="8"/>
      <c r="G1736" s="13" t="s">
        <v>1041</v>
      </c>
      <c r="H1736" s="14">
        <f t="shared" si="791"/>
        <v>7427.3459999999995</v>
      </c>
      <c r="I1736" s="14">
        <f t="shared" si="791"/>
        <v>7427.3459999999995</v>
      </c>
      <c r="J1736" s="14">
        <f t="shared" si="791"/>
        <v>7173.3014499999999</v>
      </c>
      <c r="K1736" s="78">
        <f t="shared" ref="K1736:K1799" si="792">J1736/I1736*100</f>
        <v>96.579605285656555</v>
      </c>
      <c r="L1736" s="14">
        <f t="shared" si="791"/>
        <v>0</v>
      </c>
      <c r="M1736" s="50"/>
      <c r="N1736" s="50"/>
    </row>
    <row r="1737" spans="1:14" ht="46.8" x14ac:dyDescent="0.3">
      <c r="A1737" s="8" t="s">
        <v>1414</v>
      </c>
      <c r="B1737" s="62" t="s">
        <v>937</v>
      </c>
      <c r="C1737" s="68" t="s">
        <v>1386</v>
      </c>
      <c r="D1737" s="68" t="s">
        <v>1398</v>
      </c>
      <c r="E1737" s="8" t="s">
        <v>360</v>
      </c>
      <c r="F1737" s="8"/>
      <c r="G1737" s="18" t="s">
        <v>313</v>
      </c>
      <c r="H1737" s="14">
        <f t="shared" si="791"/>
        <v>7427.3459999999995</v>
      </c>
      <c r="I1737" s="14">
        <f t="shared" si="791"/>
        <v>7427.3459999999995</v>
      </c>
      <c r="J1737" s="14">
        <f t="shared" si="791"/>
        <v>7173.3014499999999</v>
      </c>
      <c r="K1737" s="78">
        <f t="shared" si="792"/>
        <v>96.579605285656555</v>
      </c>
      <c r="L1737" s="14">
        <f t="shared" si="791"/>
        <v>0</v>
      </c>
      <c r="M1737" s="50"/>
      <c r="N1737" s="50"/>
    </row>
    <row r="1738" spans="1:14" ht="31.2" x14ac:dyDescent="0.3">
      <c r="A1738" s="8" t="s">
        <v>1414</v>
      </c>
      <c r="B1738" s="62" t="s">
        <v>937</v>
      </c>
      <c r="C1738" s="68" t="s">
        <v>1386</v>
      </c>
      <c r="D1738" s="68" t="s">
        <v>1398</v>
      </c>
      <c r="E1738" s="8" t="s">
        <v>360</v>
      </c>
      <c r="F1738" s="45" t="s">
        <v>380</v>
      </c>
      <c r="G1738" s="23" t="s">
        <v>809</v>
      </c>
      <c r="H1738" s="14">
        <f t="shared" si="791"/>
        <v>7427.3459999999995</v>
      </c>
      <c r="I1738" s="14">
        <f t="shared" si="791"/>
        <v>7427.3459999999995</v>
      </c>
      <c r="J1738" s="14">
        <f t="shared" si="791"/>
        <v>7173.3014499999999</v>
      </c>
      <c r="K1738" s="78">
        <f t="shared" si="792"/>
        <v>96.579605285656555</v>
      </c>
      <c r="L1738" s="14">
        <f t="shared" si="791"/>
        <v>0</v>
      </c>
      <c r="M1738" s="50"/>
      <c r="N1738" s="50"/>
    </row>
    <row r="1739" spans="1:14" ht="31.2" x14ac:dyDescent="0.3">
      <c r="A1739" s="8" t="s">
        <v>1414</v>
      </c>
      <c r="B1739" s="62" t="s">
        <v>937</v>
      </c>
      <c r="C1739" s="68" t="s">
        <v>1386</v>
      </c>
      <c r="D1739" s="68" t="s">
        <v>1398</v>
      </c>
      <c r="E1739" s="8" t="s">
        <v>360</v>
      </c>
      <c r="F1739" s="8" t="s">
        <v>247</v>
      </c>
      <c r="G1739" s="23" t="s">
        <v>810</v>
      </c>
      <c r="H1739" s="14">
        <f>11232-3671.09-23.564-110</f>
        <v>7427.3459999999995</v>
      </c>
      <c r="I1739" s="14">
        <v>7427.3459999999995</v>
      </c>
      <c r="J1739" s="14">
        <v>7173.3014499999999</v>
      </c>
      <c r="K1739" s="78">
        <f t="shared" si="792"/>
        <v>96.579605285656555</v>
      </c>
      <c r="L1739" s="14"/>
      <c r="M1739" s="50"/>
      <c r="N1739" s="50"/>
    </row>
    <row r="1740" spans="1:14" ht="62.4" x14ac:dyDescent="0.3">
      <c r="A1740" s="8" t="s">
        <v>1414</v>
      </c>
      <c r="B1740" s="62" t="s">
        <v>937</v>
      </c>
      <c r="C1740" s="68" t="s">
        <v>1386</v>
      </c>
      <c r="D1740" s="68" t="s">
        <v>1398</v>
      </c>
      <c r="E1740" s="8" t="s">
        <v>361</v>
      </c>
      <c r="F1740" s="8"/>
      <c r="G1740" s="18" t="s">
        <v>1191</v>
      </c>
      <c r="H1740" s="14">
        <f t="shared" ref="H1740:L1744" si="793">H1741</f>
        <v>4350.1030000000001</v>
      </c>
      <c r="I1740" s="14">
        <f t="shared" si="793"/>
        <v>4350.1030000000001</v>
      </c>
      <c r="J1740" s="14">
        <f t="shared" si="793"/>
        <v>4348.4886200000001</v>
      </c>
      <c r="K1740" s="78">
        <f t="shared" si="792"/>
        <v>99.962888694819412</v>
      </c>
      <c r="L1740" s="14">
        <f t="shared" si="793"/>
        <v>0</v>
      </c>
      <c r="M1740" s="50"/>
      <c r="N1740" s="50"/>
    </row>
    <row r="1741" spans="1:14" ht="46.8" x14ac:dyDescent="0.3">
      <c r="A1741" s="8" t="s">
        <v>1414</v>
      </c>
      <c r="B1741" s="62" t="s">
        <v>937</v>
      </c>
      <c r="C1741" s="68" t="s">
        <v>1386</v>
      </c>
      <c r="D1741" s="68" t="s">
        <v>1398</v>
      </c>
      <c r="E1741" s="8" t="s">
        <v>362</v>
      </c>
      <c r="F1741" s="8"/>
      <c r="G1741" s="18" t="s">
        <v>1209</v>
      </c>
      <c r="H1741" s="14">
        <f t="shared" si="793"/>
        <v>4350.1030000000001</v>
      </c>
      <c r="I1741" s="14">
        <f t="shared" si="793"/>
        <v>4350.1030000000001</v>
      </c>
      <c r="J1741" s="14">
        <f t="shared" si="793"/>
        <v>4348.4886200000001</v>
      </c>
      <c r="K1741" s="78">
        <f t="shared" si="792"/>
        <v>99.962888694819412</v>
      </c>
      <c r="L1741" s="14">
        <f t="shared" si="793"/>
        <v>0</v>
      </c>
      <c r="M1741" s="50"/>
      <c r="N1741" s="50"/>
    </row>
    <row r="1742" spans="1:14" ht="62.4" x14ac:dyDescent="0.3">
      <c r="A1742" s="8" t="s">
        <v>1414</v>
      </c>
      <c r="B1742" s="62" t="s">
        <v>937</v>
      </c>
      <c r="C1742" s="68" t="s">
        <v>1386</v>
      </c>
      <c r="D1742" s="68" t="s">
        <v>1398</v>
      </c>
      <c r="E1742" s="8" t="s">
        <v>363</v>
      </c>
      <c r="F1742" s="8"/>
      <c r="G1742" s="13" t="s">
        <v>1053</v>
      </c>
      <c r="H1742" s="14">
        <f t="shared" si="793"/>
        <v>4350.1030000000001</v>
      </c>
      <c r="I1742" s="14">
        <f t="shared" si="793"/>
        <v>4350.1030000000001</v>
      </c>
      <c r="J1742" s="14">
        <f t="shared" si="793"/>
        <v>4348.4886200000001</v>
      </c>
      <c r="K1742" s="78">
        <f t="shared" si="792"/>
        <v>99.962888694819412</v>
      </c>
      <c r="L1742" s="14">
        <f t="shared" si="793"/>
        <v>0</v>
      </c>
      <c r="M1742" s="50"/>
      <c r="N1742" s="50"/>
    </row>
    <row r="1743" spans="1:14" x14ac:dyDescent="0.3">
      <c r="A1743" s="8" t="s">
        <v>1414</v>
      </c>
      <c r="B1743" s="62" t="s">
        <v>937</v>
      </c>
      <c r="C1743" s="68" t="s">
        <v>1386</v>
      </c>
      <c r="D1743" s="68" t="s">
        <v>1398</v>
      </c>
      <c r="E1743" s="8" t="s">
        <v>364</v>
      </c>
      <c r="F1743" s="8"/>
      <c r="G1743" s="13" t="s">
        <v>1054</v>
      </c>
      <c r="H1743" s="14">
        <f t="shared" si="793"/>
        <v>4350.1030000000001</v>
      </c>
      <c r="I1743" s="14">
        <f t="shared" si="793"/>
        <v>4350.1030000000001</v>
      </c>
      <c r="J1743" s="14">
        <f t="shared" si="793"/>
        <v>4348.4886200000001</v>
      </c>
      <c r="K1743" s="78">
        <f t="shared" si="792"/>
        <v>99.962888694819412</v>
      </c>
      <c r="L1743" s="14">
        <f t="shared" si="793"/>
        <v>0</v>
      </c>
      <c r="M1743" s="50"/>
      <c r="N1743" s="50"/>
    </row>
    <row r="1744" spans="1:14" ht="31.2" x14ac:dyDescent="0.3">
      <c r="A1744" s="8" t="s">
        <v>1414</v>
      </c>
      <c r="B1744" s="62" t="s">
        <v>937</v>
      </c>
      <c r="C1744" s="68" t="s">
        <v>1386</v>
      </c>
      <c r="D1744" s="68" t="s">
        <v>1398</v>
      </c>
      <c r="E1744" s="8" t="s">
        <v>364</v>
      </c>
      <c r="F1744" s="45" t="s">
        <v>380</v>
      </c>
      <c r="G1744" s="23" t="s">
        <v>809</v>
      </c>
      <c r="H1744" s="14">
        <f t="shared" si="793"/>
        <v>4350.1030000000001</v>
      </c>
      <c r="I1744" s="14">
        <f t="shared" si="793"/>
        <v>4350.1030000000001</v>
      </c>
      <c r="J1744" s="14">
        <f t="shared" si="793"/>
        <v>4348.4886200000001</v>
      </c>
      <c r="K1744" s="78">
        <f t="shared" si="792"/>
        <v>99.962888694819412</v>
      </c>
      <c r="L1744" s="14">
        <f t="shared" si="793"/>
        <v>0</v>
      </c>
      <c r="M1744" s="50"/>
      <c r="N1744" s="50"/>
    </row>
    <row r="1745" spans="1:14" ht="31.2" x14ac:dyDescent="0.3">
      <c r="A1745" s="8" t="s">
        <v>1414</v>
      </c>
      <c r="B1745" s="62" t="s">
        <v>937</v>
      </c>
      <c r="C1745" s="68" t="s">
        <v>1386</v>
      </c>
      <c r="D1745" s="68" t="s">
        <v>1398</v>
      </c>
      <c r="E1745" s="8" t="s">
        <v>364</v>
      </c>
      <c r="F1745" s="8" t="s">
        <v>247</v>
      </c>
      <c r="G1745" s="23" t="s">
        <v>810</v>
      </c>
      <c r="H1745" s="14">
        <f>4361.3-11.197</f>
        <v>4350.1030000000001</v>
      </c>
      <c r="I1745" s="14">
        <v>4350.1030000000001</v>
      </c>
      <c r="J1745" s="14">
        <v>4348.4886200000001</v>
      </c>
      <c r="K1745" s="78">
        <f t="shared" si="792"/>
        <v>99.962888694819412</v>
      </c>
      <c r="L1745" s="14"/>
      <c r="M1745" s="50"/>
      <c r="N1745" s="50"/>
    </row>
    <row r="1746" spans="1:14" ht="31.2" x14ac:dyDescent="0.3">
      <c r="A1746" s="8" t="s">
        <v>1414</v>
      </c>
      <c r="B1746" s="62" t="s">
        <v>937</v>
      </c>
      <c r="C1746" s="68" t="s">
        <v>1386</v>
      </c>
      <c r="D1746" s="68" t="s">
        <v>1398</v>
      </c>
      <c r="E1746" s="8" t="s">
        <v>368</v>
      </c>
      <c r="F1746" s="8"/>
      <c r="G1746" s="13" t="s">
        <v>1079</v>
      </c>
      <c r="H1746" s="14">
        <f t="shared" ref="H1746:L1752" si="794">H1747</f>
        <v>12572.117</v>
      </c>
      <c r="I1746" s="14">
        <f t="shared" si="794"/>
        <v>8857.5813199999993</v>
      </c>
      <c r="J1746" s="14">
        <f t="shared" si="794"/>
        <v>8819.8857200000002</v>
      </c>
      <c r="K1746" s="78">
        <f t="shared" si="792"/>
        <v>99.574425583710038</v>
      </c>
      <c r="L1746" s="14">
        <f t="shared" si="794"/>
        <v>0</v>
      </c>
      <c r="M1746" s="50"/>
      <c r="N1746" s="50"/>
    </row>
    <row r="1747" spans="1:14" ht="31.2" x14ac:dyDescent="0.3">
      <c r="A1747" s="8" t="s">
        <v>1414</v>
      </c>
      <c r="B1747" s="62" t="s">
        <v>937</v>
      </c>
      <c r="C1747" s="68" t="s">
        <v>1386</v>
      </c>
      <c r="D1747" s="68" t="s">
        <v>1398</v>
      </c>
      <c r="E1747" s="8" t="s">
        <v>369</v>
      </c>
      <c r="F1747" s="8"/>
      <c r="G1747" s="13" t="s">
        <v>1088</v>
      </c>
      <c r="H1747" s="14">
        <f t="shared" si="794"/>
        <v>12572.117</v>
      </c>
      <c r="I1747" s="14">
        <f t="shared" si="794"/>
        <v>8857.5813199999993</v>
      </c>
      <c r="J1747" s="14">
        <f t="shared" si="794"/>
        <v>8819.8857200000002</v>
      </c>
      <c r="K1747" s="78">
        <f t="shared" si="792"/>
        <v>99.574425583710038</v>
      </c>
      <c r="L1747" s="14">
        <f t="shared" si="794"/>
        <v>0</v>
      </c>
      <c r="M1747" s="50"/>
      <c r="N1747" s="50"/>
    </row>
    <row r="1748" spans="1:14" ht="46.8" x14ac:dyDescent="0.3">
      <c r="A1748" s="8" t="s">
        <v>1414</v>
      </c>
      <c r="B1748" s="62" t="s">
        <v>937</v>
      </c>
      <c r="C1748" s="68" t="s">
        <v>1386</v>
      </c>
      <c r="D1748" s="68" t="s">
        <v>1398</v>
      </c>
      <c r="E1748" s="8" t="s">
        <v>514</v>
      </c>
      <c r="F1748" s="8"/>
      <c r="G1748" s="18" t="s">
        <v>1090</v>
      </c>
      <c r="H1748" s="14">
        <f t="shared" si="794"/>
        <v>12572.117</v>
      </c>
      <c r="I1748" s="14">
        <f t="shared" si="794"/>
        <v>8857.5813199999993</v>
      </c>
      <c r="J1748" s="14">
        <f t="shared" si="794"/>
        <v>8819.8857200000002</v>
      </c>
      <c r="K1748" s="78">
        <f t="shared" si="792"/>
        <v>99.574425583710038</v>
      </c>
      <c r="L1748" s="14">
        <f t="shared" si="794"/>
        <v>0</v>
      </c>
      <c r="M1748" s="50"/>
      <c r="N1748" s="50"/>
    </row>
    <row r="1749" spans="1:14" ht="46.8" x14ac:dyDescent="0.3">
      <c r="A1749" s="8" t="s">
        <v>1414</v>
      </c>
      <c r="B1749" s="62" t="s">
        <v>937</v>
      </c>
      <c r="C1749" s="68" t="s">
        <v>1386</v>
      </c>
      <c r="D1749" s="68" t="s">
        <v>1398</v>
      </c>
      <c r="E1749" s="8" t="s">
        <v>69</v>
      </c>
      <c r="F1749" s="8"/>
      <c r="G1749" s="23" t="s">
        <v>1267</v>
      </c>
      <c r="H1749" s="14">
        <f>H1752+H1750</f>
        <v>12572.117</v>
      </c>
      <c r="I1749" s="14">
        <f t="shared" ref="I1749:L1749" si="795">I1752+I1750</f>
        <v>8857.5813199999993</v>
      </c>
      <c r="J1749" s="14">
        <f t="shared" si="795"/>
        <v>8819.8857200000002</v>
      </c>
      <c r="K1749" s="78">
        <f t="shared" si="792"/>
        <v>99.574425583710038</v>
      </c>
      <c r="L1749" s="14">
        <f t="shared" si="795"/>
        <v>0</v>
      </c>
      <c r="M1749" s="50"/>
      <c r="N1749" s="50"/>
    </row>
    <row r="1750" spans="1:14" ht="31.2" x14ac:dyDescent="0.3">
      <c r="A1750" s="8" t="s">
        <v>1414</v>
      </c>
      <c r="B1750" s="62" t="s">
        <v>937</v>
      </c>
      <c r="C1750" s="68" t="s">
        <v>1386</v>
      </c>
      <c r="D1750" s="68" t="s">
        <v>1398</v>
      </c>
      <c r="E1750" s="8" t="s">
        <v>69</v>
      </c>
      <c r="F1750" s="8" t="s">
        <v>402</v>
      </c>
      <c r="G1750" s="23" t="s">
        <v>819</v>
      </c>
      <c r="H1750" s="14">
        <f>H1751</f>
        <v>0</v>
      </c>
      <c r="I1750" s="14">
        <f t="shared" ref="I1750:L1750" si="796">I1751</f>
        <v>2668.3511800000001</v>
      </c>
      <c r="J1750" s="14">
        <f t="shared" si="796"/>
        <v>2668.3511800000001</v>
      </c>
      <c r="K1750" s="78">
        <f t="shared" si="792"/>
        <v>100</v>
      </c>
      <c r="L1750" s="14">
        <f t="shared" si="796"/>
        <v>0</v>
      </c>
      <c r="M1750" s="50"/>
      <c r="N1750" s="50"/>
    </row>
    <row r="1751" spans="1:14" ht="46.8" x14ac:dyDescent="0.3">
      <c r="A1751" s="8" t="s">
        <v>1414</v>
      </c>
      <c r="B1751" s="62" t="s">
        <v>937</v>
      </c>
      <c r="C1751" s="68" t="s">
        <v>1386</v>
      </c>
      <c r="D1751" s="68" t="s">
        <v>1398</v>
      </c>
      <c r="E1751" s="8" t="s">
        <v>69</v>
      </c>
      <c r="F1751" s="8" t="s">
        <v>280</v>
      </c>
      <c r="G1751" s="23" t="s">
        <v>821</v>
      </c>
      <c r="H1751" s="19">
        <v>0</v>
      </c>
      <c r="I1751" s="14">
        <v>2668.3511800000001</v>
      </c>
      <c r="J1751" s="20">
        <v>2668.3511800000001</v>
      </c>
      <c r="K1751" s="77">
        <f t="shared" si="792"/>
        <v>100</v>
      </c>
      <c r="L1751" s="14"/>
      <c r="M1751" s="50"/>
      <c r="N1751" s="50"/>
    </row>
    <row r="1752" spans="1:14" x14ac:dyDescent="0.3">
      <c r="A1752" s="8" t="s">
        <v>1414</v>
      </c>
      <c r="B1752" s="62" t="s">
        <v>937</v>
      </c>
      <c r="C1752" s="68" t="s">
        <v>1386</v>
      </c>
      <c r="D1752" s="68" t="s">
        <v>1398</v>
      </c>
      <c r="E1752" s="8" t="s">
        <v>69</v>
      </c>
      <c r="F1752" s="45" t="s">
        <v>464</v>
      </c>
      <c r="G1752" s="23" t="s">
        <v>822</v>
      </c>
      <c r="H1752" s="14">
        <f t="shared" si="794"/>
        <v>12572.117</v>
      </c>
      <c r="I1752" s="14">
        <f t="shared" si="794"/>
        <v>6189.2301399999997</v>
      </c>
      <c r="J1752" s="14">
        <f t="shared" si="794"/>
        <v>6151.5345399999997</v>
      </c>
      <c r="K1752" s="78">
        <f t="shared" si="792"/>
        <v>99.390948483941827</v>
      </c>
      <c r="L1752" s="14">
        <f t="shared" si="794"/>
        <v>0</v>
      </c>
      <c r="M1752" s="50"/>
      <c r="N1752" s="50"/>
    </row>
    <row r="1753" spans="1:14" ht="62.4" x14ac:dyDescent="0.3">
      <c r="A1753" s="8" t="s">
        <v>1414</v>
      </c>
      <c r="B1753" s="62" t="s">
        <v>937</v>
      </c>
      <c r="C1753" s="68" t="s">
        <v>1386</v>
      </c>
      <c r="D1753" s="68" t="s">
        <v>1398</v>
      </c>
      <c r="E1753" s="8" t="s">
        <v>69</v>
      </c>
      <c r="F1753" s="45" t="s">
        <v>727</v>
      </c>
      <c r="G1753" s="18" t="s">
        <v>830</v>
      </c>
      <c r="H1753" s="14">
        <f>12932.4-360.283</f>
        <v>12572.117</v>
      </c>
      <c r="I1753" s="14">
        <v>6189.2301399999997</v>
      </c>
      <c r="J1753" s="14">
        <v>6151.5345399999997</v>
      </c>
      <c r="K1753" s="78">
        <f t="shared" si="792"/>
        <v>99.390948483941827</v>
      </c>
      <c r="L1753" s="14"/>
      <c r="M1753" s="50"/>
      <c r="N1753" s="50"/>
    </row>
    <row r="1754" spans="1:14" ht="31.2" x14ac:dyDescent="0.3">
      <c r="A1754" s="8" t="s">
        <v>1414</v>
      </c>
      <c r="B1754" s="62" t="s">
        <v>937</v>
      </c>
      <c r="C1754" s="68" t="s">
        <v>1386</v>
      </c>
      <c r="D1754" s="68" t="s">
        <v>1398</v>
      </c>
      <c r="E1754" s="8" t="s">
        <v>429</v>
      </c>
      <c r="F1754" s="45"/>
      <c r="G1754" s="23" t="s">
        <v>1140</v>
      </c>
      <c r="H1754" s="14">
        <f t="shared" ref="H1754:L1756" si="797">H1755</f>
        <v>807.36500000000001</v>
      </c>
      <c r="I1754" s="14">
        <f t="shared" si="797"/>
        <v>10616.25671</v>
      </c>
      <c r="J1754" s="14">
        <f t="shared" si="797"/>
        <v>9755.7796600000001</v>
      </c>
      <c r="K1754" s="78">
        <f t="shared" si="792"/>
        <v>91.894722655025177</v>
      </c>
      <c r="L1754" s="14">
        <f t="shared" si="797"/>
        <v>0</v>
      </c>
      <c r="M1754" s="50"/>
      <c r="N1754" s="50"/>
    </row>
    <row r="1755" spans="1:14" ht="46.8" x14ac:dyDescent="0.3">
      <c r="A1755" s="8" t="s">
        <v>1414</v>
      </c>
      <c r="B1755" s="62" t="s">
        <v>937</v>
      </c>
      <c r="C1755" s="68" t="s">
        <v>1386</v>
      </c>
      <c r="D1755" s="68" t="s">
        <v>1398</v>
      </c>
      <c r="E1755" s="8" t="s">
        <v>535</v>
      </c>
      <c r="F1755" s="45"/>
      <c r="G1755" s="31" t="s">
        <v>176</v>
      </c>
      <c r="H1755" s="14">
        <f>H1756+H1758+H1760</f>
        <v>807.36500000000001</v>
      </c>
      <c r="I1755" s="14">
        <f t="shared" ref="I1755:L1755" si="798">I1756+I1758+I1760</f>
        <v>10616.25671</v>
      </c>
      <c r="J1755" s="14">
        <f t="shared" si="798"/>
        <v>9755.7796600000001</v>
      </c>
      <c r="K1755" s="78">
        <f t="shared" si="792"/>
        <v>91.894722655025177</v>
      </c>
      <c r="L1755" s="14">
        <f t="shared" si="798"/>
        <v>0</v>
      </c>
      <c r="M1755" s="50"/>
      <c r="N1755" s="50"/>
    </row>
    <row r="1756" spans="1:14" ht="31.2" x14ac:dyDescent="0.3">
      <c r="A1756" s="8" t="s">
        <v>1414</v>
      </c>
      <c r="B1756" s="62" t="s">
        <v>937</v>
      </c>
      <c r="C1756" s="68" t="s">
        <v>1386</v>
      </c>
      <c r="D1756" s="68" t="s">
        <v>1398</v>
      </c>
      <c r="E1756" s="8" t="s">
        <v>535</v>
      </c>
      <c r="F1756" s="45" t="s">
        <v>380</v>
      </c>
      <c r="G1756" s="23" t="s">
        <v>809</v>
      </c>
      <c r="H1756" s="14">
        <f t="shared" si="797"/>
        <v>807.36500000000001</v>
      </c>
      <c r="I1756" s="14">
        <f t="shared" si="797"/>
        <v>9076.4610599999996</v>
      </c>
      <c r="J1756" s="14">
        <f t="shared" si="797"/>
        <v>8315.7796600000001</v>
      </c>
      <c r="K1756" s="78">
        <f t="shared" si="792"/>
        <v>91.619185110016886</v>
      </c>
      <c r="L1756" s="14">
        <f t="shared" si="797"/>
        <v>0</v>
      </c>
      <c r="M1756" s="50"/>
      <c r="N1756" s="50"/>
    </row>
    <row r="1757" spans="1:14" ht="31.2" x14ac:dyDescent="0.3">
      <c r="A1757" s="8" t="s">
        <v>1414</v>
      </c>
      <c r="B1757" s="62" t="s">
        <v>937</v>
      </c>
      <c r="C1757" s="68" t="s">
        <v>1386</v>
      </c>
      <c r="D1757" s="68" t="s">
        <v>1398</v>
      </c>
      <c r="E1757" s="8" t="s">
        <v>535</v>
      </c>
      <c r="F1757" s="8" t="s">
        <v>247</v>
      </c>
      <c r="G1757" s="23" t="s">
        <v>810</v>
      </c>
      <c r="H1757" s="14">
        <v>807.36500000000001</v>
      </c>
      <c r="I1757" s="14">
        <v>9076.4610599999996</v>
      </c>
      <c r="J1757" s="14">
        <v>8315.7796600000001</v>
      </c>
      <c r="K1757" s="78">
        <f t="shared" si="792"/>
        <v>91.619185110016886</v>
      </c>
      <c r="L1757" s="14"/>
      <c r="M1757" s="50"/>
      <c r="N1757" s="50"/>
    </row>
    <row r="1758" spans="1:14" ht="31.2" x14ac:dyDescent="0.3">
      <c r="A1758" s="8" t="s">
        <v>1414</v>
      </c>
      <c r="B1758" s="62" t="s">
        <v>937</v>
      </c>
      <c r="C1758" s="68" t="s">
        <v>1386</v>
      </c>
      <c r="D1758" s="68" t="s">
        <v>1398</v>
      </c>
      <c r="E1758" s="8" t="s">
        <v>535</v>
      </c>
      <c r="F1758" s="8" t="s">
        <v>402</v>
      </c>
      <c r="G1758" s="23" t="s">
        <v>819</v>
      </c>
      <c r="H1758" s="14">
        <f>H1759</f>
        <v>0</v>
      </c>
      <c r="I1758" s="14">
        <f t="shared" ref="I1758:L1758" si="799">I1759</f>
        <v>400</v>
      </c>
      <c r="J1758" s="14">
        <f t="shared" si="799"/>
        <v>400</v>
      </c>
      <c r="K1758" s="78">
        <f t="shared" si="792"/>
        <v>100</v>
      </c>
      <c r="L1758" s="14">
        <f t="shared" si="799"/>
        <v>0</v>
      </c>
      <c r="M1758" s="50"/>
      <c r="N1758" s="50"/>
    </row>
    <row r="1759" spans="1:14" ht="46.8" x14ac:dyDescent="0.3">
      <c r="A1759" s="8" t="s">
        <v>1414</v>
      </c>
      <c r="B1759" s="62" t="s">
        <v>937</v>
      </c>
      <c r="C1759" s="68" t="s">
        <v>1386</v>
      </c>
      <c r="D1759" s="68" t="s">
        <v>1398</v>
      </c>
      <c r="E1759" s="8" t="s">
        <v>535</v>
      </c>
      <c r="F1759" s="8" t="s">
        <v>280</v>
      </c>
      <c r="G1759" s="23" t="s">
        <v>821</v>
      </c>
      <c r="H1759" s="19">
        <v>0</v>
      </c>
      <c r="I1759" s="14">
        <v>400</v>
      </c>
      <c r="J1759" s="20">
        <v>400</v>
      </c>
      <c r="K1759" s="77">
        <f t="shared" si="792"/>
        <v>100</v>
      </c>
      <c r="L1759" s="14"/>
      <c r="M1759" s="50"/>
      <c r="N1759" s="50"/>
    </row>
    <row r="1760" spans="1:14" x14ac:dyDescent="0.3">
      <c r="A1760" s="8" t="s">
        <v>1414</v>
      </c>
      <c r="B1760" s="62" t="s">
        <v>937</v>
      </c>
      <c r="C1760" s="68" t="s">
        <v>1386</v>
      </c>
      <c r="D1760" s="68" t="s">
        <v>1398</v>
      </c>
      <c r="E1760" s="8" t="s">
        <v>535</v>
      </c>
      <c r="F1760" s="45" t="s">
        <v>464</v>
      </c>
      <c r="G1760" s="23" t="s">
        <v>822</v>
      </c>
      <c r="H1760" s="14">
        <f>H1761</f>
        <v>0</v>
      </c>
      <c r="I1760" s="14">
        <f t="shared" ref="I1760:L1760" si="800">I1761</f>
        <v>1139.79565</v>
      </c>
      <c r="J1760" s="14">
        <f t="shared" si="800"/>
        <v>1040</v>
      </c>
      <c r="K1760" s="78">
        <f t="shared" si="792"/>
        <v>91.24442613901887</v>
      </c>
      <c r="L1760" s="14">
        <f t="shared" si="800"/>
        <v>0</v>
      </c>
      <c r="M1760" s="50"/>
      <c r="N1760" s="50"/>
    </row>
    <row r="1761" spans="1:14" ht="62.4" x14ac:dyDescent="0.3">
      <c r="A1761" s="8" t="s">
        <v>1414</v>
      </c>
      <c r="B1761" s="62" t="s">
        <v>937</v>
      </c>
      <c r="C1761" s="68" t="s">
        <v>1386</v>
      </c>
      <c r="D1761" s="68" t="s">
        <v>1398</v>
      </c>
      <c r="E1761" s="8" t="s">
        <v>535</v>
      </c>
      <c r="F1761" s="45" t="s">
        <v>727</v>
      </c>
      <c r="G1761" s="18" t="s">
        <v>830</v>
      </c>
      <c r="H1761" s="19">
        <v>0</v>
      </c>
      <c r="I1761" s="14">
        <v>1139.79565</v>
      </c>
      <c r="J1761" s="20">
        <v>1040</v>
      </c>
      <c r="K1761" s="77">
        <f t="shared" si="792"/>
        <v>91.24442613901887</v>
      </c>
      <c r="L1761" s="14"/>
      <c r="M1761" s="50"/>
      <c r="N1761" s="50"/>
    </row>
    <row r="1762" spans="1:14" s="9" customFormat="1" x14ac:dyDescent="0.3">
      <c r="A1762" s="11" t="s">
        <v>1414</v>
      </c>
      <c r="B1762" s="48" t="s">
        <v>918</v>
      </c>
      <c r="C1762" s="48" t="s">
        <v>1386</v>
      </c>
      <c r="D1762" s="48" t="s">
        <v>1479</v>
      </c>
      <c r="E1762" s="11"/>
      <c r="F1762" s="11"/>
      <c r="G1762" s="7" t="s">
        <v>1389</v>
      </c>
      <c r="H1762" s="16">
        <f>H1772+H1763+H1777+H1782</f>
        <v>1101.5890000000002</v>
      </c>
      <c r="I1762" s="16">
        <f>I1772+I1763+I1777+I1782</f>
        <v>1101.5889999999999</v>
      </c>
      <c r="J1762" s="16">
        <f t="shared" ref="J1762:L1762" si="801">J1772+J1763+J1777+J1782</f>
        <v>464.09360000000004</v>
      </c>
      <c r="K1762" s="82">
        <f t="shared" si="792"/>
        <v>42.129469339290793</v>
      </c>
      <c r="L1762" s="16">
        <f t="shared" si="801"/>
        <v>0</v>
      </c>
      <c r="M1762" s="65"/>
      <c r="N1762" s="65"/>
    </row>
    <row r="1763" spans="1:14" ht="31.2" x14ac:dyDescent="0.3">
      <c r="A1763" s="8" t="s">
        <v>1414</v>
      </c>
      <c r="B1763" s="62" t="s">
        <v>918</v>
      </c>
      <c r="C1763" s="68" t="s">
        <v>1386</v>
      </c>
      <c r="D1763" s="68" t="s">
        <v>1479</v>
      </c>
      <c r="E1763" s="8" t="s">
        <v>438</v>
      </c>
      <c r="F1763" s="8"/>
      <c r="G1763" s="18" t="s">
        <v>891</v>
      </c>
      <c r="H1763" s="14">
        <f t="shared" ref="H1763:L1767" si="802">H1764</f>
        <v>590.51300000000003</v>
      </c>
      <c r="I1763" s="14">
        <f t="shared" si="802"/>
        <v>590.51300000000003</v>
      </c>
      <c r="J1763" s="14">
        <f t="shared" si="802"/>
        <v>171.35160999999999</v>
      </c>
      <c r="K1763" s="78">
        <f t="shared" si="792"/>
        <v>29.017415365961458</v>
      </c>
      <c r="L1763" s="14">
        <f t="shared" si="802"/>
        <v>0</v>
      </c>
      <c r="M1763" s="50"/>
      <c r="N1763" s="50"/>
    </row>
    <row r="1764" spans="1:14" ht="46.8" x14ac:dyDescent="0.3">
      <c r="A1764" s="8" t="s">
        <v>1414</v>
      </c>
      <c r="B1764" s="62" t="s">
        <v>918</v>
      </c>
      <c r="C1764" s="68" t="s">
        <v>1386</v>
      </c>
      <c r="D1764" s="68" t="s">
        <v>1479</v>
      </c>
      <c r="E1764" s="8" t="s">
        <v>439</v>
      </c>
      <c r="F1764" s="8"/>
      <c r="G1764" s="18" t="s">
        <v>119</v>
      </c>
      <c r="H1764" s="14">
        <f t="shared" si="802"/>
        <v>590.51300000000003</v>
      </c>
      <c r="I1764" s="14">
        <f t="shared" si="802"/>
        <v>590.51300000000003</v>
      </c>
      <c r="J1764" s="14">
        <f t="shared" si="802"/>
        <v>171.35160999999999</v>
      </c>
      <c r="K1764" s="78">
        <f t="shared" si="792"/>
        <v>29.017415365961458</v>
      </c>
      <c r="L1764" s="14">
        <f t="shared" si="802"/>
        <v>0</v>
      </c>
      <c r="M1764" s="50"/>
      <c r="N1764" s="50"/>
    </row>
    <row r="1765" spans="1:14" ht="46.8" x14ac:dyDescent="0.3">
      <c r="A1765" s="8" t="s">
        <v>1414</v>
      </c>
      <c r="B1765" s="62" t="s">
        <v>918</v>
      </c>
      <c r="C1765" s="68" t="s">
        <v>1386</v>
      </c>
      <c r="D1765" s="68" t="s">
        <v>1479</v>
      </c>
      <c r="E1765" s="8" t="s">
        <v>440</v>
      </c>
      <c r="F1765" s="8"/>
      <c r="G1765" s="18" t="s">
        <v>120</v>
      </c>
      <c r="H1765" s="14">
        <f>H1766+H1769</f>
        <v>590.51300000000003</v>
      </c>
      <c r="I1765" s="14">
        <f>I1766+I1769</f>
        <v>590.51300000000003</v>
      </c>
      <c r="J1765" s="14">
        <f t="shared" ref="J1765" si="803">J1766+J1769</f>
        <v>171.35160999999999</v>
      </c>
      <c r="K1765" s="78">
        <f t="shared" si="792"/>
        <v>29.017415365961458</v>
      </c>
      <c r="L1765" s="14">
        <f>L1766+L1769</f>
        <v>0</v>
      </c>
      <c r="M1765" s="50"/>
      <c r="N1765" s="50"/>
    </row>
    <row r="1766" spans="1:14" ht="46.8" x14ac:dyDescent="0.3">
      <c r="A1766" s="8" t="s">
        <v>1414</v>
      </c>
      <c r="B1766" s="62" t="s">
        <v>918</v>
      </c>
      <c r="C1766" s="68" t="s">
        <v>1386</v>
      </c>
      <c r="D1766" s="68" t="s">
        <v>1479</v>
      </c>
      <c r="E1766" s="8" t="s">
        <v>441</v>
      </c>
      <c r="F1766" s="8"/>
      <c r="G1766" s="18" t="s">
        <v>761</v>
      </c>
      <c r="H1766" s="14">
        <f t="shared" si="802"/>
        <v>446.613</v>
      </c>
      <c r="I1766" s="14">
        <f t="shared" si="802"/>
        <v>446.613</v>
      </c>
      <c r="J1766" s="14">
        <f t="shared" si="802"/>
        <v>100.682</v>
      </c>
      <c r="K1766" s="78">
        <f t="shared" si="792"/>
        <v>22.543454847933223</v>
      </c>
      <c r="L1766" s="14">
        <f t="shared" si="802"/>
        <v>0</v>
      </c>
      <c r="M1766" s="50"/>
      <c r="N1766" s="50"/>
    </row>
    <row r="1767" spans="1:14" ht="31.2" x14ac:dyDescent="0.3">
      <c r="A1767" s="8" t="s">
        <v>1414</v>
      </c>
      <c r="B1767" s="62" t="s">
        <v>918</v>
      </c>
      <c r="C1767" s="68" t="s">
        <v>1386</v>
      </c>
      <c r="D1767" s="68" t="s">
        <v>1479</v>
      </c>
      <c r="E1767" s="8" t="s">
        <v>441</v>
      </c>
      <c r="F1767" s="45" t="s">
        <v>380</v>
      </c>
      <c r="G1767" s="23" t="s">
        <v>809</v>
      </c>
      <c r="H1767" s="14">
        <f t="shared" si="802"/>
        <v>446.613</v>
      </c>
      <c r="I1767" s="14">
        <f t="shared" si="802"/>
        <v>446.613</v>
      </c>
      <c r="J1767" s="14">
        <f t="shared" si="802"/>
        <v>100.682</v>
      </c>
      <c r="K1767" s="78">
        <f t="shared" si="792"/>
        <v>22.543454847933223</v>
      </c>
      <c r="L1767" s="14">
        <f t="shared" si="802"/>
        <v>0</v>
      </c>
      <c r="M1767" s="50"/>
      <c r="N1767" s="50"/>
    </row>
    <row r="1768" spans="1:14" ht="31.2" x14ac:dyDescent="0.3">
      <c r="A1768" s="8" t="s">
        <v>1414</v>
      </c>
      <c r="B1768" s="62" t="s">
        <v>918</v>
      </c>
      <c r="C1768" s="68" t="s">
        <v>1386</v>
      </c>
      <c r="D1768" s="68" t="s">
        <v>1479</v>
      </c>
      <c r="E1768" s="8" t="s">
        <v>441</v>
      </c>
      <c r="F1768" s="8" t="s">
        <v>247</v>
      </c>
      <c r="G1768" s="23" t="s">
        <v>810</v>
      </c>
      <c r="H1768" s="14">
        <f>887.6-324.196-116.791</f>
        <v>446.613</v>
      </c>
      <c r="I1768" s="14">
        <v>446.613</v>
      </c>
      <c r="J1768" s="14">
        <v>100.682</v>
      </c>
      <c r="K1768" s="78">
        <f t="shared" si="792"/>
        <v>22.543454847933223</v>
      </c>
      <c r="L1768" s="14"/>
      <c r="M1768" s="50"/>
      <c r="N1768" s="50"/>
    </row>
    <row r="1769" spans="1:14" ht="31.2" x14ac:dyDescent="0.3">
      <c r="A1769" s="8" t="s">
        <v>1414</v>
      </c>
      <c r="B1769" s="62" t="s">
        <v>918</v>
      </c>
      <c r="C1769" s="68" t="s">
        <v>1386</v>
      </c>
      <c r="D1769" s="68" t="s">
        <v>1479</v>
      </c>
      <c r="E1769" s="8" t="s">
        <v>246</v>
      </c>
      <c r="F1769" s="8"/>
      <c r="G1769" s="23" t="s">
        <v>305</v>
      </c>
      <c r="H1769" s="14">
        <f t="shared" ref="H1769:L1770" si="804">H1770</f>
        <v>143.9</v>
      </c>
      <c r="I1769" s="14">
        <f t="shared" si="804"/>
        <v>143.9</v>
      </c>
      <c r="J1769" s="14">
        <f t="shared" si="804"/>
        <v>70.669610000000006</v>
      </c>
      <c r="K1769" s="78">
        <f t="shared" si="792"/>
        <v>49.110222376650455</v>
      </c>
      <c r="L1769" s="14">
        <f t="shared" si="804"/>
        <v>0</v>
      </c>
      <c r="M1769" s="50"/>
      <c r="N1769" s="50"/>
    </row>
    <row r="1770" spans="1:14" ht="31.2" x14ac:dyDescent="0.3">
      <c r="A1770" s="8" t="s">
        <v>1414</v>
      </c>
      <c r="B1770" s="62" t="s">
        <v>918</v>
      </c>
      <c r="C1770" s="68" t="s">
        <v>1386</v>
      </c>
      <c r="D1770" s="68" t="s">
        <v>1479</v>
      </c>
      <c r="E1770" s="8" t="s">
        <v>246</v>
      </c>
      <c r="F1770" s="45" t="s">
        <v>380</v>
      </c>
      <c r="G1770" s="23" t="s">
        <v>809</v>
      </c>
      <c r="H1770" s="14">
        <f t="shared" si="804"/>
        <v>143.9</v>
      </c>
      <c r="I1770" s="14">
        <f t="shared" si="804"/>
        <v>143.9</v>
      </c>
      <c r="J1770" s="14">
        <f t="shared" si="804"/>
        <v>70.669610000000006</v>
      </c>
      <c r="K1770" s="78">
        <f t="shared" si="792"/>
        <v>49.110222376650455</v>
      </c>
      <c r="L1770" s="14">
        <f t="shared" si="804"/>
        <v>0</v>
      </c>
      <c r="M1770" s="50"/>
      <c r="N1770" s="50"/>
    </row>
    <row r="1771" spans="1:14" ht="31.2" x14ac:dyDescent="0.3">
      <c r="A1771" s="8" t="s">
        <v>1414</v>
      </c>
      <c r="B1771" s="62" t="s">
        <v>918</v>
      </c>
      <c r="C1771" s="68" t="s">
        <v>1386</v>
      </c>
      <c r="D1771" s="68" t="s">
        <v>1479</v>
      </c>
      <c r="E1771" s="8" t="s">
        <v>246</v>
      </c>
      <c r="F1771" s="8" t="s">
        <v>247</v>
      </c>
      <c r="G1771" s="23" t="s">
        <v>810</v>
      </c>
      <c r="H1771" s="14">
        <v>143.9</v>
      </c>
      <c r="I1771" s="14">
        <v>143.9</v>
      </c>
      <c r="J1771" s="14">
        <v>70.669610000000006</v>
      </c>
      <c r="K1771" s="78">
        <f t="shared" si="792"/>
        <v>49.110222376650455</v>
      </c>
      <c r="L1771" s="14"/>
      <c r="M1771" s="50"/>
      <c r="N1771" s="50"/>
    </row>
    <row r="1772" spans="1:14" ht="62.4" x14ac:dyDescent="0.3">
      <c r="A1772" s="8" t="s">
        <v>1414</v>
      </c>
      <c r="B1772" s="62" t="s">
        <v>918</v>
      </c>
      <c r="C1772" s="68" t="s">
        <v>1386</v>
      </c>
      <c r="D1772" s="68" t="s">
        <v>1479</v>
      </c>
      <c r="E1772" s="8" t="s">
        <v>358</v>
      </c>
      <c r="F1772" s="8"/>
      <c r="G1772" s="13" t="s">
        <v>1040</v>
      </c>
      <c r="H1772" s="14">
        <f t="shared" ref="H1772:L1775" si="805">H1773</f>
        <v>238.74200000000002</v>
      </c>
      <c r="I1772" s="14">
        <f t="shared" si="805"/>
        <v>238.74199999999999</v>
      </c>
      <c r="J1772" s="14">
        <f t="shared" si="805"/>
        <v>238.74199999999999</v>
      </c>
      <c r="K1772" s="78">
        <f t="shared" si="792"/>
        <v>100</v>
      </c>
      <c r="L1772" s="14">
        <f t="shared" si="805"/>
        <v>0</v>
      </c>
      <c r="M1772" s="50"/>
      <c r="N1772" s="50"/>
    </row>
    <row r="1773" spans="1:14" ht="31.2" x14ac:dyDescent="0.3">
      <c r="A1773" s="8" t="s">
        <v>1414</v>
      </c>
      <c r="B1773" s="62" t="s">
        <v>918</v>
      </c>
      <c r="C1773" s="68" t="s">
        <v>1386</v>
      </c>
      <c r="D1773" s="68" t="s">
        <v>1479</v>
      </c>
      <c r="E1773" s="8" t="s">
        <v>359</v>
      </c>
      <c r="F1773" s="8"/>
      <c r="G1773" s="13" t="s">
        <v>1041</v>
      </c>
      <c r="H1773" s="14">
        <f t="shared" si="805"/>
        <v>238.74200000000002</v>
      </c>
      <c r="I1773" s="14">
        <f t="shared" si="805"/>
        <v>238.74199999999999</v>
      </c>
      <c r="J1773" s="14">
        <f t="shared" si="805"/>
        <v>238.74199999999999</v>
      </c>
      <c r="K1773" s="78">
        <f t="shared" si="792"/>
        <v>100</v>
      </c>
      <c r="L1773" s="14">
        <f t="shared" si="805"/>
        <v>0</v>
      </c>
      <c r="M1773" s="50"/>
      <c r="N1773" s="50"/>
    </row>
    <row r="1774" spans="1:14" ht="46.8" x14ac:dyDescent="0.3">
      <c r="A1774" s="8" t="s">
        <v>1414</v>
      </c>
      <c r="B1774" s="62" t="s">
        <v>918</v>
      </c>
      <c r="C1774" s="68" t="s">
        <v>1386</v>
      </c>
      <c r="D1774" s="68" t="s">
        <v>1479</v>
      </c>
      <c r="E1774" s="8" t="s">
        <v>1237</v>
      </c>
      <c r="F1774" s="8"/>
      <c r="G1774" s="18" t="s">
        <v>316</v>
      </c>
      <c r="H1774" s="14">
        <f t="shared" si="805"/>
        <v>238.74200000000002</v>
      </c>
      <c r="I1774" s="14">
        <f t="shared" si="805"/>
        <v>238.74199999999999</v>
      </c>
      <c r="J1774" s="14">
        <f t="shared" si="805"/>
        <v>238.74199999999999</v>
      </c>
      <c r="K1774" s="78">
        <f t="shared" si="792"/>
        <v>100</v>
      </c>
      <c r="L1774" s="14">
        <f t="shared" si="805"/>
        <v>0</v>
      </c>
      <c r="M1774" s="50"/>
      <c r="N1774" s="50"/>
    </row>
    <row r="1775" spans="1:14" ht="31.2" x14ac:dyDescent="0.3">
      <c r="A1775" s="8" t="s">
        <v>1414</v>
      </c>
      <c r="B1775" s="62" t="s">
        <v>918</v>
      </c>
      <c r="C1775" s="68" t="s">
        <v>1386</v>
      </c>
      <c r="D1775" s="68" t="s">
        <v>1479</v>
      </c>
      <c r="E1775" s="8" t="s">
        <v>1237</v>
      </c>
      <c r="F1775" s="45" t="s">
        <v>380</v>
      </c>
      <c r="G1775" s="23" t="s">
        <v>809</v>
      </c>
      <c r="H1775" s="14">
        <f t="shared" si="805"/>
        <v>238.74200000000002</v>
      </c>
      <c r="I1775" s="14">
        <f t="shared" si="805"/>
        <v>238.74199999999999</v>
      </c>
      <c r="J1775" s="14">
        <f t="shared" si="805"/>
        <v>238.74199999999999</v>
      </c>
      <c r="K1775" s="78">
        <f t="shared" si="792"/>
        <v>100</v>
      </c>
      <c r="L1775" s="14">
        <f t="shared" si="805"/>
        <v>0</v>
      </c>
      <c r="M1775" s="50"/>
      <c r="N1775" s="50"/>
    </row>
    <row r="1776" spans="1:14" ht="31.2" x14ac:dyDescent="0.3">
      <c r="A1776" s="8" t="s">
        <v>1414</v>
      </c>
      <c r="B1776" s="62" t="s">
        <v>918</v>
      </c>
      <c r="C1776" s="68" t="s">
        <v>1386</v>
      </c>
      <c r="D1776" s="68" t="s">
        <v>1479</v>
      </c>
      <c r="E1776" s="8" t="s">
        <v>1237</v>
      </c>
      <c r="F1776" s="8" t="s">
        <v>247</v>
      </c>
      <c r="G1776" s="23" t="s">
        <v>810</v>
      </c>
      <c r="H1776" s="14">
        <f>295.6-56.858</f>
        <v>238.74200000000002</v>
      </c>
      <c r="I1776" s="14">
        <v>238.74199999999999</v>
      </c>
      <c r="J1776" s="14">
        <v>238.74199999999999</v>
      </c>
      <c r="K1776" s="78">
        <f t="shared" si="792"/>
        <v>100</v>
      </c>
      <c r="L1776" s="14"/>
      <c r="M1776" s="50"/>
      <c r="N1776" s="50"/>
    </row>
    <row r="1777" spans="1:14" ht="31.2" x14ac:dyDescent="0.3">
      <c r="A1777" s="8" t="s">
        <v>1414</v>
      </c>
      <c r="B1777" s="62" t="s">
        <v>918</v>
      </c>
      <c r="C1777" s="68" t="s">
        <v>1386</v>
      </c>
      <c r="D1777" s="68" t="s">
        <v>1479</v>
      </c>
      <c r="E1777" s="8" t="s">
        <v>365</v>
      </c>
      <c r="F1777" s="8"/>
      <c r="G1777" s="13" t="s">
        <v>831</v>
      </c>
      <c r="H1777" s="14">
        <f t="shared" ref="H1777:L1780" si="806">H1778</f>
        <v>248.33400000000006</v>
      </c>
      <c r="I1777" s="14">
        <f t="shared" si="806"/>
        <v>248.334</v>
      </c>
      <c r="J1777" s="14">
        <f t="shared" si="806"/>
        <v>29.99999</v>
      </c>
      <c r="K1777" s="78">
        <f t="shared" si="792"/>
        <v>12.080500455032334</v>
      </c>
      <c r="L1777" s="14">
        <f t="shared" si="806"/>
        <v>0</v>
      </c>
      <c r="M1777" s="50"/>
      <c r="N1777" s="50"/>
    </row>
    <row r="1778" spans="1:14" ht="31.2" x14ac:dyDescent="0.3">
      <c r="A1778" s="8" t="s">
        <v>1414</v>
      </c>
      <c r="B1778" s="62" t="s">
        <v>918</v>
      </c>
      <c r="C1778" s="68" t="s">
        <v>1386</v>
      </c>
      <c r="D1778" s="68" t="s">
        <v>1479</v>
      </c>
      <c r="E1778" s="8" t="s">
        <v>366</v>
      </c>
      <c r="F1778" s="8"/>
      <c r="G1778" s="13" t="s">
        <v>834</v>
      </c>
      <c r="H1778" s="14">
        <f t="shared" si="806"/>
        <v>248.33400000000006</v>
      </c>
      <c r="I1778" s="14">
        <f t="shared" si="806"/>
        <v>248.334</v>
      </c>
      <c r="J1778" s="14">
        <f t="shared" si="806"/>
        <v>29.99999</v>
      </c>
      <c r="K1778" s="78">
        <f t="shared" si="792"/>
        <v>12.080500455032334</v>
      </c>
      <c r="L1778" s="14">
        <f t="shared" si="806"/>
        <v>0</v>
      </c>
      <c r="M1778" s="50"/>
      <c r="N1778" s="50"/>
    </row>
    <row r="1779" spans="1:14" ht="62.4" x14ac:dyDescent="0.3">
      <c r="A1779" s="8" t="s">
        <v>1414</v>
      </c>
      <c r="B1779" s="62" t="s">
        <v>918</v>
      </c>
      <c r="C1779" s="68" t="s">
        <v>1386</v>
      </c>
      <c r="D1779" s="68" t="s">
        <v>1479</v>
      </c>
      <c r="E1779" s="8" t="s">
        <v>367</v>
      </c>
      <c r="F1779" s="8"/>
      <c r="G1779" s="13" t="s">
        <v>139</v>
      </c>
      <c r="H1779" s="14">
        <f t="shared" si="806"/>
        <v>248.33400000000006</v>
      </c>
      <c r="I1779" s="14">
        <f t="shared" si="806"/>
        <v>248.334</v>
      </c>
      <c r="J1779" s="14">
        <f t="shared" si="806"/>
        <v>29.99999</v>
      </c>
      <c r="K1779" s="78">
        <f t="shared" si="792"/>
        <v>12.080500455032334</v>
      </c>
      <c r="L1779" s="14">
        <f t="shared" si="806"/>
        <v>0</v>
      </c>
      <c r="M1779" s="50"/>
      <c r="N1779" s="50"/>
    </row>
    <row r="1780" spans="1:14" ht="31.2" x14ac:dyDescent="0.3">
      <c r="A1780" s="8" t="s">
        <v>1414</v>
      </c>
      <c r="B1780" s="62" t="s">
        <v>918</v>
      </c>
      <c r="C1780" s="68" t="s">
        <v>1386</v>
      </c>
      <c r="D1780" s="68" t="s">
        <v>1479</v>
      </c>
      <c r="E1780" s="8" t="s">
        <v>367</v>
      </c>
      <c r="F1780" s="45" t="s">
        <v>380</v>
      </c>
      <c r="G1780" s="23" t="s">
        <v>809</v>
      </c>
      <c r="H1780" s="14">
        <f t="shared" si="806"/>
        <v>248.33400000000006</v>
      </c>
      <c r="I1780" s="14">
        <f t="shared" si="806"/>
        <v>248.334</v>
      </c>
      <c r="J1780" s="14">
        <f t="shared" si="806"/>
        <v>29.99999</v>
      </c>
      <c r="K1780" s="78">
        <f t="shared" si="792"/>
        <v>12.080500455032334</v>
      </c>
      <c r="L1780" s="14">
        <f t="shared" si="806"/>
        <v>0</v>
      </c>
      <c r="M1780" s="50"/>
      <c r="N1780" s="50"/>
    </row>
    <row r="1781" spans="1:14" ht="31.2" x14ac:dyDescent="0.3">
      <c r="A1781" s="8" t="s">
        <v>1414</v>
      </c>
      <c r="B1781" s="62" t="s">
        <v>918</v>
      </c>
      <c r="C1781" s="68" t="s">
        <v>1386</v>
      </c>
      <c r="D1781" s="68" t="s">
        <v>1479</v>
      </c>
      <c r="E1781" s="8" t="s">
        <v>367</v>
      </c>
      <c r="F1781" s="8" t="s">
        <v>247</v>
      </c>
      <c r="G1781" s="23" t="s">
        <v>810</v>
      </c>
      <c r="H1781" s="14">
        <f>859.2-610.866</f>
        <v>248.33400000000006</v>
      </c>
      <c r="I1781" s="14">
        <v>248.334</v>
      </c>
      <c r="J1781" s="14">
        <v>29.99999</v>
      </c>
      <c r="K1781" s="78">
        <f t="shared" si="792"/>
        <v>12.080500455032334</v>
      </c>
      <c r="L1781" s="14"/>
      <c r="M1781" s="50"/>
      <c r="N1781" s="50"/>
    </row>
    <row r="1782" spans="1:14" ht="31.2" x14ac:dyDescent="0.3">
      <c r="A1782" s="8" t="s">
        <v>1414</v>
      </c>
      <c r="B1782" s="62" t="s">
        <v>918</v>
      </c>
      <c r="C1782" s="68" t="s">
        <v>1386</v>
      </c>
      <c r="D1782" s="68" t="s">
        <v>1479</v>
      </c>
      <c r="E1782" s="8" t="s">
        <v>585</v>
      </c>
      <c r="F1782" s="8"/>
      <c r="G1782" s="13" t="s">
        <v>31</v>
      </c>
      <c r="H1782" s="14">
        <f>H1783</f>
        <v>24</v>
      </c>
      <c r="I1782" s="14">
        <f t="shared" ref="I1782:L1786" si="807">I1783</f>
        <v>24</v>
      </c>
      <c r="J1782" s="14">
        <f t="shared" si="807"/>
        <v>24</v>
      </c>
      <c r="K1782" s="78">
        <f t="shared" si="792"/>
        <v>100</v>
      </c>
      <c r="L1782" s="14">
        <f t="shared" si="807"/>
        <v>0</v>
      </c>
      <c r="M1782" s="50"/>
      <c r="N1782" s="50"/>
    </row>
    <row r="1783" spans="1:14" ht="46.8" x14ac:dyDescent="0.3">
      <c r="A1783" s="8" t="s">
        <v>1414</v>
      </c>
      <c r="B1783" s="62" t="s">
        <v>918</v>
      </c>
      <c r="C1783" s="68" t="s">
        <v>1386</v>
      </c>
      <c r="D1783" s="68" t="s">
        <v>1479</v>
      </c>
      <c r="E1783" s="8" t="s">
        <v>586</v>
      </c>
      <c r="F1783" s="8"/>
      <c r="G1783" s="13" t="s">
        <v>32</v>
      </c>
      <c r="H1783" s="14">
        <f>H1784</f>
        <v>24</v>
      </c>
      <c r="I1783" s="14">
        <f t="shared" si="807"/>
        <v>24</v>
      </c>
      <c r="J1783" s="14">
        <f t="shared" si="807"/>
        <v>24</v>
      </c>
      <c r="K1783" s="78">
        <f t="shared" si="792"/>
        <v>100</v>
      </c>
      <c r="L1783" s="14">
        <f t="shared" si="807"/>
        <v>0</v>
      </c>
      <c r="M1783" s="50"/>
      <c r="N1783" s="50"/>
    </row>
    <row r="1784" spans="1:14" ht="31.2" x14ac:dyDescent="0.3">
      <c r="A1784" s="8" t="s">
        <v>1414</v>
      </c>
      <c r="B1784" s="62" t="s">
        <v>918</v>
      </c>
      <c r="C1784" s="68" t="s">
        <v>1386</v>
      </c>
      <c r="D1784" s="68" t="s">
        <v>1479</v>
      </c>
      <c r="E1784" s="8" t="s">
        <v>587</v>
      </c>
      <c r="F1784" s="8"/>
      <c r="G1784" s="13" t="s">
        <v>33</v>
      </c>
      <c r="H1784" s="14">
        <f>H1785</f>
        <v>24</v>
      </c>
      <c r="I1784" s="14">
        <f t="shared" si="807"/>
        <v>24</v>
      </c>
      <c r="J1784" s="14">
        <f t="shared" si="807"/>
        <v>24</v>
      </c>
      <c r="K1784" s="78">
        <f t="shared" si="792"/>
        <v>100</v>
      </c>
      <c r="L1784" s="14">
        <f t="shared" si="807"/>
        <v>0</v>
      </c>
      <c r="M1784" s="50"/>
      <c r="N1784" s="50"/>
    </row>
    <row r="1785" spans="1:14" x14ac:dyDescent="0.3">
      <c r="A1785" s="8" t="s">
        <v>1414</v>
      </c>
      <c r="B1785" s="62" t="s">
        <v>918</v>
      </c>
      <c r="C1785" s="68" t="s">
        <v>1386</v>
      </c>
      <c r="D1785" s="68" t="s">
        <v>1479</v>
      </c>
      <c r="E1785" s="8" t="s">
        <v>588</v>
      </c>
      <c r="F1785" s="8"/>
      <c r="G1785" s="13" t="s">
        <v>199</v>
      </c>
      <c r="H1785" s="14">
        <f>H1786</f>
        <v>24</v>
      </c>
      <c r="I1785" s="14">
        <f t="shared" si="807"/>
        <v>24</v>
      </c>
      <c r="J1785" s="14">
        <f t="shared" si="807"/>
        <v>24</v>
      </c>
      <c r="K1785" s="78">
        <f t="shared" si="792"/>
        <v>100</v>
      </c>
      <c r="L1785" s="14">
        <f t="shared" si="807"/>
        <v>0</v>
      </c>
      <c r="M1785" s="50"/>
      <c r="N1785" s="50"/>
    </row>
    <row r="1786" spans="1:14" ht="31.2" x14ac:dyDescent="0.3">
      <c r="A1786" s="8" t="s">
        <v>1414</v>
      </c>
      <c r="B1786" s="62" t="s">
        <v>918</v>
      </c>
      <c r="C1786" s="68" t="s">
        <v>1386</v>
      </c>
      <c r="D1786" s="68" t="s">
        <v>1479</v>
      </c>
      <c r="E1786" s="8" t="s">
        <v>588</v>
      </c>
      <c r="F1786" s="45" t="s">
        <v>380</v>
      </c>
      <c r="G1786" s="23" t="s">
        <v>809</v>
      </c>
      <c r="H1786" s="14">
        <f>H1787</f>
        <v>24</v>
      </c>
      <c r="I1786" s="14">
        <f t="shared" si="807"/>
        <v>24</v>
      </c>
      <c r="J1786" s="14">
        <f t="shared" si="807"/>
        <v>24</v>
      </c>
      <c r="K1786" s="78">
        <f t="shared" si="792"/>
        <v>100</v>
      </c>
      <c r="L1786" s="14">
        <f t="shared" si="807"/>
        <v>0</v>
      </c>
      <c r="M1786" s="50"/>
      <c r="N1786" s="50"/>
    </row>
    <row r="1787" spans="1:14" ht="31.2" x14ac:dyDescent="0.3">
      <c r="A1787" s="8" t="s">
        <v>1414</v>
      </c>
      <c r="B1787" s="62" t="s">
        <v>918</v>
      </c>
      <c r="C1787" s="68" t="s">
        <v>1386</v>
      </c>
      <c r="D1787" s="68" t="s">
        <v>1479</v>
      </c>
      <c r="E1787" s="8" t="s">
        <v>588</v>
      </c>
      <c r="F1787" s="8" t="s">
        <v>247</v>
      </c>
      <c r="G1787" s="23" t="s">
        <v>810</v>
      </c>
      <c r="H1787" s="14">
        <v>24</v>
      </c>
      <c r="I1787" s="14">
        <v>24</v>
      </c>
      <c r="J1787" s="14">
        <v>24</v>
      </c>
      <c r="K1787" s="78">
        <f t="shared" si="792"/>
        <v>100</v>
      </c>
      <c r="L1787" s="14"/>
      <c r="M1787" s="50"/>
      <c r="N1787" s="50"/>
    </row>
    <row r="1788" spans="1:14" s="3" customFormat="1" x14ac:dyDescent="0.3">
      <c r="A1788" s="10" t="s">
        <v>1414</v>
      </c>
      <c r="B1788" s="43" t="s">
        <v>1392</v>
      </c>
      <c r="C1788" s="43" t="s">
        <v>1392</v>
      </c>
      <c r="D1788" s="43" t="s">
        <v>915</v>
      </c>
      <c r="E1788" s="10"/>
      <c r="F1788" s="10"/>
      <c r="G1788" s="5" t="s">
        <v>1416</v>
      </c>
      <c r="H1788" s="15">
        <f>H1796+H1851+H1789</f>
        <v>50589.173999999999</v>
      </c>
      <c r="I1788" s="15">
        <f>I1796+I1851+I1789</f>
        <v>89065.625070000009</v>
      </c>
      <c r="J1788" s="15">
        <f t="shared" ref="J1788" si="808">J1796+J1851+J1789</f>
        <v>88581.11241999999</v>
      </c>
      <c r="K1788" s="81">
        <f t="shared" si="792"/>
        <v>99.456004884466694</v>
      </c>
      <c r="L1788" s="15">
        <f>L1796+L1851+L1789</f>
        <v>0</v>
      </c>
      <c r="M1788" s="65"/>
      <c r="N1788" s="65"/>
    </row>
    <row r="1789" spans="1:14" s="9" customFormat="1" x14ac:dyDescent="0.3">
      <c r="A1789" s="11" t="s">
        <v>1414</v>
      </c>
      <c r="B1789" s="48" t="s">
        <v>938</v>
      </c>
      <c r="C1789" s="48" t="s">
        <v>1392</v>
      </c>
      <c r="D1789" s="48" t="s">
        <v>1478</v>
      </c>
      <c r="E1789" s="11"/>
      <c r="F1789" s="11"/>
      <c r="G1789" s="7" t="s">
        <v>1451</v>
      </c>
      <c r="H1789" s="16">
        <f t="shared" ref="H1789:L1794" si="809">H1790</f>
        <v>178.024</v>
      </c>
      <c r="I1789" s="16">
        <f t="shared" si="809"/>
        <v>178.024</v>
      </c>
      <c r="J1789" s="16">
        <f t="shared" si="809"/>
        <v>178.02314000000001</v>
      </c>
      <c r="K1789" s="82">
        <f t="shared" si="792"/>
        <v>99.999516919067105</v>
      </c>
      <c r="L1789" s="16">
        <f t="shared" si="809"/>
        <v>0</v>
      </c>
      <c r="M1789" s="65"/>
      <c r="N1789" s="65"/>
    </row>
    <row r="1790" spans="1:14" ht="31.2" x14ac:dyDescent="0.3">
      <c r="A1790" s="8" t="s">
        <v>1414</v>
      </c>
      <c r="B1790" s="62" t="s">
        <v>938</v>
      </c>
      <c r="C1790" s="68" t="s">
        <v>1392</v>
      </c>
      <c r="D1790" s="68" t="s">
        <v>1478</v>
      </c>
      <c r="E1790" s="8" t="s">
        <v>368</v>
      </c>
      <c r="F1790" s="8"/>
      <c r="G1790" s="13" t="s">
        <v>1079</v>
      </c>
      <c r="H1790" s="14">
        <f t="shared" si="809"/>
        <v>178.024</v>
      </c>
      <c r="I1790" s="14">
        <f t="shared" si="809"/>
        <v>178.024</v>
      </c>
      <c r="J1790" s="14">
        <f t="shared" si="809"/>
        <v>178.02314000000001</v>
      </c>
      <c r="K1790" s="78">
        <f t="shared" si="792"/>
        <v>99.999516919067105</v>
      </c>
      <c r="L1790" s="14">
        <f t="shared" si="809"/>
        <v>0</v>
      </c>
      <c r="M1790" s="50"/>
      <c r="N1790" s="50"/>
    </row>
    <row r="1791" spans="1:14" ht="31.2" x14ac:dyDescent="0.3">
      <c r="A1791" s="8" t="s">
        <v>1414</v>
      </c>
      <c r="B1791" s="62" t="s">
        <v>938</v>
      </c>
      <c r="C1791" s="68" t="s">
        <v>1392</v>
      </c>
      <c r="D1791" s="68" t="s">
        <v>1478</v>
      </c>
      <c r="E1791" s="8" t="s">
        <v>515</v>
      </c>
      <c r="F1791" s="8"/>
      <c r="G1791" s="23" t="s">
        <v>1091</v>
      </c>
      <c r="H1791" s="14">
        <f t="shared" si="809"/>
        <v>178.024</v>
      </c>
      <c r="I1791" s="14">
        <f t="shared" si="809"/>
        <v>178.024</v>
      </c>
      <c r="J1791" s="14">
        <f t="shared" si="809"/>
        <v>178.02314000000001</v>
      </c>
      <c r="K1791" s="78">
        <f t="shared" si="792"/>
        <v>99.999516919067105</v>
      </c>
      <c r="L1791" s="14">
        <f t="shared" si="809"/>
        <v>0</v>
      </c>
      <c r="M1791" s="50"/>
      <c r="N1791" s="50"/>
    </row>
    <row r="1792" spans="1:14" ht="62.4" x14ac:dyDescent="0.3">
      <c r="A1792" s="8" t="s">
        <v>1414</v>
      </c>
      <c r="B1792" s="62" t="s">
        <v>938</v>
      </c>
      <c r="C1792" s="68" t="s">
        <v>1392</v>
      </c>
      <c r="D1792" s="68" t="s">
        <v>1478</v>
      </c>
      <c r="E1792" s="8" t="s">
        <v>516</v>
      </c>
      <c r="F1792" s="8"/>
      <c r="G1792" s="23" t="s">
        <v>1169</v>
      </c>
      <c r="H1792" s="14">
        <f t="shared" si="809"/>
        <v>178.024</v>
      </c>
      <c r="I1792" s="14">
        <f t="shared" si="809"/>
        <v>178.024</v>
      </c>
      <c r="J1792" s="14">
        <f t="shared" si="809"/>
        <v>178.02314000000001</v>
      </c>
      <c r="K1792" s="78">
        <f t="shared" si="792"/>
        <v>99.999516919067105</v>
      </c>
      <c r="L1792" s="14">
        <f t="shared" si="809"/>
        <v>0</v>
      </c>
      <c r="M1792" s="50"/>
      <c r="N1792" s="50"/>
    </row>
    <row r="1793" spans="1:14" ht="31.2" x14ac:dyDescent="0.3">
      <c r="A1793" s="8" t="s">
        <v>1414</v>
      </c>
      <c r="B1793" s="62" t="s">
        <v>938</v>
      </c>
      <c r="C1793" s="68" t="s">
        <v>1392</v>
      </c>
      <c r="D1793" s="68" t="s">
        <v>1478</v>
      </c>
      <c r="E1793" s="8" t="s">
        <v>1245</v>
      </c>
      <c r="F1793" s="8"/>
      <c r="G1793" s="18" t="s">
        <v>1248</v>
      </c>
      <c r="H1793" s="14">
        <f t="shared" si="809"/>
        <v>178.024</v>
      </c>
      <c r="I1793" s="14">
        <f t="shared" si="809"/>
        <v>178.024</v>
      </c>
      <c r="J1793" s="14">
        <f t="shared" si="809"/>
        <v>178.02314000000001</v>
      </c>
      <c r="K1793" s="78">
        <f t="shared" si="792"/>
        <v>99.999516919067105</v>
      </c>
      <c r="L1793" s="14">
        <f t="shared" si="809"/>
        <v>0</v>
      </c>
      <c r="M1793" s="50"/>
      <c r="N1793" s="50"/>
    </row>
    <row r="1794" spans="1:14" ht="31.2" x14ac:dyDescent="0.3">
      <c r="A1794" s="8" t="s">
        <v>1414</v>
      </c>
      <c r="B1794" s="62" t="s">
        <v>938</v>
      </c>
      <c r="C1794" s="68" t="s">
        <v>1392</v>
      </c>
      <c r="D1794" s="68" t="s">
        <v>1478</v>
      </c>
      <c r="E1794" s="8" t="s">
        <v>1245</v>
      </c>
      <c r="F1794" s="45" t="s">
        <v>380</v>
      </c>
      <c r="G1794" s="23" t="s">
        <v>809</v>
      </c>
      <c r="H1794" s="14">
        <f t="shared" si="809"/>
        <v>178.024</v>
      </c>
      <c r="I1794" s="14">
        <f t="shared" si="809"/>
        <v>178.024</v>
      </c>
      <c r="J1794" s="14">
        <f t="shared" si="809"/>
        <v>178.02314000000001</v>
      </c>
      <c r="K1794" s="78">
        <f t="shared" si="792"/>
        <v>99.999516919067105</v>
      </c>
      <c r="L1794" s="14">
        <f t="shared" si="809"/>
        <v>0</v>
      </c>
      <c r="M1794" s="50"/>
      <c r="N1794" s="50"/>
    </row>
    <row r="1795" spans="1:14" ht="31.2" x14ac:dyDescent="0.3">
      <c r="A1795" s="8" t="s">
        <v>1414</v>
      </c>
      <c r="B1795" s="62" t="s">
        <v>938</v>
      </c>
      <c r="C1795" s="68" t="s">
        <v>1392</v>
      </c>
      <c r="D1795" s="68" t="s">
        <v>1478</v>
      </c>
      <c r="E1795" s="8" t="s">
        <v>1245</v>
      </c>
      <c r="F1795" s="8" t="s">
        <v>247</v>
      </c>
      <c r="G1795" s="23" t="s">
        <v>810</v>
      </c>
      <c r="H1795" s="14">
        <f>934.7-756.676</f>
        <v>178.024</v>
      </c>
      <c r="I1795" s="14">
        <v>178.024</v>
      </c>
      <c r="J1795" s="14">
        <v>178.02314000000001</v>
      </c>
      <c r="K1795" s="78">
        <f t="shared" si="792"/>
        <v>99.999516919067105</v>
      </c>
      <c r="L1795" s="14"/>
      <c r="M1795" s="50"/>
      <c r="N1795" s="50"/>
    </row>
    <row r="1796" spans="1:14" s="9" customFormat="1" ht="16.5" customHeight="1" x14ac:dyDescent="0.3">
      <c r="A1796" s="11" t="s">
        <v>1414</v>
      </c>
      <c r="B1796" s="48" t="s">
        <v>939</v>
      </c>
      <c r="C1796" s="48" t="s">
        <v>1392</v>
      </c>
      <c r="D1796" s="48" t="s">
        <v>1391</v>
      </c>
      <c r="E1796" s="11"/>
      <c r="F1796" s="11"/>
      <c r="G1796" s="7" t="s">
        <v>1423</v>
      </c>
      <c r="H1796" s="16">
        <f>H1809+H1817+H1797+H1838+H1803+H1830+H1846</f>
        <v>37102.550000000003</v>
      </c>
      <c r="I1796" s="16">
        <f t="shared" ref="I1796:L1796" si="810">I1809+I1817+I1797+I1838+I1803+I1830+I1846</f>
        <v>75579.001069999998</v>
      </c>
      <c r="J1796" s="16">
        <f t="shared" si="810"/>
        <v>75136.344549999994</v>
      </c>
      <c r="K1796" s="82">
        <f t="shared" si="792"/>
        <v>99.414312820051663</v>
      </c>
      <c r="L1796" s="16">
        <f t="shared" si="810"/>
        <v>0</v>
      </c>
      <c r="M1796" s="65"/>
      <c r="N1796" s="65"/>
    </row>
    <row r="1797" spans="1:14" ht="31.2" x14ac:dyDescent="0.3">
      <c r="A1797" s="8" t="s">
        <v>1414</v>
      </c>
      <c r="B1797" s="62" t="s">
        <v>939</v>
      </c>
      <c r="C1797" s="68" t="s">
        <v>1392</v>
      </c>
      <c r="D1797" s="68" t="s">
        <v>1391</v>
      </c>
      <c r="E1797" s="8" t="s">
        <v>438</v>
      </c>
      <c r="F1797" s="8"/>
      <c r="G1797" s="18" t="s">
        <v>891</v>
      </c>
      <c r="H1797" s="14">
        <f t="shared" ref="H1797:L1801" si="811">H1798</f>
        <v>227.77800000000002</v>
      </c>
      <c r="I1797" s="14">
        <f t="shared" si="811"/>
        <v>227.77799999999999</v>
      </c>
      <c r="J1797" s="14">
        <f t="shared" si="811"/>
        <v>227.77799999999999</v>
      </c>
      <c r="K1797" s="78">
        <f t="shared" si="792"/>
        <v>100</v>
      </c>
      <c r="L1797" s="14">
        <f t="shared" si="811"/>
        <v>0</v>
      </c>
      <c r="M1797" s="50"/>
      <c r="N1797" s="50"/>
    </row>
    <row r="1798" spans="1:14" ht="46.8" x14ac:dyDescent="0.3">
      <c r="A1798" s="8" t="s">
        <v>1414</v>
      </c>
      <c r="B1798" s="62" t="s">
        <v>939</v>
      </c>
      <c r="C1798" s="68" t="s">
        <v>1392</v>
      </c>
      <c r="D1798" s="68" t="s">
        <v>1391</v>
      </c>
      <c r="E1798" s="8" t="s">
        <v>439</v>
      </c>
      <c r="F1798" s="8"/>
      <c r="G1798" s="18" t="s">
        <v>119</v>
      </c>
      <c r="H1798" s="14">
        <f t="shared" si="811"/>
        <v>227.77800000000002</v>
      </c>
      <c r="I1798" s="14">
        <f t="shared" si="811"/>
        <v>227.77799999999999</v>
      </c>
      <c r="J1798" s="14">
        <f t="shared" si="811"/>
        <v>227.77799999999999</v>
      </c>
      <c r="K1798" s="78">
        <f t="shared" si="792"/>
        <v>100</v>
      </c>
      <c r="L1798" s="14">
        <f t="shared" si="811"/>
        <v>0</v>
      </c>
      <c r="M1798" s="50"/>
      <c r="N1798" s="50"/>
    </row>
    <row r="1799" spans="1:14" ht="46.8" x14ac:dyDescent="0.3">
      <c r="A1799" s="8" t="s">
        <v>1414</v>
      </c>
      <c r="B1799" s="62" t="s">
        <v>939</v>
      </c>
      <c r="C1799" s="68" t="s">
        <v>1392</v>
      </c>
      <c r="D1799" s="68" t="s">
        <v>1391</v>
      </c>
      <c r="E1799" s="8" t="s">
        <v>442</v>
      </c>
      <c r="F1799" s="8"/>
      <c r="G1799" s="18" t="s">
        <v>1207</v>
      </c>
      <c r="H1799" s="14">
        <f t="shared" si="811"/>
        <v>227.77800000000002</v>
      </c>
      <c r="I1799" s="14">
        <f t="shared" si="811"/>
        <v>227.77799999999999</v>
      </c>
      <c r="J1799" s="14">
        <f t="shared" si="811"/>
        <v>227.77799999999999</v>
      </c>
      <c r="K1799" s="78">
        <f t="shared" si="792"/>
        <v>100</v>
      </c>
      <c r="L1799" s="14">
        <f t="shared" si="811"/>
        <v>0</v>
      </c>
      <c r="M1799" s="50"/>
      <c r="N1799" s="50"/>
    </row>
    <row r="1800" spans="1:14" ht="31.2" x14ac:dyDescent="0.3">
      <c r="A1800" s="8" t="s">
        <v>1414</v>
      </c>
      <c r="B1800" s="62" t="s">
        <v>939</v>
      </c>
      <c r="C1800" s="68" t="s">
        <v>1392</v>
      </c>
      <c r="D1800" s="68" t="s">
        <v>1391</v>
      </c>
      <c r="E1800" s="8" t="s">
        <v>443</v>
      </c>
      <c r="F1800" s="8"/>
      <c r="G1800" s="18" t="s">
        <v>181</v>
      </c>
      <c r="H1800" s="14">
        <f t="shared" si="811"/>
        <v>227.77800000000002</v>
      </c>
      <c r="I1800" s="14">
        <f t="shared" si="811"/>
        <v>227.77799999999999</v>
      </c>
      <c r="J1800" s="14">
        <f t="shared" si="811"/>
        <v>227.77799999999999</v>
      </c>
      <c r="K1800" s="78">
        <f t="shared" ref="K1800:K1863" si="812">J1800/I1800*100</f>
        <v>100</v>
      </c>
      <c r="L1800" s="14">
        <f t="shared" si="811"/>
        <v>0</v>
      </c>
      <c r="M1800" s="50"/>
      <c r="N1800" s="50"/>
    </row>
    <row r="1801" spans="1:14" ht="31.2" x14ac:dyDescent="0.3">
      <c r="A1801" s="8" t="s">
        <v>1414</v>
      </c>
      <c r="B1801" s="62" t="s">
        <v>939</v>
      </c>
      <c r="C1801" s="68" t="s">
        <v>1392</v>
      </c>
      <c r="D1801" s="68" t="s">
        <v>1391</v>
      </c>
      <c r="E1801" s="8" t="s">
        <v>443</v>
      </c>
      <c r="F1801" s="45" t="s">
        <v>380</v>
      </c>
      <c r="G1801" s="23" t="s">
        <v>809</v>
      </c>
      <c r="H1801" s="14">
        <f t="shared" si="811"/>
        <v>227.77800000000002</v>
      </c>
      <c r="I1801" s="14">
        <f t="shared" si="811"/>
        <v>227.77799999999999</v>
      </c>
      <c r="J1801" s="14">
        <f t="shared" si="811"/>
        <v>227.77799999999999</v>
      </c>
      <c r="K1801" s="78">
        <f t="shared" si="812"/>
        <v>100</v>
      </c>
      <c r="L1801" s="14">
        <f t="shared" si="811"/>
        <v>0</v>
      </c>
      <c r="M1801" s="50"/>
      <c r="N1801" s="50"/>
    </row>
    <row r="1802" spans="1:14" ht="31.2" x14ac:dyDescent="0.3">
      <c r="A1802" s="8" t="s">
        <v>1414</v>
      </c>
      <c r="B1802" s="62" t="s">
        <v>939</v>
      </c>
      <c r="C1802" s="68" t="s">
        <v>1392</v>
      </c>
      <c r="D1802" s="68" t="s">
        <v>1391</v>
      </c>
      <c r="E1802" s="8" t="s">
        <v>443</v>
      </c>
      <c r="F1802" s="8" t="s">
        <v>247</v>
      </c>
      <c r="G1802" s="23" t="s">
        <v>810</v>
      </c>
      <c r="H1802" s="14">
        <f>599.5-371.722</f>
        <v>227.77800000000002</v>
      </c>
      <c r="I1802" s="14">
        <v>227.77799999999999</v>
      </c>
      <c r="J1802" s="14">
        <v>227.77799999999999</v>
      </c>
      <c r="K1802" s="78">
        <f t="shared" si="812"/>
        <v>100</v>
      </c>
      <c r="L1802" s="14"/>
      <c r="M1802" s="50"/>
      <c r="N1802" s="50"/>
    </row>
    <row r="1803" spans="1:14" ht="31.2" x14ac:dyDescent="0.3">
      <c r="A1803" s="8" t="s">
        <v>1414</v>
      </c>
      <c r="B1803" s="62" t="s">
        <v>939</v>
      </c>
      <c r="C1803" s="68" t="s">
        <v>1392</v>
      </c>
      <c r="D1803" s="68" t="s">
        <v>1391</v>
      </c>
      <c r="E1803" s="8" t="s">
        <v>355</v>
      </c>
      <c r="F1803" s="8"/>
      <c r="G1803" s="13" t="s">
        <v>893</v>
      </c>
      <c r="H1803" s="14">
        <f>H1804</f>
        <v>262.42399999999998</v>
      </c>
      <c r="I1803" s="14">
        <f t="shared" ref="I1803:L1807" si="813">I1804</f>
        <v>262.42399999999998</v>
      </c>
      <c r="J1803" s="14">
        <f t="shared" si="813"/>
        <v>0</v>
      </c>
      <c r="K1803" s="78">
        <f t="shared" si="812"/>
        <v>0</v>
      </c>
      <c r="L1803" s="14">
        <f t="shared" si="813"/>
        <v>0</v>
      </c>
      <c r="M1803" s="50"/>
      <c r="N1803" s="50"/>
    </row>
    <row r="1804" spans="1:14" ht="31.2" x14ac:dyDescent="0.3">
      <c r="A1804" s="8" t="s">
        <v>1414</v>
      </c>
      <c r="B1804" s="62" t="s">
        <v>939</v>
      </c>
      <c r="C1804" s="68" t="s">
        <v>1392</v>
      </c>
      <c r="D1804" s="68" t="s">
        <v>1391</v>
      </c>
      <c r="E1804" s="8" t="s">
        <v>356</v>
      </c>
      <c r="F1804" s="8"/>
      <c r="G1804" s="13" t="s">
        <v>894</v>
      </c>
      <c r="H1804" s="14">
        <f>H1805</f>
        <v>262.42399999999998</v>
      </c>
      <c r="I1804" s="14">
        <f t="shared" si="813"/>
        <v>262.42399999999998</v>
      </c>
      <c r="J1804" s="14">
        <f t="shared" si="813"/>
        <v>0</v>
      </c>
      <c r="K1804" s="78">
        <f t="shared" si="812"/>
        <v>0</v>
      </c>
      <c r="L1804" s="14">
        <f t="shared" si="813"/>
        <v>0</v>
      </c>
      <c r="M1804" s="50"/>
      <c r="N1804" s="50"/>
    </row>
    <row r="1805" spans="1:14" ht="62.4" x14ac:dyDescent="0.3">
      <c r="A1805" s="8" t="s">
        <v>1414</v>
      </c>
      <c r="B1805" s="62" t="s">
        <v>939</v>
      </c>
      <c r="C1805" s="68" t="s">
        <v>1392</v>
      </c>
      <c r="D1805" s="68" t="s">
        <v>1391</v>
      </c>
      <c r="E1805" s="8" t="s">
        <v>593</v>
      </c>
      <c r="F1805" s="8"/>
      <c r="G1805" s="18" t="s">
        <v>1035</v>
      </c>
      <c r="H1805" s="14">
        <f>H1806</f>
        <v>262.42399999999998</v>
      </c>
      <c r="I1805" s="14">
        <f t="shared" si="813"/>
        <v>262.42399999999998</v>
      </c>
      <c r="J1805" s="14">
        <f t="shared" si="813"/>
        <v>0</v>
      </c>
      <c r="K1805" s="78">
        <f t="shared" si="812"/>
        <v>0</v>
      </c>
      <c r="L1805" s="14">
        <f t="shared" si="813"/>
        <v>0</v>
      </c>
      <c r="M1805" s="50"/>
      <c r="N1805" s="50"/>
    </row>
    <row r="1806" spans="1:14" ht="31.2" x14ac:dyDescent="0.3">
      <c r="A1806" s="8" t="s">
        <v>1414</v>
      </c>
      <c r="B1806" s="62" t="s">
        <v>939</v>
      </c>
      <c r="C1806" s="68" t="s">
        <v>1392</v>
      </c>
      <c r="D1806" s="68" t="s">
        <v>1391</v>
      </c>
      <c r="E1806" s="8" t="s">
        <v>1003</v>
      </c>
      <c r="F1806" s="8"/>
      <c r="G1806" s="23" t="s">
        <v>1004</v>
      </c>
      <c r="H1806" s="14">
        <f>H1807</f>
        <v>262.42399999999998</v>
      </c>
      <c r="I1806" s="14">
        <f t="shared" si="813"/>
        <v>262.42399999999998</v>
      </c>
      <c r="J1806" s="14">
        <f t="shared" si="813"/>
        <v>0</v>
      </c>
      <c r="K1806" s="78">
        <f t="shared" si="812"/>
        <v>0</v>
      </c>
      <c r="L1806" s="14">
        <f t="shared" si="813"/>
        <v>0</v>
      </c>
      <c r="M1806" s="50"/>
      <c r="N1806" s="50"/>
    </row>
    <row r="1807" spans="1:14" ht="31.2" x14ac:dyDescent="0.3">
      <c r="A1807" s="8" t="s">
        <v>1414</v>
      </c>
      <c r="B1807" s="62" t="s">
        <v>939</v>
      </c>
      <c r="C1807" s="68" t="s">
        <v>1392</v>
      </c>
      <c r="D1807" s="68" t="s">
        <v>1391</v>
      </c>
      <c r="E1807" s="8" t="s">
        <v>1003</v>
      </c>
      <c r="F1807" s="45" t="s">
        <v>380</v>
      </c>
      <c r="G1807" s="23" t="s">
        <v>809</v>
      </c>
      <c r="H1807" s="14">
        <f>H1808</f>
        <v>262.42399999999998</v>
      </c>
      <c r="I1807" s="14">
        <f t="shared" si="813"/>
        <v>262.42399999999998</v>
      </c>
      <c r="J1807" s="14">
        <f t="shared" si="813"/>
        <v>0</v>
      </c>
      <c r="K1807" s="78">
        <f t="shared" si="812"/>
        <v>0</v>
      </c>
      <c r="L1807" s="14">
        <f t="shared" si="813"/>
        <v>0</v>
      </c>
      <c r="M1807" s="50"/>
      <c r="N1807" s="50"/>
    </row>
    <row r="1808" spans="1:14" ht="31.2" x14ac:dyDescent="0.3">
      <c r="A1808" s="8" t="s">
        <v>1414</v>
      </c>
      <c r="B1808" s="62" t="s">
        <v>939</v>
      </c>
      <c r="C1808" s="68" t="s">
        <v>1392</v>
      </c>
      <c r="D1808" s="68" t="s">
        <v>1391</v>
      </c>
      <c r="E1808" s="8" t="s">
        <v>1003</v>
      </c>
      <c r="F1808" s="8" t="s">
        <v>247</v>
      </c>
      <c r="G1808" s="23" t="s">
        <v>810</v>
      </c>
      <c r="H1808" s="14">
        <v>262.42399999999998</v>
      </c>
      <c r="I1808" s="14">
        <v>262.42399999999998</v>
      </c>
      <c r="J1808" s="20">
        <v>0</v>
      </c>
      <c r="K1808" s="77">
        <f t="shared" si="812"/>
        <v>0</v>
      </c>
      <c r="L1808" s="14"/>
      <c r="M1808" s="50"/>
      <c r="N1808" s="50"/>
    </row>
    <row r="1809" spans="1:14" ht="62.4" x14ac:dyDescent="0.3">
      <c r="A1809" s="8" t="s">
        <v>1414</v>
      </c>
      <c r="B1809" s="62" t="s">
        <v>939</v>
      </c>
      <c r="C1809" s="68" t="s">
        <v>1392</v>
      </c>
      <c r="D1809" s="68" t="s">
        <v>1391</v>
      </c>
      <c r="E1809" s="8" t="s">
        <v>358</v>
      </c>
      <c r="F1809" s="8"/>
      <c r="G1809" s="13" t="s">
        <v>1040</v>
      </c>
      <c r="H1809" s="14">
        <f t="shared" ref="H1809:L1809" si="814">H1810</f>
        <v>33320.203000000001</v>
      </c>
      <c r="I1809" s="14">
        <f t="shared" si="814"/>
        <v>33320.203000000001</v>
      </c>
      <c r="J1809" s="14">
        <f t="shared" si="814"/>
        <v>33276.162920000002</v>
      </c>
      <c r="K1809" s="78">
        <f t="shared" si="812"/>
        <v>99.867827696007737</v>
      </c>
      <c r="L1809" s="14">
        <f t="shared" si="814"/>
        <v>0</v>
      </c>
      <c r="M1809" s="50"/>
      <c r="N1809" s="50"/>
    </row>
    <row r="1810" spans="1:14" ht="31.2" x14ac:dyDescent="0.3">
      <c r="A1810" s="8" t="s">
        <v>1414</v>
      </c>
      <c r="B1810" s="62" t="s">
        <v>939</v>
      </c>
      <c r="C1810" s="68" t="s">
        <v>1392</v>
      </c>
      <c r="D1810" s="68" t="s">
        <v>1391</v>
      </c>
      <c r="E1810" s="8" t="s">
        <v>359</v>
      </c>
      <c r="F1810" s="8"/>
      <c r="G1810" s="13" t="s">
        <v>1041</v>
      </c>
      <c r="H1810" s="14">
        <f>H1811+H1814</f>
        <v>33320.203000000001</v>
      </c>
      <c r="I1810" s="14">
        <f>I1811+I1814</f>
        <v>33320.203000000001</v>
      </c>
      <c r="J1810" s="14">
        <f t="shared" ref="J1810" si="815">J1811+J1814</f>
        <v>33276.162920000002</v>
      </c>
      <c r="K1810" s="78">
        <f t="shared" si="812"/>
        <v>99.867827696007737</v>
      </c>
      <c r="L1810" s="14">
        <f>L1811+L1814</f>
        <v>0</v>
      </c>
      <c r="M1810" s="50"/>
      <c r="N1810" s="50"/>
    </row>
    <row r="1811" spans="1:14" ht="31.2" x14ac:dyDescent="0.3">
      <c r="A1811" s="8" t="s">
        <v>1414</v>
      </c>
      <c r="B1811" s="62" t="s">
        <v>939</v>
      </c>
      <c r="C1811" s="68" t="s">
        <v>1392</v>
      </c>
      <c r="D1811" s="68" t="s">
        <v>1391</v>
      </c>
      <c r="E1811" s="8" t="s">
        <v>370</v>
      </c>
      <c r="F1811" s="8"/>
      <c r="G1811" s="18" t="s">
        <v>125</v>
      </c>
      <c r="H1811" s="14">
        <f t="shared" ref="H1811:L1811" si="816">H1812</f>
        <v>29081.438999999998</v>
      </c>
      <c r="I1811" s="14">
        <f t="shared" si="816"/>
        <v>29081.438999999998</v>
      </c>
      <c r="J1811" s="14">
        <f t="shared" si="816"/>
        <v>29067.937750000001</v>
      </c>
      <c r="K1811" s="78">
        <f t="shared" si="812"/>
        <v>99.953574339976797</v>
      </c>
      <c r="L1811" s="14">
        <f t="shared" si="816"/>
        <v>0</v>
      </c>
      <c r="M1811" s="50"/>
      <c r="N1811" s="50"/>
    </row>
    <row r="1812" spans="1:14" ht="31.2" x14ac:dyDescent="0.3">
      <c r="A1812" s="8" t="s">
        <v>1414</v>
      </c>
      <c r="B1812" s="62" t="s">
        <v>939</v>
      </c>
      <c r="C1812" s="68" t="s">
        <v>1392</v>
      </c>
      <c r="D1812" s="68" t="s">
        <v>1391</v>
      </c>
      <c r="E1812" s="8" t="s">
        <v>370</v>
      </c>
      <c r="F1812" s="45" t="s">
        <v>380</v>
      </c>
      <c r="G1812" s="23" t="s">
        <v>809</v>
      </c>
      <c r="H1812" s="14">
        <f t="shared" ref="H1812:L1812" si="817">H1813</f>
        <v>29081.438999999998</v>
      </c>
      <c r="I1812" s="14">
        <f t="shared" si="817"/>
        <v>29081.438999999998</v>
      </c>
      <c r="J1812" s="14">
        <f t="shared" si="817"/>
        <v>29067.937750000001</v>
      </c>
      <c r="K1812" s="78">
        <f t="shared" si="812"/>
        <v>99.953574339976797</v>
      </c>
      <c r="L1812" s="14">
        <f t="shared" si="817"/>
        <v>0</v>
      </c>
      <c r="M1812" s="50"/>
      <c r="N1812" s="50"/>
    </row>
    <row r="1813" spans="1:14" ht="31.2" x14ac:dyDescent="0.3">
      <c r="A1813" s="8" t="s">
        <v>1414</v>
      </c>
      <c r="B1813" s="62" t="s">
        <v>939</v>
      </c>
      <c r="C1813" s="68" t="s">
        <v>1392</v>
      </c>
      <c r="D1813" s="68" t="s">
        <v>1391</v>
      </c>
      <c r="E1813" s="8" t="s">
        <v>370</v>
      </c>
      <c r="F1813" s="8" t="s">
        <v>247</v>
      </c>
      <c r="G1813" s="23" t="s">
        <v>810</v>
      </c>
      <c r="H1813" s="14">
        <f>31244-199.92-1764.063-198.578</f>
        <v>29081.438999999998</v>
      </c>
      <c r="I1813" s="14">
        <v>29081.438999999998</v>
      </c>
      <c r="J1813" s="14">
        <v>29067.937750000001</v>
      </c>
      <c r="K1813" s="78">
        <f t="shared" si="812"/>
        <v>99.953574339976797</v>
      </c>
      <c r="L1813" s="14"/>
      <c r="M1813" s="50"/>
      <c r="N1813" s="50"/>
    </row>
    <row r="1814" spans="1:14" ht="31.2" x14ac:dyDescent="0.3">
      <c r="A1814" s="8" t="s">
        <v>1414</v>
      </c>
      <c r="B1814" s="62" t="s">
        <v>939</v>
      </c>
      <c r="C1814" s="68" t="s">
        <v>1392</v>
      </c>
      <c r="D1814" s="68" t="s">
        <v>1391</v>
      </c>
      <c r="E1814" s="8" t="s">
        <v>371</v>
      </c>
      <c r="F1814" s="8"/>
      <c r="G1814" s="18" t="s">
        <v>126</v>
      </c>
      <c r="H1814" s="14">
        <f t="shared" ref="H1814:L1815" si="818">H1815</f>
        <v>4238.7640000000001</v>
      </c>
      <c r="I1814" s="14">
        <f t="shared" si="818"/>
        <v>4238.7640000000001</v>
      </c>
      <c r="J1814" s="14">
        <f t="shared" si="818"/>
        <v>4208.2251699999997</v>
      </c>
      <c r="K1814" s="78">
        <f t="shared" si="812"/>
        <v>99.279534552997035</v>
      </c>
      <c r="L1814" s="14">
        <f t="shared" si="818"/>
        <v>0</v>
      </c>
      <c r="M1814" s="50"/>
      <c r="N1814" s="50"/>
    </row>
    <row r="1815" spans="1:14" ht="31.2" x14ac:dyDescent="0.3">
      <c r="A1815" s="8" t="s">
        <v>1414</v>
      </c>
      <c r="B1815" s="62" t="s">
        <v>939</v>
      </c>
      <c r="C1815" s="68" t="s">
        <v>1392</v>
      </c>
      <c r="D1815" s="68" t="s">
        <v>1391</v>
      </c>
      <c r="E1815" s="8" t="s">
        <v>371</v>
      </c>
      <c r="F1815" s="45" t="s">
        <v>380</v>
      </c>
      <c r="G1815" s="23" t="s">
        <v>809</v>
      </c>
      <c r="H1815" s="14">
        <f t="shared" si="818"/>
        <v>4238.7640000000001</v>
      </c>
      <c r="I1815" s="14">
        <f t="shared" si="818"/>
        <v>4238.7640000000001</v>
      </c>
      <c r="J1815" s="14">
        <f t="shared" si="818"/>
        <v>4208.2251699999997</v>
      </c>
      <c r="K1815" s="78">
        <f t="shared" si="812"/>
        <v>99.279534552997035</v>
      </c>
      <c r="L1815" s="14">
        <f t="shared" si="818"/>
        <v>0</v>
      </c>
      <c r="M1815" s="50"/>
      <c r="N1815" s="50"/>
    </row>
    <row r="1816" spans="1:14" ht="31.2" x14ac:dyDescent="0.3">
      <c r="A1816" s="8" t="s">
        <v>1414</v>
      </c>
      <c r="B1816" s="62" t="s">
        <v>939</v>
      </c>
      <c r="C1816" s="68" t="s">
        <v>1392</v>
      </c>
      <c r="D1816" s="68" t="s">
        <v>1391</v>
      </c>
      <c r="E1816" s="8" t="s">
        <v>371</v>
      </c>
      <c r="F1816" s="8" t="s">
        <v>247</v>
      </c>
      <c r="G1816" s="23" t="s">
        <v>810</v>
      </c>
      <c r="H1816" s="14">
        <f>4280-41.236</f>
        <v>4238.7640000000001</v>
      </c>
      <c r="I1816" s="14">
        <v>4238.7640000000001</v>
      </c>
      <c r="J1816" s="14">
        <v>4208.2251699999997</v>
      </c>
      <c r="K1816" s="78">
        <f t="shared" si="812"/>
        <v>99.279534552997035</v>
      </c>
      <c r="L1816" s="14"/>
      <c r="M1816" s="50"/>
      <c r="N1816" s="50"/>
    </row>
    <row r="1817" spans="1:14" ht="31.2" x14ac:dyDescent="0.3">
      <c r="A1817" s="8" t="s">
        <v>1414</v>
      </c>
      <c r="B1817" s="62" t="s">
        <v>939</v>
      </c>
      <c r="C1817" s="68" t="s">
        <v>1392</v>
      </c>
      <c r="D1817" s="68" t="s">
        <v>1391</v>
      </c>
      <c r="E1817" s="8" t="s">
        <v>368</v>
      </c>
      <c r="F1817" s="8"/>
      <c r="G1817" s="13" t="s">
        <v>1079</v>
      </c>
      <c r="H1817" s="14">
        <f>H1818+H1823</f>
        <v>3180.4739999999997</v>
      </c>
      <c r="I1817" s="14">
        <f t="shared" ref="I1817:L1817" si="819">I1818+I1823</f>
        <v>5990.1906799999997</v>
      </c>
      <c r="J1817" s="14">
        <f t="shared" si="819"/>
        <v>5990.1906799999997</v>
      </c>
      <c r="K1817" s="78">
        <f t="shared" si="812"/>
        <v>100</v>
      </c>
      <c r="L1817" s="14">
        <f t="shared" si="819"/>
        <v>0</v>
      </c>
      <c r="M1817" s="50"/>
      <c r="N1817" s="50"/>
    </row>
    <row r="1818" spans="1:14" ht="31.2" x14ac:dyDescent="0.3">
      <c r="A1818" s="8" t="s">
        <v>1414</v>
      </c>
      <c r="B1818" s="62" t="s">
        <v>939</v>
      </c>
      <c r="C1818" s="68" t="s">
        <v>1392</v>
      </c>
      <c r="D1818" s="68" t="s">
        <v>1391</v>
      </c>
      <c r="E1818" s="8" t="s">
        <v>372</v>
      </c>
      <c r="F1818" s="8"/>
      <c r="G1818" s="13" t="s">
        <v>193</v>
      </c>
      <c r="H1818" s="14">
        <f t="shared" ref="H1818:L1821" si="820">H1819</f>
        <v>3180.4739999999997</v>
      </c>
      <c r="I1818" s="14">
        <f t="shared" si="820"/>
        <v>3180.4740000000002</v>
      </c>
      <c r="J1818" s="14">
        <f t="shared" si="820"/>
        <v>3180.4740000000002</v>
      </c>
      <c r="K1818" s="78">
        <f t="shared" si="812"/>
        <v>100</v>
      </c>
      <c r="L1818" s="14">
        <f t="shared" si="820"/>
        <v>0</v>
      </c>
      <c r="M1818" s="50"/>
      <c r="N1818" s="50"/>
    </row>
    <row r="1819" spans="1:14" ht="46.8" x14ac:dyDescent="0.3">
      <c r="A1819" s="8" t="s">
        <v>1414</v>
      </c>
      <c r="B1819" s="62" t="s">
        <v>939</v>
      </c>
      <c r="C1819" s="68" t="s">
        <v>1392</v>
      </c>
      <c r="D1819" s="68" t="s">
        <v>1391</v>
      </c>
      <c r="E1819" s="8" t="s">
        <v>511</v>
      </c>
      <c r="F1819" s="8"/>
      <c r="G1819" s="18" t="s">
        <v>1192</v>
      </c>
      <c r="H1819" s="14">
        <f t="shared" si="820"/>
        <v>3180.4739999999997</v>
      </c>
      <c r="I1819" s="14">
        <f t="shared" si="820"/>
        <v>3180.4740000000002</v>
      </c>
      <c r="J1819" s="14">
        <f t="shared" si="820"/>
        <v>3180.4740000000002</v>
      </c>
      <c r="K1819" s="78">
        <f t="shared" si="812"/>
        <v>100</v>
      </c>
      <c r="L1819" s="14">
        <f t="shared" si="820"/>
        <v>0</v>
      </c>
      <c r="M1819" s="50"/>
      <c r="N1819" s="50"/>
    </row>
    <row r="1820" spans="1:14" ht="31.2" x14ac:dyDescent="0.3">
      <c r="A1820" s="8" t="s">
        <v>1414</v>
      </c>
      <c r="B1820" s="62" t="s">
        <v>939</v>
      </c>
      <c r="C1820" s="68" t="s">
        <v>1392</v>
      </c>
      <c r="D1820" s="68" t="s">
        <v>1391</v>
      </c>
      <c r="E1820" s="8" t="s">
        <v>70</v>
      </c>
      <c r="F1820" s="8"/>
      <c r="G1820" s="13" t="s">
        <v>164</v>
      </c>
      <c r="H1820" s="14">
        <f t="shared" si="820"/>
        <v>3180.4739999999997</v>
      </c>
      <c r="I1820" s="14">
        <f t="shared" si="820"/>
        <v>3180.4740000000002</v>
      </c>
      <c r="J1820" s="14">
        <f t="shared" si="820"/>
        <v>3180.4740000000002</v>
      </c>
      <c r="K1820" s="78">
        <f t="shared" si="812"/>
        <v>100</v>
      </c>
      <c r="L1820" s="14">
        <f t="shared" si="820"/>
        <v>0</v>
      </c>
      <c r="M1820" s="50"/>
      <c r="N1820" s="50"/>
    </row>
    <row r="1821" spans="1:14" ht="31.2" x14ac:dyDescent="0.3">
      <c r="A1821" s="8" t="s">
        <v>1414</v>
      </c>
      <c r="B1821" s="62" t="s">
        <v>939</v>
      </c>
      <c r="C1821" s="68" t="s">
        <v>1392</v>
      </c>
      <c r="D1821" s="68" t="s">
        <v>1391</v>
      </c>
      <c r="E1821" s="8" t="s">
        <v>70</v>
      </c>
      <c r="F1821" s="45" t="s">
        <v>380</v>
      </c>
      <c r="G1821" s="23" t="s">
        <v>809</v>
      </c>
      <c r="H1821" s="14">
        <f t="shared" si="820"/>
        <v>3180.4739999999997</v>
      </c>
      <c r="I1821" s="14">
        <f t="shared" si="820"/>
        <v>3180.4740000000002</v>
      </c>
      <c r="J1821" s="14">
        <f t="shared" si="820"/>
        <v>3180.4740000000002</v>
      </c>
      <c r="K1821" s="78">
        <f t="shared" si="812"/>
        <v>100</v>
      </c>
      <c r="L1821" s="14">
        <f t="shared" si="820"/>
        <v>0</v>
      </c>
      <c r="M1821" s="50"/>
      <c r="N1821" s="50"/>
    </row>
    <row r="1822" spans="1:14" ht="31.2" x14ac:dyDescent="0.3">
      <c r="A1822" s="8" t="s">
        <v>1414</v>
      </c>
      <c r="B1822" s="62" t="s">
        <v>939</v>
      </c>
      <c r="C1822" s="68" t="s">
        <v>1392</v>
      </c>
      <c r="D1822" s="68" t="s">
        <v>1391</v>
      </c>
      <c r="E1822" s="8" t="s">
        <v>70</v>
      </c>
      <c r="F1822" s="8" t="s">
        <v>247</v>
      </c>
      <c r="G1822" s="23" t="s">
        <v>810</v>
      </c>
      <c r="H1822" s="14">
        <f>3212.6-32.126</f>
        <v>3180.4739999999997</v>
      </c>
      <c r="I1822" s="14">
        <v>3180.4740000000002</v>
      </c>
      <c r="J1822" s="14">
        <v>3180.4740000000002</v>
      </c>
      <c r="K1822" s="78">
        <f t="shared" si="812"/>
        <v>100</v>
      </c>
      <c r="L1822" s="14"/>
      <c r="M1822" s="50"/>
      <c r="N1822" s="50"/>
    </row>
    <row r="1823" spans="1:14" ht="31.2" x14ac:dyDescent="0.3">
      <c r="A1823" s="8" t="s">
        <v>1414</v>
      </c>
      <c r="B1823" s="62" t="s">
        <v>939</v>
      </c>
      <c r="C1823" s="68" t="s">
        <v>1392</v>
      </c>
      <c r="D1823" s="68" t="s">
        <v>1391</v>
      </c>
      <c r="E1823" s="8" t="s">
        <v>369</v>
      </c>
      <c r="F1823" s="8"/>
      <c r="G1823" s="13" t="s">
        <v>1023</v>
      </c>
      <c r="H1823" s="14">
        <f>H1824</f>
        <v>0</v>
      </c>
      <c r="I1823" s="14">
        <f t="shared" ref="I1823:L1824" si="821">I1824</f>
        <v>2809.71668</v>
      </c>
      <c r="J1823" s="14">
        <f t="shared" si="821"/>
        <v>2809.71668</v>
      </c>
      <c r="K1823" s="78">
        <f t="shared" si="812"/>
        <v>100</v>
      </c>
      <c r="L1823" s="14">
        <f t="shared" si="821"/>
        <v>0</v>
      </c>
      <c r="M1823" s="50"/>
      <c r="N1823" s="50"/>
    </row>
    <row r="1824" spans="1:14" ht="46.8" x14ac:dyDescent="0.3">
      <c r="A1824" s="8" t="s">
        <v>1414</v>
      </c>
      <c r="B1824" s="62" t="s">
        <v>939</v>
      </c>
      <c r="C1824" s="68" t="s">
        <v>1392</v>
      </c>
      <c r="D1824" s="68" t="s">
        <v>1391</v>
      </c>
      <c r="E1824" s="8" t="s">
        <v>514</v>
      </c>
      <c r="F1824" s="8"/>
      <c r="G1824" s="13" t="s">
        <v>1024</v>
      </c>
      <c r="H1824" s="14">
        <f>H1825</f>
        <v>0</v>
      </c>
      <c r="I1824" s="14">
        <f t="shared" si="821"/>
        <v>2809.71668</v>
      </c>
      <c r="J1824" s="14">
        <f t="shared" si="821"/>
        <v>2809.71668</v>
      </c>
      <c r="K1824" s="78">
        <f t="shared" si="812"/>
        <v>100</v>
      </c>
      <c r="L1824" s="14">
        <f t="shared" si="821"/>
        <v>0</v>
      </c>
      <c r="M1824" s="50"/>
      <c r="N1824" s="50"/>
    </row>
    <row r="1825" spans="1:14" ht="46.8" x14ac:dyDescent="0.3">
      <c r="A1825" s="8" t="s">
        <v>1414</v>
      </c>
      <c r="B1825" s="62" t="s">
        <v>939</v>
      </c>
      <c r="C1825" s="68" t="s">
        <v>1392</v>
      </c>
      <c r="D1825" s="68" t="s">
        <v>1391</v>
      </c>
      <c r="E1825" s="8" t="s">
        <v>69</v>
      </c>
      <c r="F1825" s="8"/>
      <c r="G1825" s="13" t="s">
        <v>1267</v>
      </c>
      <c r="H1825" s="14">
        <f>H1826+H1828</f>
        <v>0</v>
      </c>
      <c r="I1825" s="14">
        <f t="shared" ref="I1825:L1825" si="822">I1826+I1828</f>
        <v>2809.71668</v>
      </c>
      <c r="J1825" s="14">
        <f t="shared" si="822"/>
        <v>2809.71668</v>
      </c>
      <c r="K1825" s="78">
        <f t="shared" si="812"/>
        <v>100</v>
      </c>
      <c r="L1825" s="14">
        <f t="shared" si="822"/>
        <v>0</v>
      </c>
      <c r="M1825" s="50"/>
      <c r="N1825" s="50"/>
    </row>
    <row r="1826" spans="1:14" ht="31.2" x14ac:dyDescent="0.3">
      <c r="A1826" s="8" t="s">
        <v>1414</v>
      </c>
      <c r="B1826" s="62" t="s">
        <v>939</v>
      </c>
      <c r="C1826" s="68" t="s">
        <v>1392</v>
      </c>
      <c r="D1826" s="68" t="s">
        <v>1391</v>
      </c>
      <c r="E1826" s="8" t="s">
        <v>69</v>
      </c>
      <c r="F1826" s="45" t="s">
        <v>402</v>
      </c>
      <c r="G1826" s="23" t="s">
        <v>819</v>
      </c>
      <c r="H1826" s="14">
        <f>H1827</f>
        <v>0</v>
      </c>
      <c r="I1826" s="14">
        <f t="shared" ref="I1826:L1826" si="823">I1827</f>
        <v>1441.5</v>
      </c>
      <c r="J1826" s="14">
        <f t="shared" si="823"/>
        <v>1441.5</v>
      </c>
      <c r="K1826" s="78">
        <f t="shared" si="812"/>
        <v>100</v>
      </c>
      <c r="L1826" s="14">
        <f t="shared" si="823"/>
        <v>0</v>
      </c>
      <c r="M1826" s="50"/>
      <c r="N1826" s="50"/>
    </row>
    <row r="1827" spans="1:14" ht="46.8" x14ac:dyDescent="0.3">
      <c r="A1827" s="8" t="s">
        <v>1414</v>
      </c>
      <c r="B1827" s="62" t="s">
        <v>939</v>
      </c>
      <c r="C1827" s="68" t="s">
        <v>1392</v>
      </c>
      <c r="D1827" s="68" t="s">
        <v>1391</v>
      </c>
      <c r="E1827" s="8" t="s">
        <v>69</v>
      </c>
      <c r="F1827" s="45" t="s">
        <v>280</v>
      </c>
      <c r="G1827" s="23" t="s">
        <v>821</v>
      </c>
      <c r="H1827" s="19">
        <v>0</v>
      </c>
      <c r="I1827" s="14">
        <v>1441.5</v>
      </c>
      <c r="J1827" s="20">
        <v>1441.5</v>
      </c>
      <c r="K1827" s="77">
        <f t="shared" si="812"/>
        <v>100</v>
      </c>
      <c r="L1827" s="14"/>
      <c r="M1827" s="50"/>
      <c r="N1827" s="50"/>
    </row>
    <row r="1828" spans="1:14" x14ac:dyDescent="0.3">
      <c r="A1828" s="8" t="s">
        <v>1414</v>
      </c>
      <c r="B1828" s="62" t="s">
        <v>939</v>
      </c>
      <c r="C1828" s="68" t="s">
        <v>1392</v>
      </c>
      <c r="D1828" s="68" t="s">
        <v>1391</v>
      </c>
      <c r="E1828" s="8" t="s">
        <v>69</v>
      </c>
      <c r="F1828" s="45" t="s">
        <v>464</v>
      </c>
      <c r="G1828" s="23" t="s">
        <v>822</v>
      </c>
      <c r="H1828" s="14">
        <f>H1829</f>
        <v>0</v>
      </c>
      <c r="I1828" s="14">
        <f t="shared" ref="I1828:L1828" si="824">I1829</f>
        <v>1368.21668</v>
      </c>
      <c r="J1828" s="14">
        <f t="shared" si="824"/>
        <v>1368.21668</v>
      </c>
      <c r="K1828" s="78">
        <f t="shared" si="812"/>
        <v>100</v>
      </c>
      <c r="L1828" s="14">
        <f t="shared" si="824"/>
        <v>0</v>
      </c>
      <c r="M1828" s="50"/>
      <c r="N1828" s="50"/>
    </row>
    <row r="1829" spans="1:14" ht="62.4" x14ac:dyDescent="0.3">
      <c r="A1829" s="8" t="s">
        <v>1414</v>
      </c>
      <c r="B1829" s="62" t="s">
        <v>939</v>
      </c>
      <c r="C1829" s="68" t="s">
        <v>1392</v>
      </c>
      <c r="D1829" s="68" t="s">
        <v>1391</v>
      </c>
      <c r="E1829" s="8" t="s">
        <v>69</v>
      </c>
      <c r="F1829" s="45" t="s">
        <v>727</v>
      </c>
      <c r="G1829" s="18" t="s">
        <v>830</v>
      </c>
      <c r="H1829" s="19">
        <v>0</v>
      </c>
      <c r="I1829" s="14">
        <v>1368.21668</v>
      </c>
      <c r="J1829" s="20">
        <v>1368.21668</v>
      </c>
      <c r="K1829" s="77">
        <f t="shared" si="812"/>
        <v>100</v>
      </c>
      <c r="L1829" s="14"/>
      <c r="M1829" s="50"/>
      <c r="N1829" s="50"/>
    </row>
    <row r="1830" spans="1:14" ht="31.2" x14ac:dyDescent="0.3">
      <c r="A1830" s="8" t="s">
        <v>1414</v>
      </c>
      <c r="B1830" s="62" t="s">
        <v>939</v>
      </c>
      <c r="C1830" s="68" t="s">
        <v>1392</v>
      </c>
      <c r="D1830" s="68" t="s">
        <v>1391</v>
      </c>
      <c r="E1830" s="8" t="s">
        <v>1256</v>
      </c>
      <c r="F1830" s="8"/>
      <c r="G1830" s="23" t="s">
        <v>743</v>
      </c>
      <c r="H1830" s="19">
        <f>H1831</f>
        <v>0</v>
      </c>
      <c r="I1830" s="19">
        <f t="shared" ref="I1830:L1832" si="825">I1831</f>
        <v>34598.712979999997</v>
      </c>
      <c r="J1830" s="19">
        <f t="shared" si="825"/>
        <v>34598.712979999997</v>
      </c>
      <c r="K1830" s="75">
        <f t="shared" si="812"/>
        <v>100</v>
      </c>
      <c r="L1830" s="19">
        <f t="shared" si="825"/>
        <v>0</v>
      </c>
      <c r="M1830" s="50"/>
      <c r="N1830" s="50"/>
    </row>
    <row r="1831" spans="1:14" ht="46.8" x14ac:dyDescent="0.3">
      <c r="A1831" s="8" t="s">
        <v>1414</v>
      </c>
      <c r="B1831" s="62" t="s">
        <v>939</v>
      </c>
      <c r="C1831" s="68" t="s">
        <v>1392</v>
      </c>
      <c r="D1831" s="68" t="s">
        <v>1391</v>
      </c>
      <c r="E1831" s="8" t="s">
        <v>1260</v>
      </c>
      <c r="F1831" s="8"/>
      <c r="G1831" s="23" t="s">
        <v>744</v>
      </c>
      <c r="H1831" s="19">
        <f>H1832</f>
        <v>0</v>
      </c>
      <c r="I1831" s="19">
        <f t="shared" si="825"/>
        <v>34598.712979999997</v>
      </c>
      <c r="J1831" s="19">
        <f t="shared" si="825"/>
        <v>34598.712979999997</v>
      </c>
      <c r="K1831" s="75">
        <f t="shared" si="812"/>
        <v>100</v>
      </c>
      <c r="L1831" s="19">
        <f t="shared" si="825"/>
        <v>0</v>
      </c>
      <c r="M1831" s="50"/>
      <c r="N1831" s="50"/>
    </row>
    <row r="1832" spans="1:14" ht="31.2" x14ac:dyDescent="0.3">
      <c r="A1832" s="8" t="s">
        <v>1414</v>
      </c>
      <c r="B1832" s="62" t="s">
        <v>939</v>
      </c>
      <c r="C1832" s="68" t="s">
        <v>1392</v>
      </c>
      <c r="D1832" s="68" t="s">
        <v>1391</v>
      </c>
      <c r="E1832" s="8" t="s">
        <v>1261</v>
      </c>
      <c r="F1832" s="8"/>
      <c r="G1832" s="23" t="s">
        <v>745</v>
      </c>
      <c r="H1832" s="19">
        <f>H1833</f>
        <v>0</v>
      </c>
      <c r="I1832" s="19">
        <f t="shared" si="825"/>
        <v>34598.712979999997</v>
      </c>
      <c r="J1832" s="19">
        <f t="shared" si="825"/>
        <v>34598.712979999997</v>
      </c>
      <c r="K1832" s="75">
        <f t="shared" si="812"/>
        <v>100</v>
      </c>
      <c r="L1832" s="19">
        <f t="shared" si="825"/>
        <v>0</v>
      </c>
      <c r="M1832" s="50"/>
      <c r="N1832" s="50"/>
    </row>
    <row r="1833" spans="1:14" ht="31.2" x14ac:dyDescent="0.3">
      <c r="A1833" s="8" t="s">
        <v>1414</v>
      </c>
      <c r="B1833" s="62" t="s">
        <v>939</v>
      </c>
      <c r="C1833" s="68" t="s">
        <v>1392</v>
      </c>
      <c r="D1833" s="68" t="s">
        <v>1391</v>
      </c>
      <c r="E1833" s="8" t="s">
        <v>1262</v>
      </c>
      <c r="F1833" s="8"/>
      <c r="G1833" s="23" t="s">
        <v>691</v>
      </c>
      <c r="H1833" s="19">
        <f>H1834+H1836</f>
        <v>0</v>
      </c>
      <c r="I1833" s="19">
        <f t="shared" ref="I1833:L1833" si="826">I1834+I1836</f>
        <v>34598.712979999997</v>
      </c>
      <c r="J1833" s="19">
        <f t="shared" si="826"/>
        <v>34598.712979999997</v>
      </c>
      <c r="K1833" s="75">
        <f t="shared" si="812"/>
        <v>100</v>
      </c>
      <c r="L1833" s="19">
        <f t="shared" si="826"/>
        <v>0</v>
      </c>
      <c r="M1833" s="50"/>
      <c r="N1833" s="50"/>
    </row>
    <row r="1834" spans="1:14" ht="31.2" x14ac:dyDescent="0.3">
      <c r="A1834" s="8" t="s">
        <v>1414</v>
      </c>
      <c r="B1834" s="62" t="s">
        <v>939</v>
      </c>
      <c r="C1834" s="68" t="s">
        <v>1392</v>
      </c>
      <c r="D1834" s="68" t="s">
        <v>1391</v>
      </c>
      <c r="E1834" s="8" t="s">
        <v>1262</v>
      </c>
      <c r="F1834" s="45" t="s">
        <v>402</v>
      </c>
      <c r="G1834" s="23" t="s">
        <v>819</v>
      </c>
      <c r="H1834" s="19">
        <f>H1835</f>
        <v>0</v>
      </c>
      <c r="I1834" s="19">
        <f t="shared" ref="I1834:L1834" si="827">I1835</f>
        <v>11022.95796</v>
      </c>
      <c r="J1834" s="19">
        <f t="shared" si="827"/>
        <v>11022.95796</v>
      </c>
      <c r="K1834" s="75">
        <f t="shared" si="812"/>
        <v>100</v>
      </c>
      <c r="L1834" s="19">
        <f t="shared" si="827"/>
        <v>0</v>
      </c>
      <c r="M1834" s="50"/>
      <c r="N1834" s="50"/>
    </row>
    <row r="1835" spans="1:14" ht="46.8" x14ac:dyDescent="0.3">
      <c r="A1835" s="8" t="s">
        <v>1414</v>
      </c>
      <c r="B1835" s="62" t="s">
        <v>939</v>
      </c>
      <c r="C1835" s="68" t="s">
        <v>1392</v>
      </c>
      <c r="D1835" s="68" t="s">
        <v>1391</v>
      </c>
      <c r="E1835" s="8" t="s">
        <v>1262</v>
      </c>
      <c r="F1835" s="45" t="s">
        <v>280</v>
      </c>
      <c r="G1835" s="23" t="s">
        <v>821</v>
      </c>
      <c r="H1835" s="20">
        <v>0</v>
      </c>
      <c r="I1835" s="19">
        <v>11022.95796</v>
      </c>
      <c r="J1835" s="19">
        <v>11022.95796</v>
      </c>
      <c r="K1835" s="75">
        <f t="shared" si="812"/>
        <v>100</v>
      </c>
      <c r="L1835" s="19"/>
      <c r="M1835" s="50"/>
      <c r="N1835" s="50"/>
    </row>
    <row r="1836" spans="1:14" ht="16.5" customHeight="1" x14ac:dyDescent="0.3">
      <c r="A1836" s="8" t="s">
        <v>1414</v>
      </c>
      <c r="B1836" s="62" t="s">
        <v>939</v>
      </c>
      <c r="C1836" s="68" t="s">
        <v>1392</v>
      </c>
      <c r="D1836" s="68" t="s">
        <v>1391</v>
      </c>
      <c r="E1836" s="8" t="s">
        <v>1262</v>
      </c>
      <c r="F1836" s="8" t="s">
        <v>464</v>
      </c>
      <c r="G1836" s="23" t="s">
        <v>822</v>
      </c>
      <c r="H1836" s="19">
        <f>H1837</f>
        <v>0</v>
      </c>
      <c r="I1836" s="19">
        <f t="shared" ref="I1836:L1836" si="828">I1837</f>
        <v>23575.755020000001</v>
      </c>
      <c r="J1836" s="19">
        <f t="shared" si="828"/>
        <v>23575.755020000001</v>
      </c>
      <c r="K1836" s="75">
        <f t="shared" si="812"/>
        <v>100</v>
      </c>
      <c r="L1836" s="19">
        <f t="shared" si="828"/>
        <v>0</v>
      </c>
      <c r="M1836" s="50"/>
      <c r="N1836" s="50"/>
    </row>
    <row r="1837" spans="1:14" ht="62.4" x14ac:dyDescent="0.3">
      <c r="A1837" s="8" t="s">
        <v>1414</v>
      </c>
      <c r="B1837" s="62" t="s">
        <v>939</v>
      </c>
      <c r="C1837" s="68" t="s">
        <v>1392</v>
      </c>
      <c r="D1837" s="68" t="s">
        <v>1391</v>
      </c>
      <c r="E1837" s="8" t="s">
        <v>1262</v>
      </c>
      <c r="F1837" s="8" t="s">
        <v>727</v>
      </c>
      <c r="G1837" s="23" t="s">
        <v>830</v>
      </c>
      <c r="H1837" s="20">
        <v>0</v>
      </c>
      <c r="I1837" s="14">
        <v>23575.755020000001</v>
      </c>
      <c r="J1837" s="20">
        <v>23575.755020000001</v>
      </c>
      <c r="K1837" s="77">
        <f t="shared" si="812"/>
        <v>100</v>
      </c>
      <c r="L1837" s="14"/>
      <c r="M1837" s="50"/>
      <c r="N1837" s="50"/>
    </row>
    <row r="1838" spans="1:14" ht="31.2" x14ac:dyDescent="0.3">
      <c r="A1838" s="8" t="s">
        <v>1414</v>
      </c>
      <c r="B1838" s="62" t="s">
        <v>939</v>
      </c>
      <c r="C1838" s="68" t="s">
        <v>1392</v>
      </c>
      <c r="D1838" s="68" t="s">
        <v>1391</v>
      </c>
      <c r="E1838" s="8" t="s">
        <v>429</v>
      </c>
      <c r="F1838" s="8"/>
      <c r="G1838" s="23" t="s">
        <v>1140</v>
      </c>
      <c r="H1838" s="14">
        <f t="shared" ref="H1838:L1838" si="829">H1839</f>
        <v>111.67100000000001</v>
      </c>
      <c r="I1838" s="14">
        <f t="shared" si="829"/>
        <v>1097.2164400000001</v>
      </c>
      <c r="J1838" s="14">
        <f t="shared" si="829"/>
        <v>961.024</v>
      </c>
      <c r="K1838" s="78">
        <f t="shared" si="812"/>
        <v>87.587459043176551</v>
      </c>
      <c r="L1838" s="14">
        <f t="shared" si="829"/>
        <v>0</v>
      </c>
      <c r="M1838" s="50"/>
      <c r="N1838" s="50"/>
    </row>
    <row r="1839" spans="1:14" ht="46.8" x14ac:dyDescent="0.3">
      <c r="A1839" s="8" t="s">
        <v>1414</v>
      </c>
      <c r="B1839" s="62" t="s">
        <v>939</v>
      </c>
      <c r="C1839" s="68" t="s">
        <v>1392</v>
      </c>
      <c r="D1839" s="68" t="s">
        <v>1391</v>
      </c>
      <c r="E1839" s="8" t="s">
        <v>535</v>
      </c>
      <c r="F1839" s="8"/>
      <c r="G1839" s="31" t="s">
        <v>176</v>
      </c>
      <c r="H1839" s="14">
        <f>H1842+H1840</f>
        <v>111.67100000000001</v>
      </c>
      <c r="I1839" s="14">
        <f>I1842+I1840+I1844</f>
        <v>1097.2164400000001</v>
      </c>
      <c r="J1839" s="14">
        <f t="shared" ref="J1839:L1839" si="830">J1842+J1840+J1844</f>
        <v>961.024</v>
      </c>
      <c r="K1839" s="78">
        <f t="shared" si="812"/>
        <v>87.587459043176551</v>
      </c>
      <c r="L1839" s="14">
        <f t="shared" si="830"/>
        <v>0</v>
      </c>
      <c r="M1839" s="50"/>
      <c r="N1839" s="50"/>
    </row>
    <row r="1840" spans="1:14" ht="31.2" x14ac:dyDescent="0.3">
      <c r="A1840" s="8" t="s">
        <v>1414</v>
      </c>
      <c r="B1840" s="62" t="s">
        <v>939</v>
      </c>
      <c r="C1840" s="68" t="s">
        <v>1392</v>
      </c>
      <c r="D1840" s="68" t="s">
        <v>1391</v>
      </c>
      <c r="E1840" s="8" t="s">
        <v>535</v>
      </c>
      <c r="F1840" s="45" t="s">
        <v>380</v>
      </c>
      <c r="G1840" s="23" t="s">
        <v>809</v>
      </c>
      <c r="H1840" s="14">
        <f t="shared" ref="H1840:L1840" si="831">H1841</f>
        <v>71.671000000000006</v>
      </c>
      <c r="I1840" s="14">
        <f t="shared" si="831"/>
        <v>657.21644000000003</v>
      </c>
      <c r="J1840" s="14">
        <f t="shared" si="831"/>
        <v>521.024</v>
      </c>
      <c r="K1840" s="78">
        <f t="shared" si="812"/>
        <v>79.277383870677369</v>
      </c>
      <c r="L1840" s="14">
        <f t="shared" si="831"/>
        <v>0</v>
      </c>
      <c r="M1840" s="50"/>
      <c r="N1840" s="50"/>
    </row>
    <row r="1841" spans="1:14" ht="31.2" x14ac:dyDescent="0.3">
      <c r="A1841" s="8" t="s">
        <v>1414</v>
      </c>
      <c r="B1841" s="62" t="s">
        <v>939</v>
      </c>
      <c r="C1841" s="68" t="s">
        <v>1392</v>
      </c>
      <c r="D1841" s="68" t="s">
        <v>1391</v>
      </c>
      <c r="E1841" s="8" t="s">
        <v>535</v>
      </c>
      <c r="F1841" s="8" t="s">
        <v>247</v>
      </c>
      <c r="G1841" s="23" t="s">
        <v>810</v>
      </c>
      <c r="H1841" s="14">
        <v>71.671000000000006</v>
      </c>
      <c r="I1841" s="14">
        <v>657.21644000000003</v>
      </c>
      <c r="J1841" s="14">
        <v>521.024</v>
      </c>
      <c r="K1841" s="78">
        <f t="shared" si="812"/>
        <v>79.277383870677369</v>
      </c>
      <c r="L1841" s="14"/>
      <c r="M1841" s="50"/>
      <c r="N1841" s="50"/>
    </row>
    <row r="1842" spans="1:14" ht="31.2" x14ac:dyDescent="0.3">
      <c r="A1842" s="8" t="s">
        <v>1414</v>
      </c>
      <c r="B1842" s="62" t="s">
        <v>939</v>
      </c>
      <c r="C1842" s="68" t="s">
        <v>1392</v>
      </c>
      <c r="D1842" s="68" t="s">
        <v>1391</v>
      </c>
      <c r="E1842" s="8" t="s">
        <v>535</v>
      </c>
      <c r="F1842" s="45" t="s">
        <v>402</v>
      </c>
      <c r="G1842" s="23" t="s">
        <v>819</v>
      </c>
      <c r="H1842" s="14">
        <f t="shared" ref="H1842:L1842" si="832">H1843</f>
        <v>40</v>
      </c>
      <c r="I1842" s="14">
        <f t="shared" si="832"/>
        <v>160</v>
      </c>
      <c r="J1842" s="14">
        <f t="shared" si="832"/>
        <v>160</v>
      </c>
      <c r="K1842" s="78">
        <f t="shared" si="812"/>
        <v>100</v>
      </c>
      <c r="L1842" s="14">
        <f t="shared" si="832"/>
        <v>0</v>
      </c>
      <c r="M1842" s="50"/>
      <c r="N1842" s="50"/>
    </row>
    <row r="1843" spans="1:14" ht="46.8" x14ac:dyDescent="0.3">
      <c r="A1843" s="8" t="s">
        <v>1414</v>
      </c>
      <c r="B1843" s="62" t="s">
        <v>939</v>
      </c>
      <c r="C1843" s="68" t="s">
        <v>1392</v>
      </c>
      <c r="D1843" s="68" t="s">
        <v>1391</v>
      </c>
      <c r="E1843" s="8" t="s">
        <v>535</v>
      </c>
      <c r="F1843" s="45" t="s">
        <v>280</v>
      </c>
      <c r="G1843" s="23" t="s">
        <v>821</v>
      </c>
      <c r="H1843" s="14">
        <v>40</v>
      </c>
      <c r="I1843" s="14">
        <v>160</v>
      </c>
      <c r="J1843" s="14">
        <v>160</v>
      </c>
      <c r="K1843" s="78">
        <f t="shared" si="812"/>
        <v>100</v>
      </c>
      <c r="L1843" s="14"/>
      <c r="M1843" s="50"/>
      <c r="N1843" s="50"/>
    </row>
    <row r="1844" spans="1:14" x14ac:dyDescent="0.3">
      <c r="A1844" s="8" t="s">
        <v>1414</v>
      </c>
      <c r="B1844" s="62" t="s">
        <v>939</v>
      </c>
      <c r="C1844" s="68" t="s">
        <v>1392</v>
      </c>
      <c r="D1844" s="68" t="s">
        <v>1391</v>
      </c>
      <c r="E1844" s="8" t="s">
        <v>535</v>
      </c>
      <c r="F1844" s="45" t="s">
        <v>464</v>
      </c>
      <c r="G1844" s="23" t="s">
        <v>822</v>
      </c>
      <c r="H1844" s="20">
        <v>0</v>
      </c>
      <c r="I1844" s="14">
        <f>I1845</f>
        <v>280</v>
      </c>
      <c r="J1844" s="14">
        <f t="shared" ref="J1844:L1844" si="833">J1845</f>
        <v>280</v>
      </c>
      <c r="K1844" s="78">
        <f t="shared" si="812"/>
        <v>100</v>
      </c>
      <c r="L1844" s="14">
        <f t="shared" si="833"/>
        <v>0</v>
      </c>
      <c r="M1844" s="50"/>
      <c r="N1844" s="50"/>
    </row>
    <row r="1845" spans="1:14" ht="62.4" x14ac:dyDescent="0.3">
      <c r="A1845" s="8" t="s">
        <v>1414</v>
      </c>
      <c r="B1845" s="62" t="s">
        <v>939</v>
      </c>
      <c r="C1845" s="68" t="s">
        <v>1392</v>
      </c>
      <c r="D1845" s="68" t="s">
        <v>1391</v>
      </c>
      <c r="E1845" s="8" t="s">
        <v>535</v>
      </c>
      <c r="F1845" s="45" t="s">
        <v>727</v>
      </c>
      <c r="G1845" s="18" t="s">
        <v>830</v>
      </c>
      <c r="H1845" s="20">
        <v>0</v>
      </c>
      <c r="I1845" s="14">
        <v>280</v>
      </c>
      <c r="J1845" s="14">
        <v>280</v>
      </c>
      <c r="K1845" s="78">
        <f t="shared" si="812"/>
        <v>100</v>
      </c>
      <c r="L1845" s="14"/>
      <c r="M1845" s="50"/>
      <c r="N1845" s="50"/>
    </row>
    <row r="1846" spans="1:14" ht="46.8" x14ac:dyDescent="0.3">
      <c r="A1846" s="8" t="s">
        <v>1414</v>
      </c>
      <c r="B1846" s="62" t="s">
        <v>939</v>
      </c>
      <c r="C1846" s="83" t="s">
        <v>1392</v>
      </c>
      <c r="D1846" s="83" t="s">
        <v>1391</v>
      </c>
      <c r="E1846" s="45" t="s">
        <v>493</v>
      </c>
      <c r="F1846" s="45"/>
      <c r="G1846" s="23" t="s">
        <v>1160</v>
      </c>
      <c r="H1846" s="20">
        <f>H1847</f>
        <v>0</v>
      </c>
      <c r="I1846" s="20">
        <f t="shared" ref="I1846:L1849" si="834">I1847</f>
        <v>82.475970000000004</v>
      </c>
      <c r="J1846" s="20">
        <f t="shared" si="834"/>
        <v>82.475970000000004</v>
      </c>
      <c r="K1846" s="77">
        <f t="shared" si="812"/>
        <v>100</v>
      </c>
      <c r="L1846" s="20">
        <f t="shared" si="834"/>
        <v>0</v>
      </c>
      <c r="M1846" s="50"/>
      <c r="N1846" s="50"/>
    </row>
    <row r="1847" spans="1:14" ht="31.2" x14ac:dyDescent="0.3">
      <c r="A1847" s="8" t="s">
        <v>1414</v>
      </c>
      <c r="B1847" s="62" t="s">
        <v>939</v>
      </c>
      <c r="C1847" s="83" t="s">
        <v>1392</v>
      </c>
      <c r="D1847" s="83" t="s">
        <v>1391</v>
      </c>
      <c r="E1847" s="45" t="s">
        <v>494</v>
      </c>
      <c r="F1847" s="45"/>
      <c r="G1847" s="23" t="s">
        <v>1161</v>
      </c>
      <c r="H1847" s="20">
        <f>H1848</f>
        <v>0</v>
      </c>
      <c r="I1847" s="20">
        <f t="shared" si="834"/>
        <v>82.475970000000004</v>
      </c>
      <c r="J1847" s="20">
        <f t="shared" si="834"/>
        <v>82.475970000000004</v>
      </c>
      <c r="K1847" s="77">
        <f t="shared" si="812"/>
        <v>100</v>
      </c>
      <c r="L1847" s="20">
        <f t="shared" si="834"/>
        <v>0</v>
      </c>
      <c r="M1847" s="50"/>
      <c r="N1847" s="50"/>
    </row>
    <row r="1848" spans="1:14" ht="31.2" x14ac:dyDescent="0.3">
      <c r="A1848" s="8" t="s">
        <v>1414</v>
      </c>
      <c r="B1848" s="62" t="s">
        <v>939</v>
      </c>
      <c r="C1848" s="83" t="s">
        <v>1392</v>
      </c>
      <c r="D1848" s="83" t="s">
        <v>1391</v>
      </c>
      <c r="E1848" s="45" t="s">
        <v>495</v>
      </c>
      <c r="F1848" s="45"/>
      <c r="G1848" s="23" t="s">
        <v>687</v>
      </c>
      <c r="H1848" s="20">
        <f>H1849</f>
        <v>0</v>
      </c>
      <c r="I1848" s="20">
        <f t="shared" si="834"/>
        <v>82.475970000000004</v>
      </c>
      <c r="J1848" s="20">
        <f t="shared" si="834"/>
        <v>82.475970000000004</v>
      </c>
      <c r="K1848" s="77">
        <f t="shared" si="812"/>
        <v>100</v>
      </c>
      <c r="L1848" s="20">
        <f t="shared" si="834"/>
        <v>0</v>
      </c>
      <c r="M1848" s="50"/>
      <c r="N1848" s="50"/>
    </row>
    <row r="1849" spans="1:14" x14ac:dyDescent="0.3">
      <c r="A1849" s="8" t="s">
        <v>1414</v>
      </c>
      <c r="B1849" s="62" t="s">
        <v>939</v>
      </c>
      <c r="C1849" s="83" t="s">
        <v>1392</v>
      </c>
      <c r="D1849" s="83" t="s">
        <v>1391</v>
      </c>
      <c r="E1849" s="45" t="s">
        <v>495</v>
      </c>
      <c r="F1849" s="45" t="s">
        <v>464</v>
      </c>
      <c r="G1849" s="23" t="s">
        <v>822</v>
      </c>
      <c r="H1849" s="20">
        <f>H1850</f>
        <v>0</v>
      </c>
      <c r="I1849" s="20">
        <f t="shared" si="834"/>
        <v>82.475970000000004</v>
      </c>
      <c r="J1849" s="20">
        <f t="shared" si="834"/>
        <v>82.475970000000004</v>
      </c>
      <c r="K1849" s="77">
        <f t="shared" si="812"/>
        <v>100</v>
      </c>
      <c r="L1849" s="20">
        <f t="shared" si="834"/>
        <v>0</v>
      </c>
      <c r="M1849" s="50"/>
      <c r="N1849" s="50"/>
    </row>
    <row r="1850" spans="1:14" x14ac:dyDescent="0.3">
      <c r="A1850" s="8" t="s">
        <v>1414</v>
      </c>
      <c r="B1850" s="62" t="s">
        <v>939</v>
      </c>
      <c r="C1850" s="83" t="s">
        <v>1392</v>
      </c>
      <c r="D1850" s="83" t="s">
        <v>1391</v>
      </c>
      <c r="E1850" s="45" t="s">
        <v>495</v>
      </c>
      <c r="F1850" s="45" t="s">
        <v>728</v>
      </c>
      <c r="G1850" s="23" t="s">
        <v>823</v>
      </c>
      <c r="H1850" s="20">
        <v>0</v>
      </c>
      <c r="I1850" s="14">
        <v>82.475970000000004</v>
      </c>
      <c r="J1850" s="14">
        <v>82.475970000000004</v>
      </c>
      <c r="K1850" s="78">
        <f t="shared" si="812"/>
        <v>100</v>
      </c>
      <c r="L1850" s="14"/>
      <c r="M1850" s="50"/>
      <c r="N1850" s="50"/>
    </row>
    <row r="1851" spans="1:14" s="9" customFormat="1" ht="31.2" x14ac:dyDescent="0.3">
      <c r="A1851" s="11" t="s">
        <v>1414</v>
      </c>
      <c r="B1851" s="48" t="s">
        <v>940</v>
      </c>
      <c r="C1851" s="48" t="s">
        <v>1392</v>
      </c>
      <c r="D1851" s="48" t="s">
        <v>1392</v>
      </c>
      <c r="E1851" s="11"/>
      <c r="F1851" s="11"/>
      <c r="G1851" s="7" t="s">
        <v>1424</v>
      </c>
      <c r="H1851" s="16">
        <f t="shared" ref="H1851:L1854" si="835">H1852</f>
        <v>13308.6</v>
      </c>
      <c r="I1851" s="16">
        <f t="shared" si="835"/>
        <v>13308.599999999999</v>
      </c>
      <c r="J1851" s="16">
        <f t="shared" si="835"/>
        <v>13266.744729999999</v>
      </c>
      <c r="K1851" s="82">
        <f t="shared" si="812"/>
        <v>99.685502081360923</v>
      </c>
      <c r="L1851" s="16">
        <f t="shared" si="835"/>
        <v>0</v>
      </c>
      <c r="M1851" s="65"/>
      <c r="N1851" s="65"/>
    </row>
    <row r="1852" spans="1:14" ht="31.2" x14ac:dyDescent="0.3">
      <c r="A1852" s="8" t="s">
        <v>1414</v>
      </c>
      <c r="B1852" s="62" t="s">
        <v>940</v>
      </c>
      <c r="C1852" s="68" t="s">
        <v>1392</v>
      </c>
      <c r="D1852" s="68" t="s">
        <v>1392</v>
      </c>
      <c r="E1852" s="8" t="s">
        <v>355</v>
      </c>
      <c r="F1852" s="8"/>
      <c r="G1852" s="13" t="s">
        <v>893</v>
      </c>
      <c r="H1852" s="14">
        <f t="shared" si="835"/>
        <v>13308.6</v>
      </c>
      <c r="I1852" s="14">
        <f t="shared" si="835"/>
        <v>13308.599999999999</v>
      </c>
      <c r="J1852" s="14">
        <f t="shared" si="835"/>
        <v>13266.744729999999</v>
      </c>
      <c r="K1852" s="78">
        <f t="shared" si="812"/>
        <v>99.685502081360923</v>
      </c>
      <c r="L1852" s="14">
        <f t="shared" si="835"/>
        <v>0</v>
      </c>
      <c r="M1852" s="50"/>
      <c r="N1852" s="50"/>
    </row>
    <row r="1853" spans="1:14" ht="31.2" x14ac:dyDescent="0.3">
      <c r="A1853" s="8" t="s">
        <v>1414</v>
      </c>
      <c r="B1853" s="62" t="s">
        <v>940</v>
      </c>
      <c r="C1853" s="68" t="s">
        <v>1392</v>
      </c>
      <c r="D1853" s="68" t="s">
        <v>1392</v>
      </c>
      <c r="E1853" s="8" t="s">
        <v>373</v>
      </c>
      <c r="F1853" s="8"/>
      <c r="G1853" s="13" t="s">
        <v>1038</v>
      </c>
      <c r="H1853" s="14">
        <f t="shared" si="835"/>
        <v>13308.6</v>
      </c>
      <c r="I1853" s="14">
        <f t="shared" si="835"/>
        <v>13308.599999999999</v>
      </c>
      <c r="J1853" s="14">
        <f t="shared" si="835"/>
        <v>13266.744729999999</v>
      </c>
      <c r="K1853" s="78">
        <f t="shared" si="812"/>
        <v>99.685502081360923</v>
      </c>
      <c r="L1853" s="14">
        <f t="shared" si="835"/>
        <v>0</v>
      </c>
      <c r="M1853" s="50"/>
      <c r="N1853" s="50"/>
    </row>
    <row r="1854" spans="1:14" ht="31.2" x14ac:dyDescent="0.3">
      <c r="A1854" s="8" t="s">
        <v>1414</v>
      </c>
      <c r="B1854" s="62" t="s">
        <v>940</v>
      </c>
      <c r="C1854" s="68" t="s">
        <v>1392</v>
      </c>
      <c r="D1854" s="68" t="s">
        <v>1392</v>
      </c>
      <c r="E1854" s="8" t="s">
        <v>374</v>
      </c>
      <c r="F1854" s="8"/>
      <c r="G1854" s="13" t="s">
        <v>1039</v>
      </c>
      <c r="H1854" s="14">
        <f t="shared" si="835"/>
        <v>13308.6</v>
      </c>
      <c r="I1854" s="14">
        <f t="shared" si="835"/>
        <v>13308.599999999999</v>
      </c>
      <c r="J1854" s="14">
        <f t="shared" si="835"/>
        <v>13266.744729999999</v>
      </c>
      <c r="K1854" s="78">
        <f t="shared" si="812"/>
        <v>99.685502081360923</v>
      </c>
      <c r="L1854" s="14">
        <f t="shared" si="835"/>
        <v>0</v>
      </c>
      <c r="M1854" s="50"/>
      <c r="N1854" s="50"/>
    </row>
    <row r="1855" spans="1:14" ht="62.4" x14ac:dyDescent="0.3">
      <c r="A1855" s="8" t="s">
        <v>1414</v>
      </c>
      <c r="B1855" s="62" t="s">
        <v>940</v>
      </c>
      <c r="C1855" s="68" t="s">
        <v>1392</v>
      </c>
      <c r="D1855" s="68" t="s">
        <v>1392</v>
      </c>
      <c r="E1855" s="8" t="s">
        <v>375</v>
      </c>
      <c r="F1855" s="8"/>
      <c r="G1855" s="23" t="s">
        <v>1291</v>
      </c>
      <c r="H1855" s="14">
        <f>H1856+H1858+H1860</f>
        <v>13308.6</v>
      </c>
      <c r="I1855" s="14">
        <f>I1856+I1858+I1860</f>
        <v>13308.599999999999</v>
      </c>
      <c r="J1855" s="14">
        <f t="shared" ref="J1855" si="836">J1856+J1858+J1860</f>
        <v>13266.744729999999</v>
      </c>
      <c r="K1855" s="78">
        <f t="shared" si="812"/>
        <v>99.685502081360923</v>
      </c>
      <c r="L1855" s="14">
        <f>L1856+L1858+L1860</f>
        <v>0</v>
      </c>
      <c r="M1855" s="50"/>
      <c r="N1855" s="50"/>
    </row>
    <row r="1856" spans="1:14" ht="78" x14ac:dyDescent="0.3">
      <c r="A1856" s="8" t="s">
        <v>1414</v>
      </c>
      <c r="B1856" s="62" t="s">
        <v>940</v>
      </c>
      <c r="C1856" s="68" t="s">
        <v>1392</v>
      </c>
      <c r="D1856" s="68" t="s">
        <v>1392</v>
      </c>
      <c r="E1856" s="8" t="s">
        <v>375</v>
      </c>
      <c r="F1856" s="45" t="s">
        <v>431</v>
      </c>
      <c r="G1856" s="23" t="s">
        <v>806</v>
      </c>
      <c r="H1856" s="14">
        <f t="shared" ref="H1856:L1856" si="837">H1857</f>
        <v>10470.200000000001</v>
      </c>
      <c r="I1856" s="14">
        <f t="shared" si="837"/>
        <v>10574.50361</v>
      </c>
      <c r="J1856" s="14">
        <f t="shared" si="837"/>
        <v>10569.489449999999</v>
      </c>
      <c r="K1856" s="78">
        <f t="shared" si="812"/>
        <v>99.952582549640823</v>
      </c>
      <c r="L1856" s="14">
        <f t="shared" si="837"/>
        <v>0</v>
      </c>
      <c r="M1856" s="50"/>
      <c r="N1856" s="50"/>
    </row>
    <row r="1857" spans="1:14" x14ac:dyDescent="0.3">
      <c r="A1857" s="8" t="s">
        <v>1414</v>
      </c>
      <c r="B1857" s="62" t="s">
        <v>940</v>
      </c>
      <c r="C1857" s="68" t="s">
        <v>1392</v>
      </c>
      <c r="D1857" s="68" t="s">
        <v>1392</v>
      </c>
      <c r="E1857" s="8" t="s">
        <v>375</v>
      </c>
      <c r="F1857" s="8" t="s">
        <v>719</v>
      </c>
      <c r="G1857" s="23" t="s">
        <v>807</v>
      </c>
      <c r="H1857" s="14">
        <v>10470.200000000001</v>
      </c>
      <c r="I1857" s="14">
        <v>10574.50361</v>
      </c>
      <c r="J1857" s="14">
        <v>10569.489449999999</v>
      </c>
      <c r="K1857" s="78">
        <f t="shared" si="812"/>
        <v>99.952582549640823</v>
      </c>
      <c r="L1857" s="14"/>
      <c r="M1857" s="50"/>
      <c r="N1857" s="50"/>
    </row>
    <row r="1858" spans="1:14" ht="31.2" x14ac:dyDescent="0.3">
      <c r="A1858" s="8" t="s">
        <v>1414</v>
      </c>
      <c r="B1858" s="62" t="s">
        <v>940</v>
      </c>
      <c r="C1858" s="68" t="s">
        <v>1392</v>
      </c>
      <c r="D1858" s="68" t="s">
        <v>1392</v>
      </c>
      <c r="E1858" s="8" t="s">
        <v>375</v>
      </c>
      <c r="F1858" s="45" t="s">
        <v>380</v>
      </c>
      <c r="G1858" s="23" t="s">
        <v>809</v>
      </c>
      <c r="H1858" s="14">
        <f t="shared" ref="H1858:L1858" si="838">H1859</f>
        <v>2821.9</v>
      </c>
      <c r="I1858" s="14">
        <f t="shared" si="838"/>
        <v>2733.5273900000002</v>
      </c>
      <c r="J1858" s="14">
        <f t="shared" si="838"/>
        <v>2696.6862799999999</v>
      </c>
      <c r="K1858" s="78">
        <f t="shared" si="812"/>
        <v>98.652250197500308</v>
      </c>
      <c r="L1858" s="14">
        <f t="shared" si="838"/>
        <v>0</v>
      </c>
      <c r="M1858" s="50"/>
      <c r="N1858" s="50"/>
    </row>
    <row r="1859" spans="1:14" ht="31.2" x14ac:dyDescent="0.3">
      <c r="A1859" s="8" t="s">
        <v>1414</v>
      </c>
      <c r="B1859" s="62" t="s">
        <v>940</v>
      </c>
      <c r="C1859" s="68" t="s">
        <v>1392</v>
      </c>
      <c r="D1859" s="68" t="s">
        <v>1392</v>
      </c>
      <c r="E1859" s="8" t="s">
        <v>375</v>
      </c>
      <c r="F1859" s="8" t="s">
        <v>247</v>
      </c>
      <c r="G1859" s="23" t="s">
        <v>810</v>
      </c>
      <c r="H1859" s="14">
        <v>2821.9</v>
      </c>
      <c r="I1859" s="14">
        <v>2733.5273900000002</v>
      </c>
      <c r="J1859" s="14">
        <v>2696.6862799999999</v>
      </c>
      <c r="K1859" s="78">
        <f t="shared" si="812"/>
        <v>98.652250197500308</v>
      </c>
      <c r="L1859" s="14"/>
      <c r="M1859" s="50"/>
      <c r="N1859" s="50"/>
    </row>
    <row r="1860" spans="1:14" x14ac:dyDescent="0.3">
      <c r="A1860" s="8" t="s">
        <v>1414</v>
      </c>
      <c r="B1860" s="62" t="s">
        <v>940</v>
      </c>
      <c r="C1860" s="68" t="s">
        <v>1392</v>
      </c>
      <c r="D1860" s="68" t="s">
        <v>1392</v>
      </c>
      <c r="E1860" s="8" t="s">
        <v>375</v>
      </c>
      <c r="F1860" s="45" t="s">
        <v>464</v>
      </c>
      <c r="G1860" s="23" t="s">
        <v>822</v>
      </c>
      <c r="H1860" s="14">
        <f t="shared" ref="H1860:L1860" si="839">H1861</f>
        <v>16.5</v>
      </c>
      <c r="I1860" s="14">
        <f t="shared" si="839"/>
        <v>0.56899999999999995</v>
      </c>
      <c r="J1860" s="14">
        <f t="shared" si="839"/>
        <v>0.56899999999999995</v>
      </c>
      <c r="K1860" s="78">
        <f t="shared" si="812"/>
        <v>100</v>
      </c>
      <c r="L1860" s="14">
        <f t="shared" si="839"/>
        <v>0</v>
      </c>
      <c r="M1860" s="50"/>
      <c r="N1860" s="50"/>
    </row>
    <row r="1861" spans="1:14" x14ac:dyDescent="0.3">
      <c r="A1861" s="8" t="s">
        <v>1414</v>
      </c>
      <c r="B1861" s="62" t="s">
        <v>940</v>
      </c>
      <c r="C1861" s="68" t="s">
        <v>1392</v>
      </c>
      <c r="D1861" s="68" t="s">
        <v>1392</v>
      </c>
      <c r="E1861" s="8" t="s">
        <v>375</v>
      </c>
      <c r="F1861" s="45" t="s">
        <v>729</v>
      </c>
      <c r="G1861" s="23" t="s">
        <v>824</v>
      </c>
      <c r="H1861" s="14">
        <v>16.5</v>
      </c>
      <c r="I1861" s="14">
        <v>0.56899999999999995</v>
      </c>
      <c r="J1861" s="14">
        <v>0.56899999999999995</v>
      </c>
      <c r="K1861" s="78">
        <f t="shared" si="812"/>
        <v>100</v>
      </c>
      <c r="L1861" s="14"/>
      <c r="M1861" s="50"/>
      <c r="N1861" s="50"/>
    </row>
    <row r="1862" spans="1:14" s="3" customFormat="1" x14ac:dyDescent="0.3">
      <c r="A1862" s="10" t="s">
        <v>1414</v>
      </c>
      <c r="B1862" s="43" t="s">
        <v>1381</v>
      </c>
      <c r="C1862" s="43" t="s">
        <v>1381</v>
      </c>
      <c r="D1862" s="43" t="s">
        <v>915</v>
      </c>
      <c r="E1862" s="10"/>
      <c r="F1862" s="10"/>
      <c r="G1862" s="5" t="s">
        <v>1395</v>
      </c>
      <c r="H1862" s="15">
        <f t="shared" ref="H1862:L1868" si="840">H1863</f>
        <v>5398</v>
      </c>
      <c r="I1862" s="15">
        <f t="shared" si="840"/>
        <v>5398</v>
      </c>
      <c r="J1862" s="15">
        <f t="shared" si="840"/>
        <v>5398</v>
      </c>
      <c r="K1862" s="81">
        <f t="shared" si="812"/>
        <v>100</v>
      </c>
      <c r="L1862" s="15">
        <f t="shared" si="840"/>
        <v>0</v>
      </c>
      <c r="M1862" s="65"/>
      <c r="N1862" s="65"/>
    </row>
    <row r="1863" spans="1:14" s="9" customFormat="1" ht="31.2" x14ac:dyDescent="0.3">
      <c r="A1863" s="11" t="s">
        <v>1414</v>
      </c>
      <c r="B1863" s="48" t="s">
        <v>920</v>
      </c>
      <c r="C1863" s="48" t="s">
        <v>1381</v>
      </c>
      <c r="D1863" s="48" t="s">
        <v>1391</v>
      </c>
      <c r="E1863" s="11"/>
      <c r="F1863" s="11"/>
      <c r="G1863" s="7" t="s">
        <v>1396</v>
      </c>
      <c r="H1863" s="16">
        <f t="shared" si="840"/>
        <v>5398</v>
      </c>
      <c r="I1863" s="16">
        <f t="shared" si="840"/>
        <v>5398</v>
      </c>
      <c r="J1863" s="16">
        <f t="shared" si="840"/>
        <v>5398</v>
      </c>
      <c r="K1863" s="82">
        <f t="shared" si="812"/>
        <v>100</v>
      </c>
      <c r="L1863" s="16">
        <f t="shared" si="840"/>
        <v>0</v>
      </c>
      <c r="M1863" s="65"/>
      <c r="N1863" s="65"/>
    </row>
    <row r="1864" spans="1:14" ht="31.2" x14ac:dyDescent="0.3">
      <c r="A1864" s="8" t="s">
        <v>1414</v>
      </c>
      <c r="B1864" s="62" t="s">
        <v>920</v>
      </c>
      <c r="C1864" s="68" t="s">
        <v>1381</v>
      </c>
      <c r="D1864" s="68" t="s">
        <v>1391</v>
      </c>
      <c r="E1864" s="8" t="s">
        <v>376</v>
      </c>
      <c r="F1864" s="8"/>
      <c r="G1864" s="23" t="s">
        <v>1101</v>
      </c>
      <c r="H1864" s="14">
        <f t="shared" si="840"/>
        <v>5398</v>
      </c>
      <c r="I1864" s="14">
        <f t="shared" si="840"/>
        <v>5398</v>
      </c>
      <c r="J1864" s="14">
        <f t="shared" si="840"/>
        <v>5398</v>
      </c>
      <c r="K1864" s="78">
        <f t="shared" ref="K1864:K1927" si="841">J1864/I1864*100</f>
        <v>100</v>
      </c>
      <c r="L1864" s="14">
        <f t="shared" si="840"/>
        <v>0</v>
      </c>
      <c r="M1864" s="50"/>
      <c r="N1864" s="50"/>
    </row>
    <row r="1865" spans="1:14" ht="31.2" x14ac:dyDescent="0.3">
      <c r="A1865" s="8" t="s">
        <v>1414</v>
      </c>
      <c r="B1865" s="62" t="s">
        <v>920</v>
      </c>
      <c r="C1865" s="68" t="s">
        <v>1381</v>
      </c>
      <c r="D1865" s="68" t="s">
        <v>1391</v>
      </c>
      <c r="E1865" s="8" t="s">
        <v>379</v>
      </c>
      <c r="F1865" s="8"/>
      <c r="G1865" s="23" t="s">
        <v>1200</v>
      </c>
      <c r="H1865" s="14">
        <f>H1866+H1870</f>
        <v>5398</v>
      </c>
      <c r="I1865" s="14">
        <f>I1866+I1870</f>
        <v>5398</v>
      </c>
      <c r="J1865" s="14">
        <f t="shared" ref="J1865" si="842">J1866+J1870</f>
        <v>5398</v>
      </c>
      <c r="K1865" s="78">
        <f t="shared" si="841"/>
        <v>100</v>
      </c>
      <c r="L1865" s="14">
        <f>L1866+L1870</f>
        <v>0</v>
      </c>
      <c r="M1865" s="50"/>
      <c r="N1865" s="50"/>
    </row>
    <row r="1866" spans="1:14" ht="31.2" x14ac:dyDescent="0.3">
      <c r="A1866" s="8" t="s">
        <v>1414</v>
      </c>
      <c r="B1866" s="62" t="s">
        <v>920</v>
      </c>
      <c r="C1866" s="68" t="s">
        <v>1381</v>
      </c>
      <c r="D1866" s="68" t="s">
        <v>1391</v>
      </c>
      <c r="E1866" s="8" t="s">
        <v>377</v>
      </c>
      <c r="F1866" s="8"/>
      <c r="G1866" s="23" t="s">
        <v>1102</v>
      </c>
      <c r="H1866" s="14">
        <f t="shared" si="840"/>
        <v>3690</v>
      </c>
      <c r="I1866" s="14">
        <f t="shared" si="840"/>
        <v>3690</v>
      </c>
      <c r="J1866" s="14">
        <f t="shared" si="840"/>
        <v>3690</v>
      </c>
      <c r="K1866" s="78">
        <f t="shared" si="841"/>
        <v>100</v>
      </c>
      <c r="L1866" s="14">
        <f t="shared" si="840"/>
        <v>0</v>
      </c>
      <c r="M1866" s="50"/>
      <c r="N1866" s="50"/>
    </row>
    <row r="1867" spans="1:14" ht="31.2" x14ac:dyDescent="0.3">
      <c r="A1867" s="8" t="s">
        <v>1414</v>
      </c>
      <c r="B1867" s="62" t="s">
        <v>920</v>
      </c>
      <c r="C1867" s="68" t="s">
        <v>1381</v>
      </c>
      <c r="D1867" s="68" t="s">
        <v>1391</v>
      </c>
      <c r="E1867" s="8" t="s">
        <v>378</v>
      </c>
      <c r="F1867" s="8"/>
      <c r="G1867" s="23" t="s">
        <v>1178</v>
      </c>
      <c r="H1867" s="14">
        <f t="shared" si="840"/>
        <v>3690</v>
      </c>
      <c r="I1867" s="14">
        <f t="shared" si="840"/>
        <v>3690</v>
      </c>
      <c r="J1867" s="14">
        <f t="shared" si="840"/>
        <v>3690</v>
      </c>
      <c r="K1867" s="78">
        <f t="shared" si="841"/>
        <v>100</v>
      </c>
      <c r="L1867" s="14">
        <f t="shared" si="840"/>
        <v>0</v>
      </c>
      <c r="M1867" s="50"/>
      <c r="N1867" s="50"/>
    </row>
    <row r="1868" spans="1:14" ht="31.2" x14ac:dyDescent="0.3">
      <c r="A1868" s="8" t="s">
        <v>1414</v>
      </c>
      <c r="B1868" s="62" t="s">
        <v>920</v>
      </c>
      <c r="C1868" s="68" t="s">
        <v>1381</v>
      </c>
      <c r="D1868" s="68" t="s">
        <v>1391</v>
      </c>
      <c r="E1868" s="8" t="s">
        <v>378</v>
      </c>
      <c r="F1868" s="45" t="s">
        <v>380</v>
      </c>
      <c r="G1868" s="23" t="s">
        <v>809</v>
      </c>
      <c r="H1868" s="14">
        <f t="shared" si="840"/>
        <v>3690</v>
      </c>
      <c r="I1868" s="14">
        <f t="shared" si="840"/>
        <v>3690</v>
      </c>
      <c r="J1868" s="14">
        <f t="shared" si="840"/>
        <v>3690</v>
      </c>
      <c r="K1868" s="78">
        <f t="shared" si="841"/>
        <v>100</v>
      </c>
      <c r="L1868" s="14">
        <f t="shared" si="840"/>
        <v>0</v>
      </c>
      <c r="M1868" s="50"/>
      <c r="N1868" s="50"/>
    </row>
    <row r="1869" spans="1:14" ht="31.2" x14ac:dyDescent="0.3">
      <c r="A1869" s="8" t="s">
        <v>1414</v>
      </c>
      <c r="B1869" s="62" t="s">
        <v>920</v>
      </c>
      <c r="C1869" s="68" t="s">
        <v>1381</v>
      </c>
      <c r="D1869" s="68" t="s">
        <v>1391</v>
      </c>
      <c r="E1869" s="8" t="s">
        <v>378</v>
      </c>
      <c r="F1869" s="8" t="s">
        <v>247</v>
      </c>
      <c r="G1869" s="23" t="s">
        <v>810</v>
      </c>
      <c r="H1869" s="14">
        <v>3690</v>
      </c>
      <c r="I1869" s="14">
        <v>3690</v>
      </c>
      <c r="J1869" s="14">
        <v>3690</v>
      </c>
      <c r="K1869" s="78">
        <f t="shared" si="841"/>
        <v>100</v>
      </c>
      <c r="L1869" s="14"/>
      <c r="M1869" s="50"/>
      <c r="N1869" s="50"/>
    </row>
    <row r="1870" spans="1:14" ht="31.2" x14ac:dyDescent="0.3">
      <c r="A1870" s="8" t="s">
        <v>1414</v>
      </c>
      <c r="B1870" s="62" t="s">
        <v>920</v>
      </c>
      <c r="C1870" s="68" t="s">
        <v>1381</v>
      </c>
      <c r="D1870" s="68" t="s">
        <v>1391</v>
      </c>
      <c r="E1870" s="8" t="s">
        <v>1222</v>
      </c>
      <c r="F1870" s="8"/>
      <c r="G1870" s="23" t="s">
        <v>737</v>
      </c>
      <c r="H1870" s="14">
        <f t="shared" ref="H1870:L1872" si="843">H1871</f>
        <v>1708</v>
      </c>
      <c r="I1870" s="14">
        <f t="shared" si="843"/>
        <v>1708</v>
      </c>
      <c r="J1870" s="14">
        <f t="shared" si="843"/>
        <v>1708</v>
      </c>
      <c r="K1870" s="78">
        <f t="shared" si="841"/>
        <v>100</v>
      </c>
      <c r="L1870" s="14">
        <f t="shared" si="843"/>
        <v>0</v>
      </c>
      <c r="M1870" s="50"/>
      <c r="N1870" s="50"/>
    </row>
    <row r="1871" spans="1:14" x14ac:dyDescent="0.3">
      <c r="A1871" s="8" t="s">
        <v>1414</v>
      </c>
      <c r="B1871" s="62" t="s">
        <v>920</v>
      </c>
      <c r="C1871" s="68" t="s">
        <v>1381</v>
      </c>
      <c r="D1871" s="68" t="s">
        <v>1391</v>
      </c>
      <c r="E1871" s="8" t="s">
        <v>1223</v>
      </c>
      <c r="F1871" s="8"/>
      <c r="G1871" s="23" t="s">
        <v>1224</v>
      </c>
      <c r="H1871" s="14">
        <f t="shared" si="843"/>
        <v>1708</v>
      </c>
      <c r="I1871" s="14">
        <f t="shared" si="843"/>
        <v>1708</v>
      </c>
      <c r="J1871" s="14">
        <f t="shared" si="843"/>
        <v>1708</v>
      </c>
      <c r="K1871" s="78">
        <f t="shared" si="841"/>
        <v>100</v>
      </c>
      <c r="L1871" s="14">
        <f t="shared" si="843"/>
        <v>0</v>
      </c>
      <c r="M1871" s="50"/>
      <c r="N1871" s="50"/>
    </row>
    <row r="1872" spans="1:14" ht="31.2" x14ac:dyDescent="0.3">
      <c r="A1872" s="8" t="s">
        <v>1414</v>
      </c>
      <c r="B1872" s="62" t="s">
        <v>920</v>
      </c>
      <c r="C1872" s="68" t="s">
        <v>1381</v>
      </c>
      <c r="D1872" s="68" t="s">
        <v>1391</v>
      </c>
      <c r="E1872" s="8" t="s">
        <v>1223</v>
      </c>
      <c r="F1872" s="45" t="s">
        <v>380</v>
      </c>
      <c r="G1872" s="23" t="s">
        <v>809</v>
      </c>
      <c r="H1872" s="14">
        <f t="shared" si="843"/>
        <v>1708</v>
      </c>
      <c r="I1872" s="14">
        <f t="shared" si="843"/>
        <v>1708</v>
      </c>
      <c r="J1872" s="14">
        <f t="shared" si="843"/>
        <v>1708</v>
      </c>
      <c r="K1872" s="78">
        <f t="shared" si="841"/>
        <v>100</v>
      </c>
      <c r="L1872" s="14">
        <f t="shared" si="843"/>
        <v>0</v>
      </c>
      <c r="M1872" s="50"/>
      <c r="N1872" s="50"/>
    </row>
    <row r="1873" spans="1:14" ht="31.2" x14ac:dyDescent="0.3">
      <c r="A1873" s="8" t="s">
        <v>1414</v>
      </c>
      <c r="B1873" s="62" t="s">
        <v>920</v>
      </c>
      <c r="C1873" s="68" t="s">
        <v>1381</v>
      </c>
      <c r="D1873" s="68" t="s">
        <v>1391</v>
      </c>
      <c r="E1873" s="8" t="s">
        <v>1223</v>
      </c>
      <c r="F1873" s="8" t="s">
        <v>247</v>
      </c>
      <c r="G1873" s="23" t="s">
        <v>810</v>
      </c>
      <c r="H1873" s="14">
        <v>1708</v>
      </c>
      <c r="I1873" s="14">
        <v>1708</v>
      </c>
      <c r="J1873" s="14">
        <v>1708</v>
      </c>
      <c r="K1873" s="78">
        <f t="shared" si="841"/>
        <v>100</v>
      </c>
      <c r="L1873" s="14"/>
      <c r="M1873" s="50"/>
      <c r="N1873" s="50"/>
    </row>
    <row r="1874" spans="1:14" s="3" customFormat="1" x14ac:dyDescent="0.3">
      <c r="A1874" s="10" t="s">
        <v>1414</v>
      </c>
      <c r="B1874" s="43" t="s">
        <v>1374</v>
      </c>
      <c r="C1874" s="43" t="s">
        <v>1374</v>
      </c>
      <c r="D1874" s="43" t="s">
        <v>915</v>
      </c>
      <c r="E1874" s="10"/>
      <c r="F1874" s="10"/>
      <c r="G1874" s="5" t="s">
        <v>1378</v>
      </c>
      <c r="H1874" s="15">
        <f t="shared" ref="H1874:L1876" si="844">H1875</f>
        <v>4555.8999999999996</v>
      </c>
      <c r="I1874" s="15">
        <f t="shared" si="844"/>
        <v>4555.8999999999996</v>
      </c>
      <c r="J1874" s="15">
        <f t="shared" si="844"/>
        <v>4555.4592400000001</v>
      </c>
      <c r="K1874" s="81">
        <f t="shared" si="841"/>
        <v>99.990325511973495</v>
      </c>
      <c r="L1874" s="15">
        <f t="shared" si="844"/>
        <v>0</v>
      </c>
      <c r="M1874" s="65"/>
      <c r="N1874" s="65"/>
    </row>
    <row r="1875" spans="1:14" s="9" customFormat="1" x14ac:dyDescent="0.3">
      <c r="A1875" s="11" t="s">
        <v>1414</v>
      </c>
      <c r="B1875" s="48" t="s">
        <v>924</v>
      </c>
      <c r="C1875" s="48" t="s">
        <v>1374</v>
      </c>
      <c r="D1875" s="48" t="s">
        <v>1374</v>
      </c>
      <c r="E1875" s="11"/>
      <c r="F1875" s="11"/>
      <c r="G1875" s="7" t="s">
        <v>1221</v>
      </c>
      <c r="H1875" s="16">
        <f t="shared" si="844"/>
        <v>4555.8999999999996</v>
      </c>
      <c r="I1875" s="16">
        <f t="shared" si="844"/>
        <v>4555.8999999999996</v>
      </c>
      <c r="J1875" s="16">
        <f t="shared" si="844"/>
        <v>4555.4592400000001</v>
      </c>
      <c r="K1875" s="82">
        <f t="shared" si="841"/>
        <v>99.990325511973495</v>
      </c>
      <c r="L1875" s="16">
        <f t="shared" si="844"/>
        <v>0</v>
      </c>
      <c r="M1875" s="65"/>
      <c r="N1875" s="65"/>
    </row>
    <row r="1876" spans="1:14" x14ac:dyDescent="0.3">
      <c r="A1876" s="8" t="s">
        <v>1414</v>
      </c>
      <c r="B1876" s="62" t="s">
        <v>924</v>
      </c>
      <c r="C1876" s="68" t="s">
        <v>1374</v>
      </c>
      <c r="D1876" s="68" t="s">
        <v>1374</v>
      </c>
      <c r="E1876" s="8" t="s">
        <v>390</v>
      </c>
      <c r="F1876" s="8"/>
      <c r="G1876" s="13" t="s">
        <v>862</v>
      </c>
      <c r="H1876" s="14">
        <f t="shared" si="844"/>
        <v>4555.8999999999996</v>
      </c>
      <c r="I1876" s="14">
        <f t="shared" si="844"/>
        <v>4555.8999999999996</v>
      </c>
      <c r="J1876" s="14">
        <f t="shared" si="844"/>
        <v>4555.4592400000001</v>
      </c>
      <c r="K1876" s="78">
        <f t="shared" si="841"/>
        <v>99.990325511973495</v>
      </c>
      <c r="L1876" s="14">
        <f t="shared" si="844"/>
        <v>0</v>
      </c>
      <c r="M1876" s="50"/>
      <c r="N1876" s="50"/>
    </row>
    <row r="1877" spans="1:14" ht="46.8" x14ac:dyDescent="0.3">
      <c r="A1877" s="8" t="s">
        <v>1414</v>
      </c>
      <c r="B1877" s="62" t="s">
        <v>924</v>
      </c>
      <c r="C1877" s="68" t="s">
        <v>1374</v>
      </c>
      <c r="D1877" s="68" t="s">
        <v>1374</v>
      </c>
      <c r="E1877" s="8" t="s">
        <v>59</v>
      </c>
      <c r="F1877" s="8"/>
      <c r="G1877" s="23" t="s">
        <v>1295</v>
      </c>
      <c r="H1877" s="14">
        <f t="shared" ref="H1877:L1880" si="845">H1878</f>
        <v>4555.8999999999996</v>
      </c>
      <c r="I1877" s="14">
        <f t="shared" si="845"/>
        <v>4555.8999999999996</v>
      </c>
      <c r="J1877" s="14">
        <f t="shared" si="845"/>
        <v>4555.4592400000001</v>
      </c>
      <c r="K1877" s="78">
        <f t="shared" si="841"/>
        <v>99.990325511973495</v>
      </c>
      <c r="L1877" s="14">
        <f t="shared" si="845"/>
        <v>0</v>
      </c>
      <c r="M1877" s="50"/>
      <c r="N1877" s="50"/>
    </row>
    <row r="1878" spans="1:14" ht="31.2" x14ac:dyDescent="0.3">
      <c r="A1878" s="8" t="s">
        <v>1414</v>
      </c>
      <c r="B1878" s="62" t="s">
        <v>924</v>
      </c>
      <c r="C1878" s="68" t="s">
        <v>1374</v>
      </c>
      <c r="D1878" s="68" t="s">
        <v>1374</v>
      </c>
      <c r="E1878" s="8" t="s">
        <v>60</v>
      </c>
      <c r="F1878" s="8"/>
      <c r="G1878" s="23" t="s">
        <v>1296</v>
      </c>
      <c r="H1878" s="14">
        <f t="shared" si="845"/>
        <v>4555.8999999999996</v>
      </c>
      <c r="I1878" s="14">
        <f t="shared" si="845"/>
        <v>4555.8999999999996</v>
      </c>
      <c r="J1878" s="14">
        <f t="shared" si="845"/>
        <v>4555.4592400000001</v>
      </c>
      <c r="K1878" s="78">
        <f t="shared" si="841"/>
        <v>99.990325511973495</v>
      </c>
      <c r="L1878" s="14">
        <f t="shared" si="845"/>
        <v>0</v>
      </c>
      <c r="M1878" s="50"/>
      <c r="N1878" s="50"/>
    </row>
    <row r="1879" spans="1:14" ht="62.4" x14ac:dyDescent="0.3">
      <c r="A1879" s="8" t="s">
        <v>1414</v>
      </c>
      <c r="B1879" s="62" t="s">
        <v>924</v>
      </c>
      <c r="C1879" s="68" t="s">
        <v>1374</v>
      </c>
      <c r="D1879" s="68" t="s">
        <v>1374</v>
      </c>
      <c r="E1879" s="8" t="s">
        <v>62</v>
      </c>
      <c r="F1879" s="8"/>
      <c r="G1879" s="18" t="s">
        <v>298</v>
      </c>
      <c r="H1879" s="14">
        <f t="shared" si="845"/>
        <v>4555.8999999999996</v>
      </c>
      <c r="I1879" s="14">
        <f t="shared" si="845"/>
        <v>4555.8999999999996</v>
      </c>
      <c r="J1879" s="14">
        <f t="shared" si="845"/>
        <v>4555.4592400000001</v>
      </c>
      <c r="K1879" s="78">
        <f t="shared" si="841"/>
        <v>99.990325511973495</v>
      </c>
      <c r="L1879" s="14">
        <f t="shared" si="845"/>
        <v>0</v>
      </c>
      <c r="M1879" s="50"/>
      <c r="N1879" s="50"/>
    </row>
    <row r="1880" spans="1:14" ht="31.2" x14ac:dyDescent="0.3">
      <c r="A1880" s="8" t="s">
        <v>1414</v>
      </c>
      <c r="B1880" s="62" t="s">
        <v>924</v>
      </c>
      <c r="C1880" s="68" t="s">
        <v>1374</v>
      </c>
      <c r="D1880" s="68" t="s">
        <v>1374</v>
      </c>
      <c r="E1880" s="8" t="s">
        <v>62</v>
      </c>
      <c r="F1880" s="45" t="s">
        <v>402</v>
      </c>
      <c r="G1880" s="23" t="s">
        <v>819</v>
      </c>
      <c r="H1880" s="14">
        <f t="shared" si="845"/>
        <v>4555.8999999999996</v>
      </c>
      <c r="I1880" s="14">
        <f t="shared" si="845"/>
        <v>4555.8999999999996</v>
      </c>
      <c r="J1880" s="14">
        <f t="shared" si="845"/>
        <v>4555.4592400000001</v>
      </c>
      <c r="K1880" s="78">
        <f t="shared" si="841"/>
        <v>99.990325511973495</v>
      </c>
      <c r="L1880" s="14">
        <f t="shared" si="845"/>
        <v>0</v>
      </c>
      <c r="M1880" s="50"/>
      <c r="N1880" s="50"/>
    </row>
    <row r="1881" spans="1:14" ht="46.8" x14ac:dyDescent="0.3">
      <c r="A1881" s="8" t="s">
        <v>1414</v>
      </c>
      <c r="B1881" s="62" t="s">
        <v>924</v>
      </c>
      <c r="C1881" s="68" t="s">
        <v>1374</v>
      </c>
      <c r="D1881" s="68" t="s">
        <v>1374</v>
      </c>
      <c r="E1881" s="8" t="s">
        <v>62</v>
      </c>
      <c r="F1881" s="45" t="s">
        <v>280</v>
      </c>
      <c r="G1881" s="23" t="s">
        <v>821</v>
      </c>
      <c r="H1881" s="14">
        <f>3530.9+1025</f>
        <v>4555.8999999999996</v>
      </c>
      <c r="I1881" s="14">
        <v>4555.8999999999996</v>
      </c>
      <c r="J1881" s="14">
        <v>4555.4592400000001</v>
      </c>
      <c r="K1881" s="78">
        <f t="shared" si="841"/>
        <v>99.990325511973495</v>
      </c>
      <c r="L1881" s="14"/>
      <c r="M1881" s="50"/>
      <c r="N1881" s="50"/>
    </row>
    <row r="1882" spans="1:14" s="3" customFormat="1" x14ac:dyDescent="0.3">
      <c r="A1882" s="10" t="s">
        <v>1414</v>
      </c>
      <c r="B1882" s="43" t="s">
        <v>1402</v>
      </c>
      <c r="C1882" s="43" t="s">
        <v>1402</v>
      </c>
      <c r="D1882" s="43" t="s">
        <v>915</v>
      </c>
      <c r="E1882" s="10"/>
      <c r="F1882" s="10"/>
      <c r="G1882" s="5" t="s">
        <v>1405</v>
      </c>
      <c r="H1882" s="15">
        <f t="shared" ref="H1882:L1882" si="846">H1883</f>
        <v>1704.405</v>
      </c>
      <c r="I1882" s="15">
        <f t="shared" si="846"/>
        <v>2903.63</v>
      </c>
      <c r="J1882" s="15">
        <f t="shared" si="846"/>
        <v>2887.1350000000002</v>
      </c>
      <c r="K1882" s="81">
        <f t="shared" si="841"/>
        <v>99.431917978530322</v>
      </c>
      <c r="L1882" s="15">
        <f t="shared" si="846"/>
        <v>0</v>
      </c>
      <c r="M1882" s="65"/>
      <c r="N1882" s="65"/>
    </row>
    <row r="1883" spans="1:14" s="9" customFormat="1" x14ac:dyDescent="0.3">
      <c r="A1883" s="11" t="s">
        <v>1414</v>
      </c>
      <c r="B1883" s="48" t="s">
        <v>926</v>
      </c>
      <c r="C1883" s="48" t="s">
        <v>1402</v>
      </c>
      <c r="D1883" s="48" t="s">
        <v>1372</v>
      </c>
      <c r="E1883" s="11"/>
      <c r="F1883" s="11"/>
      <c r="G1883" s="7" t="s">
        <v>1406</v>
      </c>
      <c r="H1883" s="16">
        <f t="shared" ref="H1883:L1883" si="847">H1884+H1890</f>
        <v>1704.405</v>
      </c>
      <c r="I1883" s="16">
        <f t="shared" si="847"/>
        <v>2903.63</v>
      </c>
      <c r="J1883" s="16">
        <f t="shared" si="847"/>
        <v>2887.1350000000002</v>
      </c>
      <c r="K1883" s="82">
        <f t="shared" si="841"/>
        <v>99.431917978530322</v>
      </c>
      <c r="L1883" s="16">
        <f t="shared" si="847"/>
        <v>0</v>
      </c>
      <c r="M1883" s="65"/>
      <c r="N1883" s="65"/>
    </row>
    <row r="1884" spans="1:14" x14ac:dyDescent="0.3">
      <c r="A1884" s="8" t="s">
        <v>1414</v>
      </c>
      <c r="B1884" s="62" t="s">
        <v>926</v>
      </c>
      <c r="C1884" s="68" t="s">
        <v>1402</v>
      </c>
      <c r="D1884" s="68" t="s">
        <v>1372</v>
      </c>
      <c r="E1884" s="8" t="s">
        <v>387</v>
      </c>
      <c r="F1884" s="8"/>
      <c r="G1884" s="18" t="s">
        <v>851</v>
      </c>
      <c r="H1884" s="14">
        <f>H1885</f>
        <v>1664.43</v>
      </c>
      <c r="I1884" s="14">
        <f t="shared" ref="I1884:L1884" si="848">I1885</f>
        <v>1664.43</v>
      </c>
      <c r="J1884" s="14">
        <f t="shared" si="848"/>
        <v>1648.9349999999999</v>
      </c>
      <c r="K1884" s="78">
        <f t="shared" si="841"/>
        <v>99.069050665993757</v>
      </c>
      <c r="L1884" s="14">
        <f t="shared" si="848"/>
        <v>0</v>
      </c>
      <c r="M1884" s="50"/>
      <c r="N1884" s="50"/>
    </row>
    <row r="1885" spans="1:14" ht="31.2" x14ac:dyDescent="0.3">
      <c r="A1885" s="8" t="s">
        <v>1414</v>
      </c>
      <c r="B1885" s="62" t="s">
        <v>926</v>
      </c>
      <c r="C1885" s="68" t="s">
        <v>1402</v>
      </c>
      <c r="D1885" s="68" t="s">
        <v>1372</v>
      </c>
      <c r="E1885" s="8" t="s">
        <v>410</v>
      </c>
      <c r="F1885" s="8"/>
      <c r="G1885" s="13" t="s">
        <v>852</v>
      </c>
      <c r="H1885" s="14">
        <f t="shared" ref="H1885:L1888" si="849">H1886</f>
        <v>1664.43</v>
      </c>
      <c r="I1885" s="14">
        <f t="shared" si="849"/>
        <v>1664.43</v>
      </c>
      <c r="J1885" s="14">
        <f t="shared" si="849"/>
        <v>1648.9349999999999</v>
      </c>
      <c r="K1885" s="78">
        <f t="shared" si="841"/>
        <v>99.069050665993757</v>
      </c>
      <c r="L1885" s="14">
        <f t="shared" si="849"/>
        <v>0</v>
      </c>
      <c r="M1885" s="50"/>
      <c r="N1885" s="50"/>
    </row>
    <row r="1886" spans="1:14" ht="31.2" x14ac:dyDescent="0.3">
      <c r="A1886" s="8" t="s">
        <v>1414</v>
      </c>
      <c r="B1886" s="62" t="s">
        <v>926</v>
      </c>
      <c r="C1886" s="68" t="s">
        <v>1402</v>
      </c>
      <c r="D1886" s="68" t="s">
        <v>1372</v>
      </c>
      <c r="E1886" s="8" t="s">
        <v>411</v>
      </c>
      <c r="F1886" s="8"/>
      <c r="G1886" s="13" t="s">
        <v>853</v>
      </c>
      <c r="H1886" s="14">
        <f t="shared" si="849"/>
        <v>1664.43</v>
      </c>
      <c r="I1886" s="14">
        <f t="shared" si="849"/>
        <v>1664.43</v>
      </c>
      <c r="J1886" s="14">
        <f t="shared" si="849"/>
        <v>1648.9349999999999</v>
      </c>
      <c r="K1886" s="78">
        <f t="shared" si="841"/>
        <v>99.069050665993757</v>
      </c>
      <c r="L1886" s="14">
        <f t="shared" si="849"/>
        <v>0</v>
      </c>
      <c r="M1886" s="50"/>
      <c r="N1886" s="50"/>
    </row>
    <row r="1887" spans="1:14" ht="31.2" x14ac:dyDescent="0.3">
      <c r="A1887" s="8" t="s">
        <v>1414</v>
      </c>
      <c r="B1887" s="62" t="s">
        <v>926</v>
      </c>
      <c r="C1887" s="68" t="s">
        <v>1402</v>
      </c>
      <c r="D1887" s="68" t="s">
        <v>1372</v>
      </c>
      <c r="E1887" s="8" t="s">
        <v>413</v>
      </c>
      <c r="F1887" s="8"/>
      <c r="G1887" s="13" t="s">
        <v>855</v>
      </c>
      <c r="H1887" s="14">
        <f t="shared" si="849"/>
        <v>1664.43</v>
      </c>
      <c r="I1887" s="14">
        <f t="shared" si="849"/>
        <v>1664.43</v>
      </c>
      <c r="J1887" s="14">
        <f t="shared" si="849"/>
        <v>1648.9349999999999</v>
      </c>
      <c r="K1887" s="78">
        <f t="shared" si="841"/>
        <v>99.069050665993757</v>
      </c>
      <c r="L1887" s="14">
        <f t="shared" si="849"/>
        <v>0</v>
      </c>
      <c r="M1887" s="50"/>
      <c r="N1887" s="50"/>
    </row>
    <row r="1888" spans="1:14" ht="31.2" x14ac:dyDescent="0.3">
      <c r="A1888" s="8" t="s">
        <v>1414</v>
      </c>
      <c r="B1888" s="62" t="s">
        <v>926</v>
      </c>
      <c r="C1888" s="68" t="s">
        <v>1402</v>
      </c>
      <c r="D1888" s="68" t="s">
        <v>1372</v>
      </c>
      <c r="E1888" s="8" t="s">
        <v>413</v>
      </c>
      <c r="F1888" s="45" t="s">
        <v>380</v>
      </c>
      <c r="G1888" s="23" t="s">
        <v>809</v>
      </c>
      <c r="H1888" s="14">
        <f t="shared" si="849"/>
        <v>1664.43</v>
      </c>
      <c r="I1888" s="14">
        <f t="shared" si="849"/>
        <v>1664.43</v>
      </c>
      <c r="J1888" s="14">
        <f t="shared" si="849"/>
        <v>1648.9349999999999</v>
      </c>
      <c r="K1888" s="78">
        <f t="shared" si="841"/>
        <v>99.069050665993757</v>
      </c>
      <c r="L1888" s="14">
        <f t="shared" si="849"/>
        <v>0</v>
      </c>
      <c r="M1888" s="50"/>
      <c r="N1888" s="50"/>
    </row>
    <row r="1889" spans="1:14" ht="31.2" x14ac:dyDescent="0.3">
      <c r="A1889" s="8" t="s">
        <v>1414</v>
      </c>
      <c r="B1889" s="62" t="s">
        <v>926</v>
      </c>
      <c r="C1889" s="68" t="s">
        <v>1402</v>
      </c>
      <c r="D1889" s="68" t="s">
        <v>1372</v>
      </c>
      <c r="E1889" s="8" t="s">
        <v>413</v>
      </c>
      <c r="F1889" s="8" t="s">
        <v>247</v>
      </c>
      <c r="G1889" s="23" t="s">
        <v>810</v>
      </c>
      <c r="H1889" s="14">
        <f>1344.7+440-110-10.27</f>
        <v>1664.43</v>
      </c>
      <c r="I1889" s="14">
        <v>1664.43</v>
      </c>
      <c r="J1889" s="14">
        <v>1648.9349999999999</v>
      </c>
      <c r="K1889" s="78">
        <f t="shared" si="841"/>
        <v>99.069050665993757</v>
      </c>
      <c r="L1889" s="14"/>
      <c r="M1889" s="50"/>
      <c r="N1889" s="50"/>
    </row>
    <row r="1890" spans="1:14" ht="31.2" x14ac:dyDescent="0.3">
      <c r="A1890" s="8" t="s">
        <v>1414</v>
      </c>
      <c r="B1890" s="62" t="s">
        <v>926</v>
      </c>
      <c r="C1890" s="68" t="s">
        <v>1402</v>
      </c>
      <c r="D1890" s="68" t="s">
        <v>1372</v>
      </c>
      <c r="E1890" s="8" t="s">
        <v>429</v>
      </c>
      <c r="F1890" s="8"/>
      <c r="G1890" s="23" t="s">
        <v>1140</v>
      </c>
      <c r="H1890" s="14">
        <f t="shared" ref="H1890:L1892" si="850">H1891</f>
        <v>39.975000000000001</v>
      </c>
      <c r="I1890" s="14">
        <f t="shared" si="850"/>
        <v>1239.2</v>
      </c>
      <c r="J1890" s="14">
        <f t="shared" si="850"/>
        <v>1238.2</v>
      </c>
      <c r="K1890" s="78">
        <f t="shared" si="841"/>
        <v>99.919302775984505</v>
      </c>
      <c r="L1890" s="14">
        <f t="shared" si="850"/>
        <v>0</v>
      </c>
      <c r="M1890" s="50"/>
      <c r="N1890" s="50"/>
    </row>
    <row r="1891" spans="1:14" ht="46.8" x14ac:dyDescent="0.3">
      <c r="A1891" s="8" t="s">
        <v>1414</v>
      </c>
      <c r="B1891" s="62" t="s">
        <v>926</v>
      </c>
      <c r="C1891" s="68" t="s">
        <v>1402</v>
      </c>
      <c r="D1891" s="68" t="s">
        <v>1372</v>
      </c>
      <c r="E1891" s="8" t="s">
        <v>535</v>
      </c>
      <c r="F1891" s="8"/>
      <c r="G1891" s="31" t="s">
        <v>176</v>
      </c>
      <c r="H1891" s="14">
        <f t="shared" si="850"/>
        <v>39.975000000000001</v>
      </c>
      <c r="I1891" s="14">
        <f>I1892+I1894</f>
        <v>1239.2</v>
      </c>
      <c r="J1891" s="14">
        <f t="shared" ref="J1891:L1891" si="851">J1892+J1894</f>
        <v>1238.2</v>
      </c>
      <c r="K1891" s="78">
        <f t="shared" si="841"/>
        <v>99.919302775984505</v>
      </c>
      <c r="L1891" s="14">
        <f t="shared" si="851"/>
        <v>0</v>
      </c>
      <c r="M1891" s="50"/>
      <c r="N1891" s="50"/>
    </row>
    <row r="1892" spans="1:14" ht="31.2" x14ac:dyDescent="0.3">
      <c r="A1892" s="8" t="s">
        <v>1414</v>
      </c>
      <c r="B1892" s="62" t="s">
        <v>926</v>
      </c>
      <c r="C1892" s="68" t="s">
        <v>1402</v>
      </c>
      <c r="D1892" s="68" t="s">
        <v>1372</v>
      </c>
      <c r="E1892" s="8" t="s">
        <v>535</v>
      </c>
      <c r="F1892" s="45" t="s">
        <v>380</v>
      </c>
      <c r="G1892" s="23" t="s">
        <v>809</v>
      </c>
      <c r="H1892" s="14">
        <f t="shared" si="850"/>
        <v>39.975000000000001</v>
      </c>
      <c r="I1892" s="14">
        <f t="shared" si="850"/>
        <v>939.2</v>
      </c>
      <c r="J1892" s="14">
        <f t="shared" si="850"/>
        <v>938.2</v>
      </c>
      <c r="K1892" s="78">
        <f t="shared" si="841"/>
        <v>99.893526405451453</v>
      </c>
      <c r="L1892" s="14">
        <f t="shared" si="850"/>
        <v>0</v>
      </c>
      <c r="M1892" s="50"/>
      <c r="N1892" s="50"/>
    </row>
    <row r="1893" spans="1:14" ht="31.2" x14ac:dyDescent="0.3">
      <c r="A1893" s="8" t="s">
        <v>1414</v>
      </c>
      <c r="B1893" s="62" t="s">
        <v>926</v>
      </c>
      <c r="C1893" s="68" t="s">
        <v>1402</v>
      </c>
      <c r="D1893" s="68" t="s">
        <v>1372</v>
      </c>
      <c r="E1893" s="8" t="s">
        <v>535</v>
      </c>
      <c r="F1893" s="8" t="s">
        <v>247</v>
      </c>
      <c r="G1893" s="23" t="s">
        <v>810</v>
      </c>
      <c r="H1893" s="14">
        <v>39.975000000000001</v>
      </c>
      <c r="I1893" s="14">
        <v>939.2</v>
      </c>
      <c r="J1893" s="14">
        <v>938.2</v>
      </c>
      <c r="K1893" s="78">
        <f t="shared" si="841"/>
        <v>99.893526405451453</v>
      </c>
      <c r="L1893" s="14"/>
      <c r="M1893" s="50"/>
      <c r="N1893" s="50"/>
    </row>
    <row r="1894" spans="1:14" ht="31.2" x14ac:dyDescent="0.3">
      <c r="A1894" s="8" t="s">
        <v>1414</v>
      </c>
      <c r="B1894" s="62" t="s">
        <v>926</v>
      </c>
      <c r="C1894" s="68" t="s">
        <v>1402</v>
      </c>
      <c r="D1894" s="68" t="s">
        <v>1372</v>
      </c>
      <c r="E1894" s="8" t="s">
        <v>535</v>
      </c>
      <c r="F1894" s="45" t="s">
        <v>402</v>
      </c>
      <c r="G1894" s="23" t="s">
        <v>819</v>
      </c>
      <c r="H1894" s="19">
        <v>0</v>
      </c>
      <c r="I1894" s="14">
        <f>I1895</f>
        <v>300</v>
      </c>
      <c r="J1894" s="14">
        <f t="shared" ref="J1894:L1894" si="852">J1895</f>
        <v>300</v>
      </c>
      <c r="K1894" s="78">
        <f t="shared" si="841"/>
        <v>100</v>
      </c>
      <c r="L1894" s="14">
        <f t="shared" si="852"/>
        <v>0</v>
      </c>
      <c r="M1894" s="50"/>
      <c r="N1894" s="50"/>
    </row>
    <row r="1895" spans="1:14" ht="46.8" x14ac:dyDescent="0.3">
      <c r="A1895" s="8" t="s">
        <v>1414</v>
      </c>
      <c r="B1895" s="62" t="s">
        <v>926</v>
      </c>
      <c r="C1895" s="68" t="s">
        <v>1402</v>
      </c>
      <c r="D1895" s="68" t="s">
        <v>1372</v>
      </c>
      <c r="E1895" s="8" t="s">
        <v>535</v>
      </c>
      <c r="F1895" s="45" t="s">
        <v>280</v>
      </c>
      <c r="G1895" s="23" t="s">
        <v>821</v>
      </c>
      <c r="H1895" s="19">
        <v>0</v>
      </c>
      <c r="I1895" s="14">
        <v>300</v>
      </c>
      <c r="J1895" s="14">
        <v>300</v>
      </c>
      <c r="K1895" s="78">
        <f t="shared" si="841"/>
        <v>100</v>
      </c>
      <c r="L1895" s="14"/>
      <c r="M1895" s="50"/>
      <c r="N1895" s="50"/>
    </row>
    <row r="1896" spans="1:14" s="3" customFormat="1" x14ac:dyDescent="0.3">
      <c r="A1896" s="10" t="s">
        <v>1414</v>
      </c>
      <c r="B1896" s="43" t="s">
        <v>1382</v>
      </c>
      <c r="C1896" s="43" t="s">
        <v>1382</v>
      </c>
      <c r="D1896" s="43" t="s">
        <v>915</v>
      </c>
      <c r="E1896" s="10"/>
      <c r="F1896" s="10"/>
      <c r="G1896" s="5" t="s">
        <v>1417</v>
      </c>
      <c r="H1896" s="15">
        <f t="shared" ref="H1896:L1901" si="853">H1897</f>
        <v>1703.4060000000002</v>
      </c>
      <c r="I1896" s="15">
        <f t="shared" si="853"/>
        <v>1703.4059999999999</v>
      </c>
      <c r="J1896" s="15">
        <f t="shared" si="853"/>
        <v>1703.4059999999999</v>
      </c>
      <c r="K1896" s="81">
        <f t="shared" si="841"/>
        <v>100</v>
      </c>
      <c r="L1896" s="15">
        <f t="shared" si="853"/>
        <v>0</v>
      </c>
      <c r="M1896" s="65"/>
      <c r="N1896" s="65"/>
    </row>
    <row r="1897" spans="1:14" s="9" customFormat="1" x14ac:dyDescent="0.3">
      <c r="A1897" s="11" t="s">
        <v>1414</v>
      </c>
      <c r="B1897" s="48" t="s">
        <v>914</v>
      </c>
      <c r="C1897" s="48" t="s">
        <v>1382</v>
      </c>
      <c r="D1897" s="48" t="s">
        <v>1478</v>
      </c>
      <c r="E1897" s="11"/>
      <c r="F1897" s="11"/>
      <c r="G1897" s="7" t="s">
        <v>1425</v>
      </c>
      <c r="H1897" s="16">
        <f t="shared" si="853"/>
        <v>1703.4060000000002</v>
      </c>
      <c r="I1897" s="16">
        <f t="shared" si="853"/>
        <v>1703.4059999999999</v>
      </c>
      <c r="J1897" s="16">
        <f t="shared" si="853"/>
        <v>1703.4059999999999</v>
      </c>
      <c r="K1897" s="82">
        <f t="shared" si="841"/>
        <v>100</v>
      </c>
      <c r="L1897" s="16">
        <f t="shared" si="853"/>
        <v>0</v>
      </c>
      <c r="M1897" s="65"/>
      <c r="N1897" s="65"/>
    </row>
    <row r="1898" spans="1:14" ht="31.2" x14ac:dyDescent="0.3">
      <c r="A1898" s="8" t="s">
        <v>1414</v>
      </c>
      <c r="B1898" s="62" t="s">
        <v>914</v>
      </c>
      <c r="C1898" s="68" t="s">
        <v>1382</v>
      </c>
      <c r="D1898" s="68" t="s">
        <v>1478</v>
      </c>
      <c r="E1898" s="8" t="s">
        <v>446</v>
      </c>
      <c r="F1898" s="8"/>
      <c r="G1898" s="23" t="s">
        <v>864</v>
      </c>
      <c r="H1898" s="14">
        <f t="shared" si="853"/>
        <v>1703.4060000000002</v>
      </c>
      <c r="I1898" s="14">
        <f t="shared" si="853"/>
        <v>1703.4059999999999</v>
      </c>
      <c r="J1898" s="14">
        <f t="shared" si="853"/>
        <v>1703.4059999999999</v>
      </c>
      <c r="K1898" s="78">
        <f t="shared" si="841"/>
        <v>100</v>
      </c>
      <c r="L1898" s="14">
        <f t="shared" si="853"/>
        <v>0</v>
      </c>
      <c r="M1898" s="50"/>
      <c r="N1898" s="50"/>
    </row>
    <row r="1899" spans="1:14" ht="31.2" x14ac:dyDescent="0.3">
      <c r="A1899" s="8" t="s">
        <v>1414</v>
      </c>
      <c r="B1899" s="62" t="s">
        <v>914</v>
      </c>
      <c r="C1899" s="68" t="s">
        <v>1382</v>
      </c>
      <c r="D1899" s="68" t="s">
        <v>1478</v>
      </c>
      <c r="E1899" s="8" t="s">
        <v>666</v>
      </c>
      <c r="F1899" s="8"/>
      <c r="G1899" s="13" t="s">
        <v>1167</v>
      </c>
      <c r="H1899" s="14">
        <f t="shared" si="853"/>
        <v>1703.4060000000002</v>
      </c>
      <c r="I1899" s="14">
        <f t="shared" si="853"/>
        <v>1703.4059999999999</v>
      </c>
      <c r="J1899" s="14">
        <f t="shared" si="853"/>
        <v>1703.4059999999999</v>
      </c>
      <c r="K1899" s="78">
        <f t="shared" si="841"/>
        <v>100</v>
      </c>
      <c r="L1899" s="14">
        <f t="shared" si="853"/>
        <v>0</v>
      </c>
      <c r="M1899" s="50"/>
      <c r="N1899" s="50"/>
    </row>
    <row r="1900" spans="1:14" ht="62.4" x14ac:dyDescent="0.3">
      <c r="A1900" s="8" t="s">
        <v>1414</v>
      </c>
      <c r="B1900" s="62" t="s">
        <v>914</v>
      </c>
      <c r="C1900" s="68" t="s">
        <v>1382</v>
      </c>
      <c r="D1900" s="68" t="s">
        <v>1478</v>
      </c>
      <c r="E1900" s="8" t="s">
        <v>674</v>
      </c>
      <c r="F1900" s="8"/>
      <c r="G1900" s="18" t="s">
        <v>1184</v>
      </c>
      <c r="H1900" s="14">
        <f t="shared" si="853"/>
        <v>1703.4060000000002</v>
      </c>
      <c r="I1900" s="14">
        <f t="shared" si="853"/>
        <v>1703.4059999999999</v>
      </c>
      <c r="J1900" s="14">
        <f t="shared" si="853"/>
        <v>1703.4059999999999</v>
      </c>
      <c r="K1900" s="78">
        <f t="shared" si="841"/>
        <v>100</v>
      </c>
      <c r="L1900" s="14">
        <f t="shared" si="853"/>
        <v>0</v>
      </c>
      <c r="M1900" s="50"/>
      <c r="N1900" s="50"/>
    </row>
    <row r="1901" spans="1:14" ht="31.2" x14ac:dyDescent="0.3">
      <c r="A1901" s="8" t="s">
        <v>1414</v>
      </c>
      <c r="B1901" s="62" t="s">
        <v>914</v>
      </c>
      <c r="C1901" s="68" t="s">
        <v>1382</v>
      </c>
      <c r="D1901" s="68" t="s">
        <v>1478</v>
      </c>
      <c r="E1901" s="8" t="s">
        <v>674</v>
      </c>
      <c r="F1901" s="45" t="s">
        <v>380</v>
      </c>
      <c r="G1901" s="23" t="s">
        <v>809</v>
      </c>
      <c r="H1901" s="14">
        <f t="shared" si="853"/>
        <v>1703.4060000000002</v>
      </c>
      <c r="I1901" s="14">
        <f t="shared" si="853"/>
        <v>1703.4059999999999</v>
      </c>
      <c r="J1901" s="14">
        <f t="shared" si="853"/>
        <v>1703.4059999999999</v>
      </c>
      <c r="K1901" s="78">
        <f t="shared" si="841"/>
        <v>100</v>
      </c>
      <c r="L1901" s="14">
        <f t="shared" si="853"/>
        <v>0</v>
      </c>
      <c r="M1901" s="50"/>
      <c r="N1901" s="50"/>
    </row>
    <row r="1902" spans="1:14" ht="31.2" x14ac:dyDescent="0.3">
      <c r="A1902" s="8" t="s">
        <v>1414</v>
      </c>
      <c r="B1902" s="62" t="s">
        <v>914</v>
      </c>
      <c r="C1902" s="68" t="s">
        <v>1382</v>
      </c>
      <c r="D1902" s="68" t="s">
        <v>1478</v>
      </c>
      <c r="E1902" s="8" t="s">
        <v>674</v>
      </c>
      <c r="F1902" s="8" t="s">
        <v>247</v>
      </c>
      <c r="G1902" s="23" t="s">
        <v>810</v>
      </c>
      <c r="H1902" s="14">
        <f>1726.9-2.819-20.675</f>
        <v>1703.4060000000002</v>
      </c>
      <c r="I1902" s="14">
        <v>1703.4059999999999</v>
      </c>
      <c r="J1902" s="14">
        <v>1703.4059999999999</v>
      </c>
      <c r="K1902" s="78">
        <f t="shared" si="841"/>
        <v>100</v>
      </c>
      <c r="L1902" s="14"/>
      <c r="M1902" s="50"/>
      <c r="N1902" s="50"/>
    </row>
    <row r="1903" spans="1:14" s="3" customFormat="1" ht="18.75" customHeight="1" x14ac:dyDescent="0.3">
      <c r="A1903" s="10" t="s">
        <v>1426</v>
      </c>
      <c r="B1903" s="43" t="s">
        <v>915</v>
      </c>
      <c r="C1903" s="43" t="s">
        <v>915</v>
      </c>
      <c r="D1903" s="43" t="s">
        <v>915</v>
      </c>
      <c r="E1903" s="10"/>
      <c r="F1903" s="10"/>
      <c r="G1903" s="5" t="s">
        <v>333</v>
      </c>
      <c r="H1903" s="15">
        <f t="shared" ref="H1903:L1903" si="854">H1904+H2000+H2069+H2130+H1967+H2142+H2150+H2162</f>
        <v>304180.49800000002</v>
      </c>
      <c r="I1903" s="15">
        <f t="shared" si="854"/>
        <v>421438.47310000012</v>
      </c>
      <c r="J1903" s="15">
        <f t="shared" si="854"/>
        <v>411180.51832999999</v>
      </c>
      <c r="K1903" s="81">
        <f t="shared" si="841"/>
        <v>97.565966226446989</v>
      </c>
      <c r="L1903" s="15">
        <f t="shared" si="854"/>
        <v>0</v>
      </c>
      <c r="M1903" s="65"/>
      <c r="N1903" s="65"/>
    </row>
    <row r="1904" spans="1:14" s="3" customFormat="1" ht="16.5" customHeight="1" x14ac:dyDescent="0.3">
      <c r="A1904" s="10" t="s">
        <v>1426</v>
      </c>
      <c r="B1904" s="43" t="s">
        <v>1372</v>
      </c>
      <c r="C1904" s="43" t="s">
        <v>1372</v>
      </c>
      <c r="D1904" s="43" t="s">
        <v>915</v>
      </c>
      <c r="E1904" s="10"/>
      <c r="F1904" s="10"/>
      <c r="G1904" s="5" t="s">
        <v>1376</v>
      </c>
      <c r="H1904" s="15">
        <f>H1905+H1926</f>
        <v>53411.095000000001</v>
      </c>
      <c r="I1904" s="15">
        <f>I1905+I1926</f>
        <v>53871.335000000006</v>
      </c>
      <c r="J1904" s="15">
        <f t="shared" ref="J1904" si="855">J1905+J1926</f>
        <v>53706.472729999994</v>
      </c>
      <c r="K1904" s="81">
        <f t="shared" si="841"/>
        <v>99.693970327633409</v>
      </c>
      <c r="L1904" s="15">
        <f>L1905+L1926</f>
        <v>0</v>
      </c>
      <c r="M1904" s="65"/>
      <c r="N1904" s="65"/>
    </row>
    <row r="1905" spans="1:14" s="9" customFormat="1" ht="62.4" x14ac:dyDescent="0.3">
      <c r="A1905" s="11" t="s">
        <v>1426</v>
      </c>
      <c r="B1905" s="48" t="s">
        <v>934</v>
      </c>
      <c r="C1905" s="48" t="s">
        <v>1372</v>
      </c>
      <c r="D1905" s="48" t="s">
        <v>1386</v>
      </c>
      <c r="E1905" s="11"/>
      <c r="F1905" s="11"/>
      <c r="G1905" s="7" t="s">
        <v>1418</v>
      </c>
      <c r="H1905" s="16">
        <f>H1914+H1906</f>
        <v>43935.700000000004</v>
      </c>
      <c r="I1905" s="16">
        <f>I1914+I1906</f>
        <v>44367.3</v>
      </c>
      <c r="J1905" s="16">
        <f t="shared" ref="J1905" si="856">J1914+J1906</f>
        <v>44367.299959999997</v>
      </c>
      <c r="K1905" s="82">
        <f t="shared" si="841"/>
        <v>99.999999909843496</v>
      </c>
      <c r="L1905" s="16">
        <f>L1914+L1906</f>
        <v>0</v>
      </c>
      <c r="M1905" s="65"/>
      <c r="N1905" s="65"/>
    </row>
    <row r="1906" spans="1:14" ht="31.2" x14ac:dyDescent="0.3">
      <c r="A1906" s="8" t="s">
        <v>1426</v>
      </c>
      <c r="B1906" s="62" t="s">
        <v>934</v>
      </c>
      <c r="C1906" s="68" t="s">
        <v>1372</v>
      </c>
      <c r="D1906" s="68" t="s">
        <v>1386</v>
      </c>
      <c r="E1906" s="8" t="s">
        <v>396</v>
      </c>
      <c r="F1906" s="8"/>
      <c r="G1906" s="13" t="s">
        <v>876</v>
      </c>
      <c r="H1906" s="14">
        <f t="shared" ref="H1906:L1908" si="857">H1907</f>
        <v>4251.3999999999996</v>
      </c>
      <c r="I1906" s="14">
        <f t="shared" si="857"/>
        <v>4251.3999999999996</v>
      </c>
      <c r="J1906" s="14">
        <f t="shared" si="857"/>
        <v>4251.3999999999996</v>
      </c>
      <c r="K1906" s="78">
        <f t="shared" si="841"/>
        <v>100</v>
      </c>
      <c r="L1906" s="14">
        <f t="shared" si="857"/>
        <v>0</v>
      </c>
      <c r="M1906" s="50"/>
      <c r="N1906" s="50"/>
    </row>
    <row r="1907" spans="1:14" ht="31.2" x14ac:dyDescent="0.3">
      <c r="A1907" s="8" t="s">
        <v>1426</v>
      </c>
      <c r="B1907" s="62" t="s">
        <v>934</v>
      </c>
      <c r="C1907" s="68" t="s">
        <v>1372</v>
      </c>
      <c r="D1907" s="68" t="s">
        <v>1386</v>
      </c>
      <c r="E1907" s="8" t="s">
        <v>485</v>
      </c>
      <c r="F1907" s="8"/>
      <c r="G1907" s="13" t="s">
        <v>877</v>
      </c>
      <c r="H1907" s="14">
        <f t="shared" si="857"/>
        <v>4251.3999999999996</v>
      </c>
      <c r="I1907" s="14">
        <f t="shared" si="857"/>
        <v>4251.3999999999996</v>
      </c>
      <c r="J1907" s="14">
        <f t="shared" si="857"/>
        <v>4251.3999999999996</v>
      </c>
      <c r="K1907" s="78">
        <f t="shared" si="841"/>
        <v>100</v>
      </c>
      <c r="L1907" s="14">
        <f t="shared" si="857"/>
        <v>0</v>
      </c>
      <c r="M1907" s="50"/>
      <c r="N1907" s="50"/>
    </row>
    <row r="1908" spans="1:14" ht="62.4" x14ac:dyDescent="0.3">
      <c r="A1908" s="8" t="s">
        <v>1426</v>
      </c>
      <c r="B1908" s="62" t="s">
        <v>934</v>
      </c>
      <c r="C1908" s="68" t="s">
        <v>1372</v>
      </c>
      <c r="D1908" s="68" t="s">
        <v>1386</v>
      </c>
      <c r="E1908" s="8" t="s">
        <v>518</v>
      </c>
      <c r="F1908" s="8"/>
      <c r="G1908" s="18" t="s">
        <v>878</v>
      </c>
      <c r="H1908" s="14">
        <f t="shared" si="857"/>
        <v>4251.3999999999996</v>
      </c>
      <c r="I1908" s="14">
        <f t="shared" si="857"/>
        <v>4251.3999999999996</v>
      </c>
      <c r="J1908" s="14">
        <f t="shared" si="857"/>
        <v>4251.3999999999996</v>
      </c>
      <c r="K1908" s="78">
        <f t="shared" si="841"/>
        <v>100</v>
      </c>
      <c r="L1908" s="14">
        <f t="shared" si="857"/>
        <v>0</v>
      </c>
      <c r="M1908" s="50"/>
      <c r="N1908" s="50"/>
    </row>
    <row r="1909" spans="1:14" ht="31.2" x14ac:dyDescent="0.3">
      <c r="A1909" s="8" t="s">
        <v>1426</v>
      </c>
      <c r="B1909" s="62" t="s">
        <v>934</v>
      </c>
      <c r="C1909" s="68" t="s">
        <v>1372</v>
      </c>
      <c r="D1909" s="68" t="s">
        <v>1386</v>
      </c>
      <c r="E1909" s="8" t="s">
        <v>244</v>
      </c>
      <c r="F1909" s="8"/>
      <c r="G1909" s="18" t="s">
        <v>879</v>
      </c>
      <c r="H1909" s="14">
        <f>H1910+H1912</f>
        <v>4251.3999999999996</v>
      </c>
      <c r="I1909" s="14">
        <f>I1910+I1912</f>
        <v>4251.3999999999996</v>
      </c>
      <c r="J1909" s="14">
        <f t="shared" ref="J1909" si="858">J1910+J1912</f>
        <v>4251.3999999999996</v>
      </c>
      <c r="K1909" s="78">
        <f t="shared" si="841"/>
        <v>100</v>
      </c>
      <c r="L1909" s="14">
        <f>L1910+L1912</f>
        <v>0</v>
      </c>
      <c r="M1909" s="50"/>
      <c r="N1909" s="50"/>
    </row>
    <row r="1910" spans="1:14" ht="78" x14ac:dyDescent="0.3">
      <c r="A1910" s="8" t="s">
        <v>1426</v>
      </c>
      <c r="B1910" s="62" t="s">
        <v>934</v>
      </c>
      <c r="C1910" s="68" t="s">
        <v>1372</v>
      </c>
      <c r="D1910" s="68" t="s">
        <v>1386</v>
      </c>
      <c r="E1910" s="8" t="s">
        <v>244</v>
      </c>
      <c r="F1910" s="45" t="s">
        <v>431</v>
      </c>
      <c r="G1910" s="23" t="s">
        <v>806</v>
      </c>
      <c r="H1910" s="14">
        <f t="shared" ref="H1910:L1910" si="859">H1911</f>
        <v>4046</v>
      </c>
      <c r="I1910" s="14">
        <f t="shared" si="859"/>
        <v>4048.4647799999998</v>
      </c>
      <c r="J1910" s="14">
        <f t="shared" si="859"/>
        <v>4048.4647799999998</v>
      </c>
      <c r="K1910" s="78">
        <f t="shared" si="841"/>
        <v>100</v>
      </c>
      <c r="L1910" s="14">
        <f t="shared" si="859"/>
        <v>0</v>
      </c>
      <c r="M1910" s="50"/>
      <c r="N1910" s="50"/>
    </row>
    <row r="1911" spans="1:14" ht="31.2" x14ac:dyDescent="0.3">
      <c r="A1911" s="8" t="s">
        <v>1426</v>
      </c>
      <c r="B1911" s="62" t="s">
        <v>934</v>
      </c>
      <c r="C1911" s="68" t="s">
        <v>1372</v>
      </c>
      <c r="D1911" s="68" t="s">
        <v>1386</v>
      </c>
      <c r="E1911" s="8" t="s">
        <v>244</v>
      </c>
      <c r="F1911" s="45" t="s">
        <v>233</v>
      </c>
      <c r="G1911" s="23" t="s">
        <v>808</v>
      </c>
      <c r="H1911" s="14">
        <v>4046</v>
      </c>
      <c r="I1911" s="14">
        <v>4048.4647799999998</v>
      </c>
      <c r="J1911" s="14">
        <v>4048.4647799999998</v>
      </c>
      <c r="K1911" s="78">
        <f t="shared" si="841"/>
        <v>100</v>
      </c>
      <c r="L1911" s="14"/>
      <c r="M1911" s="50"/>
      <c r="N1911" s="50"/>
    </row>
    <row r="1912" spans="1:14" ht="31.2" x14ac:dyDescent="0.3">
      <c r="A1912" s="8" t="s">
        <v>1426</v>
      </c>
      <c r="B1912" s="62" t="s">
        <v>934</v>
      </c>
      <c r="C1912" s="68" t="s">
        <v>1372</v>
      </c>
      <c r="D1912" s="68" t="s">
        <v>1386</v>
      </c>
      <c r="E1912" s="8" t="s">
        <v>244</v>
      </c>
      <c r="F1912" s="45" t="s">
        <v>380</v>
      </c>
      <c r="G1912" s="23" t="s">
        <v>809</v>
      </c>
      <c r="H1912" s="14">
        <f t="shared" ref="H1912:L1912" si="860">H1913</f>
        <v>205.4</v>
      </c>
      <c r="I1912" s="14">
        <f t="shared" si="860"/>
        <v>202.93521999999999</v>
      </c>
      <c r="J1912" s="14">
        <f t="shared" si="860"/>
        <v>202.93521999999999</v>
      </c>
      <c r="K1912" s="78">
        <f t="shared" si="841"/>
        <v>100</v>
      </c>
      <c r="L1912" s="14">
        <f t="shared" si="860"/>
        <v>0</v>
      </c>
      <c r="M1912" s="50"/>
      <c r="N1912" s="50"/>
    </row>
    <row r="1913" spans="1:14" ht="31.2" x14ac:dyDescent="0.3">
      <c r="A1913" s="8" t="s">
        <v>1426</v>
      </c>
      <c r="B1913" s="62" t="s">
        <v>934</v>
      </c>
      <c r="C1913" s="68" t="s">
        <v>1372</v>
      </c>
      <c r="D1913" s="68" t="s">
        <v>1386</v>
      </c>
      <c r="E1913" s="8" t="s">
        <v>244</v>
      </c>
      <c r="F1913" s="8" t="s">
        <v>247</v>
      </c>
      <c r="G1913" s="23" t="s">
        <v>810</v>
      </c>
      <c r="H1913" s="14">
        <v>205.4</v>
      </c>
      <c r="I1913" s="14">
        <v>202.93521999999999</v>
      </c>
      <c r="J1913" s="14">
        <v>202.93521999999999</v>
      </c>
      <c r="K1913" s="78">
        <f t="shared" si="841"/>
        <v>100</v>
      </c>
      <c r="L1913" s="14"/>
      <c r="M1913" s="50"/>
      <c r="N1913" s="50"/>
    </row>
    <row r="1914" spans="1:14" ht="31.2" x14ac:dyDescent="0.3">
      <c r="A1914" s="8" t="s">
        <v>1426</v>
      </c>
      <c r="B1914" s="62" t="s">
        <v>934</v>
      </c>
      <c r="C1914" s="68" t="s">
        <v>1372</v>
      </c>
      <c r="D1914" s="68" t="s">
        <v>1386</v>
      </c>
      <c r="E1914" s="8" t="s">
        <v>343</v>
      </c>
      <c r="F1914" s="8"/>
      <c r="G1914" s="23" t="s">
        <v>1157</v>
      </c>
      <c r="H1914" s="14">
        <f t="shared" ref="H1914:L1914" si="861">H1915</f>
        <v>39684.300000000003</v>
      </c>
      <c r="I1914" s="14">
        <f t="shared" si="861"/>
        <v>40115.9</v>
      </c>
      <c r="J1914" s="14">
        <f t="shared" si="861"/>
        <v>40115.899959999995</v>
      </c>
      <c r="K1914" s="78">
        <f t="shared" si="841"/>
        <v>99.999999900288898</v>
      </c>
      <c r="L1914" s="14">
        <f t="shared" si="861"/>
        <v>0</v>
      </c>
      <c r="M1914" s="50"/>
      <c r="N1914" s="50"/>
    </row>
    <row r="1915" spans="1:14" x14ac:dyDescent="0.3">
      <c r="A1915" s="8" t="s">
        <v>1426</v>
      </c>
      <c r="B1915" s="62" t="s">
        <v>934</v>
      </c>
      <c r="C1915" s="68" t="s">
        <v>1372</v>
      </c>
      <c r="D1915" s="68" t="s">
        <v>1386</v>
      </c>
      <c r="E1915" s="8" t="s">
        <v>351</v>
      </c>
      <c r="F1915" s="8"/>
      <c r="G1915" s="13" t="s">
        <v>1158</v>
      </c>
      <c r="H1915" s="14">
        <f>H1916+H1919</f>
        <v>39684.300000000003</v>
      </c>
      <c r="I1915" s="14">
        <f>I1916+I1919</f>
        <v>40115.9</v>
      </c>
      <c r="J1915" s="14">
        <f t="shared" ref="J1915" si="862">J1916+J1919</f>
        <v>40115.899959999995</v>
      </c>
      <c r="K1915" s="78">
        <f t="shared" si="841"/>
        <v>99.999999900288898</v>
      </c>
      <c r="L1915" s="14">
        <f>L1916+L1919</f>
        <v>0</v>
      </c>
      <c r="M1915" s="50"/>
      <c r="N1915" s="50"/>
    </row>
    <row r="1916" spans="1:14" ht="31.2" x14ac:dyDescent="0.3">
      <c r="A1916" s="8" t="s">
        <v>1426</v>
      </c>
      <c r="B1916" s="62" t="s">
        <v>934</v>
      </c>
      <c r="C1916" s="68" t="s">
        <v>1372</v>
      </c>
      <c r="D1916" s="68" t="s">
        <v>1386</v>
      </c>
      <c r="E1916" s="8" t="s">
        <v>352</v>
      </c>
      <c r="F1916" s="8"/>
      <c r="G1916" s="13" t="s">
        <v>1152</v>
      </c>
      <c r="H1916" s="14">
        <f t="shared" ref="H1916:L1917" si="863">H1917</f>
        <v>36204.300000000003</v>
      </c>
      <c r="I1916" s="14">
        <f t="shared" si="863"/>
        <v>36431.151839999999</v>
      </c>
      <c r="J1916" s="14">
        <f t="shared" si="863"/>
        <v>36431.151839999999</v>
      </c>
      <c r="K1916" s="78">
        <f t="shared" si="841"/>
        <v>100</v>
      </c>
      <c r="L1916" s="14">
        <f t="shared" si="863"/>
        <v>0</v>
      </c>
      <c r="M1916" s="50"/>
      <c r="N1916" s="50"/>
    </row>
    <row r="1917" spans="1:14" ht="78" x14ac:dyDescent="0.3">
      <c r="A1917" s="8" t="s">
        <v>1426</v>
      </c>
      <c r="B1917" s="62" t="s">
        <v>934</v>
      </c>
      <c r="C1917" s="68" t="s">
        <v>1372</v>
      </c>
      <c r="D1917" s="68" t="s">
        <v>1386</v>
      </c>
      <c r="E1917" s="8" t="s">
        <v>352</v>
      </c>
      <c r="F1917" s="45" t="s">
        <v>431</v>
      </c>
      <c r="G1917" s="23" t="s">
        <v>806</v>
      </c>
      <c r="H1917" s="14">
        <f t="shared" si="863"/>
        <v>36204.300000000003</v>
      </c>
      <c r="I1917" s="14">
        <f t="shared" si="863"/>
        <v>36431.151839999999</v>
      </c>
      <c r="J1917" s="14">
        <f t="shared" si="863"/>
        <v>36431.151839999999</v>
      </c>
      <c r="K1917" s="78">
        <f t="shared" si="841"/>
        <v>100</v>
      </c>
      <c r="L1917" s="14">
        <f t="shared" si="863"/>
        <v>0</v>
      </c>
      <c r="M1917" s="50"/>
      <c r="N1917" s="50"/>
    </row>
    <row r="1918" spans="1:14" ht="31.2" x14ac:dyDescent="0.3">
      <c r="A1918" s="8" t="s">
        <v>1426</v>
      </c>
      <c r="B1918" s="62" t="s">
        <v>934</v>
      </c>
      <c r="C1918" s="68" t="s">
        <v>1372</v>
      </c>
      <c r="D1918" s="68" t="s">
        <v>1386</v>
      </c>
      <c r="E1918" s="8" t="s">
        <v>352</v>
      </c>
      <c r="F1918" s="45" t="s">
        <v>233</v>
      </c>
      <c r="G1918" s="23" t="s">
        <v>808</v>
      </c>
      <c r="H1918" s="14">
        <v>36204.300000000003</v>
      </c>
      <c r="I1918" s="14">
        <v>36431.151839999999</v>
      </c>
      <c r="J1918" s="14">
        <v>36431.151839999999</v>
      </c>
      <c r="K1918" s="78">
        <f t="shared" si="841"/>
        <v>100</v>
      </c>
      <c r="L1918" s="14"/>
      <c r="M1918" s="50"/>
      <c r="N1918" s="50"/>
    </row>
    <row r="1919" spans="1:14" ht="31.2" x14ac:dyDescent="0.3">
      <c r="A1919" s="8" t="s">
        <v>1426</v>
      </c>
      <c r="B1919" s="62" t="s">
        <v>934</v>
      </c>
      <c r="C1919" s="68" t="s">
        <v>1372</v>
      </c>
      <c r="D1919" s="68" t="s">
        <v>1386</v>
      </c>
      <c r="E1919" s="8" t="s">
        <v>353</v>
      </c>
      <c r="F1919" s="8"/>
      <c r="G1919" s="13" t="s">
        <v>1154</v>
      </c>
      <c r="H1919" s="14">
        <f>H1924+H1922+H1920</f>
        <v>3480</v>
      </c>
      <c r="I1919" s="14">
        <f t="shared" ref="I1919:L1919" si="864">I1924+I1922+I1920</f>
        <v>3684.7481600000001</v>
      </c>
      <c r="J1919" s="14">
        <f t="shared" si="864"/>
        <v>3684.7481200000002</v>
      </c>
      <c r="K1919" s="78">
        <f t="shared" si="841"/>
        <v>99.999998914444134</v>
      </c>
      <c r="L1919" s="14">
        <f t="shared" si="864"/>
        <v>0</v>
      </c>
      <c r="M1919" s="50"/>
      <c r="N1919" s="50"/>
    </row>
    <row r="1920" spans="1:14" ht="78" x14ac:dyDescent="0.3">
      <c r="A1920" s="8" t="s">
        <v>1426</v>
      </c>
      <c r="B1920" s="62" t="s">
        <v>934</v>
      </c>
      <c r="C1920" s="68" t="s">
        <v>1372</v>
      </c>
      <c r="D1920" s="68" t="s">
        <v>1386</v>
      </c>
      <c r="E1920" s="8" t="s">
        <v>353</v>
      </c>
      <c r="F1920" s="45" t="s">
        <v>431</v>
      </c>
      <c r="G1920" s="23" t="s">
        <v>806</v>
      </c>
      <c r="H1920" s="14">
        <f>H1921</f>
        <v>0</v>
      </c>
      <c r="I1920" s="14">
        <f t="shared" ref="I1920:L1920" si="865">I1921</f>
        <v>2.25</v>
      </c>
      <c r="J1920" s="14">
        <f t="shared" si="865"/>
        <v>2.25</v>
      </c>
      <c r="K1920" s="78">
        <f t="shared" si="841"/>
        <v>100</v>
      </c>
      <c r="L1920" s="14">
        <f t="shared" si="865"/>
        <v>0</v>
      </c>
      <c r="M1920" s="50"/>
      <c r="N1920" s="50"/>
    </row>
    <row r="1921" spans="1:14" ht="31.2" x14ac:dyDescent="0.3">
      <c r="A1921" s="8" t="s">
        <v>1426</v>
      </c>
      <c r="B1921" s="62" t="s">
        <v>934</v>
      </c>
      <c r="C1921" s="68" t="s">
        <v>1372</v>
      </c>
      <c r="D1921" s="68" t="s">
        <v>1386</v>
      </c>
      <c r="E1921" s="8" t="s">
        <v>353</v>
      </c>
      <c r="F1921" s="45" t="s">
        <v>233</v>
      </c>
      <c r="G1921" s="23" t="s">
        <v>808</v>
      </c>
      <c r="H1921" s="20">
        <v>0</v>
      </c>
      <c r="I1921" s="14">
        <v>2.25</v>
      </c>
      <c r="J1921" s="19">
        <v>2.25</v>
      </c>
      <c r="K1921" s="75">
        <f t="shared" si="841"/>
        <v>100</v>
      </c>
      <c r="L1921" s="14"/>
      <c r="M1921" s="50"/>
      <c r="N1921" s="50"/>
    </row>
    <row r="1922" spans="1:14" ht="31.2" x14ac:dyDescent="0.3">
      <c r="A1922" s="8" t="s">
        <v>1426</v>
      </c>
      <c r="B1922" s="62" t="s">
        <v>934</v>
      </c>
      <c r="C1922" s="68" t="s">
        <v>1372</v>
      </c>
      <c r="D1922" s="68" t="s">
        <v>1386</v>
      </c>
      <c r="E1922" s="8" t="s">
        <v>353</v>
      </c>
      <c r="F1922" s="45" t="s">
        <v>380</v>
      </c>
      <c r="G1922" s="23" t="s">
        <v>809</v>
      </c>
      <c r="H1922" s="14">
        <f t="shared" ref="H1922:L1922" si="866">H1923</f>
        <v>3478</v>
      </c>
      <c r="I1922" s="14">
        <f t="shared" si="866"/>
        <v>3331.59816</v>
      </c>
      <c r="J1922" s="14">
        <f t="shared" si="866"/>
        <v>3331.5981200000001</v>
      </c>
      <c r="K1922" s="78">
        <f t="shared" si="841"/>
        <v>99.999998799375007</v>
      </c>
      <c r="L1922" s="14">
        <f t="shared" si="866"/>
        <v>0</v>
      </c>
      <c r="M1922" s="50"/>
      <c r="N1922" s="50"/>
    </row>
    <row r="1923" spans="1:14" ht="31.2" x14ac:dyDescent="0.3">
      <c r="A1923" s="8" t="s">
        <v>1426</v>
      </c>
      <c r="B1923" s="62" t="s">
        <v>934</v>
      </c>
      <c r="C1923" s="68" t="s">
        <v>1372</v>
      </c>
      <c r="D1923" s="68" t="s">
        <v>1386</v>
      </c>
      <c r="E1923" s="8" t="s">
        <v>353</v>
      </c>
      <c r="F1923" s="8" t="s">
        <v>247</v>
      </c>
      <c r="G1923" s="23" t="s">
        <v>810</v>
      </c>
      <c r="H1923" s="14">
        <v>3478</v>
      </c>
      <c r="I1923" s="14">
        <v>3331.59816</v>
      </c>
      <c r="J1923" s="14">
        <v>3331.5981200000001</v>
      </c>
      <c r="K1923" s="78">
        <f t="shared" si="841"/>
        <v>99.999998799375007</v>
      </c>
      <c r="L1923" s="14"/>
      <c r="M1923" s="50"/>
      <c r="N1923" s="50"/>
    </row>
    <row r="1924" spans="1:14" x14ac:dyDescent="0.3">
      <c r="A1924" s="8" t="s">
        <v>1426</v>
      </c>
      <c r="B1924" s="62" t="s">
        <v>934</v>
      </c>
      <c r="C1924" s="68" t="s">
        <v>1372</v>
      </c>
      <c r="D1924" s="68" t="s">
        <v>1386</v>
      </c>
      <c r="E1924" s="8" t="s">
        <v>353</v>
      </c>
      <c r="F1924" s="45" t="s">
        <v>464</v>
      </c>
      <c r="G1924" s="23" t="s">
        <v>822</v>
      </c>
      <c r="H1924" s="14">
        <f t="shared" ref="H1924:L1924" si="867">H1925</f>
        <v>2</v>
      </c>
      <c r="I1924" s="14">
        <f t="shared" si="867"/>
        <v>350.9</v>
      </c>
      <c r="J1924" s="14">
        <f t="shared" si="867"/>
        <v>350.9</v>
      </c>
      <c r="K1924" s="78">
        <f t="shared" si="841"/>
        <v>100</v>
      </c>
      <c r="L1924" s="14">
        <f t="shared" si="867"/>
        <v>0</v>
      </c>
      <c r="M1924" s="50"/>
      <c r="N1924" s="50"/>
    </row>
    <row r="1925" spans="1:14" x14ac:dyDescent="0.3">
      <c r="A1925" s="8" t="s">
        <v>1426</v>
      </c>
      <c r="B1925" s="62" t="s">
        <v>934</v>
      </c>
      <c r="C1925" s="68" t="s">
        <v>1372</v>
      </c>
      <c r="D1925" s="68" t="s">
        <v>1386</v>
      </c>
      <c r="E1925" s="8" t="s">
        <v>353</v>
      </c>
      <c r="F1925" s="45" t="s">
        <v>729</v>
      </c>
      <c r="G1925" s="23" t="s">
        <v>824</v>
      </c>
      <c r="H1925" s="14">
        <v>2</v>
      </c>
      <c r="I1925" s="14">
        <v>350.9</v>
      </c>
      <c r="J1925" s="14">
        <v>350.9</v>
      </c>
      <c r="K1925" s="78">
        <f t="shared" si="841"/>
        <v>100</v>
      </c>
      <c r="L1925" s="14"/>
      <c r="M1925" s="50"/>
      <c r="N1925" s="50"/>
    </row>
    <row r="1926" spans="1:14" s="9" customFormat="1" x14ac:dyDescent="0.3">
      <c r="A1926" s="11" t="s">
        <v>1426</v>
      </c>
      <c r="B1926" s="48" t="s">
        <v>912</v>
      </c>
      <c r="C1926" s="48" t="s">
        <v>1372</v>
      </c>
      <c r="D1926" s="48" t="s">
        <v>1477</v>
      </c>
      <c r="E1926" s="11"/>
      <c r="F1926" s="11"/>
      <c r="G1926" s="7" t="s">
        <v>1377</v>
      </c>
      <c r="H1926" s="16">
        <f>H1927+H1936+H1958+H1962</f>
        <v>9475.3950000000004</v>
      </c>
      <c r="I1926" s="16">
        <f t="shared" ref="I1926:L1926" si="868">I1927+I1936+I1958+I1962</f>
        <v>9504.0349999999999</v>
      </c>
      <c r="J1926" s="16">
        <f t="shared" si="868"/>
        <v>9339.1727699999992</v>
      </c>
      <c r="K1926" s="82">
        <f t="shared" si="841"/>
        <v>98.265344877202153</v>
      </c>
      <c r="L1926" s="16">
        <f t="shared" si="868"/>
        <v>0</v>
      </c>
      <c r="M1926" s="65"/>
      <c r="N1926" s="65"/>
    </row>
    <row r="1927" spans="1:14" ht="46.8" x14ac:dyDescent="0.3">
      <c r="A1927" s="8" t="s">
        <v>1426</v>
      </c>
      <c r="B1927" s="62" t="s">
        <v>912</v>
      </c>
      <c r="C1927" s="68" t="s">
        <v>1372</v>
      </c>
      <c r="D1927" s="68" t="s">
        <v>1477</v>
      </c>
      <c r="E1927" s="8" t="s">
        <v>338</v>
      </c>
      <c r="F1927" s="8"/>
      <c r="G1927" s="13" t="s">
        <v>843</v>
      </c>
      <c r="H1927" s="14">
        <f>H1928+H1932</f>
        <v>120</v>
      </c>
      <c r="I1927" s="14">
        <f>I1928+I1932</f>
        <v>120</v>
      </c>
      <c r="J1927" s="14">
        <f t="shared" ref="J1927" si="869">J1928+J1932</f>
        <v>120</v>
      </c>
      <c r="K1927" s="78">
        <f t="shared" si="841"/>
        <v>100</v>
      </c>
      <c r="L1927" s="14">
        <f>L1928+L1932</f>
        <v>0</v>
      </c>
      <c r="M1927" s="50"/>
      <c r="N1927" s="50"/>
    </row>
    <row r="1928" spans="1:14" ht="46.8" x14ac:dyDescent="0.3">
      <c r="A1928" s="8" t="s">
        <v>1426</v>
      </c>
      <c r="B1928" s="62" t="s">
        <v>912</v>
      </c>
      <c r="C1928" s="68" t="s">
        <v>1372</v>
      </c>
      <c r="D1928" s="68" t="s">
        <v>1477</v>
      </c>
      <c r="E1928" s="8" t="s">
        <v>339</v>
      </c>
      <c r="F1928" s="8"/>
      <c r="G1928" s="13" t="s">
        <v>844</v>
      </c>
      <c r="H1928" s="14">
        <f t="shared" ref="H1928:L1930" si="870">H1929</f>
        <v>95</v>
      </c>
      <c r="I1928" s="14">
        <f t="shared" si="870"/>
        <v>95</v>
      </c>
      <c r="J1928" s="14">
        <f t="shared" si="870"/>
        <v>95</v>
      </c>
      <c r="K1928" s="78">
        <f t="shared" ref="K1928:K1991" si="871">J1928/I1928*100</f>
        <v>100</v>
      </c>
      <c r="L1928" s="14">
        <f t="shared" si="870"/>
        <v>0</v>
      </c>
      <c r="M1928" s="50"/>
      <c r="N1928" s="50"/>
    </row>
    <row r="1929" spans="1:14" ht="62.4" x14ac:dyDescent="0.3">
      <c r="A1929" s="8" t="s">
        <v>1426</v>
      </c>
      <c r="B1929" s="62" t="s">
        <v>912</v>
      </c>
      <c r="C1929" s="68" t="s">
        <v>1372</v>
      </c>
      <c r="D1929" s="68" t="s">
        <v>1477</v>
      </c>
      <c r="E1929" s="8" t="s">
        <v>340</v>
      </c>
      <c r="F1929" s="8"/>
      <c r="G1929" s="13" t="s">
        <v>845</v>
      </c>
      <c r="H1929" s="14">
        <f t="shared" si="870"/>
        <v>95</v>
      </c>
      <c r="I1929" s="14">
        <f t="shared" si="870"/>
        <v>95</v>
      </c>
      <c r="J1929" s="14">
        <f t="shared" si="870"/>
        <v>95</v>
      </c>
      <c r="K1929" s="78">
        <f t="shared" si="871"/>
        <v>100</v>
      </c>
      <c r="L1929" s="14">
        <f t="shared" si="870"/>
        <v>0</v>
      </c>
      <c r="M1929" s="50"/>
      <c r="N1929" s="50"/>
    </row>
    <row r="1930" spans="1:14" ht="31.2" x14ac:dyDescent="0.3">
      <c r="A1930" s="8" t="s">
        <v>1426</v>
      </c>
      <c r="B1930" s="62" t="s">
        <v>912</v>
      </c>
      <c r="C1930" s="68" t="s">
        <v>1372</v>
      </c>
      <c r="D1930" s="68" t="s">
        <v>1477</v>
      </c>
      <c r="E1930" s="8" t="s">
        <v>340</v>
      </c>
      <c r="F1930" s="45" t="s">
        <v>402</v>
      </c>
      <c r="G1930" s="23" t="s">
        <v>819</v>
      </c>
      <c r="H1930" s="14">
        <f t="shared" si="870"/>
        <v>95</v>
      </c>
      <c r="I1930" s="14">
        <f t="shared" si="870"/>
        <v>95</v>
      </c>
      <c r="J1930" s="14">
        <f t="shared" si="870"/>
        <v>95</v>
      </c>
      <c r="K1930" s="78">
        <f t="shared" si="871"/>
        <v>100</v>
      </c>
      <c r="L1930" s="14">
        <f t="shared" si="870"/>
        <v>0</v>
      </c>
      <c r="M1930" s="50"/>
      <c r="N1930" s="50"/>
    </row>
    <row r="1931" spans="1:14" ht="46.8" x14ac:dyDescent="0.3">
      <c r="A1931" s="8" t="s">
        <v>1426</v>
      </c>
      <c r="B1931" s="62" t="s">
        <v>912</v>
      </c>
      <c r="C1931" s="68" t="s">
        <v>1372</v>
      </c>
      <c r="D1931" s="68" t="s">
        <v>1477</v>
      </c>
      <c r="E1931" s="8" t="s">
        <v>340</v>
      </c>
      <c r="F1931" s="45" t="s">
        <v>280</v>
      </c>
      <c r="G1931" s="23" t="s">
        <v>821</v>
      </c>
      <c r="H1931" s="14">
        <v>95</v>
      </c>
      <c r="I1931" s="14">
        <v>95</v>
      </c>
      <c r="J1931" s="14">
        <v>95</v>
      </c>
      <c r="K1931" s="78">
        <f t="shared" si="871"/>
        <v>100</v>
      </c>
      <c r="L1931" s="14"/>
      <c r="M1931" s="50"/>
      <c r="N1931" s="50"/>
    </row>
    <row r="1932" spans="1:14" ht="46.8" x14ac:dyDescent="0.3">
      <c r="A1932" s="8" t="s">
        <v>1426</v>
      </c>
      <c r="B1932" s="62" t="s">
        <v>912</v>
      </c>
      <c r="C1932" s="68" t="s">
        <v>1372</v>
      </c>
      <c r="D1932" s="68" t="s">
        <v>1477</v>
      </c>
      <c r="E1932" s="8" t="s">
        <v>341</v>
      </c>
      <c r="F1932" s="8"/>
      <c r="G1932" s="13" t="s">
        <v>846</v>
      </c>
      <c r="H1932" s="14">
        <f t="shared" ref="H1932:L1934" si="872">H1933</f>
        <v>25</v>
      </c>
      <c r="I1932" s="14">
        <f t="shared" si="872"/>
        <v>25</v>
      </c>
      <c r="J1932" s="14">
        <f t="shared" si="872"/>
        <v>25</v>
      </c>
      <c r="K1932" s="78">
        <f t="shared" si="871"/>
        <v>100</v>
      </c>
      <c r="L1932" s="14">
        <f t="shared" si="872"/>
        <v>0</v>
      </c>
      <c r="M1932" s="50"/>
      <c r="N1932" s="50"/>
    </row>
    <row r="1933" spans="1:14" ht="62.4" x14ac:dyDescent="0.3">
      <c r="A1933" s="8" t="s">
        <v>1426</v>
      </c>
      <c r="B1933" s="62" t="s">
        <v>912</v>
      </c>
      <c r="C1933" s="68" t="s">
        <v>1372</v>
      </c>
      <c r="D1933" s="68" t="s">
        <v>1477</v>
      </c>
      <c r="E1933" s="8" t="s">
        <v>342</v>
      </c>
      <c r="F1933" s="8"/>
      <c r="G1933" s="13" t="s">
        <v>847</v>
      </c>
      <c r="H1933" s="14">
        <f t="shared" si="872"/>
        <v>25</v>
      </c>
      <c r="I1933" s="14">
        <f t="shared" si="872"/>
        <v>25</v>
      </c>
      <c r="J1933" s="14">
        <f t="shared" si="872"/>
        <v>25</v>
      </c>
      <c r="K1933" s="78">
        <f t="shared" si="871"/>
        <v>100</v>
      </c>
      <c r="L1933" s="14">
        <f t="shared" si="872"/>
        <v>0</v>
      </c>
      <c r="M1933" s="50"/>
      <c r="N1933" s="50"/>
    </row>
    <row r="1934" spans="1:14" ht="31.2" x14ac:dyDescent="0.3">
      <c r="A1934" s="8" t="s">
        <v>1426</v>
      </c>
      <c r="B1934" s="62" t="s">
        <v>912</v>
      </c>
      <c r="C1934" s="68" t="s">
        <v>1372</v>
      </c>
      <c r="D1934" s="68" t="s">
        <v>1477</v>
      </c>
      <c r="E1934" s="8" t="s">
        <v>342</v>
      </c>
      <c r="F1934" s="45" t="s">
        <v>402</v>
      </c>
      <c r="G1934" s="23" t="s">
        <v>819</v>
      </c>
      <c r="H1934" s="14">
        <f t="shared" si="872"/>
        <v>25</v>
      </c>
      <c r="I1934" s="14">
        <f t="shared" si="872"/>
        <v>25</v>
      </c>
      <c r="J1934" s="14">
        <f t="shared" si="872"/>
        <v>25</v>
      </c>
      <c r="K1934" s="78">
        <f t="shared" si="871"/>
        <v>100</v>
      </c>
      <c r="L1934" s="14">
        <f t="shared" si="872"/>
        <v>0</v>
      </c>
      <c r="M1934" s="50"/>
      <c r="N1934" s="50"/>
    </row>
    <row r="1935" spans="1:14" ht="46.8" x14ac:dyDescent="0.3">
      <c r="A1935" s="8" t="s">
        <v>1426</v>
      </c>
      <c r="B1935" s="62" t="s">
        <v>912</v>
      </c>
      <c r="C1935" s="68" t="s">
        <v>1372</v>
      </c>
      <c r="D1935" s="68" t="s">
        <v>1477</v>
      </c>
      <c r="E1935" s="8" t="s">
        <v>342</v>
      </c>
      <c r="F1935" s="45" t="s">
        <v>280</v>
      </c>
      <c r="G1935" s="23" t="s">
        <v>821</v>
      </c>
      <c r="H1935" s="14">
        <v>25</v>
      </c>
      <c r="I1935" s="14">
        <v>25</v>
      </c>
      <c r="J1935" s="14">
        <v>25</v>
      </c>
      <c r="K1935" s="78">
        <f t="shared" si="871"/>
        <v>100</v>
      </c>
      <c r="L1935" s="14"/>
      <c r="M1935" s="50"/>
      <c r="N1935" s="50"/>
    </row>
    <row r="1936" spans="1:14" x14ac:dyDescent="0.3">
      <c r="A1936" s="8" t="s">
        <v>1426</v>
      </c>
      <c r="B1936" s="62" t="s">
        <v>912</v>
      </c>
      <c r="C1936" s="68" t="s">
        <v>1372</v>
      </c>
      <c r="D1936" s="68" t="s">
        <v>1477</v>
      </c>
      <c r="E1936" s="8" t="s">
        <v>354</v>
      </c>
      <c r="F1936" s="8"/>
      <c r="G1936" s="13" t="s">
        <v>869</v>
      </c>
      <c r="H1936" s="14">
        <f>H1937+H1948</f>
        <v>9340.3950000000004</v>
      </c>
      <c r="I1936" s="14">
        <f>I1937+I1948</f>
        <v>9340.3950000000004</v>
      </c>
      <c r="J1936" s="14">
        <f t="shared" ref="J1936" si="873">J1937+J1948</f>
        <v>9175.5327699999998</v>
      </c>
      <c r="K1936" s="78">
        <f t="shared" si="871"/>
        <v>98.23495441038628</v>
      </c>
      <c r="L1936" s="14">
        <f>L1937+L1948</f>
        <v>0</v>
      </c>
      <c r="M1936" s="50"/>
      <c r="N1936" s="50"/>
    </row>
    <row r="1937" spans="1:14" ht="46.8" x14ac:dyDescent="0.3">
      <c r="A1937" s="8" t="s">
        <v>1426</v>
      </c>
      <c r="B1937" s="62" t="s">
        <v>912</v>
      </c>
      <c r="C1937" s="68" t="s">
        <v>1372</v>
      </c>
      <c r="D1937" s="68" t="s">
        <v>1477</v>
      </c>
      <c r="E1937" s="8" t="s">
        <v>648</v>
      </c>
      <c r="F1937" s="8"/>
      <c r="G1937" s="13" t="s">
        <v>870</v>
      </c>
      <c r="H1937" s="14">
        <f t="shared" ref="H1937:L1937" si="874">H1938</f>
        <v>5663.2</v>
      </c>
      <c r="I1937" s="14">
        <f t="shared" si="874"/>
        <v>5663.2</v>
      </c>
      <c r="J1937" s="14">
        <f t="shared" si="874"/>
        <v>5663.2</v>
      </c>
      <c r="K1937" s="78">
        <f t="shared" si="871"/>
        <v>100</v>
      </c>
      <c r="L1937" s="14">
        <f t="shared" si="874"/>
        <v>0</v>
      </c>
      <c r="M1937" s="50"/>
      <c r="N1937" s="50"/>
    </row>
    <row r="1938" spans="1:14" ht="46.8" x14ac:dyDescent="0.3">
      <c r="A1938" s="8" t="s">
        <v>1426</v>
      </c>
      <c r="B1938" s="62" t="s">
        <v>912</v>
      </c>
      <c r="C1938" s="68" t="s">
        <v>1372</v>
      </c>
      <c r="D1938" s="68" t="s">
        <v>1477</v>
      </c>
      <c r="E1938" s="8" t="s">
        <v>1305</v>
      </c>
      <c r="F1938" s="8"/>
      <c r="G1938" s="18" t="s">
        <v>115</v>
      </c>
      <c r="H1938" s="14">
        <f>H1939+H1942+H1945</f>
        <v>5663.2</v>
      </c>
      <c r="I1938" s="14">
        <f>I1939+I1942+I1945</f>
        <v>5663.2</v>
      </c>
      <c r="J1938" s="14">
        <f t="shared" ref="J1938" si="875">J1939+J1942+J1945</f>
        <v>5663.2</v>
      </c>
      <c r="K1938" s="78">
        <f t="shared" si="871"/>
        <v>100</v>
      </c>
      <c r="L1938" s="14">
        <f>L1939+L1942+L1945</f>
        <v>0</v>
      </c>
      <c r="M1938" s="50"/>
      <c r="N1938" s="50"/>
    </row>
    <row r="1939" spans="1:14" ht="31.2" x14ac:dyDescent="0.3">
      <c r="A1939" s="8" t="s">
        <v>1426</v>
      </c>
      <c r="B1939" s="62" t="s">
        <v>912</v>
      </c>
      <c r="C1939" s="68" t="s">
        <v>1372</v>
      </c>
      <c r="D1939" s="68" t="s">
        <v>1477</v>
      </c>
      <c r="E1939" s="8" t="s">
        <v>1306</v>
      </c>
      <c r="F1939" s="8"/>
      <c r="G1939" s="13" t="s">
        <v>872</v>
      </c>
      <c r="H1939" s="14">
        <f t="shared" ref="H1939:L1940" si="876">H1940</f>
        <v>4866</v>
      </c>
      <c r="I1939" s="14">
        <f t="shared" si="876"/>
        <v>4866</v>
      </c>
      <c r="J1939" s="14">
        <f t="shared" si="876"/>
        <v>4866</v>
      </c>
      <c r="K1939" s="78">
        <f t="shared" si="871"/>
        <v>100</v>
      </c>
      <c r="L1939" s="14">
        <f t="shared" si="876"/>
        <v>0</v>
      </c>
      <c r="M1939" s="50"/>
      <c r="N1939" s="50"/>
    </row>
    <row r="1940" spans="1:14" ht="31.2" x14ac:dyDescent="0.3">
      <c r="A1940" s="8" t="s">
        <v>1426</v>
      </c>
      <c r="B1940" s="62" t="s">
        <v>912</v>
      </c>
      <c r="C1940" s="68" t="s">
        <v>1372</v>
      </c>
      <c r="D1940" s="68" t="s">
        <v>1477</v>
      </c>
      <c r="E1940" s="8" t="s">
        <v>1306</v>
      </c>
      <c r="F1940" s="45" t="s">
        <v>402</v>
      </c>
      <c r="G1940" s="23" t="s">
        <v>819</v>
      </c>
      <c r="H1940" s="14">
        <f t="shared" si="876"/>
        <v>4866</v>
      </c>
      <c r="I1940" s="14">
        <f t="shared" si="876"/>
        <v>4866</v>
      </c>
      <c r="J1940" s="14">
        <f t="shared" si="876"/>
        <v>4866</v>
      </c>
      <c r="K1940" s="78">
        <f t="shared" si="871"/>
        <v>100</v>
      </c>
      <c r="L1940" s="14">
        <f t="shared" si="876"/>
        <v>0</v>
      </c>
      <c r="M1940" s="50"/>
      <c r="N1940" s="50"/>
    </row>
    <row r="1941" spans="1:14" ht="46.8" x14ac:dyDescent="0.3">
      <c r="A1941" s="8" t="s">
        <v>1426</v>
      </c>
      <c r="B1941" s="62" t="s">
        <v>912</v>
      </c>
      <c r="C1941" s="68" t="s">
        <v>1372</v>
      </c>
      <c r="D1941" s="68" t="s">
        <v>1477</v>
      </c>
      <c r="E1941" s="8" t="s">
        <v>1306</v>
      </c>
      <c r="F1941" s="45" t="s">
        <v>280</v>
      </c>
      <c r="G1941" s="23" t="s">
        <v>821</v>
      </c>
      <c r="H1941" s="14">
        <v>4866</v>
      </c>
      <c r="I1941" s="14">
        <v>4866</v>
      </c>
      <c r="J1941" s="14">
        <v>4866</v>
      </c>
      <c r="K1941" s="78">
        <f t="shared" si="871"/>
        <v>100</v>
      </c>
      <c r="L1941" s="14"/>
      <c r="M1941" s="50"/>
      <c r="N1941" s="50"/>
    </row>
    <row r="1942" spans="1:14" ht="31.2" x14ac:dyDescent="0.3">
      <c r="A1942" s="8" t="s">
        <v>1426</v>
      </c>
      <c r="B1942" s="62" t="s">
        <v>912</v>
      </c>
      <c r="C1942" s="68" t="s">
        <v>1372</v>
      </c>
      <c r="D1942" s="68" t="s">
        <v>1477</v>
      </c>
      <c r="E1942" s="8" t="s">
        <v>1307</v>
      </c>
      <c r="F1942" s="8"/>
      <c r="G1942" s="18" t="s">
        <v>758</v>
      </c>
      <c r="H1942" s="14">
        <f t="shared" ref="H1942:L1943" si="877">H1943</f>
        <v>447.2</v>
      </c>
      <c r="I1942" s="14">
        <f t="shared" si="877"/>
        <v>447.2</v>
      </c>
      <c r="J1942" s="14">
        <f t="shared" si="877"/>
        <v>447.2</v>
      </c>
      <c r="K1942" s="78">
        <f t="shared" si="871"/>
        <v>100</v>
      </c>
      <c r="L1942" s="14">
        <f t="shared" si="877"/>
        <v>0</v>
      </c>
      <c r="M1942" s="50"/>
      <c r="N1942" s="50"/>
    </row>
    <row r="1943" spans="1:14" ht="31.2" x14ac:dyDescent="0.3">
      <c r="A1943" s="8" t="s">
        <v>1426</v>
      </c>
      <c r="B1943" s="62" t="s">
        <v>912</v>
      </c>
      <c r="C1943" s="68" t="s">
        <v>1372</v>
      </c>
      <c r="D1943" s="68" t="s">
        <v>1477</v>
      </c>
      <c r="E1943" s="8" t="s">
        <v>1307</v>
      </c>
      <c r="F1943" s="45" t="s">
        <v>402</v>
      </c>
      <c r="G1943" s="23" t="s">
        <v>819</v>
      </c>
      <c r="H1943" s="14">
        <f t="shared" si="877"/>
        <v>447.2</v>
      </c>
      <c r="I1943" s="14">
        <f t="shared" si="877"/>
        <v>447.2</v>
      </c>
      <c r="J1943" s="14">
        <f t="shared" si="877"/>
        <v>447.2</v>
      </c>
      <c r="K1943" s="78">
        <f t="shared" si="871"/>
        <v>100</v>
      </c>
      <c r="L1943" s="14">
        <f t="shared" si="877"/>
        <v>0</v>
      </c>
      <c r="M1943" s="50"/>
      <c r="N1943" s="50"/>
    </row>
    <row r="1944" spans="1:14" ht="46.8" x14ac:dyDescent="0.3">
      <c r="A1944" s="8" t="s">
        <v>1426</v>
      </c>
      <c r="B1944" s="62" t="s">
        <v>912</v>
      </c>
      <c r="C1944" s="68" t="s">
        <v>1372</v>
      </c>
      <c r="D1944" s="68" t="s">
        <v>1477</v>
      </c>
      <c r="E1944" s="8" t="s">
        <v>1307</v>
      </c>
      <c r="F1944" s="45" t="s">
        <v>280</v>
      </c>
      <c r="G1944" s="23" t="s">
        <v>821</v>
      </c>
      <c r="H1944" s="14">
        <v>447.2</v>
      </c>
      <c r="I1944" s="14">
        <v>447.2</v>
      </c>
      <c r="J1944" s="14">
        <v>447.2</v>
      </c>
      <c r="K1944" s="78">
        <f t="shared" si="871"/>
        <v>100</v>
      </c>
      <c r="L1944" s="14"/>
      <c r="M1944" s="50"/>
      <c r="N1944" s="50"/>
    </row>
    <row r="1945" spans="1:14" ht="62.4" x14ac:dyDescent="0.3">
      <c r="A1945" s="8" t="s">
        <v>1426</v>
      </c>
      <c r="B1945" s="62" t="s">
        <v>912</v>
      </c>
      <c r="C1945" s="68" t="s">
        <v>1372</v>
      </c>
      <c r="D1945" s="68" t="s">
        <v>1477</v>
      </c>
      <c r="E1945" s="8" t="s">
        <v>1308</v>
      </c>
      <c r="F1945" s="8"/>
      <c r="G1945" s="13" t="s">
        <v>301</v>
      </c>
      <c r="H1945" s="14">
        <f t="shared" ref="H1945:L1946" si="878">H1946</f>
        <v>350</v>
      </c>
      <c r="I1945" s="14">
        <f t="shared" si="878"/>
        <v>350</v>
      </c>
      <c r="J1945" s="14">
        <f t="shared" si="878"/>
        <v>350</v>
      </c>
      <c r="K1945" s="78">
        <f t="shared" si="871"/>
        <v>100</v>
      </c>
      <c r="L1945" s="14">
        <f t="shared" si="878"/>
        <v>0</v>
      </c>
      <c r="M1945" s="50"/>
      <c r="N1945" s="50"/>
    </row>
    <row r="1946" spans="1:14" ht="31.2" x14ac:dyDescent="0.3">
      <c r="A1946" s="8" t="s">
        <v>1426</v>
      </c>
      <c r="B1946" s="62" t="s">
        <v>912</v>
      </c>
      <c r="C1946" s="68" t="s">
        <v>1372</v>
      </c>
      <c r="D1946" s="68" t="s">
        <v>1477</v>
      </c>
      <c r="E1946" s="8" t="s">
        <v>1308</v>
      </c>
      <c r="F1946" s="45" t="s">
        <v>402</v>
      </c>
      <c r="G1946" s="23" t="s">
        <v>819</v>
      </c>
      <c r="H1946" s="14">
        <f t="shared" si="878"/>
        <v>350</v>
      </c>
      <c r="I1946" s="14">
        <f t="shared" si="878"/>
        <v>350</v>
      </c>
      <c r="J1946" s="14">
        <f t="shared" si="878"/>
        <v>350</v>
      </c>
      <c r="K1946" s="78">
        <f t="shared" si="871"/>
        <v>100</v>
      </c>
      <c r="L1946" s="14">
        <f t="shared" si="878"/>
        <v>0</v>
      </c>
      <c r="M1946" s="50"/>
      <c r="N1946" s="50"/>
    </row>
    <row r="1947" spans="1:14" ht="46.8" x14ac:dyDescent="0.3">
      <c r="A1947" s="8" t="s">
        <v>1426</v>
      </c>
      <c r="B1947" s="62" t="s">
        <v>912</v>
      </c>
      <c r="C1947" s="68" t="s">
        <v>1372</v>
      </c>
      <c r="D1947" s="68" t="s">
        <v>1477</v>
      </c>
      <c r="E1947" s="8" t="s">
        <v>1308</v>
      </c>
      <c r="F1947" s="45" t="s">
        <v>280</v>
      </c>
      <c r="G1947" s="23" t="s">
        <v>821</v>
      </c>
      <c r="H1947" s="14">
        <v>350</v>
      </c>
      <c r="I1947" s="14">
        <v>350</v>
      </c>
      <c r="J1947" s="14">
        <v>350</v>
      </c>
      <c r="K1947" s="78">
        <f t="shared" si="871"/>
        <v>100</v>
      </c>
      <c r="L1947" s="14"/>
      <c r="M1947" s="50"/>
      <c r="N1947" s="50"/>
    </row>
    <row r="1948" spans="1:14" ht="31.2" x14ac:dyDescent="0.3">
      <c r="A1948" s="8" t="s">
        <v>1426</v>
      </c>
      <c r="B1948" s="62" t="s">
        <v>912</v>
      </c>
      <c r="C1948" s="68" t="s">
        <v>1372</v>
      </c>
      <c r="D1948" s="68" t="s">
        <v>1477</v>
      </c>
      <c r="E1948" s="8" t="s">
        <v>1310</v>
      </c>
      <c r="F1948" s="8"/>
      <c r="G1948" s="18" t="s">
        <v>116</v>
      </c>
      <c r="H1948" s="14">
        <f t="shared" ref="H1948:L1948" si="879">H1949</f>
        <v>3677.1950000000002</v>
      </c>
      <c r="I1948" s="14">
        <f t="shared" si="879"/>
        <v>3677.1950000000002</v>
      </c>
      <c r="J1948" s="14">
        <f t="shared" si="879"/>
        <v>3512.33277</v>
      </c>
      <c r="K1948" s="78">
        <f t="shared" si="871"/>
        <v>95.516630747077585</v>
      </c>
      <c r="L1948" s="14">
        <f t="shared" si="879"/>
        <v>0</v>
      </c>
      <c r="M1948" s="50"/>
      <c r="N1948" s="50"/>
    </row>
    <row r="1949" spans="1:14" ht="78" x14ac:dyDescent="0.3">
      <c r="A1949" s="8" t="s">
        <v>1426</v>
      </c>
      <c r="B1949" s="62" t="s">
        <v>912</v>
      </c>
      <c r="C1949" s="68" t="s">
        <v>1372</v>
      </c>
      <c r="D1949" s="68" t="s">
        <v>1477</v>
      </c>
      <c r="E1949" s="8" t="s">
        <v>1311</v>
      </c>
      <c r="F1949" s="8"/>
      <c r="G1949" s="13" t="s">
        <v>873</v>
      </c>
      <c r="H1949" s="14">
        <f>H1950+H1955</f>
        <v>3677.1950000000002</v>
      </c>
      <c r="I1949" s="14">
        <f>I1950+I1955</f>
        <v>3677.1950000000002</v>
      </c>
      <c r="J1949" s="14">
        <f t="shared" ref="J1949" si="880">J1950+J1955</f>
        <v>3512.33277</v>
      </c>
      <c r="K1949" s="78">
        <f t="shared" si="871"/>
        <v>95.516630747077585</v>
      </c>
      <c r="L1949" s="14">
        <f>L1950+L1955</f>
        <v>0</v>
      </c>
      <c r="M1949" s="50"/>
      <c r="N1949" s="50"/>
    </row>
    <row r="1950" spans="1:14" ht="31.2" x14ac:dyDescent="0.3">
      <c r="A1950" s="8" t="s">
        <v>1426</v>
      </c>
      <c r="B1950" s="62" t="s">
        <v>912</v>
      </c>
      <c r="C1950" s="68" t="s">
        <v>1372</v>
      </c>
      <c r="D1950" s="68" t="s">
        <v>1477</v>
      </c>
      <c r="E1950" s="8" t="s">
        <v>1312</v>
      </c>
      <c r="F1950" s="8"/>
      <c r="G1950" s="13" t="s">
        <v>874</v>
      </c>
      <c r="H1950" s="14">
        <f>H1951+H1953</f>
        <v>3455.6950000000002</v>
      </c>
      <c r="I1950" s="14">
        <f>I1951+I1953</f>
        <v>3455.6950000000002</v>
      </c>
      <c r="J1950" s="14">
        <f t="shared" ref="J1950" si="881">J1951+J1953</f>
        <v>3296.08277</v>
      </c>
      <c r="K1950" s="78">
        <f t="shared" si="871"/>
        <v>95.38118294583289</v>
      </c>
      <c r="L1950" s="14">
        <f>L1951+L1953</f>
        <v>0</v>
      </c>
      <c r="M1950" s="50"/>
      <c r="N1950" s="50"/>
    </row>
    <row r="1951" spans="1:14" ht="31.2" x14ac:dyDescent="0.3">
      <c r="A1951" s="8" t="s">
        <v>1426</v>
      </c>
      <c r="B1951" s="62" t="s">
        <v>912</v>
      </c>
      <c r="C1951" s="68" t="s">
        <v>1372</v>
      </c>
      <c r="D1951" s="68" t="s">
        <v>1477</v>
      </c>
      <c r="E1951" s="8" t="s">
        <v>1312</v>
      </c>
      <c r="F1951" s="45" t="s">
        <v>380</v>
      </c>
      <c r="G1951" s="23" t="s">
        <v>809</v>
      </c>
      <c r="H1951" s="14">
        <f t="shared" ref="H1951:L1951" si="882">H1952</f>
        <v>3387.2950000000001</v>
      </c>
      <c r="I1951" s="14">
        <f t="shared" si="882"/>
        <v>3385.3820000000001</v>
      </c>
      <c r="J1951" s="14">
        <f t="shared" si="882"/>
        <v>3225.7697699999999</v>
      </c>
      <c r="K1951" s="78">
        <f t="shared" si="871"/>
        <v>95.28525200405744</v>
      </c>
      <c r="L1951" s="14">
        <f t="shared" si="882"/>
        <v>0</v>
      </c>
      <c r="M1951" s="50"/>
      <c r="N1951" s="50"/>
    </row>
    <row r="1952" spans="1:14" ht="31.2" x14ac:dyDescent="0.3">
      <c r="A1952" s="8" t="s">
        <v>1426</v>
      </c>
      <c r="B1952" s="62" t="s">
        <v>912</v>
      </c>
      <c r="C1952" s="68" t="s">
        <v>1372</v>
      </c>
      <c r="D1952" s="68" t="s">
        <v>1477</v>
      </c>
      <c r="E1952" s="8" t="s">
        <v>1312</v>
      </c>
      <c r="F1952" s="8" t="s">
        <v>247</v>
      </c>
      <c r="G1952" s="23" t="s">
        <v>810</v>
      </c>
      <c r="H1952" s="14">
        <f>3592.3-205.005</f>
        <v>3387.2950000000001</v>
      </c>
      <c r="I1952" s="14">
        <v>3385.3820000000001</v>
      </c>
      <c r="J1952" s="14">
        <v>3225.7697699999999</v>
      </c>
      <c r="K1952" s="78">
        <f t="shared" si="871"/>
        <v>95.28525200405744</v>
      </c>
      <c r="L1952" s="14"/>
      <c r="M1952" s="50"/>
      <c r="N1952" s="50"/>
    </row>
    <row r="1953" spans="1:14" x14ac:dyDescent="0.3">
      <c r="A1953" s="8" t="s">
        <v>1426</v>
      </c>
      <c r="B1953" s="62" t="s">
        <v>912</v>
      </c>
      <c r="C1953" s="68" t="s">
        <v>1372</v>
      </c>
      <c r="D1953" s="68" t="s">
        <v>1477</v>
      </c>
      <c r="E1953" s="8" t="s">
        <v>1312</v>
      </c>
      <c r="F1953" s="45" t="s">
        <v>464</v>
      </c>
      <c r="G1953" s="23" t="s">
        <v>822</v>
      </c>
      <c r="H1953" s="14">
        <f t="shared" ref="H1953:L1953" si="883">H1954</f>
        <v>68.400000000000006</v>
      </c>
      <c r="I1953" s="14">
        <f t="shared" si="883"/>
        <v>70.313000000000002</v>
      </c>
      <c r="J1953" s="14">
        <f t="shared" si="883"/>
        <v>70.313000000000002</v>
      </c>
      <c r="K1953" s="78">
        <f t="shared" si="871"/>
        <v>100</v>
      </c>
      <c r="L1953" s="14">
        <f t="shared" si="883"/>
        <v>0</v>
      </c>
      <c r="M1953" s="50"/>
      <c r="N1953" s="50"/>
    </row>
    <row r="1954" spans="1:14" x14ac:dyDescent="0.3">
      <c r="A1954" s="8" t="s">
        <v>1426</v>
      </c>
      <c r="B1954" s="62" t="s">
        <v>912</v>
      </c>
      <c r="C1954" s="68" t="s">
        <v>1372</v>
      </c>
      <c r="D1954" s="68" t="s">
        <v>1477</v>
      </c>
      <c r="E1954" s="8" t="s">
        <v>1312</v>
      </c>
      <c r="F1954" s="45" t="s">
        <v>729</v>
      </c>
      <c r="G1954" s="23" t="s">
        <v>824</v>
      </c>
      <c r="H1954" s="14">
        <v>68.400000000000006</v>
      </c>
      <c r="I1954" s="14">
        <v>70.313000000000002</v>
      </c>
      <c r="J1954" s="14">
        <v>70.313000000000002</v>
      </c>
      <c r="K1954" s="78">
        <f t="shared" si="871"/>
        <v>100</v>
      </c>
      <c r="L1954" s="14"/>
      <c r="M1954" s="50"/>
      <c r="N1954" s="50"/>
    </row>
    <row r="1955" spans="1:14" ht="78" x14ac:dyDescent="0.3">
      <c r="A1955" s="8" t="s">
        <v>1426</v>
      </c>
      <c r="B1955" s="62" t="s">
        <v>912</v>
      </c>
      <c r="C1955" s="68" t="s">
        <v>1372</v>
      </c>
      <c r="D1955" s="68" t="s">
        <v>1477</v>
      </c>
      <c r="E1955" s="8" t="s">
        <v>1313</v>
      </c>
      <c r="F1955" s="8"/>
      <c r="G1955" s="13" t="s">
        <v>875</v>
      </c>
      <c r="H1955" s="14">
        <f t="shared" ref="H1955:L1956" si="884">H1956</f>
        <v>221.5</v>
      </c>
      <c r="I1955" s="14">
        <f t="shared" si="884"/>
        <v>221.5</v>
      </c>
      <c r="J1955" s="14">
        <f t="shared" si="884"/>
        <v>216.25</v>
      </c>
      <c r="K1955" s="78">
        <f t="shared" si="871"/>
        <v>97.629796839729124</v>
      </c>
      <c r="L1955" s="14">
        <f t="shared" si="884"/>
        <v>0</v>
      </c>
      <c r="M1955" s="50"/>
      <c r="N1955" s="50"/>
    </row>
    <row r="1956" spans="1:14" ht="31.2" x14ac:dyDescent="0.3">
      <c r="A1956" s="8" t="s">
        <v>1426</v>
      </c>
      <c r="B1956" s="62" t="s">
        <v>912</v>
      </c>
      <c r="C1956" s="68" t="s">
        <v>1372</v>
      </c>
      <c r="D1956" s="68" t="s">
        <v>1477</v>
      </c>
      <c r="E1956" s="8" t="s">
        <v>1313</v>
      </c>
      <c r="F1956" s="45" t="s">
        <v>380</v>
      </c>
      <c r="G1956" s="23" t="s">
        <v>809</v>
      </c>
      <c r="H1956" s="14">
        <f t="shared" si="884"/>
        <v>221.5</v>
      </c>
      <c r="I1956" s="14">
        <f t="shared" si="884"/>
        <v>221.5</v>
      </c>
      <c r="J1956" s="14">
        <f t="shared" si="884"/>
        <v>216.25</v>
      </c>
      <c r="K1956" s="78">
        <f t="shared" si="871"/>
        <v>97.629796839729124</v>
      </c>
      <c r="L1956" s="14">
        <f t="shared" si="884"/>
        <v>0</v>
      </c>
      <c r="M1956" s="50"/>
      <c r="N1956" s="50"/>
    </row>
    <row r="1957" spans="1:14" ht="31.2" x14ac:dyDescent="0.3">
      <c r="A1957" s="8" t="s">
        <v>1426</v>
      </c>
      <c r="B1957" s="62" t="s">
        <v>912</v>
      </c>
      <c r="C1957" s="68" t="s">
        <v>1372</v>
      </c>
      <c r="D1957" s="68" t="s">
        <v>1477</v>
      </c>
      <c r="E1957" s="8" t="s">
        <v>1313</v>
      </c>
      <c r="F1957" s="8" t="s">
        <v>247</v>
      </c>
      <c r="G1957" s="23" t="s">
        <v>810</v>
      </c>
      <c r="H1957" s="14">
        <v>221.5</v>
      </c>
      <c r="I1957" s="14">
        <v>221.5</v>
      </c>
      <c r="J1957" s="14">
        <v>216.25</v>
      </c>
      <c r="K1957" s="78">
        <f t="shared" si="871"/>
        <v>97.629796839729124</v>
      </c>
      <c r="L1957" s="14"/>
      <c r="M1957" s="50"/>
      <c r="N1957" s="50"/>
    </row>
    <row r="1958" spans="1:14" ht="31.2" hidden="1" x14ac:dyDescent="0.3">
      <c r="A1958" s="8" t="s">
        <v>1426</v>
      </c>
      <c r="B1958" s="62" t="s">
        <v>912</v>
      </c>
      <c r="C1958" s="68" t="s">
        <v>1372</v>
      </c>
      <c r="D1958" s="68" t="s">
        <v>1477</v>
      </c>
      <c r="E1958" s="8" t="s">
        <v>429</v>
      </c>
      <c r="F1958" s="8"/>
      <c r="G1958" s="23" t="s">
        <v>1140</v>
      </c>
      <c r="H1958" s="14">
        <f t="shared" ref="H1958:L1960" si="885">H1959</f>
        <v>15</v>
      </c>
      <c r="I1958" s="14">
        <f t="shared" si="885"/>
        <v>0</v>
      </c>
      <c r="J1958" s="14">
        <f t="shared" si="885"/>
        <v>0</v>
      </c>
      <c r="K1958" s="78" t="e">
        <f t="shared" si="871"/>
        <v>#DIV/0!</v>
      </c>
      <c r="L1958" s="14">
        <f t="shared" si="885"/>
        <v>0</v>
      </c>
      <c r="M1958" s="50">
        <v>111</v>
      </c>
      <c r="N1958" s="50"/>
    </row>
    <row r="1959" spans="1:14" ht="46.8" hidden="1" x14ac:dyDescent="0.3">
      <c r="A1959" s="8" t="s">
        <v>1426</v>
      </c>
      <c r="B1959" s="62" t="s">
        <v>912</v>
      </c>
      <c r="C1959" s="68" t="s">
        <v>1372</v>
      </c>
      <c r="D1959" s="68" t="s">
        <v>1477</v>
      </c>
      <c r="E1959" s="8" t="s">
        <v>535</v>
      </c>
      <c r="F1959" s="8"/>
      <c r="G1959" s="31" t="s">
        <v>176</v>
      </c>
      <c r="H1959" s="14">
        <f t="shared" si="885"/>
        <v>15</v>
      </c>
      <c r="I1959" s="14">
        <f t="shared" si="885"/>
        <v>0</v>
      </c>
      <c r="J1959" s="14">
        <f t="shared" si="885"/>
        <v>0</v>
      </c>
      <c r="K1959" s="78" t="e">
        <f t="shared" si="871"/>
        <v>#DIV/0!</v>
      </c>
      <c r="L1959" s="14">
        <f t="shared" si="885"/>
        <v>0</v>
      </c>
      <c r="M1959" s="50">
        <v>111</v>
      </c>
      <c r="N1959" s="50"/>
    </row>
    <row r="1960" spans="1:14" ht="31.2" hidden="1" x14ac:dyDescent="0.3">
      <c r="A1960" s="8" t="s">
        <v>1426</v>
      </c>
      <c r="B1960" s="62" t="s">
        <v>912</v>
      </c>
      <c r="C1960" s="68" t="s">
        <v>1372</v>
      </c>
      <c r="D1960" s="68" t="s">
        <v>1477</v>
      </c>
      <c r="E1960" s="8" t="s">
        <v>535</v>
      </c>
      <c r="F1960" s="45" t="s">
        <v>380</v>
      </c>
      <c r="G1960" s="23" t="s">
        <v>809</v>
      </c>
      <c r="H1960" s="14">
        <f t="shared" si="885"/>
        <v>15</v>
      </c>
      <c r="I1960" s="14">
        <f t="shared" si="885"/>
        <v>0</v>
      </c>
      <c r="J1960" s="14">
        <f t="shared" si="885"/>
        <v>0</v>
      </c>
      <c r="K1960" s="78" t="e">
        <f t="shared" si="871"/>
        <v>#DIV/0!</v>
      </c>
      <c r="L1960" s="14">
        <f t="shared" si="885"/>
        <v>0</v>
      </c>
      <c r="M1960" s="50">
        <v>111</v>
      </c>
      <c r="N1960" s="50"/>
    </row>
    <row r="1961" spans="1:14" ht="31.2" hidden="1" x14ac:dyDescent="0.3">
      <c r="A1961" s="8" t="s">
        <v>1426</v>
      </c>
      <c r="B1961" s="62" t="s">
        <v>912</v>
      </c>
      <c r="C1961" s="68" t="s">
        <v>1372</v>
      </c>
      <c r="D1961" s="68" t="s">
        <v>1477</v>
      </c>
      <c r="E1961" s="8" t="s">
        <v>535</v>
      </c>
      <c r="F1961" s="8" t="s">
        <v>247</v>
      </c>
      <c r="G1961" s="23" t="s">
        <v>810</v>
      </c>
      <c r="H1961" s="14">
        <v>15</v>
      </c>
      <c r="I1961" s="14">
        <v>0</v>
      </c>
      <c r="J1961" s="14">
        <v>0</v>
      </c>
      <c r="K1961" s="78" t="e">
        <f t="shared" si="871"/>
        <v>#DIV/0!</v>
      </c>
      <c r="L1961" s="14"/>
      <c r="M1961" s="50">
        <v>111</v>
      </c>
      <c r="N1961" s="50"/>
    </row>
    <row r="1962" spans="1:14" ht="46.8" x14ac:dyDescent="0.3">
      <c r="A1962" s="8" t="s">
        <v>1426</v>
      </c>
      <c r="B1962" s="62" t="s">
        <v>912</v>
      </c>
      <c r="C1962" s="83" t="s">
        <v>1372</v>
      </c>
      <c r="D1962" s="83" t="s">
        <v>1477</v>
      </c>
      <c r="E1962" s="45" t="s">
        <v>493</v>
      </c>
      <c r="F1962" s="45"/>
      <c r="G1962" s="23" t="s">
        <v>1160</v>
      </c>
      <c r="H1962" s="14">
        <f>H1963</f>
        <v>0</v>
      </c>
      <c r="I1962" s="14">
        <f t="shared" ref="I1962:L1965" si="886">I1963</f>
        <v>43.64</v>
      </c>
      <c r="J1962" s="14">
        <f t="shared" si="886"/>
        <v>43.64</v>
      </c>
      <c r="K1962" s="78">
        <f t="shared" si="871"/>
        <v>100</v>
      </c>
      <c r="L1962" s="14">
        <f t="shared" si="886"/>
        <v>0</v>
      </c>
      <c r="M1962" s="50"/>
      <c r="N1962" s="50"/>
    </row>
    <row r="1963" spans="1:14" ht="31.2" x14ac:dyDescent="0.3">
      <c r="A1963" s="8" t="s">
        <v>1426</v>
      </c>
      <c r="B1963" s="62" t="s">
        <v>912</v>
      </c>
      <c r="C1963" s="83" t="s">
        <v>1372</v>
      </c>
      <c r="D1963" s="83" t="s">
        <v>1477</v>
      </c>
      <c r="E1963" s="45" t="s">
        <v>494</v>
      </c>
      <c r="F1963" s="45"/>
      <c r="G1963" s="23" t="s">
        <v>1161</v>
      </c>
      <c r="H1963" s="14">
        <f>H1964</f>
        <v>0</v>
      </c>
      <c r="I1963" s="14">
        <f t="shared" si="886"/>
        <v>43.64</v>
      </c>
      <c r="J1963" s="14">
        <f t="shared" si="886"/>
        <v>43.64</v>
      </c>
      <c r="K1963" s="78">
        <f t="shared" si="871"/>
        <v>100</v>
      </c>
      <c r="L1963" s="14">
        <f t="shared" si="886"/>
        <v>0</v>
      </c>
      <c r="M1963" s="50"/>
      <c r="N1963" s="50"/>
    </row>
    <row r="1964" spans="1:14" ht="31.2" x14ac:dyDescent="0.3">
      <c r="A1964" s="8" t="s">
        <v>1426</v>
      </c>
      <c r="B1964" s="62" t="s">
        <v>912</v>
      </c>
      <c r="C1964" s="83" t="s">
        <v>1372</v>
      </c>
      <c r="D1964" s="83" t="s">
        <v>1477</v>
      </c>
      <c r="E1964" s="45" t="s">
        <v>495</v>
      </c>
      <c r="F1964" s="45"/>
      <c r="G1964" s="23" t="s">
        <v>687</v>
      </c>
      <c r="H1964" s="14">
        <f>H1965</f>
        <v>0</v>
      </c>
      <c r="I1964" s="14">
        <f t="shared" si="886"/>
        <v>43.64</v>
      </c>
      <c r="J1964" s="14">
        <f t="shared" si="886"/>
        <v>43.64</v>
      </c>
      <c r="K1964" s="78">
        <f t="shared" si="871"/>
        <v>100</v>
      </c>
      <c r="L1964" s="14">
        <f t="shared" si="886"/>
        <v>0</v>
      </c>
      <c r="M1964" s="50"/>
      <c r="N1964" s="50"/>
    </row>
    <row r="1965" spans="1:14" x14ac:dyDescent="0.3">
      <c r="A1965" s="8" t="s">
        <v>1426</v>
      </c>
      <c r="B1965" s="62" t="s">
        <v>912</v>
      </c>
      <c r="C1965" s="83" t="s">
        <v>1372</v>
      </c>
      <c r="D1965" s="83" t="s">
        <v>1477</v>
      </c>
      <c r="E1965" s="45" t="s">
        <v>495</v>
      </c>
      <c r="F1965" s="45" t="s">
        <v>464</v>
      </c>
      <c r="G1965" s="23" t="s">
        <v>822</v>
      </c>
      <c r="H1965" s="14">
        <f>H1966</f>
        <v>0</v>
      </c>
      <c r="I1965" s="14">
        <f t="shared" si="886"/>
        <v>43.64</v>
      </c>
      <c r="J1965" s="14">
        <f t="shared" si="886"/>
        <v>43.64</v>
      </c>
      <c r="K1965" s="78">
        <f t="shared" si="871"/>
        <v>100</v>
      </c>
      <c r="L1965" s="14">
        <f t="shared" si="886"/>
        <v>0</v>
      </c>
      <c r="M1965" s="50"/>
      <c r="N1965" s="50"/>
    </row>
    <row r="1966" spans="1:14" x14ac:dyDescent="0.3">
      <c r="A1966" s="8" t="s">
        <v>1426</v>
      </c>
      <c r="B1966" s="62" t="s">
        <v>912</v>
      </c>
      <c r="C1966" s="83" t="s">
        <v>1372</v>
      </c>
      <c r="D1966" s="83" t="s">
        <v>1477</v>
      </c>
      <c r="E1966" s="45" t="s">
        <v>495</v>
      </c>
      <c r="F1966" s="45" t="s">
        <v>728</v>
      </c>
      <c r="G1966" s="23" t="s">
        <v>823</v>
      </c>
      <c r="H1966" s="20">
        <v>0</v>
      </c>
      <c r="I1966" s="14">
        <v>43.64</v>
      </c>
      <c r="J1966" s="14">
        <v>43.64</v>
      </c>
      <c r="K1966" s="78">
        <f t="shared" si="871"/>
        <v>100</v>
      </c>
      <c r="L1966" s="14"/>
      <c r="M1966" s="50"/>
      <c r="N1966" s="50"/>
    </row>
    <row r="1967" spans="1:14" s="3" customFormat="1" ht="31.2" x14ac:dyDescent="0.3">
      <c r="A1967" s="10" t="s">
        <v>1426</v>
      </c>
      <c r="B1967" s="43" t="s">
        <v>1391</v>
      </c>
      <c r="C1967" s="43" t="s">
        <v>1391</v>
      </c>
      <c r="D1967" s="43" t="s">
        <v>915</v>
      </c>
      <c r="E1967" s="10"/>
      <c r="F1967" s="10"/>
      <c r="G1967" s="5" t="s">
        <v>1415</v>
      </c>
      <c r="H1967" s="15">
        <f t="shared" ref="H1967:L1967" si="887">H1975+H1968</f>
        <v>1078.741</v>
      </c>
      <c r="I1967" s="15">
        <f t="shared" si="887"/>
        <v>1295.3319999999999</v>
      </c>
      <c r="J1967" s="15">
        <f t="shared" si="887"/>
        <v>1293.13356</v>
      </c>
      <c r="K1967" s="81">
        <f t="shared" si="871"/>
        <v>99.830279804714166</v>
      </c>
      <c r="L1967" s="15">
        <f t="shared" si="887"/>
        <v>0</v>
      </c>
      <c r="M1967" s="65"/>
      <c r="N1967" s="65"/>
    </row>
    <row r="1968" spans="1:14" s="9" customFormat="1" ht="46.8" x14ac:dyDescent="0.3">
      <c r="A1968" s="11" t="s">
        <v>1426</v>
      </c>
      <c r="B1968" s="48" t="s">
        <v>935</v>
      </c>
      <c r="C1968" s="48" t="s">
        <v>1391</v>
      </c>
      <c r="D1968" s="48" t="s">
        <v>1398</v>
      </c>
      <c r="E1968" s="11"/>
      <c r="F1968" s="11"/>
      <c r="G1968" s="7" t="s">
        <v>1420</v>
      </c>
      <c r="H1968" s="16">
        <f>H1969</f>
        <v>70</v>
      </c>
      <c r="I1968" s="16">
        <f t="shared" ref="I1968:L1968" si="888">I1969</f>
        <v>70</v>
      </c>
      <c r="J1968" s="16">
        <f t="shared" si="888"/>
        <v>70</v>
      </c>
      <c r="K1968" s="82">
        <f t="shared" si="871"/>
        <v>100</v>
      </c>
      <c r="L1968" s="16">
        <f t="shared" si="888"/>
        <v>0</v>
      </c>
      <c r="M1968" s="65"/>
      <c r="N1968" s="65"/>
    </row>
    <row r="1969" spans="1:14" ht="46.8" x14ac:dyDescent="0.3">
      <c r="A1969" s="8" t="s">
        <v>1426</v>
      </c>
      <c r="B1969" s="62" t="s">
        <v>935</v>
      </c>
      <c r="C1969" s="68" t="s">
        <v>1391</v>
      </c>
      <c r="D1969" s="68" t="s">
        <v>1398</v>
      </c>
      <c r="E1969" s="8" t="s">
        <v>381</v>
      </c>
      <c r="F1969" s="8"/>
      <c r="G1969" s="18" t="s">
        <v>1061</v>
      </c>
      <c r="H1969" s="14">
        <f t="shared" ref="H1969:L1973" si="889">H1970</f>
        <v>70</v>
      </c>
      <c r="I1969" s="14">
        <f t="shared" si="889"/>
        <v>70</v>
      </c>
      <c r="J1969" s="14">
        <f t="shared" si="889"/>
        <v>70</v>
      </c>
      <c r="K1969" s="78">
        <f t="shared" si="871"/>
        <v>100</v>
      </c>
      <c r="L1969" s="14">
        <f t="shared" si="889"/>
        <v>0</v>
      </c>
      <c r="M1969" s="50"/>
      <c r="N1969" s="50"/>
    </row>
    <row r="1970" spans="1:14" ht="62.4" x14ac:dyDescent="0.3">
      <c r="A1970" s="8" t="s">
        <v>1426</v>
      </c>
      <c r="B1970" s="62" t="s">
        <v>935</v>
      </c>
      <c r="C1970" s="68" t="s">
        <v>1391</v>
      </c>
      <c r="D1970" s="68" t="s">
        <v>1398</v>
      </c>
      <c r="E1970" s="8" t="s">
        <v>382</v>
      </c>
      <c r="F1970" s="8"/>
      <c r="G1970" s="18" t="s">
        <v>1062</v>
      </c>
      <c r="H1970" s="14">
        <f t="shared" si="889"/>
        <v>70</v>
      </c>
      <c r="I1970" s="14">
        <f t="shared" si="889"/>
        <v>70</v>
      </c>
      <c r="J1970" s="14">
        <f t="shared" si="889"/>
        <v>70</v>
      </c>
      <c r="K1970" s="78">
        <f t="shared" si="871"/>
        <v>100</v>
      </c>
      <c r="L1970" s="14">
        <f t="shared" si="889"/>
        <v>0</v>
      </c>
      <c r="M1970" s="50"/>
      <c r="N1970" s="50"/>
    </row>
    <row r="1971" spans="1:14" ht="46.8" x14ac:dyDescent="0.3">
      <c r="A1971" s="8" t="s">
        <v>1426</v>
      </c>
      <c r="B1971" s="62" t="s">
        <v>935</v>
      </c>
      <c r="C1971" s="68" t="s">
        <v>1391</v>
      </c>
      <c r="D1971" s="68" t="s">
        <v>1398</v>
      </c>
      <c r="E1971" s="8" t="s">
        <v>53</v>
      </c>
      <c r="F1971" s="8"/>
      <c r="G1971" s="31" t="s">
        <v>1318</v>
      </c>
      <c r="H1971" s="14">
        <f t="shared" si="889"/>
        <v>70</v>
      </c>
      <c r="I1971" s="14">
        <f t="shared" si="889"/>
        <v>70</v>
      </c>
      <c r="J1971" s="14">
        <f t="shared" si="889"/>
        <v>70</v>
      </c>
      <c r="K1971" s="78">
        <f t="shared" si="871"/>
        <v>100</v>
      </c>
      <c r="L1971" s="14">
        <f t="shared" si="889"/>
        <v>0</v>
      </c>
      <c r="M1971" s="50"/>
      <c r="N1971" s="50"/>
    </row>
    <row r="1972" spans="1:14" ht="31.2" x14ac:dyDescent="0.3">
      <c r="A1972" s="8" t="s">
        <v>1426</v>
      </c>
      <c r="B1972" s="62" t="s">
        <v>935</v>
      </c>
      <c r="C1972" s="68" t="s">
        <v>1391</v>
      </c>
      <c r="D1972" s="68" t="s">
        <v>1398</v>
      </c>
      <c r="E1972" s="8" t="s">
        <v>93</v>
      </c>
      <c r="F1972" s="8"/>
      <c r="G1972" s="23" t="s">
        <v>161</v>
      </c>
      <c r="H1972" s="14">
        <f t="shared" si="889"/>
        <v>70</v>
      </c>
      <c r="I1972" s="14">
        <f t="shared" si="889"/>
        <v>70</v>
      </c>
      <c r="J1972" s="14">
        <f t="shared" si="889"/>
        <v>70</v>
      </c>
      <c r="K1972" s="78">
        <f t="shared" si="871"/>
        <v>100</v>
      </c>
      <c r="L1972" s="14">
        <f t="shared" si="889"/>
        <v>0</v>
      </c>
      <c r="M1972" s="50"/>
      <c r="N1972" s="50"/>
    </row>
    <row r="1973" spans="1:14" ht="31.2" x14ac:dyDescent="0.3">
      <c r="A1973" s="8" t="s">
        <v>1426</v>
      </c>
      <c r="B1973" s="62" t="s">
        <v>935</v>
      </c>
      <c r="C1973" s="68" t="s">
        <v>1391</v>
      </c>
      <c r="D1973" s="68" t="s">
        <v>1398</v>
      </c>
      <c r="E1973" s="8" t="s">
        <v>93</v>
      </c>
      <c r="F1973" s="45" t="s">
        <v>380</v>
      </c>
      <c r="G1973" s="23" t="s">
        <v>809</v>
      </c>
      <c r="H1973" s="14">
        <f t="shared" si="889"/>
        <v>70</v>
      </c>
      <c r="I1973" s="14">
        <f t="shared" si="889"/>
        <v>70</v>
      </c>
      <c r="J1973" s="14">
        <f t="shared" si="889"/>
        <v>70</v>
      </c>
      <c r="K1973" s="78">
        <f t="shared" si="871"/>
        <v>100</v>
      </c>
      <c r="L1973" s="14">
        <f t="shared" si="889"/>
        <v>0</v>
      </c>
      <c r="M1973" s="50"/>
      <c r="N1973" s="50"/>
    </row>
    <row r="1974" spans="1:14" ht="31.2" x14ac:dyDescent="0.3">
      <c r="A1974" s="8" t="s">
        <v>1426</v>
      </c>
      <c r="B1974" s="62" t="s">
        <v>935</v>
      </c>
      <c r="C1974" s="68" t="s">
        <v>1391</v>
      </c>
      <c r="D1974" s="68" t="s">
        <v>1398</v>
      </c>
      <c r="E1974" s="8" t="s">
        <v>93</v>
      </c>
      <c r="F1974" s="8" t="s">
        <v>247</v>
      </c>
      <c r="G1974" s="23" t="s">
        <v>810</v>
      </c>
      <c r="H1974" s="14">
        <v>70</v>
      </c>
      <c r="I1974" s="14">
        <v>70</v>
      </c>
      <c r="J1974" s="19">
        <v>70</v>
      </c>
      <c r="K1974" s="75">
        <f t="shared" si="871"/>
        <v>100</v>
      </c>
      <c r="L1974" s="14"/>
      <c r="M1974" s="50"/>
      <c r="N1974" s="50"/>
    </row>
    <row r="1975" spans="1:14" s="9" customFormat="1" ht="31.2" x14ac:dyDescent="0.3">
      <c r="A1975" s="11" t="s">
        <v>1426</v>
      </c>
      <c r="B1975" s="48" t="s">
        <v>936</v>
      </c>
      <c r="C1975" s="48" t="s">
        <v>1391</v>
      </c>
      <c r="D1975" s="48" t="s">
        <v>1480</v>
      </c>
      <c r="E1975" s="11"/>
      <c r="F1975" s="11"/>
      <c r="G1975" s="7" t="s">
        <v>1421</v>
      </c>
      <c r="H1975" s="16">
        <f>H1976+H1982</f>
        <v>1008.7410000000001</v>
      </c>
      <c r="I1975" s="16">
        <f>I1976+I1982+I1990</f>
        <v>1225.3319999999999</v>
      </c>
      <c r="J1975" s="16">
        <f t="shared" ref="J1975:L1975" si="890">J1976+J1982+J1990</f>
        <v>1223.13356</v>
      </c>
      <c r="K1975" s="82">
        <f t="shared" si="871"/>
        <v>99.8205841355649</v>
      </c>
      <c r="L1975" s="16">
        <f t="shared" si="890"/>
        <v>0</v>
      </c>
      <c r="M1975" s="65"/>
      <c r="N1975" s="65"/>
    </row>
    <row r="1976" spans="1:14" ht="31.2" x14ac:dyDescent="0.3">
      <c r="A1976" s="8" t="s">
        <v>1426</v>
      </c>
      <c r="B1976" s="62" t="s">
        <v>936</v>
      </c>
      <c r="C1976" s="68" t="s">
        <v>1391</v>
      </c>
      <c r="D1976" s="68" t="s">
        <v>1480</v>
      </c>
      <c r="E1976" s="8" t="s">
        <v>383</v>
      </c>
      <c r="F1976" s="8"/>
      <c r="G1976" s="13" t="s">
        <v>1055</v>
      </c>
      <c r="H1976" s="14">
        <f t="shared" ref="H1976:L1980" si="891">H1977</f>
        <v>200</v>
      </c>
      <c r="I1976" s="14">
        <f t="shared" si="891"/>
        <v>200</v>
      </c>
      <c r="J1976" s="14">
        <f t="shared" si="891"/>
        <v>200</v>
      </c>
      <c r="K1976" s="78">
        <f t="shared" si="871"/>
        <v>100</v>
      </c>
      <c r="L1976" s="14">
        <f t="shared" si="891"/>
        <v>0</v>
      </c>
      <c r="M1976" s="50"/>
      <c r="N1976" s="50"/>
    </row>
    <row r="1977" spans="1:14" ht="46.8" x14ac:dyDescent="0.3">
      <c r="A1977" s="8" t="s">
        <v>1426</v>
      </c>
      <c r="B1977" s="62" t="s">
        <v>936</v>
      </c>
      <c r="C1977" s="68" t="s">
        <v>1391</v>
      </c>
      <c r="D1977" s="68" t="s">
        <v>1480</v>
      </c>
      <c r="E1977" s="8" t="s">
        <v>432</v>
      </c>
      <c r="F1977" s="8"/>
      <c r="G1977" s="13" t="s">
        <v>1056</v>
      </c>
      <c r="H1977" s="14">
        <f t="shared" si="891"/>
        <v>200</v>
      </c>
      <c r="I1977" s="14">
        <f t="shared" si="891"/>
        <v>200</v>
      </c>
      <c r="J1977" s="14">
        <f t="shared" si="891"/>
        <v>200</v>
      </c>
      <c r="K1977" s="78">
        <f t="shared" si="871"/>
        <v>100</v>
      </c>
      <c r="L1977" s="14">
        <f t="shared" si="891"/>
        <v>0</v>
      </c>
      <c r="M1977" s="50"/>
      <c r="N1977" s="50"/>
    </row>
    <row r="1978" spans="1:14" ht="46.8" x14ac:dyDescent="0.3">
      <c r="A1978" s="8" t="s">
        <v>1426</v>
      </c>
      <c r="B1978" s="62" t="s">
        <v>936</v>
      </c>
      <c r="C1978" s="68" t="s">
        <v>1391</v>
      </c>
      <c r="D1978" s="68" t="s">
        <v>1480</v>
      </c>
      <c r="E1978" s="8" t="s">
        <v>433</v>
      </c>
      <c r="F1978" s="8"/>
      <c r="G1978" s="18" t="s">
        <v>132</v>
      </c>
      <c r="H1978" s="14">
        <f t="shared" si="891"/>
        <v>200</v>
      </c>
      <c r="I1978" s="14">
        <f t="shared" si="891"/>
        <v>200</v>
      </c>
      <c r="J1978" s="14">
        <f t="shared" si="891"/>
        <v>200</v>
      </c>
      <c r="K1978" s="78">
        <f t="shared" si="871"/>
        <v>100</v>
      </c>
      <c r="L1978" s="14">
        <f t="shared" si="891"/>
        <v>0</v>
      </c>
      <c r="M1978" s="50"/>
      <c r="N1978" s="50"/>
    </row>
    <row r="1979" spans="1:14" ht="31.2" x14ac:dyDescent="0.3">
      <c r="A1979" s="8" t="s">
        <v>1426</v>
      </c>
      <c r="B1979" s="62" t="s">
        <v>936</v>
      </c>
      <c r="C1979" s="68" t="s">
        <v>1391</v>
      </c>
      <c r="D1979" s="68" t="s">
        <v>1480</v>
      </c>
      <c r="E1979" s="8" t="s">
        <v>434</v>
      </c>
      <c r="F1979" s="8"/>
      <c r="G1979" s="13" t="s">
        <v>1058</v>
      </c>
      <c r="H1979" s="14">
        <f t="shared" si="891"/>
        <v>200</v>
      </c>
      <c r="I1979" s="14">
        <f t="shared" si="891"/>
        <v>200</v>
      </c>
      <c r="J1979" s="14">
        <f t="shared" si="891"/>
        <v>200</v>
      </c>
      <c r="K1979" s="78">
        <f t="shared" si="871"/>
        <v>100</v>
      </c>
      <c r="L1979" s="14">
        <f t="shared" si="891"/>
        <v>0</v>
      </c>
      <c r="M1979" s="50"/>
      <c r="N1979" s="50"/>
    </row>
    <row r="1980" spans="1:14" ht="31.2" x14ac:dyDescent="0.3">
      <c r="A1980" s="8" t="s">
        <v>1426</v>
      </c>
      <c r="B1980" s="62" t="s">
        <v>936</v>
      </c>
      <c r="C1980" s="68" t="s">
        <v>1391</v>
      </c>
      <c r="D1980" s="68" t="s">
        <v>1480</v>
      </c>
      <c r="E1980" s="8" t="s">
        <v>434</v>
      </c>
      <c r="F1980" s="45" t="s">
        <v>380</v>
      </c>
      <c r="G1980" s="23" t="s">
        <v>809</v>
      </c>
      <c r="H1980" s="14">
        <f t="shared" si="891"/>
        <v>200</v>
      </c>
      <c r="I1980" s="14">
        <f t="shared" si="891"/>
        <v>200</v>
      </c>
      <c r="J1980" s="14">
        <f t="shared" si="891"/>
        <v>200</v>
      </c>
      <c r="K1980" s="78">
        <f t="shared" si="871"/>
        <v>100</v>
      </c>
      <c r="L1980" s="14">
        <f t="shared" si="891"/>
        <v>0</v>
      </c>
      <c r="M1980" s="50"/>
      <c r="N1980" s="50"/>
    </row>
    <row r="1981" spans="1:14" ht="31.2" x14ac:dyDescent="0.3">
      <c r="A1981" s="8" t="s">
        <v>1426</v>
      </c>
      <c r="B1981" s="62" t="s">
        <v>936</v>
      </c>
      <c r="C1981" s="68" t="s">
        <v>1391</v>
      </c>
      <c r="D1981" s="68" t="s">
        <v>1480</v>
      </c>
      <c r="E1981" s="8" t="s">
        <v>434</v>
      </c>
      <c r="F1981" s="8" t="s">
        <v>247</v>
      </c>
      <c r="G1981" s="23" t="s">
        <v>810</v>
      </c>
      <c r="H1981" s="14">
        <v>200</v>
      </c>
      <c r="I1981" s="14">
        <v>200</v>
      </c>
      <c r="J1981" s="14">
        <v>200</v>
      </c>
      <c r="K1981" s="78">
        <f t="shared" si="871"/>
        <v>100</v>
      </c>
      <c r="L1981" s="14"/>
      <c r="M1981" s="50"/>
      <c r="N1981" s="50"/>
    </row>
    <row r="1982" spans="1:14" ht="46.8" x14ac:dyDescent="0.3">
      <c r="A1982" s="8" t="s">
        <v>1426</v>
      </c>
      <c r="B1982" s="62" t="s">
        <v>936</v>
      </c>
      <c r="C1982" s="68" t="s">
        <v>1391</v>
      </c>
      <c r="D1982" s="68" t="s">
        <v>1480</v>
      </c>
      <c r="E1982" s="8" t="s">
        <v>381</v>
      </c>
      <c r="F1982" s="8"/>
      <c r="G1982" s="18" t="s">
        <v>1061</v>
      </c>
      <c r="H1982" s="14">
        <f t="shared" ref="H1982:L1986" si="892">H1983</f>
        <v>808.7410000000001</v>
      </c>
      <c r="I1982" s="14">
        <f t="shared" si="892"/>
        <v>732.74099999999999</v>
      </c>
      <c r="J1982" s="14">
        <f t="shared" si="892"/>
        <v>730.54255999999998</v>
      </c>
      <c r="K1982" s="78">
        <f t="shared" si="871"/>
        <v>99.699970385170204</v>
      </c>
      <c r="L1982" s="14">
        <f t="shared" si="892"/>
        <v>0</v>
      </c>
      <c r="M1982" s="50"/>
      <c r="N1982" s="50"/>
    </row>
    <row r="1983" spans="1:14" ht="31.2" x14ac:dyDescent="0.3">
      <c r="A1983" s="8" t="s">
        <v>1426</v>
      </c>
      <c r="B1983" s="62" t="s">
        <v>936</v>
      </c>
      <c r="C1983" s="68" t="s">
        <v>1391</v>
      </c>
      <c r="D1983" s="68" t="s">
        <v>1480</v>
      </c>
      <c r="E1983" s="8" t="s">
        <v>435</v>
      </c>
      <c r="F1983" s="8"/>
      <c r="G1983" s="13" t="s">
        <v>1064</v>
      </c>
      <c r="H1983" s="14">
        <f t="shared" si="892"/>
        <v>808.7410000000001</v>
      </c>
      <c r="I1983" s="14">
        <f t="shared" si="892"/>
        <v>732.74099999999999</v>
      </c>
      <c r="J1983" s="14">
        <f t="shared" si="892"/>
        <v>730.54255999999998</v>
      </c>
      <c r="K1983" s="78">
        <f t="shared" si="871"/>
        <v>99.699970385170204</v>
      </c>
      <c r="L1983" s="14">
        <f t="shared" si="892"/>
        <v>0</v>
      </c>
      <c r="M1983" s="50"/>
      <c r="N1983" s="50"/>
    </row>
    <row r="1984" spans="1:14" ht="46.8" x14ac:dyDescent="0.3">
      <c r="A1984" s="8" t="s">
        <v>1426</v>
      </c>
      <c r="B1984" s="62" t="s">
        <v>936</v>
      </c>
      <c r="C1984" s="68" t="s">
        <v>1391</v>
      </c>
      <c r="D1984" s="68" t="s">
        <v>1480</v>
      </c>
      <c r="E1984" s="8" t="s">
        <v>436</v>
      </c>
      <c r="F1984" s="8"/>
      <c r="G1984" s="13" t="s">
        <v>1211</v>
      </c>
      <c r="H1984" s="14">
        <f t="shared" si="892"/>
        <v>808.7410000000001</v>
      </c>
      <c r="I1984" s="14">
        <f t="shared" si="892"/>
        <v>732.74099999999999</v>
      </c>
      <c r="J1984" s="14">
        <f t="shared" si="892"/>
        <v>730.54255999999998</v>
      </c>
      <c r="K1984" s="78">
        <f t="shared" si="871"/>
        <v>99.699970385170204</v>
      </c>
      <c r="L1984" s="14">
        <f t="shared" si="892"/>
        <v>0</v>
      </c>
      <c r="M1984" s="50"/>
      <c r="N1984" s="50"/>
    </row>
    <row r="1985" spans="1:14" ht="46.8" x14ac:dyDescent="0.3">
      <c r="A1985" s="8" t="s">
        <v>1426</v>
      </c>
      <c r="B1985" s="62" t="s">
        <v>936</v>
      </c>
      <c r="C1985" s="68" t="s">
        <v>1391</v>
      </c>
      <c r="D1985" s="68" t="s">
        <v>1480</v>
      </c>
      <c r="E1985" s="8" t="s">
        <v>437</v>
      </c>
      <c r="F1985" s="8"/>
      <c r="G1985" s="18" t="s">
        <v>19</v>
      </c>
      <c r="H1985" s="14">
        <f>H1986+H1988</f>
        <v>808.7410000000001</v>
      </c>
      <c r="I1985" s="14">
        <f>I1986+I1988</f>
        <v>732.74099999999999</v>
      </c>
      <c r="J1985" s="14">
        <f t="shared" ref="J1985" si="893">J1986+J1988</f>
        <v>730.54255999999998</v>
      </c>
      <c r="K1985" s="78">
        <f t="shared" si="871"/>
        <v>99.699970385170204</v>
      </c>
      <c r="L1985" s="14">
        <f>L1986+L1988</f>
        <v>0</v>
      </c>
      <c r="M1985" s="50"/>
      <c r="N1985" s="50"/>
    </row>
    <row r="1986" spans="1:14" ht="31.2" x14ac:dyDescent="0.3">
      <c r="A1986" s="8" t="s">
        <v>1426</v>
      </c>
      <c r="B1986" s="62" t="s">
        <v>936</v>
      </c>
      <c r="C1986" s="68" t="s">
        <v>1391</v>
      </c>
      <c r="D1986" s="68" t="s">
        <v>1480</v>
      </c>
      <c r="E1986" s="8" t="s">
        <v>437</v>
      </c>
      <c r="F1986" s="45" t="s">
        <v>380</v>
      </c>
      <c r="G1986" s="23" t="s">
        <v>809</v>
      </c>
      <c r="H1986" s="14">
        <f t="shared" si="892"/>
        <v>793.84100000000012</v>
      </c>
      <c r="I1986" s="14">
        <f t="shared" si="892"/>
        <v>717.84100000000001</v>
      </c>
      <c r="J1986" s="14">
        <f t="shared" si="892"/>
        <v>716.28156000000001</v>
      </c>
      <c r="K1986" s="78">
        <f t="shared" si="871"/>
        <v>99.78275969190949</v>
      </c>
      <c r="L1986" s="14">
        <f t="shared" si="892"/>
        <v>0</v>
      </c>
      <c r="M1986" s="50"/>
      <c r="N1986" s="50"/>
    </row>
    <row r="1987" spans="1:14" ht="31.2" x14ac:dyDescent="0.3">
      <c r="A1987" s="8" t="s">
        <v>1426</v>
      </c>
      <c r="B1987" s="62" t="s">
        <v>936</v>
      </c>
      <c r="C1987" s="68" t="s">
        <v>1391</v>
      </c>
      <c r="D1987" s="68" t="s">
        <v>1480</v>
      </c>
      <c r="E1987" s="8" t="s">
        <v>437</v>
      </c>
      <c r="F1987" s="8" t="s">
        <v>247</v>
      </c>
      <c r="G1987" s="23" t="s">
        <v>810</v>
      </c>
      <c r="H1987" s="14">
        <f>972.2+429.2-60.98-117.379-429.2</f>
        <v>793.84100000000012</v>
      </c>
      <c r="I1987" s="14">
        <v>717.84100000000001</v>
      </c>
      <c r="J1987" s="14">
        <v>716.28156000000001</v>
      </c>
      <c r="K1987" s="78">
        <f t="shared" si="871"/>
        <v>99.78275969190949</v>
      </c>
      <c r="L1987" s="14"/>
      <c r="M1987" s="50"/>
      <c r="N1987" s="50"/>
    </row>
    <row r="1988" spans="1:14" x14ac:dyDescent="0.3">
      <c r="A1988" s="8" t="s">
        <v>1426</v>
      </c>
      <c r="B1988" s="62" t="s">
        <v>936</v>
      </c>
      <c r="C1988" s="68" t="s">
        <v>1391</v>
      </c>
      <c r="D1988" s="68" t="s">
        <v>1480</v>
      </c>
      <c r="E1988" s="8" t="s">
        <v>437</v>
      </c>
      <c r="F1988" s="45" t="s">
        <v>464</v>
      </c>
      <c r="G1988" s="23" t="s">
        <v>822</v>
      </c>
      <c r="H1988" s="14">
        <f t="shared" ref="H1988:L1988" si="894">H1989</f>
        <v>14.9</v>
      </c>
      <c r="I1988" s="14">
        <f t="shared" si="894"/>
        <v>14.9</v>
      </c>
      <c r="J1988" s="14">
        <f t="shared" si="894"/>
        <v>14.260999999999999</v>
      </c>
      <c r="K1988" s="78">
        <f t="shared" si="871"/>
        <v>95.711409395973149</v>
      </c>
      <c r="L1988" s="14">
        <f t="shared" si="894"/>
        <v>0</v>
      </c>
      <c r="M1988" s="50"/>
      <c r="N1988" s="50"/>
    </row>
    <row r="1989" spans="1:14" x14ac:dyDescent="0.3">
      <c r="A1989" s="8" t="s">
        <v>1426</v>
      </c>
      <c r="B1989" s="62" t="s">
        <v>936</v>
      </c>
      <c r="C1989" s="68" t="s">
        <v>1391</v>
      </c>
      <c r="D1989" s="68" t="s">
        <v>1480</v>
      </c>
      <c r="E1989" s="8" t="s">
        <v>437</v>
      </c>
      <c r="F1989" s="45" t="s">
        <v>729</v>
      </c>
      <c r="G1989" s="23" t="s">
        <v>824</v>
      </c>
      <c r="H1989" s="14">
        <v>14.9</v>
      </c>
      <c r="I1989" s="14">
        <v>14.9</v>
      </c>
      <c r="J1989" s="14">
        <v>14.260999999999999</v>
      </c>
      <c r="K1989" s="78">
        <f t="shared" si="871"/>
        <v>95.711409395973149</v>
      </c>
      <c r="L1989" s="14"/>
      <c r="M1989" s="50"/>
      <c r="N1989" s="50"/>
    </row>
    <row r="1990" spans="1:14" ht="31.2" x14ac:dyDescent="0.3">
      <c r="A1990" s="8" t="s">
        <v>1426</v>
      </c>
      <c r="B1990" s="62" t="s">
        <v>936</v>
      </c>
      <c r="C1990" s="68" t="s">
        <v>1391</v>
      </c>
      <c r="D1990" s="68" t="s">
        <v>1480</v>
      </c>
      <c r="E1990" s="8" t="s">
        <v>429</v>
      </c>
      <c r="F1990" s="8"/>
      <c r="G1990" s="13" t="s">
        <v>1140</v>
      </c>
      <c r="H1990" s="20">
        <v>0</v>
      </c>
      <c r="I1990" s="14">
        <f>I1991</f>
        <v>292.59100000000001</v>
      </c>
      <c r="J1990" s="14">
        <f t="shared" ref="J1990:L1990" si="895">J1991</f>
        <v>292.59100000000001</v>
      </c>
      <c r="K1990" s="78">
        <f t="shared" si="871"/>
        <v>100</v>
      </c>
      <c r="L1990" s="14">
        <f t="shared" si="895"/>
        <v>0</v>
      </c>
      <c r="M1990" s="50"/>
      <c r="N1990" s="50"/>
    </row>
    <row r="1991" spans="1:14" x14ac:dyDescent="0.3">
      <c r="A1991" s="8" t="s">
        <v>1426</v>
      </c>
      <c r="B1991" s="62" t="s">
        <v>936</v>
      </c>
      <c r="C1991" s="68" t="s">
        <v>1391</v>
      </c>
      <c r="D1991" s="68" t="s">
        <v>1480</v>
      </c>
      <c r="E1991" s="8" t="s">
        <v>430</v>
      </c>
      <c r="F1991" s="8"/>
      <c r="G1991" s="13" t="s">
        <v>1141</v>
      </c>
      <c r="H1991" s="20">
        <v>0</v>
      </c>
      <c r="I1991" s="14">
        <f>I1992+I1995</f>
        <v>292.59100000000001</v>
      </c>
      <c r="J1991" s="14">
        <f t="shared" ref="J1991:L1991" si="896">J1992+J1995</f>
        <v>292.59100000000001</v>
      </c>
      <c r="K1991" s="78">
        <f t="shared" si="871"/>
        <v>100</v>
      </c>
      <c r="L1991" s="14">
        <f t="shared" si="896"/>
        <v>0</v>
      </c>
      <c r="M1991" s="50"/>
      <c r="N1991" s="50"/>
    </row>
    <row r="1992" spans="1:14" ht="31.2" x14ac:dyDescent="0.3">
      <c r="A1992" s="8" t="s">
        <v>1426</v>
      </c>
      <c r="B1992" s="62" t="s">
        <v>936</v>
      </c>
      <c r="C1992" s="68" t="s">
        <v>1391</v>
      </c>
      <c r="D1992" s="68" t="s">
        <v>1480</v>
      </c>
      <c r="E1992" s="8" t="s">
        <v>209</v>
      </c>
      <c r="F1992" s="8"/>
      <c r="G1992" s="13" t="s">
        <v>1147</v>
      </c>
      <c r="H1992" s="20">
        <v>0</v>
      </c>
      <c r="I1992" s="14">
        <f>I1993</f>
        <v>78.786000000000001</v>
      </c>
      <c r="J1992" s="14">
        <f t="shared" ref="J1992:L1993" si="897">J1993</f>
        <v>78.786000000000001</v>
      </c>
      <c r="K1992" s="78">
        <f t="shared" ref="K1992:K2055" si="898">J1992/I1992*100</f>
        <v>100</v>
      </c>
      <c r="L1992" s="14">
        <f t="shared" si="897"/>
        <v>0</v>
      </c>
      <c r="M1992" s="50"/>
      <c r="N1992" s="50"/>
    </row>
    <row r="1993" spans="1:14" ht="31.2" x14ac:dyDescent="0.3">
      <c r="A1993" s="8" t="s">
        <v>1426</v>
      </c>
      <c r="B1993" s="62" t="s">
        <v>936</v>
      </c>
      <c r="C1993" s="68" t="s">
        <v>1391</v>
      </c>
      <c r="D1993" s="68" t="s">
        <v>1480</v>
      </c>
      <c r="E1993" s="8" t="s">
        <v>209</v>
      </c>
      <c r="F1993" s="45" t="s">
        <v>380</v>
      </c>
      <c r="G1993" s="23" t="s">
        <v>809</v>
      </c>
      <c r="H1993" s="20">
        <v>0</v>
      </c>
      <c r="I1993" s="14">
        <f>I1994</f>
        <v>78.786000000000001</v>
      </c>
      <c r="J1993" s="14">
        <f t="shared" si="897"/>
        <v>78.786000000000001</v>
      </c>
      <c r="K1993" s="78">
        <f t="shared" si="898"/>
        <v>100</v>
      </c>
      <c r="L1993" s="14">
        <f t="shared" si="897"/>
        <v>0</v>
      </c>
      <c r="M1993" s="50"/>
      <c r="N1993" s="50"/>
    </row>
    <row r="1994" spans="1:14" ht="31.2" x14ac:dyDescent="0.3">
      <c r="A1994" s="8" t="s">
        <v>1426</v>
      </c>
      <c r="B1994" s="62" t="s">
        <v>936</v>
      </c>
      <c r="C1994" s="68" t="s">
        <v>1391</v>
      </c>
      <c r="D1994" s="68" t="s">
        <v>1480</v>
      </c>
      <c r="E1994" s="8" t="s">
        <v>209</v>
      </c>
      <c r="F1994" s="8" t="s">
        <v>247</v>
      </c>
      <c r="G1994" s="23" t="s">
        <v>810</v>
      </c>
      <c r="H1994" s="20">
        <v>0</v>
      </c>
      <c r="I1994" s="14">
        <v>78.786000000000001</v>
      </c>
      <c r="J1994" s="14">
        <v>78.786000000000001</v>
      </c>
      <c r="K1994" s="78">
        <f t="shared" si="898"/>
        <v>100</v>
      </c>
      <c r="L1994" s="14"/>
      <c r="M1994" s="50"/>
      <c r="N1994" s="50"/>
    </row>
    <row r="1995" spans="1:14" ht="31.2" x14ac:dyDescent="0.3">
      <c r="A1995" s="8" t="s">
        <v>1426</v>
      </c>
      <c r="B1995" s="62" t="s">
        <v>936</v>
      </c>
      <c r="C1995" s="68" t="s">
        <v>1391</v>
      </c>
      <c r="D1995" s="68" t="s">
        <v>1480</v>
      </c>
      <c r="E1995" s="8" t="s">
        <v>210</v>
      </c>
      <c r="F1995" s="8"/>
      <c r="G1995" s="13" t="s">
        <v>1183</v>
      </c>
      <c r="H1995" s="20">
        <v>0</v>
      </c>
      <c r="I1995" s="14">
        <f>I1996+I1998</f>
        <v>213.80500000000001</v>
      </c>
      <c r="J1995" s="14">
        <f t="shared" ref="J1995:L1995" si="899">J1996+J1998</f>
        <v>213.80500000000001</v>
      </c>
      <c r="K1995" s="78">
        <f t="shared" si="898"/>
        <v>100</v>
      </c>
      <c r="L1995" s="14">
        <f t="shared" si="899"/>
        <v>0</v>
      </c>
      <c r="M1995" s="50"/>
      <c r="N1995" s="50"/>
    </row>
    <row r="1996" spans="1:14" ht="78" x14ac:dyDescent="0.3">
      <c r="A1996" s="8" t="s">
        <v>1426</v>
      </c>
      <c r="B1996" s="62" t="s">
        <v>936</v>
      </c>
      <c r="C1996" s="68" t="s">
        <v>1391</v>
      </c>
      <c r="D1996" s="68" t="s">
        <v>1480</v>
      </c>
      <c r="E1996" s="8" t="s">
        <v>210</v>
      </c>
      <c r="F1996" s="45" t="s">
        <v>431</v>
      </c>
      <c r="G1996" s="23" t="s">
        <v>806</v>
      </c>
      <c r="H1996" s="20">
        <v>0</v>
      </c>
      <c r="I1996" s="14">
        <f>I1997</f>
        <v>121.81811999999999</v>
      </c>
      <c r="J1996" s="14">
        <f t="shared" ref="J1996:L1996" si="900">J1997</f>
        <v>121.81811999999999</v>
      </c>
      <c r="K1996" s="78">
        <f t="shared" si="898"/>
        <v>100</v>
      </c>
      <c r="L1996" s="14">
        <f t="shared" si="900"/>
        <v>0</v>
      </c>
      <c r="M1996" s="50"/>
      <c r="N1996" s="50"/>
    </row>
    <row r="1997" spans="1:14" ht="31.2" x14ac:dyDescent="0.3">
      <c r="A1997" s="8" t="s">
        <v>1426</v>
      </c>
      <c r="B1997" s="62" t="s">
        <v>936</v>
      </c>
      <c r="C1997" s="68" t="s">
        <v>1391</v>
      </c>
      <c r="D1997" s="68" t="s">
        <v>1480</v>
      </c>
      <c r="E1997" s="8" t="s">
        <v>210</v>
      </c>
      <c r="F1997" s="45" t="s">
        <v>233</v>
      </c>
      <c r="G1997" s="23" t="s">
        <v>808</v>
      </c>
      <c r="H1997" s="20">
        <v>0</v>
      </c>
      <c r="I1997" s="14">
        <v>121.81811999999999</v>
      </c>
      <c r="J1997" s="14">
        <v>121.81811999999999</v>
      </c>
      <c r="K1997" s="78">
        <f t="shared" si="898"/>
        <v>100</v>
      </c>
      <c r="L1997" s="14"/>
      <c r="M1997" s="50"/>
      <c r="N1997" s="50"/>
    </row>
    <row r="1998" spans="1:14" ht="31.2" x14ac:dyDescent="0.3">
      <c r="A1998" s="8" t="s">
        <v>1426</v>
      </c>
      <c r="B1998" s="62" t="s">
        <v>936</v>
      </c>
      <c r="C1998" s="68" t="s">
        <v>1391</v>
      </c>
      <c r="D1998" s="68" t="s">
        <v>1480</v>
      </c>
      <c r="E1998" s="8" t="s">
        <v>210</v>
      </c>
      <c r="F1998" s="45" t="s">
        <v>380</v>
      </c>
      <c r="G1998" s="23" t="s">
        <v>809</v>
      </c>
      <c r="H1998" s="20">
        <v>0</v>
      </c>
      <c r="I1998" s="14">
        <f>I1999</f>
        <v>91.986879999999999</v>
      </c>
      <c r="J1998" s="14">
        <f t="shared" ref="J1998:L1998" si="901">J1999</f>
        <v>91.986879999999999</v>
      </c>
      <c r="K1998" s="78">
        <f t="shared" si="898"/>
        <v>100</v>
      </c>
      <c r="L1998" s="14">
        <f t="shared" si="901"/>
        <v>0</v>
      </c>
      <c r="M1998" s="50"/>
      <c r="N1998" s="50"/>
    </row>
    <row r="1999" spans="1:14" ht="31.2" x14ac:dyDescent="0.3">
      <c r="A1999" s="8" t="s">
        <v>1426</v>
      </c>
      <c r="B1999" s="62" t="s">
        <v>936</v>
      </c>
      <c r="C1999" s="68" t="s">
        <v>1391</v>
      </c>
      <c r="D1999" s="68" t="s">
        <v>1480</v>
      </c>
      <c r="E1999" s="8" t="s">
        <v>210</v>
      </c>
      <c r="F1999" s="8" t="s">
        <v>247</v>
      </c>
      <c r="G1999" s="23" t="s">
        <v>810</v>
      </c>
      <c r="H1999" s="20">
        <v>0</v>
      </c>
      <c r="I1999" s="14">
        <v>91.986879999999999</v>
      </c>
      <c r="J1999" s="14">
        <v>91.986879999999999</v>
      </c>
      <c r="K1999" s="78">
        <f t="shared" si="898"/>
        <v>100</v>
      </c>
      <c r="L1999" s="14"/>
      <c r="M1999" s="50"/>
      <c r="N1999" s="50"/>
    </row>
    <row r="2000" spans="1:14" s="3" customFormat="1" x14ac:dyDescent="0.3">
      <c r="A2000" s="10" t="s">
        <v>1426</v>
      </c>
      <c r="B2000" s="43" t="s">
        <v>1386</v>
      </c>
      <c r="C2000" s="43" t="s">
        <v>1386</v>
      </c>
      <c r="D2000" s="43" t="s">
        <v>915</v>
      </c>
      <c r="E2000" s="10"/>
      <c r="F2000" s="10"/>
      <c r="G2000" s="5" t="s">
        <v>1388</v>
      </c>
      <c r="H2000" s="15">
        <f>H2001+H2042</f>
        <v>207742.42900000003</v>
      </c>
      <c r="I2000" s="15">
        <f>I2001+I2042</f>
        <v>276662.54620000004</v>
      </c>
      <c r="J2000" s="15">
        <f t="shared" ref="J2000" si="902">J2001+J2042</f>
        <v>271898.79271000001</v>
      </c>
      <c r="K2000" s="81">
        <f t="shared" si="898"/>
        <v>98.278135744996604</v>
      </c>
      <c r="L2000" s="15">
        <f>L2001+L2042</f>
        <v>0</v>
      </c>
      <c r="M2000" s="65"/>
      <c r="N2000" s="65"/>
    </row>
    <row r="2001" spans="1:14" s="9" customFormat="1" x14ac:dyDescent="0.3">
      <c r="A2001" s="11" t="s">
        <v>1426</v>
      </c>
      <c r="B2001" s="48" t="s">
        <v>937</v>
      </c>
      <c r="C2001" s="48" t="s">
        <v>1386</v>
      </c>
      <c r="D2001" s="48" t="s">
        <v>1398</v>
      </c>
      <c r="E2001" s="11"/>
      <c r="F2001" s="11"/>
      <c r="G2001" s="7" t="s">
        <v>1419</v>
      </c>
      <c r="H2001" s="16">
        <f>H2002+H2017+H2022+H2028+H2034</f>
        <v>206224.18000000002</v>
      </c>
      <c r="I2001" s="16">
        <f>I2002+I2017+I2022+I2028+I2034</f>
        <v>275068.29815000005</v>
      </c>
      <c r="J2001" s="16">
        <f t="shared" ref="J2001" si="903">J2002+J2017+J2022+J2028+J2034</f>
        <v>270345.65617999999</v>
      </c>
      <c r="K2001" s="82">
        <f t="shared" si="898"/>
        <v>98.283102050740609</v>
      </c>
      <c r="L2001" s="16">
        <f>L2002+L2017+L2022+L2028+L2034</f>
        <v>0</v>
      </c>
      <c r="M2001" s="65"/>
      <c r="N2001" s="65"/>
    </row>
    <row r="2002" spans="1:14" ht="31.2" x14ac:dyDescent="0.3">
      <c r="A2002" s="8" t="s">
        <v>1426</v>
      </c>
      <c r="B2002" s="62" t="s">
        <v>937</v>
      </c>
      <c r="C2002" s="68" t="s">
        <v>1386</v>
      </c>
      <c r="D2002" s="68" t="s">
        <v>1398</v>
      </c>
      <c r="E2002" s="8" t="s">
        <v>355</v>
      </c>
      <c r="F2002" s="8"/>
      <c r="G2002" s="13" t="s">
        <v>893</v>
      </c>
      <c r="H2002" s="14">
        <f t="shared" ref="H2002:L2003" si="904">H2003</f>
        <v>185717.185</v>
      </c>
      <c r="I2002" s="14">
        <f t="shared" si="904"/>
        <v>248028.49189999999</v>
      </c>
      <c r="J2002" s="14">
        <f t="shared" si="904"/>
        <v>243315.58595000001</v>
      </c>
      <c r="K2002" s="78">
        <f t="shared" si="898"/>
        <v>98.099852999186837</v>
      </c>
      <c r="L2002" s="14">
        <f t="shared" si="904"/>
        <v>0</v>
      </c>
      <c r="M2002" s="50"/>
      <c r="N2002" s="50"/>
    </row>
    <row r="2003" spans="1:14" ht="31.2" x14ac:dyDescent="0.3">
      <c r="A2003" s="8" t="s">
        <v>1426</v>
      </c>
      <c r="B2003" s="62" t="s">
        <v>937</v>
      </c>
      <c r="C2003" s="68" t="s">
        <v>1386</v>
      </c>
      <c r="D2003" s="68" t="s">
        <v>1398</v>
      </c>
      <c r="E2003" s="8" t="s">
        <v>356</v>
      </c>
      <c r="F2003" s="8"/>
      <c r="G2003" s="13" t="s">
        <v>894</v>
      </c>
      <c r="H2003" s="14">
        <f t="shared" si="904"/>
        <v>185717.185</v>
      </c>
      <c r="I2003" s="14">
        <f t="shared" si="904"/>
        <v>248028.49189999999</v>
      </c>
      <c r="J2003" s="14">
        <f t="shared" si="904"/>
        <v>243315.58595000001</v>
      </c>
      <c r="K2003" s="78">
        <f t="shared" si="898"/>
        <v>98.099852999186837</v>
      </c>
      <c r="L2003" s="14">
        <f t="shared" si="904"/>
        <v>0</v>
      </c>
      <c r="M2003" s="50"/>
      <c r="N2003" s="50"/>
    </row>
    <row r="2004" spans="1:14" ht="46.8" x14ac:dyDescent="0.3">
      <c r="A2004" s="8" t="s">
        <v>1426</v>
      </c>
      <c r="B2004" s="62" t="s">
        <v>937</v>
      </c>
      <c r="C2004" s="68" t="s">
        <v>1386</v>
      </c>
      <c r="D2004" s="68" t="s">
        <v>1398</v>
      </c>
      <c r="E2004" s="8" t="s">
        <v>357</v>
      </c>
      <c r="F2004" s="8"/>
      <c r="G2004" s="18" t="s">
        <v>121</v>
      </c>
      <c r="H2004" s="14">
        <f>H2005+H2008+H2011</f>
        <v>185717.185</v>
      </c>
      <c r="I2004" s="14">
        <f>I2005+I2008+I2011+I2014</f>
        <v>248028.49189999999</v>
      </c>
      <c r="J2004" s="14">
        <f t="shared" ref="J2004:L2004" si="905">J2005+J2008+J2011+J2014</f>
        <v>243315.58595000001</v>
      </c>
      <c r="K2004" s="78">
        <f t="shared" si="898"/>
        <v>98.099852999186837</v>
      </c>
      <c r="L2004" s="14">
        <f t="shared" si="905"/>
        <v>0</v>
      </c>
      <c r="M2004" s="50"/>
      <c r="N2004" s="50"/>
    </row>
    <row r="2005" spans="1:14" x14ac:dyDescent="0.3">
      <c r="A2005" s="8" t="s">
        <v>1426</v>
      </c>
      <c r="B2005" s="62" t="s">
        <v>937</v>
      </c>
      <c r="C2005" s="68" t="s">
        <v>1386</v>
      </c>
      <c r="D2005" s="68" t="s">
        <v>1398</v>
      </c>
      <c r="E2005" s="8" t="s">
        <v>67</v>
      </c>
      <c r="F2005" s="8"/>
      <c r="G2005" s="23" t="s">
        <v>155</v>
      </c>
      <c r="H2005" s="14">
        <f t="shared" ref="H2005:L2006" si="906">H2006</f>
        <v>182787.272</v>
      </c>
      <c r="I2005" s="14">
        <f t="shared" si="906"/>
        <v>187596.61499999999</v>
      </c>
      <c r="J2005" s="14">
        <f t="shared" si="906"/>
        <v>182883.71122</v>
      </c>
      <c r="K2005" s="78">
        <f t="shared" si="898"/>
        <v>97.487745831661201</v>
      </c>
      <c r="L2005" s="14">
        <f t="shared" si="906"/>
        <v>0</v>
      </c>
      <c r="M2005" s="50"/>
      <c r="N2005" s="50"/>
    </row>
    <row r="2006" spans="1:14" ht="31.2" x14ac:dyDescent="0.3">
      <c r="A2006" s="8" t="s">
        <v>1426</v>
      </c>
      <c r="B2006" s="62" t="s">
        <v>937</v>
      </c>
      <c r="C2006" s="68" t="s">
        <v>1386</v>
      </c>
      <c r="D2006" s="68" t="s">
        <v>1398</v>
      </c>
      <c r="E2006" s="8" t="s">
        <v>67</v>
      </c>
      <c r="F2006" s="45" t="s">
        <v>380</v>
      </c>
      <c r="G2006" s="23" t="s">
        <v>809</v>
      </c>
      <c r="H2006" s="14">
        <f t="shared" si="906"/>
        <v>182787.272</v>
      </c>
      <c r="I2006" s="14">
        <f t="shared" si="906"/>
        <v>187596.61499999999</v>
      </c>
      <c r="J2006" s="14">
        <f t="shared" si="906"/>
        <v>182883.71122</v>
      </c>
      <c r="K2006" s="78">
        <f t="shared" si="898"/>
        <v>97.487745831661201</v>
      </c>
      <c r="L2006" s="14">
        <f t="shared" si="906"/>
        <v>0</v>
      </c>
      <c r="M2006" s="50"/>
      <c r="N2006" s="50"/>
    </row>
    <row r="2007" spans="1:14" ht="31.2" x14ac:dyDescent="0.3">
      <c r="A2007" s="8" t="s">
        <v>1426</v>
      </c>
      <c r="B2007" s="62" t="s">
        <v>937</v>
      </c>
      <c r="C2007" s="68" t="s">
        <v>1386</v>
      </c>
      <c r="D2007" s="68" t="s">
        <v>1398</v>
      </c>
      <c r="E2007" s="8" t="s">
        <v>67</v>
      </c>
      <c r="F2007" s="8" t="s">
        <v>247</v>
      </c>
      <c r="G2007" s="23" t="s">
        <v>810</v>
      </c>
      <c r="H2007" s="14">
        <f>177699+3705.49+720.038+662.744</f>
        <v>182787.272</v>
      </c>
      <c r="I2007" s="14">
        <v>187596.61499999999</v>
      </c>
      <c r="J2007" s="14">
        <v>182883.71122</v>
      </c>
      <c r="K2007" s="78">
        <f t="shared" si="898"/>
        <v>97.487745831661201</v>
      </c>
      <c r="L2007" s="14"/>
      <c r="M2007" s="50"/>
      <c r="N2007" s="50"/>
    </row>
    <row r="2008" spans="1:14" ht="31.2" x14ac:dyDescent="0.3">
      <c r="A2008" s="8" t="s">
        <v>1426</v>
      </c>
      <c r="B2008" s="62" t="s">
        <v>937</v>
      </c>
      <c r="C2008" s="68" t="s">
        <v>1386</v>
      </c>
      <c r="D2008" s="68" t="s">
        <v>1398</v>
      </c>
      <c r="E2008" s="8" t="s">
        <v>68</v>
      </c>
      <c r="F2008" s="8"/>
      <c r="G2008" s="23" t="s">
        <v>182</v>
      </c>
      <c r="H2008" s="14">
        <f t="shared" ref="H2008:L2009" si="907">H2009</f>
        <v>2909.8349999999996</v>
      </c>
      <c r="I2008" s="14">
        <f t="shared" si="907"/>
        <v>2809.835</v>
      </c>
      <c r="J2008" s="14">
        <f t="shared" si="907"/>
        <v>2809.8344999999999</v>
      </c>
      <c r="K2008" s="78">
        <f t="shared" si="898"/>
        <v>99.999982205360809</v>
      </c>
      <c r="L2008" s="14">
        <f t="shared" si="907"/>
        <v>0</v>
      </c>
      <c r="M2008" s="50"/>
      <c r="N2008" s="50"/>
    </row>
    <row r="2009" spans="1:14" ht="31.2" x14ac:dyDescent="0.3">
      <c r="A2009" s="8" t="s">
        <v>1426</v>
      </c>
      <c r="B2009" s="62" t="s">
        <v>937</v>
      </c>
      <c r="C2009" s="68" t="s">
        <v>1386</v>
      </c>
      <c r="D2009" s="68" t="s">
        <v>1398</v>
      </c>
      <c r="E2009" s="8" t="s">
        <v>68</v>
      </c>
      <c r="F2009" s="45" t="s">
        <v>380</v>
      </c>
      <c r="G2009" s="23" t="s">
        <v>809</v>
      </c>
      <c r="H2009" s="14">
        <f t="shared" si="907"/>
        <v>2909.8349999999996</v>
      </c>
      <c r="I2009" s="14">
        <f t="shared" si="907"/>
        <v>2809.835</v>
      </c>
      <c r="J2009" s="14">
        <f t="shared" si="907"/>
        <v>2809.8344999999999</v>
      </c>
      <c r="K2009" s="78">
        <f t="shared" si="898"/>
        <v>99.999982205360809</v>
      </c>
      <c r="L2009" s="14">
        <f t="shared" si="907"/>
        <v>0</v>
      </c>
      <c r="M2009" s="50"/>
      <c r="N2009" s="50"/>
    </row>
    <row r="2010" spans="1:14" ht="31.2" x14ac:dyDescent="0.3">
      <c r="A2010" s="8" t="s">
        <v>1426</v>
      </c>
      <c r="B2010" s="62" t="s">
        <v>937</v>
      </c>
      <c r="C2010" s="68" t="s">
        <v>1386</v>
      </c>
      <c r="D2010" s="68" t="s">
        <v>1398</v>
      </c>
      <c r="E2010" s="8" t="s">
        <v>68</v>
      </c>
      <c r="F2010" s="8" t="s">
        <v>247</v>
      </c>
      <c r="G2010" s="23" t="s">
        <v>810</v>
      </c>
      <c r="H2010" s="14">
        <f>4225.9-1316.065</f>
        <v>2909.8349999999996</v>
      </c>
      <c r="I2010" s="14">
        <v>2809.835</v>
      </c>
      <c r="J2010" s="14">
        <v>2809.8344999999999</v>
      </c>
      <c r="K2010" s="78">
        <f t="shared" si="898"/>
        <v>99.999982205360809</v>
      </c>
      <c r="L2010" s="14"/>
      <c r="M2010" s="50"/>
      <c r="N2010" s="50"/>
    </row>
    <row r="2011" spans="1:14" ht="31.2" x14ac:dyDescent="0.3">
      <c r="A2011" s="8" t="s">
        <v>1426</v>
      </c>
      <c r="B2011" s="62" t="s">
        <v>937</v>
      </c>
      <c r="C2011" s="68" t="s">
        <v>1386</v>
      </c>
      <c r="D2011" s="68" t="s">
        <v>1398</v>
      </c>
      <c r="E2011" s="8" t="s">
        <v>245</v>
      </c>
      <c r="F2011" s="8"/>
      <c r="G2011" s="23" t="s">
        <v>306</v>
      </c>
      <c r="H2011" s="14">
        <f t="shared" ref="H2011:L2012" si="908">H2012</f>
        <v>20.077999999999999</v>
      </c>
      <c r="I2011" s="14">
        <f t="shared" si="908"/>
        <v>20.077999999999999</v>
      </c>
      <c r="J2011" s="14">
        <f t="shared" si="908"/>
        <v>20.076329999999999</v>
      </c>
      <c r="K2011" s="78">
        <f t="shared" si="898"/>
        <v>99.991682438489875</v>
      </c>
      <c r="L2011" s="14">
        <f t="shared" si="908"/>
        <v>0</v>
      </c>
      <c r="M2011" s="50"/>
      <c r="N2011" s="50"/>
    </row>
    <row r="2012" spans="1:14" ht="31.2" x14ac:dyDescent="0.3">
      <c r="A2012" s="8" t="s">
        <v>1426</v>
      </c>
      <c r="B2012" s="62" t="s">
        <v>937</v>
      </c>
      <c r="C2012" s="68" t="s">
        <v>1386</v>
      </c>
      <c r="D2012" s="68" t="s">
        <v>1398</v>
      </c>
      <c r="E2012" s="8" t="s">
        <v>245</v>
      </c>
      <c r="F2012" s="45" t="s">
        <v>380</v>
      </c>
      <c r="G2012" s="23" t="s">
        <v>809</v>
      </c>
      <c r="H2012" s="14">
        <f t="shared" si="908"/>
        <v>20.077999999999999</v>
      </c>
      <c r="I2012" s="14">
        <f t="shared" si="908"/>
        <v>20.077999999999999</v>
      </c>
      <c r="J2012" s="14">
        <f t="shared" si="908"/>
        <v>20.076329999999999</v>
      </c>
      <c r="K2012" s="78">
        <f t="shared" si="898"/>
        <v>99.991682438489875</v>
      </c>
      <c r="L2012" s="14">
        <f t="shared" si="908"/>
        <v>0</v>
      </c>
      <c r="M2012" s="50"/>
      <c r="N2012" s="50"/>
    </row>
    <row r="2013" spans="1:14" ht="31.2" x14ac:dyDescent="0.3">
      <c r="A2013" s="8" t="s">
        <v>1426</v>
      </c>
      <c r="B2013" s="62" t="s">
        <v>937</v>
      </c>
      <c r="C2013" s="68" t="s">
        <v>1386</v>
      </c>
      <c r="D2013" s="68" t="s">
        <v>1398</v>
      </c>
      <c r="E2013" s="8" t="s">
        <v>245</v>
      </c>
      <c r="F2013" s="8" t="s">
        <v>247</v>
      </c>
      <c r="G2013" s="23" t="s">
        <v>810</v>
      </c>
      <c r="H2013" s="14">
        <v>20.077999999999999</v>
      </c>
      <c r="I2013" s="14">
        <v>20.077999999999999</v>
      </c>
      <c r="J2013" s="14">
        <v>20.076329999999999</v>
      </c>
      <c r="K2013" s="78">
        <f t="shared" si="898"/>
        <v>99.991682438489875</v>
      </c>
      <c r="L2013" s="14"/>
      <c r="M2013" s="50"/>
      <c r="N2013" s="50"/>
    </row>
    <row r="2014" spans="1:14" ht="62.4" x14ac:dyDescent="0.3">
      <c r="A2014" s="8" t="s">
        <v>1426</v>
      </c>
      <c r="B2014" s="62" t="s">
        <v>937</v>
      </c>
      <c r="C2014" s="68" t="s">
        <v>1386</v>
      </c>
      <c r="D2014" s="68" t="s">
        <v>1398</v>
      </c>
      <c r="E2014" s="8" t="s">
        <v>963</v>
      </c>
      <c r="F2014" s="8"/>
      <c r="G2014" s="13" t="s">
        <v>964</v>
      </c>
      <c r="H2014" s="20">
        <v>0</v>
      </c>
      <c r="I2014" s="14">
        <f>I2015</f>
        <v>57601.963900000002</v>
      </c>
      <c r="J2014" s="14">
        <f t="shared" ref="J2014:L2015" si="909">J2015</f>
        <v>57601.963900000002</v>
      </c>
      <c r="K2014" s="78">
        <f t="shared" si="898"/>
        <v>100</v>
      </c>
      <c r="L2014" s="14">
        <f t="shared" si="909"/>
        <v>0</v>
      </c>
      <c r="M2014" s="50"/>
      <c r="N2014" s="50"/>
    </row>
    <row r="2015" spans="1:14" ht="31.2" x14ac:dyDescent="0.3">
      <c r="A2015" s="8" t="s">
        <v>1426</v>
      </c>
      <c r="B2015" s="62" t="s">
        <v>937</v>
      </c>
      <c r="C2015" s="68" t="s">
        <v>1386</v>
      </c>
      <c r="D2015" s="68" t="s">
        <v>1398</v>
      </c>
      <c r="E2015" s="8" t="s">
        <v>963</v>
      </c>
      <c r="F2015" s="45" t="s">
        <v>380</v>
      </c>
      <c r="G2015" s="23" t="s">
        <v>809</v>
      </c>
      <c r="H2015" s="20">
        <v>0</v>
      </c>
      <c r="I2015" s="14">
        <f>I2016</f>
        <v>57601.963900000002</v>
      </c>
      <c r="J2015" s="14">
        <f t="shared" si="909"/>
        <v>57601.963900000002</v>
      </c>
      <c r="K2015" s="78">
        <f t="shared" si="898"/>
        <v>100</v>
      </c>
      <c r="L2015" s="14">
        <f t="shared" si="909"/>
        <v>0</v>
      </c>
      <c r="M2015" s="50"/>
      <c r="N2015" s="50"/>
    </row>
    <row r="2016" spans="1:14" ht="31.2" x14ac:dyDescent="0.3">
      <c r="A2016" s="8" t="s">
        <v>1426</v>
      </c>
      <c r="B2016" s="62" t="s">
        <v>937</v>
      </c>
      <c r="C2016" s="68" t="s">
        <v>1386</v>
      </c>
      <c r="D2016" s="68" t="s">
        <v>1398</v>
      </c>
      <c r="E2016" s="8" t="s">
        <v>963</v>
      </c>
      <c r="F2016" s="8" t="s">
        <v>247</v>
      </c>
      <c r="G2016" s="23" t="s">
        <v>810</v>
      </c>
      <c r="H2016" s="20">
        <v>0</v>
      </c>
      <c r="I2016" s="14">
        <v>57601.963900000002</v>
      </c>
      <c r="J2016" s="14">
        <v>57601.963900000002</v>
      </c>
      <c r="K2016" s="78">
        <f t="shared" si="898"/>
        <v>100</v>
      </c>
      <c r="L2016" s="14"/>
      <c r="M2016" s="50"/>
      <c r="N2016" s="50"/>
    </row>
    <row r="2017" spans="1:14" ht="62.4" x14ac:dyDescent="0.3">
      <c r="A2017" s="8" t="s">
        <v>1426</v>
      </c>
      <c r="B2017" s="62" t="s">
        <v>937</v>
      </c>
      <c r="C2017" s="68" t="s">
        <v>1386</v>
      </c>
      <c r="D2017" s="68" t="s">
        <v>1398</v>
      </c>
      <c r="E2017" s="8" t="s">
        <v>358</v>
      </c>
      <c r="F2017" s="8"/>
      <c r="G2017" s="13" t="s">
        <v>1040</v>
      </c>
      <c r="H2017" s="14">
        <f t="shared" ref="H2017:L2020" si="910">H2018</f>
        <v>1200.2079999999999</v>
      </c>
      <c r="I2017" s="14">
        <f t="shared" si="910"/>
        <v>1200.2080000000001</v>
      </c>
      <c r="J2017" s="14">
        <f t="shared" si="910"/>
        <v>1195.8088</v>
      </c>
      <c r="K2017" s="78">
        <f t="shared" si="898"/>
        <v>99.633463532987605</v>
      </c>
      <c r="L2017" s="14">
        <f t="shared" si="910"/>
        <v>0</v>
      </c>
      <c r="M2017" s="50"/>
      <c r="N2017" s="50"/>
    </row>
    <row r="2018" spans="1:14" ht="31.2" x14ac:dyDescent="0.3">
      <c r="A2018" s="8" t="s">
        <v>1426</v>
      </c>
      <c r="B2018" s="62" t="s">
        <v>937</v>
      </c>
      <c r="C2018" s="68" t="s">
        <v>1386</v>
      </c>
      <c r="D2018" s="68" t="s">
        <v>1398</v>
      </c>
      <c r="E2018" s="8" t="s">
        <v>359</v>
      </c>
      <c r="F2018" s="8"/>
      <c r="G2018" s="13" t="s">
        <v>1041</v>
      </c>
      <c r="H2018" s="14">
        <f t="shared" si="910"/>
        <v>1200.2079999999999</v>
      </c>
      <c r="I2018" s="14">
        <f t="shared" si="910"/>
        <v>1200.2080000000001</v>
      </c>
      <c r="J2018" s="14">
        <f t="shared" si="910"/>
        <v>1195.8088</v>
      </c>
      <c r="K2018" s="78">
        <f t="shared" si="898"/>
        <v>99.633463532987605</v>
      </c>
      <c r="L2018" s="14">
        <f t="shared" si="910"/>
        <v>0</v>
      </c>
      <c r="M2018" s="50"/>
      <c r="N2018" s="50"/>
    </row>
    <row r="2019" spans="1:14" ht="46.8" x14ac:dyDescent="0.3">
      <c r="A2019" s="8" t="s">
        <v>1426</v>
      </c>
      <c r="B2019" s="62" t="s">
        <v>937</v>
      </c>
      <c r="C2019" s="68" t="s">
        <v>1386</v>
      </c>
      <c r="D2019" s="68" t="s">
        <v>1398</v>
      </c>
      <c r="E2019" s="8" t="s">
        <v>360</v>
      </c>
      <c r="F2019" s="8"/>
      <c r="G2019" s="18" t="s">
        <v>313</v>
      </c>
      <c r="H2019" s="14">
        <f t="shared" si="910"/>
        <v>1200.2079999999999</v>
      </c>
      <c r="I2019" s="14">
        <f t="shared" si="910"/>
        <v>1200.2080000000001</v>
      </c>
      <c r="J2019" s="14">
        <f t="shared" si="910"/>
        <v>1195.8088</v>
      </c>
      <c r="K2019" s="78">
        <f t="shared" si="898"/>
        <v>99.633463532987605</v>
      </c>
      <c r="L2019" s="14">
        <f t="shared" si="910"/>
        <v>0</v>
      </c>
      <c r="M2019" s="50"/>
      <c r="N2019" s="50"/>
    </row>
    <row r="2020" spans="1:14" ht="31.2" x14ac:dyDescent="0.3">
      <c r="A2020" s="8" t="s">
        <v>1426</v>
      </c>
      <c r="B2020" s="62" t="s">
        <v>937</v>
      </c>
      <c r="C2020" s="68" t="s">
        <v>1386</v>
      </c>
      <c r="D2020" s="68" t="s">
        <v>1398</v>
      </c>
      <c r="E2020" s="8" t="s">
        <v>360</v>
      </c>
      <c r="F2020" s="45" t="s">
        <v>380</v>
      </c>
      <c r="G2020" s="23" t="s">
        <v>809</v>
      </c>
      <c r="H2020" s="14">
        <f t="shared" si="910"/>
        <v>1200.2079999999999</v>
      </c>
      <c r="I2020" s="14">
        <f t="shared" si="910"/>
        <v>1200.2080000000001</v>
      </c>
      <c r="J2020" s="14">
        <f t="shared" si="910"/>
        <v>1195.8088</v>
      </c>
      <c r="K2020" s="78">
        <f t="shared" si="898"/>
        <v>99.633463532987605</v>
      </c>
      <c r="L2020" s="14">
        <f t="shared" si="910"/>
        <v>0</v>
      </c>
      <c r="M2020" s="50"/>
      <c r="N2020" s="50"/>
    </row>
    <row r="2021" spans="1:14" ht="31.2" x14ac:dyDescent="0.3">
      <c r="A2021" s="8" t="s">
        <v>1426</v>
      </c>
      <c r="B2021" s="62" t="s">
        <v>937</v>
      </c>
      <c r="C2021" s="68" t="s">
        <v>1386</v>
      </c>
      <c r="D2021" s="68" t="s">
        <v>1398</v>
      </c>
      <c r="E2021" s="8" t="s">
        <v>360</v>
      </c>
      <c r="F2021" s="8" t="s">
        <v>247</v>
      </c>
      <c r="G2021" s="23" t="s">
        <v>810</v>
      </c>
      <c r="H2021" s="14">
        <f>1208.3-8.092</f>
        <v>1200.2079999999999</v>
      </c>
      <c r="I2021" s="14">
        <v>1200.2080000000001</v>
      </c>
      <c r="J2021" s="14">
        <v>1195.8088</v>
      </c>
      <c r="K2021" s="78">
        <f t="shared" si="898"/>
        <v>99.633463532987605</v>
      </c>
      <c r="L2021" s="14"/>
      <c r="M2021" s="50"/>
      <c r="N2021" s="50"/>
    </row>
    <row r="2022" spans="1:14" ht="62.4" x14ac:dyDescent="0.3">
      <c r="A2022" s="8" t="s">
        <v>1426</v>
      </c>
      <c r="B2022" s="62" t="s">
        <v>937</v>
      </c>
      <c r="C2022" s="68" t="s">
        <v>1386</v>
      </c>
      <c r="D2022" s="68" t="s">
        <v>1398</v>
      </c>
      <c r="E2022" s="8" t="s">
        <v>361</v>
      </c>
      <c r="F2022" s="8"/>
      <c r="G2022" s="18" t="s">
        <v>1191</v>
      </c>
      <c r="H2022" s="14">
        <f t="shared" ref="H2022:L2026" si="911">H2023</f>
        <v>6598.7709999999997</v>
      </c>
      <c r="I2022" s="14">
        <f t="shared" si="911"/>
        <v>6598.7709999999997</v>
      </c>
      <c r="J2022" s="14">
        <f t="shared" si="911"/>
        <v>6593.72307</v>
      </c>
      <c r="K2022" s="78">
        <f t="shared" si="898"/>
        <v>99.923501967260279</v>
      </c>
      <c r="L2022" s="14">
        <f t="shared" si="911"/>
        <v>0</v>
      </c>
      <c r="M2022" s="50"/>
      <c r="N2022" s="50"/>
    </row>
    <row r="2023" spans="1:14" ht="46.8" x14ac:dyDescent="0.3">
      <c r="A2023" s="8" t="s">
        <v>1426</v>
      </c>
      <c r="B2023" s="62" t="s">
        <v>937</v>
      </c>
      <c r="C2023" s="68" t="s">
        <v>1386</v>
      </c>
      <c r="D2023" s="68" t="s">
        <v>1398</v>
      </c>
      <c r="E2023" s="8" t="s">
        <v>362</v>
      </c>
      <c r="F2023" s="8"/>
      <c r="G2023" s="18" t="s">
        <v>1209</v>
      </c>
      <c r="H2023" s="14">
        <f t="shared" si="911"/>
        <v>6598.7709999999997</v>
      </c>
      <c r="I2023" s="14">
        <f t="shared" si="911"/>
        <v>6598.7709999999997</v>
      </c>
      <c r="J2023" s="14">
        <f t="shared" si="911"/>
        <v>6593.72307</v>
      </c>
      <c r="K2023" s="78">
        <f t="shared" si="898"/>
        <v>99.923501967260279</v>
      </c>
      <c r="L2023" s="14">
        <f t="shared" si="911"/>
        <v>0</v>
      </c>
      <c r="M2023" s="50"/>
      <c r="N2023" s="50"/>
    </row>
    <row r="2024" spans="1:14" ht="62.4" x14ac:dyDescent="0.3">
      <c r="A2024" s="8" t="s">
        <v>1426</v>
      </c>
      <c r="B2024" s="62" t="s">
        <v>937</v>
      </c>
      <c r="C2024" s="68" t="s">
        <v>1386</v>
      </c>
      <c r="D2024" s="68" t="s">
        <v>1398</v>
      </c>
      <c r="E2024" s="8" t="s">
        <v>363</v>
      </c>
      <c r="F2024" s="8"/>
      <c r="G2024" s="13" t="s">
        <v>1053</v>
      </c>
      <c r="H2024" s="14">
        <f t="shared" si="911"/>
        <v>6598.7709999999997</v>
      </c>
      <c r="I2024" s="14">
        <f t="shared" si="911"/>
        <v>6598.7709999999997</v>
      </c>
      <c r="J2024" s="14">
        <f t="shared" si="911"/>
        <v>6593.72307</v>
      </c>
      <c r="K2024" s="78">
        <f t="shared" si="898"/>
        <v>99.923501967260279</v>
      </c>
      <c r="L2024" s="14">
        <f t="shared" si="911"/>
        <v>0</v>
      </c>
      <c r="M2024" s="50"/>
      <c r="N2024" s="50"/>
    </row>
    <row r="2025" spans="1:14" x14ac:dyDescent="0.3">
      <c r="A2025" s="8" t="s">
        <v>1426</v>
      </c>
      <c r="B2025" s="62" t="s">
        <v>937</v>
      </c>
      <c r="C2025" s="68" t="s">
        <v>1386</v>
      </c>
      <c r="D2025" s="68" t="s">
        <v>1398</v>
      </c>
      <c r="E2025" s="8" t="s">
        <v>364</v>
      </c>
      <c r="F2025" s="8"/>
      <c r="G2025" s="13" t="s">
        <v>1054</v>
      </c>
      <c r="H2025" s="14">
        <f t="shared" si="911"/>
        <v>6598.7709999999997</v>
      </c>
      <c r="I2025" s="14">
        <f t="shared" si="911"/>
        <v>6598.7709999999997</v>
      </c>
      <c r="J2025" s="14">
        <f t="shared" si="911"/>
        <v>6593.72307</v>
      </c>
      <c r="K2025" s="78">
        <f t="shared" si="898"/>
        <v>99.923501967260279</v>
      </c>
      <c r="L2025" s="14">
        <f t="shared" si="911"/>
        <v>0</v>
      </c>
      <c r="M2025" s="50"/>
      <c r="N2025" s="50"/>
    </row>
    <row r="2026" spans="1:14" ht="31.2" x14ac:dyDescent="0.3">
      <c r="A2026" s="8" t="s">
        <v>1426</v>
      </c>
      <c r="B2026" s="62" t="s">
        <v>937</v>
      </c>
      <c r="C2026" s="68" t="s">
        <v>1386</v>
      </c>
      <c r="D2026" s="68" t="s">
        <v>1398</v>
      </c>
      <c r="E2026" s="8" t="s">
        <v>364</v>
      </c>
      <c r="F2026" s="45" t="s">
        <v>380</v>
      </c>
      <c r="G2026" s="23" t="s">
        <v>809</v>
      </c>
      <c r="H2026" s="14">
        <f t="shared" si="911"/>
        <v>6598.7709999999997</v>
      </c>
      <c r="I2026" s="14">
        <f t="shared" si="911"/>
        <v>6598.7709999999997</v>
      </c>
      <c r="J2026" s="14">
        <f t="shared" si="911"/>
        <v>6593.72307</v>
      </c>
      <c r="K2026" s="78">
        <f t="shared" si="898"/>
        <v>99.923501967260279</v>
      </c>
      <c r="L2026" s="14">
        <f t="shared" si="911"/>
        <v>0</v>
      </c>
      <c r="M2026" s="50"/>
      <c r="N2026" s="50"/>
    </row>
    <row r="2027" spans="1:14" ht="31.2" x14ac:dyDescent="0.3">
      <c r="A2027" s="8" t="s">
        <v>1426</v>
      </c>
      <c r="B2027" s="62" t="s">
        <v>937</v>
      </c>
      <c r="C2027" s="68" t="s">
        <v>1386</v>
      </c>
      <c r="D2027" s="68" t="s">
        <v>1398</v>
      </c>
      <c r="E2027" s="8" t="s">
        <v>364</v>
      </c>
      <c r="F2027" s="8" t="s">
        <v>247</v>
      </c>
      <c r="G2027" s="23" t="s">
        <v>810</v>
      </c>
      <c r="H2027" s="14">
        <f>6647.9-41.579-7.55</f>
        <v>6598.7709999999997</v>
      </c>
      <c r="I2027" s="14">
        <v>6598.7709999999997</v>
      </c>
      <c r="J2027" s="14">
        <v>6593.72307</v>
      </c>
      <c r="K2027" s="78">
        <f t="shared" si="898"/>
        <v>99.923501967260279</v>
      </c>
      <c r="L2027" s="14"/>
      <c r="M2027" s="50"/>
      <c r="N2027" s="50"/>
    </row>
    <row r="2028" spans="1:14" ht="31.2" x14ac:dyDescent="0.3">
      <c r="A2028" s="8" t="s">
        <v>1426</v>
      </c>
      <c r="B2028" s="62" t="s">
        <v>937</v>
      </c>
      <c r="C2028" s="68" t="s">
        <v>1386</v>
      </c>
      <c r="D2028" s="68" t="s">
        <v>1398</v>
      </c>
      <c r="E2028" s="8" t="s">
        <v>368</v>
      </c>
      <c r="F2028" s="8"/>
      <c r="G2028" s="13" t="s">
        <v>1079</v>
      </c>
      <c r="H2028" s="14">
        <f t="shared" ref="H2028:L2032" si="912">H2029</f>
        <v>12613.6</v>
      </c>
      <c r="I2028" s="14">
        <f t="shared" si="912"/>
        <v>12432.8727</v>
      </c>
      <c r="J2028" s="14">
        <f t="shared" si="912"/>
        <v>12432.8727</v>
      </c>
      <c r="K2028" s="78">
        <f t="shared" si="898"/>
        <v>100</v>
      </c>
      <c r="L2028" s="14">
        <f t="shared" si="912"/>
        <v>0</v>
      </c>
      <c r="M2028" s="50"/>
      <c r="N2028" s="50"/>
    </row>
    <row r="2029" spans="1:14" ht="31.2" x14ac:dyDescent="0.3">
      <c r="A2029" s="8" t="s">
        <v>1426</v>
      </c>
      <c r="B2029" s="62" t="s">
        <v>937</v>
      </c>
      <c r="C2029" s="68" t="s">
        <v>1386</v>
      </c>
      <c r="D2029" s="68" t="s">
        <v>1398</v>
      </c>
      <c r="E2029" s="8" t="s">
        <v>369</v>
      </c>
      <c r="F2029" s="8"/>
      <c r="G2029" s="13" t="s">
        <v>1088</v>
      </c>
      <c r="H2029" s="14">
        <f t="shared" si="912"/>
        <v>12613.6</v>
      </c>
      <c r="I2029" s="14">
        <f t="shared" si="912"/>
        <v>12432.8727</v>
      </c>
      <c r="J2029" s="14">
        <f t="shared" si="912"/>
        <v>12432.8727</v>
      </c>
      <c r="K2029" s="78">
        <f t="shared" si="898"/>
        <v>100</v>
      </c>
      <c r="L2029" s="14">
        <f t="shared" si="912"/>
        <v>0</v>
      </c>
      <c r="M2029" s="50"/>
      <c r="N2029" s="50"/>
    </row>
    <row r="2030" spans="1:14" ht="46.8" x14ac:dyDescent="0.3">
      <c r="A2030" s="8" t="s">
        <v>1426</v>
      </c>
      <c r="B2030" s="62" t="s">
        <v>937</v>
      </c>
      <c r="C2030" s="68" t="s">
        <v>1386</v>
      </c>
      <c r="D2030" s="68" t="s">
        <v>1398</v>
      </c>
      <c r="E2030" s="8" t="s">
        <v>514</v>
      </c>
      <c r="F2030" s="8"/>
      <c r="G2030" s="18" t="s">
        <v>1090</v>
      </c>
      <c r="H2030" s="14">
        <f t="shared" si="912"/>
        <v>12613.6</v>
      </c>
      <c r="I2030" s="14">
        <f t="shared" si="912"/>
        <v>12432.8727</v>
      </c>
      <c r="J2030" s="14">
        <f t="shared" si="912"/>
        <v>12432.8727</v>
      </c>
      <c r="K2030" s="78">
        <f t="shared" si="898"/>
        <v>100</v>
      </c>
      <c r="L2030" s="14">
        <f t="shared" si="912"/>
        <v>0</v>
      </c>
      <c r="M2030" s="50"/>
      <c r="N2030" s="50"/>
    </row>
    <row r="2031" spans="1:14" ht="46.8" x14ac:dyDescent="0.3">
      <c r="A2031" s="8" t="s">
        <v>1426</v>
      </c>
      <c r="B2031" s="62" t="s">
        <v>937</v>
      </c>
      <c r="C2031" s="68" t="s">
        <v>1386</v>
      </c>
      <c r="D2031" s="68" t="s">
        <v>1398</v>
      </c>
      <c r="E2031" s="8" t="s">
        <v>69</v>
      </c>
      <c r="F2031" s="8"/>
      <c r="G2031" s="23" t="s">
        <v>1267</v>
      </c>
      <c r="H2031" s="14">
        <f t="shared" si="912"/>
        <v>12613.6</v>
      </c>
      <c r="I2031" s="14">
        <f t="shared" si="912"/>
        <v>12432.8727</v>
      </c>
      <c r="J2031" s="14">
        <f t="shared" si="912"/>
        <v>12432.8727</v>
      </c>
      <c r="K2031" s="78">
        <f t="shared" si="898"/>
        <v>100</v>
      </c>
      <c r="L2031" s="14">
        <f t="shared" si="912"/>
        <v>0</v>
      </c>
      <c r="M2031" s="50"/>
      <c r="N2031" s="50"/>
    </row>
    <row r="2032" spans="1:14" x14ac:dyDescent="0.3">
      <c r="A2032" s="8" t="s">
        <v>1426</v>
      </c>
      <c r="B2032" s="62" t="s">
        <v>937</v>
      </c>
      <c r="C2032" s="68" t="s">
        <v>1386</v>
      </c>
      <c r="D2032" s="68" t="s">
        <v>1398</v>
      </c>
      <c r="E2032" s="8" t="s">
        <v>69</v>
      </c>
      <c r="F2032" s="45" t="s">
        <v>464</v>
      </c>
      <c r="G2032" s="23" t="s">
        <v>822</v>
      </c>
      <c r="H2032" s="14">
        <f t="shared" si="912"/>
        <v>12613.6</v>
      </c>
      <c r="I2032" s="14">
        <f t="shared" si="912"/>
        <v>12432.8727</v>
      </c>
      <c r="J2032" s="14">
        <f t="shared" si="912"/>
        <v>12432.8727</v>
      </c>
      <c r="K2032" s="78">
        <f t="shared" si="898"/>
        <v>100</v>
      </c>
      <c r="L2032" s="14">
        <f t="shared" si="912"/>
        <v>0</v>
      </c>
      <c r="M2032" s="50"/>
      <c r="N2032" s="50"/>
    </row>
    <row r="2033" spans="1:14" ht="62.4" x14ac:dyDescent="0.3">
      <c r="A2033" s="8" t="s">
        <v>1426</v>
      </c>
      <c r="B2033" s="62" t="s">
        <v>937</v>
      </c>
      <c r="C2033" s="68" t="s">
        <v>1386</v>
      </c>
      <c r="D2033" s="68" t="s">
        <v>1398</v>
      </c>
      <c r="E2033" s="8" t="s">
        <v>69</v>
      </c>
      <c r="F2033" s="45" t="s">
        <v>727</v>
      </c>
      <c r="G2033" s="18" t="s">
        <v>830</v>
      </c>
      <c r="H2033" s="14">
        <v>12613.6</v>
      </c>
      <c r="I2033" s="14">
        <v>12432.8727</v>
      </c>
      <c r="J2033" s="14">
        <v>12432.8727</v>
      </c>
      <c r="K2033" s="78">
        <f t="shared" si="898"/>
        <v>100</v>
      </c>
      <c r="L2033" s="14"/>
      <c r="M2033" s="50"/>
      <c r="N2033" s="50"/>
    </row>
    <row r="2034" spans="1:14" ht="31.2" x14ac:dyDescent="0.3">
      <c r="A2034" s="8" t="s">
        <v>1426</v>
      </c>
      <c r="B2034" s="62" t="s">
        <v>937</v>
      </c>
      <c r="C2034" s="68" t="s">
        <v>1386</v>
      </c>
      <c r="D2034" s="68" t="s">
        <v>1398</v>
      </c>
      <c r="E2034" s="8" t="s">
        <v>429</v>
      </c>
      <c r="F2034" s="45"/>
      <c r="G2034" s="23" t="s">
        <v>1140</v>
      </c>
      <c r="H2034" s="14">
        <f t="shared" ref="H2034:L2036" si="913">H2035</f>
        <v>94.415999999999997</v>
      </c>
      <c r="I2034" s="14">
        <f t="shared" si="913"/>
        <v>6807.9545500000004</v>
      </c>
      <c r="J2034" s="14">
        <f t="shared" si="913"/>
        <v>6807.6656600000006</v>
      </c>
      <c r="K2034" s="78">
        <f t="shared" si="898"/>
        <v>99.995756581541812</v>
      </c>
      <c r="L2034" s="14">
        <f t="shared" si="913"/>
        <v>0</v>
      </c>
      <c r="M2034" s="50"/>
      <c r="N2034" s="50"/>
    </row>
    <row r="2035" spans="1:14" ht="46.8" x14ac:dyDescent="0.3">
      <c r="A2035" s="8" t="s">
        <v>1426</v>
      </c>
      <c r="B2035" s="62" t="s">
        <v>937</v>
      </c>
      <c r="C2035" s="68" t="s">
        <v>1386</v>
      </c>
      <c r="D2035" s="68" t="s">
        <v>1398</v>
      </c>
      <c r="E2035" s="8" t="s">
        <v>535</v>
      </c>
      <c r="F2035" s="45"/>
      <c r="G2035" s="31" t="s">
        <v>176</v>
      </c>
      <c r="H2035" s="14">
        <f>H2036+H2038+H2040</f>
        <v>94.415999999999997</v>
      </c>
      <c r="I2035" s="14">
        <f t="shared" ref="I2035:L2035" si="914">I2036+I2038+I2040</f>
        <v>6807.9545500000004</v>
      </c>
      <c r="J2035" s="14">
        <f t="shared" si="914"/>
        <v>6807.6656600000006</v>
      </c>
      <c r="K2035" s="78">
        <f t="shared" si="898"/>
        <v>99.995756581541812</v>
      </c>
      <c r="L2035" s="14">
        <f t="shared" si="914"/>
        <v>0</v>
      </c>
      <c r="M2035" s="50"/>
      <c r="N2035" s="50"/>
    </row>
    <row r="2036" spans="1:14" ht="31.2" x14ac:dyDescent="0.3">
      <c r="A2036" s="8" t="s">
        <v>1426</v>
      </c>
      <c r="B2036" s="62" t="s">
        <v>937</v>
      </c>
      <c r="C2036" s="68" t="s">
        <v>1386</v>
      </c>
      <c r="D2036" s="68" t="s">
        <v>1398</v>
      </c>
      <c r="E2036" s="8" t="s">
        <v>535</v>
      </c>
      <c r="F2036" s="45" t="s">
        <v>380</v>
      </c>
      <c r="G2036" s="23" t="s">
        <v>809</v>
      </c>
      <c r="H2036" s="14">
        <f t="shared" si="913"/>
        <v>94.415999999999997</v>
      </c>
      <c r="I2036" s="14">
        <f t="shared" si="913"/>
        <v>4974.4437500000004</v>
      </c>
      <c r="J2036" s="14">
        <f t="shared" si="913"/>
        <v>4974.4436500000002</v>
      </c>
      <c r="K2036" s="78">
        <f t="shared" si="898"/>
        <v>99.999997989724974</v>
      </c>
      <c r="L2036" s="14">
        <f t="shared" si="913"/>
        <v>0</v>
      </c>
      <c r="M2036" s="50"/>
      <c r="N2036" s="50"/>
    </row>
    <row r="2037" spans="1:14" ht="31.2" x14ac:dyDescent="0.3">
      <c r="A2037" s="8" t="s">
        <v>1426</v>
      </c>
      <c r="B2037" s="62" t="s">
        <v>937</v>
      </c>
      <c r="C2037" s="68" t="s">
        <v>1386</v>
      </c>
      <c r="D2037" s="68" t="s">
        <v>1398</v>
      </c>
      <c r="E2037" s="8" t="s">
        <v>535</v>
      </c>
      <c r="F2037" s="8" t="s">
        <v>247</v>
      </c>
      <c r="G2037" s="23" t="s">
        <v>810</v>
      </c>
      <c r="H2037" s="14">
        <v>94.415999999999997</v>
      </c>
      <c r="I2037" s="14">
        <v>4974.4437500000004</v>
      </c>
      <c r="J2037" s="19">
        <v>4974.4436500000002</v>
      </c>
      <c r="K2037" s="75">
        <f t="shared" si="898"/>
        <v>99.999997989724974</v>
      </c>
      <c r="L2037" s="14"/>
      <c r="M2037" s="50"/>
      <c r="N2037" s="50"/>
    </row>
    <row r="2038" spans="1:14" ht="31.2" x14ac:dyDescent="0.3">
      <c r="A2038" s="8" t="s">
        <v>1426</v>
      </c>
      <c r="B2038" s="62" t="s">
        <v>937</v>
      </c>
      <c r="C2038" s="68" t="s">
        <v>1386</v>
      </c>
      <c r="D2038" s="68" t="s">
        <v>1398</v>
      </c>
      <c r="E2038" s="8" t="s">
        <v>535</v>
      </c>
      <c r="F2038" s="45" t="s">
        <v>402</v>
      </c>
      <c r="G2038" s="23" t="s">
        <v>819</v>
      </c>
      <c r="H2038" s="20">
        <f>H2039</f>
        <v>0</v>
      </c>
      <c r="I2038" s="20">
        <f t="shared" ref="I2038:L2038" si="915">I2039</f>
        <v>550</v>
      </c>
      <c r="J2038" s="20">
        <f t="shared" si="915"/>
        <v>550</v>
      </c>
      <c r="K2038" s="77">
        <f t="shared" si="898"/>
        <v>100</v>
      </c>
      <c r="L2038" s="20">
        <f t="shared" si="915"/>
        <v>0</v>
      </c>
      <c r="M2038" s="50"/>
      <c r="N2038" s="50"/>
    </row>
    <row r="2039" spans="1:14" ht="46.8" x14ac:dyDescent="0.3">
      <c r="A2039" s="8" t="s">
        <v>1426</v>
      </c>
      <c r="B2039" s="62" t="s">
        <v>937</v>
      </c>
      <c r="C2039" s="68" t="s">
        <v>1386</v>
      </c>
      <c r="D2039" s="68" t="s">
        <v>1398</v>
      </c>
      <c r="E2039" s="8" t="s">
        <v>535</v>
      </c>
      <c r="F2039" s="45" t="s">
        <v>280</v>
      </c>
      <c r="G2039" s="23" t="s">
        <v>821</v>
      </c>
      <c r="H2039" s="20">
        <v>0</v>
      </c>
      <c r="I2039" s="14">
        <v>550</v>
      </c>
      <c r="J2039" s="19">
        <v>550</v>
      </c>
      <c r="K2039" s="75">
        <f t="shared" si="898"/>
        <v>100</v>
      </c>
      <c r="L2039" s="14"/>
      <c r="M2039" s="50"/>
      <c r="N2039" s="50"/>
    </row>
    <row r="2040" spans="1:14" x14ac:dyDescent="0.3">
      <c r="A2040" s="8" t="s">
        <v>1426</v>
      </c>
      <c r="B2040" s="62" t="s">
        <v>937</v>
      </c>
      <c r="C2040" s="68" t="s">
        <v>1386</v>
      </c>
      <c r="D2040" s="68" t="s">
        <v>1398</v>
      </c>
      <c r="E2040" s="8" t="s">
        <v>535</v>
      </c>
      <c r="F2040" s="45" t="s">
        <v>464</v>
      </c>
      <c r="G2040" s="23" t="s">
        <v>822</v>
      </c>
      <c r="H2040" s="20">
        <v>0</v>
      </c>
      <c r="I2040" s="14">
        <f>I2041</f>
        <v>1283.5108</v>
      </c>
      <c r="J2040" s="14">
        <f t="shared" ref="J2040:L2040" si="916">J2041</f>
        <v>1283.22201</v>
      </c>
      <c r="K2040" s="78">
        <f t="shared" si="898"/>
        <v>99.977499994546207</v>
      </c>
      <c r="L2040" s="14">
        <f t="shared" si="916"/>
        <v>0</v>
      </c>
      <c r="M2040" s="50"/>
      <c r="N2040" s="50"/>
    </row>
    <row r="2041" spans="1:14" ht="62.4" x14ac:dyDescent="0.3">
      <c r="A2041" s="8" t="s">
        <v>1426</v>
      </c>
      <c r="B2041" s="62" t="s">
        <v>937</v>
      </c>
      <c r="C2041" s="68" t="s">
        <v>1386</v>
      </c>
      <c r="D2041" s="68" t="s">
        <v>1398</v>
      </c>
      <c r="E2041" s="8" t="s">
        <v>535</v>
      </c>
      <c r="F2041" s="45" t="s">
        <v>727</v>
      </c>
      <c r="G2041" s="18" t="s">
        <v>830</v>
      </c>
      <c r="H2041" s="20">
        <v>0</v>
      </c>
      <c r="I2041" s="14">
        <v>1283.5108</v>
      </c>
      <c r="J2041" s="14">
        <v>1283.22201</v>
      </c>
      <c r="K2041" s="78">
        <f t="shared" si="898"/>
        <v>99.977499994546207</v>
      </c>
      <c r="L2041" s="14"/>
      <c r="M2041" s="50"/>
      <c r="N2041" s="50"/>
    </row>
    <row r="2042" spans="1:14" s="9" customFormat="1" x14ac:dyDescent="0.3">
      <c r="A2042" s="11" t="s">
        <v>1426</v>
      </c>
      <c r="B2042" s="48" t="s">
        <v>918</v>
      </c>
      <c r="C2042" s="48" t="s">
        <v>1386</v>
      </c>
      <c r="D2042" s="48" t="s">
        <v>1479</v>
      </c>
      <c r="E2042" s="11"/>
      <c r="F2042" s="11"/>
      <c r="G2042" s="7" t="s">
        <v>1389</v>
      </c>
      <c r="H2042" s="16">
        <f>H2052+H2057+H2043</f>
        <v>1518.249</v>
      </c>
      <c r="I2042" s="16">
        <f>I2052+I2057+I2043+I2064</f>
        <v>1594.2480499999999</v>
      </c>
      <c r="J2042" s="16">
        <f t="shared" ref="J2042:L2042" si="917">J2052+J2057+J2043+J2064</f>
        <v>1553.13653</v>
      </c>
      <c r="K2042" s="82">
        <f t="shared" si="898"/>
        <v>97.421259508518759</v>
      </c>
      <c r="L2042" s="16">
        <f t="shared" si="917"/>
        <v>0</v>
      </c>
      <c r="M2042" s="65"/>
      <c r="N2042" s="65"/>
    </row>
    <row r="2043" spans="1:14" ht="31.2" x14ac:dyDescent="0.3">
      <c r="A2043" s="8" t="s">
        <v>1426</v>
      </c>
      <c r="B2043" s="62" t="s">
        <v>918</v>
      </c>
      <c r="C2043" s="68" t="s">
        <v>1386</v>
      </c>
      <c r="D2043" s="68" t="s">
        <v>1479</v>
      </c>
      <c r="E2043" s="8" t="s">
        <v>438</v>
      </c>
      <c r="F2043" s="8"/>
      <c r="G2043" s="18" t="s">
        <v>891</v>
      </c>
      <c r="H2043" s="14">
        <f t="shared" ref="H2043:L2047" si="918">H2044</f>
        <v>391.47</v>
      </c>
      <c r="I2043" s="14">
        <f t="shared" si="918"/>
        <v>391.47</v>
      </c>
      <c r="J2043" s="14">
        <f t="shared" si="918"/>
        <v>350.35984999999999</v>
      </c>
      <c r="K2043" s="78">
        <f t="shared" si="898"/>
        <v>89.498518404986328</v>
      </c>
      <c r="L2043" s="14">
        <f t="shared" si="918"/>
        <v>0</v>
      </c>
      <c r="M2043" s="50"/>
      <c r="N2043" s="50"/>
    </row>
    <row r="2044" spans="1:14" ht="46.8" x14ac:dyDescent="0.3">
      <c r="A2044" s="8" t="s">
        <v>1426</v>
      </c>
      <c r="B2044" s="62" t="s">
        <v>918</v>
      </c>
      <c r="C2044" s="68" t="s">
        <v>1386</v>
      </c>
      <c r="D2044" s="68" t="s">
        <v>1479</v>
      </c>
      <c r="E2044" s="8" t="s">
        <v>439</v>
      </c>
      <c r="F2044" s="8"/>
      <c r="G2044" s="18" t="s">
        <v>119</v>
      </c>
      <c r="H2044" s="14">
        <f t="shared" si="918"/>
        <v>391.47</v>
      </c>
      <c r="I2044" s="14">
        <f t="shared" si="918"/>
        <v>391.47</v>
      </c>
      <c r="J2044" s="14">
        <f t="shared" si="918"/>
        <v>350.35984999999999</v>
      </c>
      <c r="K2044" s="78">
        <f t="shared" si="898"/>
        <v>89.498518404986328</v>
      </c>
      <c r="L2044" s="14">
        <f t="shared" si="918"/>
        <v>0</v>
      </c>
      <c r="M2044" s="50"/>
      <c r="N2044" s="50"/>
    </row>
    <row r="2045" spans="1:14" ht="46.8" x14ac:dyDescent="0.3">
      <c r="A2045" s="8" t="s">
        <v>1426</v>
      </c>
      <c r="B2045" s="62" t="s">
        <v>918</v>
      </c>
      <c r="C2045" s="68" t="s">
        <v>1386</v>
      </c>
      <c r="D2045" s="68" t="s">
        <v>1479</v>
      </c>
      <c r="E2045" s="8" t="s">
        <v>440</v>
      </c>
      <c r="F2045" s="8"/>
      <c r="G2045" s="18" t="s">
        <v>120</v>
      </c>
      <c r="H2045" s="14">
        <f>H2046+H2049</f>
        <v>391.47</v>
      </c>
      <c r="I2045" s="14">
        <f>I2046+I2049</f>
        <v>391.47</v>
      </c>
      <c r="J2045" s="14">
        <f t="shared" ref="J2045" si="919">J2046+J2049</f>
        <v>350.35984999999999</v>
      </c>
      <c r="K2045" s="78">
        <f t="shared" si="898"/>
        <v>89.498518404986328</v>
      </c>
      <c r="L2045" s="14">
        <f>L2046+L2049</f>
        <v>0</v>
      </c>
      <c r="M2045" s="50"/>
      <c r="N2045" s="50"/>
    </row>
    <row r="2046" spans="1:14" ht="46.8" x14ac:dyDescent="0.3">
      <c r="A2046" s="8" t="s">
        <v>1426</v>
      </c>
      <c r="B2046" s="62" t="s">
        <v>918</v>
      </c>
      <c r="C2046" s="68" t="s">
        <v>1386</v>
      </c>
      <c r="D2046" s="68" t="s">
        <v>1479</v>
      </c>
      <c r="E2046" s="8" t="s">
        <v>441</v>
      </c>
      <c r="F2046" s="8"/>
      <c r="G2046" s="18" t="s">
        <v>761</v>
      </c>
      <c r="H2046" s="14">
        <f t="shared" si="918"/>
        <v>226.88100000000003</v>
      </c>
      <c r="I2046" s="14">
        <f t="shared" si="918"/>
        <v>226.881</v>
      </c>
      <c r="J2046" s="14">
        <f t="shared" si="918"/>
        <v>192.37084999999999</v>
      </c>
      <c r="K2046" s="78">
        <f t="shared" si="898"/>
        <v>84.789316866551175</v>
      </c>
      <c r="L2046" s="14">
        <f t="shared" si="918"/>
        <v>0</v>
      </c>
      <c r="M2046" s="50"/>
      <c r="N2046" s="50"/>
    </row>
    <row r="2047" spans="1:14" ht="31.2" x14ac:dyDescent="0.3">
      <c r="A2047" s="8" t="s">
        <v>1426</v>
      </c>
      <c r="B2047" s="62" t="s">
        <v>918</v>
      </c>
      <c r="C2047" s="68" t="s">
        <v>1386</v>
      </c>
      <c r="D2047" s="68" t="s">
        <v>1479</v>
      </c>
      <c r="E2047" s="8" t="s">
        <v>441</v>
      </c>
      <c r="F2047" s="45" t="s">
        <v>380</v>
      </c>
      <c r="G2047" s="23" t="s">
        <v>809</v>
      </c>
      <c r="H2047" s="14">
        <f t="shared" si="918"/>
        <v>226.88100000000003</v>
      </c>
      <c r="I2047" s="14">
        <f t="shared" si="918"/>
        <v>226.881</v>
      </c>
      <c r="J2047" s="14">
        <f t="shared" si="918"/>
        <v>192.37084999999999</v>
      </c>
      <c r="K2047" s="78">
        <f t="shared" si="898"/>
        <v>84.789316866551175</v>
      </c>
      <c r="L2047" s="14">
        <f t="shared" si="918"/>
        <v>0</v>
      </c>
      <c r="M2047" s="50"/>
      <c r="N2047" s="50"/>
    </row>
    <row r="2048" spans="1:14" ht="31.2" x14ac:dyDescent="0.3">
      <c r="A2048" s="8" t="s">
        <v>1426</v>
      </c>
      <c r="B2048" s="62" t="s">
        <v>918</v>
      </c>
      <c r="C2048" s="68" t="s">
        <v>1386</v>
      </c>
      <c r="D2048" s="68" t="s">
        <v>1479</v>
      </c>
      <c r="E2048" s="8" t="s">
        <v>441</v>
      </c>
      <c r="F2048" s="8" t="s">
        <v>247</v>
      </c>
      <c r="G2048" s="23" t="s">
        <v>810</v>
      </c>
      <c r="H2048" s="14">
        <f>412.2+77.211-262.53</f>
        <v>226.88100000000003</v>
      </c>
      <c r="I2048" s="14">
        <v>226.881</v>
      </c>
      <c r="J2048" s="14">
        <v>192.37084999999999</v>
      </c>
      <c r="K2048" s="78">
        <f t="shared" si="898"/>
        <v>84.789316866551175</v>
      </c>
      <c r="L2048" s="14"/>
      <c r="M2048" s="50"/>
      <c r="N2048" s="50"/>
    </row>
    <row r="2049" spans="1:14" ht="31.2" x14ac:dyDescent="0.3">
      <c r="A2049" s="8" t="s">
        <v>1426</v>
      </c>
      <c r="B2049" s="62" t="s">
        <v>918</v>
      </c>
      <c r="C2049" s="68" t="s">
        <v>1386</v>
      </c>
      <c r="D2049" s="68" t="s">
        <v>1479</v>
      </c>
      <c r="E2049" s="8" t="s">
        <v>246</v>
      </c>
      <c r="F2049" s="8"/>
      <c r="G2049" s="23" t="s">
        <v>305</v>
      </c>
      <c r="H2049" s="14">
        <f t="shared" ref="H2049:L2050" si="920">H2050</f>
        <v>164.589</v>
      </c>
      <c r="I2049" s="14">
        <f t="shared" si="920"/>
        <v>164.589</v>
      </c>
      <c r="J2049" s="14">
        <f t="shared" si="920"/>
        <v>157.989</v>
      </c>
      <c r="K2049" s="78">
        <f t="shared" si="898"/>
        <v>95.990011483148947</v>
      </c>
      <c r="L2049" s="14">
        <f t="shared" si="920"/>
        <v>0</v>
      </c>
      <c r="M2049" s="50"/>
      <c r="N2049" s="50"/>
    </row>
    <row r="2050" spans="1:14" ht="31.2" x14ac:dyDescent="0.3">
      <c r="A2050" s="8" t="s">
        <v>1426</v>
      </c>
      <c r="B2050" s="62" t="s">
        <v>918</v>
      </c>
      <c r="C2050" s="68" t="s">
        <v>1386</v>
      </c>
      <c r="D2050" s="68" t="s">
        <v>1479</v>
      </c>
      <c r="E2050" s="8" t="s">
        <v>246</v>
      </c>
      <c r="F2050" s="45" t="s">
        <v>380</v>
      </c>
      <c r="G2050" s="23" t="s">
        <v>809</v>
      </c>
      <c r="H2050" s="14">
        <f t="shared" si="920"/>
        <v>164.589</v>
      </c>
      <c r="I2050" s="14">
        <f t="shared" si="920"/>
        <v>164.589</v>
      </c>
      <c r="J2050" s="14">
        <f t="shared" si="920"/>
        <v>157.989</v>
      </c>
      <c r="K2050" s="78">
        <f t="shared" si="898"/>
        <v>95.990011483148947</v>
      </c>
      <c r="L2050" s="14">
        <f t="shared" si="920"/>
        <v>0</v>
      </c>
      <c r="M2050" s="50"/>
      <c r="N2050" s="50"/>
    </row>
    <row r="2051" spans="1:14" ht="31.2" x14ac:dyDescent="0.3">
      <c r="A2051" s="8" t="s">
        <v>1426</v>
      </c>
      <c r="B2051" s="62" t="s">
        <v>918</v>
      </c>
      <c r="C2051" s="68" t="s">
        <v>1386</v>
      </c>
      <c r="D2051" s="68" t="s">
        <v>1479</v>
      </c>
      <c r="E2051" s="8" t="s">
        <v>246</v>
      </c>
      <c r="F2051" s="8" t="s">
        <v>247</v>
      </c>
      <c r="G2051" s="23" t="s">
        <v>810</v>
      </c>
      <c r="H2051" s="14">
        <f>241.8-77.211</f>
        <v>164.589</v>
      </c>
      <c r="I2051" s="14">
        <v>164.589</v>
      </c>
      <c r="J2051" s="14">
        <v>157.989</v>
      </c>
      <c r="K2051" s="78">
        <f t="shared" si="898"/>
        <v>95.990011483148947</v>
      </c>
      <c r="L2051" s="14"/>
      <c r="M2051" s="50"/>
      <c r="N2051" s="50"/>
    </row>
    <row r="2052" spans="1:14" ht="62.4" x14ac:dyDescent="0.3">
      <c r="A2052" s="8" t="s">
        <v>1426</v>
      </c>
      <c r="B2052" s="62" t="s">
        <v>918</v>
      </c>
      <c r="C2052" s="68" t="s">
        <v>1386</v>
      </c>
      <c r="D2052" s="68" t="s">
        <v>1479</v>
      </c>
      <c r="E2052" s="8" t="s">
        <v>358</v>
      </c>
      <c r="F2052" s="8"/>
      <c r="G2052" s="13" t="s">
        <v>1040</v>
      </c>
      <c r="H2052" s="14">
        <f t="shared" ref="H2052:L2055" si="921">H2053</f>
        <v>136.10599999999999</v>
      </c>
      <c r="I2052" s="14">
        <f t="shared" si="921"/>
        <v>136.10599999999999</v>
      </c>
      <c r="J2052" s="14">
        <f t="shared" si="921"/>
        <v>136.10509999999999</v>
      </c>
      <c r="K2052" s="78">
        <f t="shared" si="898"/>
        <v>99.999338750679613</v>
      </c>
      <c r="L2052" s="14">
        <f t="shared" si="921"/>
        <v>0</v>
      </c>
      <c r="M2052" s="50"/>
      <c r="N2052" s="50"/>
    </row>
    <row r="2053" spans="1:14" ht="31.2" x14ac:dyDescent="0.3">
      <c r="A2053" s="8" t="s">
        <v>1426</v>
      </c>
      <c r="B2053" s="62" t="s">
        <v>918</v>
      </c>
      <c r="C2053" s="68" t="s">
        <v>1386</v>
      </c>
      <c r="D2053" s="68" t="s">
        <v>1479</v>
      </c>
      <c r="E2053" s="8" t="s">
        <v>359</v>
      </c>
      <c r="F2053" s="8"/>
      <c r="G2053" s="13" t="s">
        <v>1041</v>
      </c>
      <c r="H2053" s="14">
        <f t="shared" si="921"/>
        <v>136.10599999999999</v>
      </c>
      <c r="I2053" s="14">
        <f t="shared" si="921"/>
        <v>136.10599999999999</v>
      </c>
      <c r="J2053" s="14">
        <f t="shared" si="921"/>
        <v>136.10509999999999</v>
      </c>
      <c r="K2053" s="78">
        <f t="shared" si="898"/>
        <v>99.999338750679613</v>
      </c>
      <c r="L2053" s="14">
        <f t="shared" si="921"/>
        <v>0</v>
      </c>
      <c r="M2053" s="50"/>
      <c r="N2053" s="50"/>
    </row>
    <row r="2054" spans="1:14" ht="46.8" x14ac:dyDescent="0.3">
      <c r="A2054" s="8" t="s">
        <v>1426</v>
      </c>
      <c r="B2054" s="62" t="s">
        <v>918</v>
      </c>
      <c r="C2054" s="68" t="s">
        <v>1386</v>
      </c>
      <c r="D2054" s="68" t="s">
        <v>1479</v>
      </c>
      <c r="E2054" s="8" t="s">
        <v>1237</v>
      </c>
      <c r="F2054" s="8"/>
      <c r="G2054" s="18" t="s">
        <v>316</v>
      </c>
      <c r="H2054" s="14">
        <f t="shared" si="921"/>
        <v>136.10599999999999</v>
      </c>
      <c r="I2054" s="14">
        <f t="shared" si="921"/>
        <v>136.10599999999999</v>
      </c>
      <c r="J2054" s="14">
        <f t="shared" si="921"/>
        <v>136.10509999999999</v>
      </c>
      <c r="K2054" s="78">
        <f t="shared" si="898"/>
        <v>99.999338750679613</v>
      </c>
      <c r="L2054" s="14">
        <f t="shared" si="921"/>
        <v>0</v>
      </c>
      <c r="M2054" s="50"/>
      <c r="N2054" s="50"/>
    </row>
    <row r="2055" spans="1:14" ht="31.2" x14ac:dyDescent="0.3">
      <c r="A2055" s="8" t="s">
        <v>1426</v>
      </c>
      <c r="B2055" s="62" t="s">
        <v>918</v>
      </c>
      <c r="C2055" s="68" t="s">
        <v>1386</v>
      </c>
      <c r="D2055" s="68" t="s">
        <v>1479</v>
      </c>
      <c r="E2055" s="8" t="s">
        <v>1237</v>
      </c>
      <c r="F2055" s="45" t="s">
        <v>380</v>
      </c>
      <c r="G2055" s="23" t="s">
        <v>809</v>
      </c>
      <c r="H2055" s="14">
        <f t="shared" si="921"/>
        <v>136.10599999999999</v>
      </c>
      <c r="I2055" s="14">
        <f t="shared" si="921"/>
        <v>136.10599999999999</v>
      </c>
      <c r="J2055" s="14">
        <f t="shared" si="921"/>
        <v>136.10509999999999</v>
      </c>
      <c r="K2055" s="78">
        <f t="shared" si="898"/>
        <v>99.999338750679613</v>
      </c>
      <c r="L2055" s="14">
        <f t="shared" si="921"/>
        <v>0</v>
      </c>
      <c r="M2055" s="50"/>
      <c r="N2055" s="50"/>
    </row>
    <row r="2056" spans="1:14" ht="31.2" x14ac:dyDescent="0.3">
      <c r="A2056" s="8" t="s">
        <v>1426</v>
      </c>
      <c r="B2056" s="62" t="s">
        <v>918</v>
      </c>
      <c r="C2056" s="68" t="s">
        <v>1386</v>
      </c>
      <c r="D2056" s="68" t="s">
        <v>1479</v>
      </c>
      <c r="E2056" s="8" t="s">
        <v>1237</v>
      </c>
      <c r="F2056" s="8" t="s">
        <v>247</v>
      </c>
      <c r="G2056" s="23" t="s">
        <v>810</v>
      </c>
      <c r="H2056" s="14">
        <f>191.7-55.594</f>
        <v>136.10599999999999</v>
      </c>
      <c r="I2056" s="14">
        <v>136.10599999999999</v>
      </c>
      <c r="J2056" s="14">
        <v>136.10509999999999</v>
      </c>
      <c r="K2056" s="78">
        <f t="shared" ref="K2056:K2119" si="922">J2056/I2056*100</f>
        <v>99.999338750679613</v>
      </c>
      <c r="L2056" s="14"/>
      <c r="M2056" s="50"/>
      <c r="N2056" s="50"/>
    </row>
    <row r="2057" spans="1:14" ht="31.2" x14ac:dyDescent="0.3">
      <c r="A2057" s="8" t="s">
        <v>1426</v>
      </c>
      <c r="B2057" s="62" t="s">
        <v>918</v>
      </c>
      <c r="C2057" s="68" t="s">
        <v>1386</v>
      </c>
      <c r="D2057" s="68" t="s">
        <v>1479</v>
      </c>
      <c r="E2057" s="8" t="s">
        <v>365</v>
      </c>
      <c r="F2057" s="8"/>
      <c r="G2057" s="13" t="s">
        <v>831</v>
      </c>
      <c r="H2057" s="14">
        <f t="shared" ref="H2057:L2060" si="923">H2058</f>
        <v>990.67299999999989</v>
      </c>
      <c r="I2057" s="14">
        <f t="shared" si="923"/>
        <v>990.67205000000001</v>
      </c>
      <c r="J2057" s="14">
        <f t="shared" si="923"/>
        <v>990.67157999999995</v>
      </c>
      <c r="K2057" s="78">
        <f t="shared" si="922"/>
        <v>99.999952557458343</v>
      </c>
      <c r="L2057" s="14">
        <f t="shared" si="923"/>
        <v>0</v>
      </c>
      <c r="M2057" s="50"/>
      <c r="N2057" s="50"/>
    </row>
    <row r="2058" spans="1:14" ht="31.2" x14ac:dyDescent="0.3">
      <c r="A2058" s="8" t="s">
        <v>1426</v>
      </c>
      <c r="B2058" s="62" t="s">
        <v>918</v>
      </c>
      <c r="C2058" s="68" t="s">
        <v>1386</v>
      </c>
      <c r="D2058" s="68" t="s">
        <v>1479</v>
      </c>
      <c r="E2058" s="8" t="s">
        <v>366</v>
      </c>
      <c r="F2058" s="8"/>
      <c r="G2058" s="13" t="s">
        <v>834</v>
      </c>
      <c r="H2058" s="14">
        <f t="shared" si="923"/>
        <v>990.67299999999989</v>
      </c>
      <c r="I2058" s="14">
        <f t="shared" si="923"/>
        <v>990.67205000000001</v>
      </c>
      <c r="J2058" s="14">
        <f t="shared" si="923"/>
        <v>990.67157999999995</v>
      </c>
      <c r="K2058" s="78">
        <f t="shared" si="922"/>
        <v>99.999952557458343</v>
      </c>
      <c r="L2058" s="14">
        <f t="shared" si="923"/>
        <v>0</v>
      </c>
      <c r="M2058" s="50"/>
      <c r="N2058" s="50"/>
    </row>
    <row r="2059" spans="1:14" ht="62.4" x14ac:dyDescent="0.3">
      <c r="A2059" s="8" t="s">
        <v>1426</v>
      </c>
      <c r="B2059" s="62" t="s">
        <v>918</v>
      </c>
      <c r="C2059" s="68" t="s">
        <v>1386</v>
      </c>
      <c r="D2059" s="68" t="s">
        <v>1479</v>
      </c>
      <c r="E2059" s="8" t="s">
        <v>367</v>
      </c>
      <c r="F2059" s="8"/>
      <c r="G2059" s="13" t="s">
        <v>139</v>
      </c>
      <c r="H2059" s="14">
        <f>H2060+H2062</f>
        <v>990.67299999999989</v>
      </c>
      <c r="I2059" s="14">
        <f t="shared" ref="I2059:L2059" si="924">I2060+I2062</f>
        <v>990.67205000000001</v>
      </c>
      <c r="J2059" s="14">
        <f t="shared" si="924"/>
        <v>990.67157999999995</v>
      </c>
      <c r="K2059" s="78">
        <f t="shared" si="922"/>
        <v>99.999952557458343</v>
      </c>
      <c r="L2059" s="14">
        <f t="shared" si="924"/>
        <v>0</v>
      </c>
      <c r="M2059" s="50"/>
      <c r="N2059" s="50"/>
    </row>
    <row r="2060" spans="1:14" ht="31.2" x14ac:dyDescent="0.3">
      <c r="A2060" s="8" t="s">
        <v>1426</v>
      </c>
      <c r="B2060" s="62" t="s">
        <v>918</v>
      </c>
      <c r="C2060" s="68" t="s">
        <v>1386</v>
      </c>
      <c r="D2060" s="68" t="s">
        <v>1479</v>
      </c>
      <c r="E2060" s="8" t="s">
        <v>367</v>
      </c>
      <c r="F2060" s="45" t="s">
        <v>380</v>
      </c>
      <c r="G2060" s="23" t="s">
        <v>809</v>
      </c>
      <c r="H2060" s="14">
        <f t="shared" si="923"/>
        <v>990.67299999999989</v>
      </c>
      <c r="I2060" s="14">
        <f t="shared" si="923"/>
        <v>926.67205000000001</v>
      </c>
      <c r="J2060" s="14">
        <f t="shared" si="923"/>
        <v>926.67157999999995</v>
      </c>
      <c r="K2060" s="78">
        <f t="shared" si="922"/>
        <v>99.999949280870183</v>
      </c>
      <c r="L2060" s="14">
        <f t="shared" si="923"/>
        <v>0</v>
      </c>
      <c r="M2060" s="50"/>
      <c r="N2060" s="50"/>
    </row>
    <row r="2061" spans="1:14" ht="31.2" x14ac:dyDescent="0.3">
      <c r="A2061" s="8" t="s">
        <v>1426</v>
      </c>
      <c r="B2061" s="62" t="s">
        <v>918</v>
      </c>
      <c r="C2061" s="68" t="s">
        <v>1386</v>
      </c>
      <c r="D2061" s="68" t="s">
        <v>1479</v>
      </c>
      <c r="E2061" s="8" t="s">
        <v>367</v>
      </c>
      <c r="F2061" s="8" t="s">
        <v>247</v>
      </c>
      <c r="G2061" s="23" t="s">
        <v>810</v>
      </c>
      <c r="H2061" s="14">
        <f>1180.187-189.514</f>
        <v>990.67299999999989</v>
      </c>
      <c r="I2061" s="14">
        <v>926.67205000000001</v>
      </c>
      <c r="J2061" s="14">
        <v>926.67157999999995</v>
      </c>
      <c r="K2061" s="78">
        <f t="shared" si="922"/>
        <v>99.999949280870183</v>
      </c>
      <c r="L2061" s="14"/>
      <c r="M2061" s="50"/>
      <c r="N2061" s="50"/>
    </row>
    <row r="2062" spans="1:14" x14ac:dyDescent="0.3">
      <c r="A2062" s="8" t="s">
        <v>1426</v>
      </c>
      <c r="B2062" s="62" t="s">
        <v>918</v>
      </c>
      <c r="C2062" s="68" t="s">
        <v>1386</v>
      </c>
      <c r="D2062" s="68" t="s">
        <v>1479</v>
      </c>
      <c r="E2062" s="8" t="s">
        <v>367</v>
      </c>
      <c r="F2062" s="45" t="s">
        <v>464</v>
      </c>
      <c r="G2062" s="23" t="s">
        <v>822</v>
      </c>
      <c r="H2062" s="20">
        <f>H2063</f>
        <v>0</v>
      </c>
      <c r="I2062" s="20">
        <f t="shared" ref="I2062:L2062" si="925">I2063</f>
        <v>64</v>
      </c>
      <c r="J2062" s="20">
        <f t="shared" si="925"/>
        <v>64</v>
      </c>
      <c r="K2062" s="77">
        <f t="shared" si="922"/>
        <v>100</v>
      </c>
      <c r="L2062" s="20">
        <f t="shared" si="925"/>
        <v>0</v>
      </c>
      <c r="M2062" s="50"/>
      <c r="N2062" s="50"/>
    </row>
    <row r="2063" spans="1:14" x14ac:dyDescent="0.3">
      <c r="A2063" s="8" t="s">
        <v>1426</v>
      </c>
      <c r="B2063" s="62" t="s">
        <v>918</v>
      </c>
      <c r="C2063" s="68" t="s">
        <v>1386</v>
      </c>
      <c r="D2063" s="68" t="s">
        <v>1479</v>
      </c>
      <c r="E2063" s="8" t="s">
        <v>367</v>
      </c>
      <c r="F2063" s="45" t="s">
        <v>728</v>
      </c>
      <c r="G2063" s="23" t="s">
        <v>823</v>
      </c>
      <c r="H2063" s="20">
        <v>0</v>
      </c>
      <c r="I2063" s="14">
        <v>64</v>
      </c>
      <c r="J2063" s="14">
        <v>64</v>
      </c>
      <c r="K2063" s="78">
        <f t="shared" si="922"/>
        <v>100</v>
      </c>
      <c r="L2063" s="14"/>
      <c r="M2063" s="50"/>
      <c r="N2063" s="50"/>
    </row>
    <row r="2064" spans="1:14" ht="46.8" x14ac:dyDescent="0.3">
      <c r="A2064" s="8" t="s">
        <v>1426</v>
      </c>
      <c r="B2064" s="62" t="s">
        <v>918</v>
      </c>
      <c r="C2064" s="68" t="s">
        <v>1386</v>
      </c>
      <c r="D2064" s="68" t="s">
        <v>1479</v>
      </c>
      <c r="E2064" s="8" t="s">
        <v>493</v>
      </c>
      <c r="F2064" s="8"/>
      <c r="G2064" s="13" t="s">
        <v>1160</v>
      </c>
      <c r="H2064" s="20">
        <v>0</v>
      </c>
      <c r="I2064" s="14">
        <f>I2065</f>
        <v>76</v>
      </c>
      <c r="J2064" s="14">
        <f t="shared" ref="J2064:L2067" si="926">J2065</f>
        <v>76</v>
      </c>
      <c r="K2064" s="78">
        <f t="shared" si="922"/>
        <v>100</v>
      </c>
      <c r="L2064" s="14">
        <f t="shared" si="926"/>
        <v>0</v>
      </c>
      <c r="M2064" s="50"/>
      <c r="N2064" s="50"/>
    </row>
    <row r="2065" spans="1:14" ht="31.2" x14ac:dyDescent="0.3">
      <c r="A2065" s="8" t="s">
        <v>1426</v>
      </c>
      <c r="B2065" s="62" t="s">
        <v>918</v>
      </c>
      <c r="C2065" s="68" t="s">
        <v>1386</v>
      </c>
      <c r="D2065" s="68" t="s">
        <v>1479</v>
      </c>
      <c r="E2065" s="8" t="s">
        <v>494</v>
      </c>
      <c r="F2065" s="8"/>
      <c r="G2065" s="13" t="s">
        <v>1161</v>
      </c>
      <c r="H2065" s="20">
        <v>0</v>
      </c>
      <c r="I2065" s="14">
        <f>I2066</f>
        <v>76</v>
      </c>
      <c r="J2065" s="14">
        <f t="shared" si="926"/>
        <v>76</v>
      </c>
      <c r="K2065" s="78">
        <f t="shared" si="922"/>
        <v>100</v>
      </c>
      <c r="L2065" s="14">
        <f t="shared" si="926"/>
        <v>0</v>
      </c>
      <c r="M2065" s="50"/>
      <c r="N2065" s="50"/>
    </row>
    <row r="2066" spans="1:14" ht="31.2" x14ac:dyDescent="0.3">
      <c r="A2066" s="8" t="s">
        <v>1426</v>
      </c>
      <c r="B2066" s="62" t="s">
        <v>918</v>
      </c>
      <c r="C2066" s="68" t="s">
        <v>1386</v>
      </c>
      <c r="D2066" s="68" t="s">
        <v>1479</v>
      </c>
      <c r="E2066" s="8" t="s">
        <v>495</v>
      </c>
      <c r="F2066" s="8"/>
      <c r="G2066" s="13" t="s">
        <v>687</v>
      </c>
      <c r="H2066" s="20">
        <v>0</v>
      </c>
      <c r="I2066" s="14">
        <f>I2067</f>
        <v>76</v>
      </c>
      <c r="J2066" s="14">
        <f t="shared" si="926"/>
        <v>76</v>
      </c>
      <c r="K2066" s="78">
        <f t="shared" si="922"/>
        <v>100</v>
      </c>
      <c r="L2066" s="14">
        <f t="shared" si="926"/>
        <v>0</v>
      </c>
      <c r="M2066" s="50"/>
      <c r="N2066" s="50"/>
    </row>
    <row r="2067" spans="1:14" x14ac:dyDescent="0.3">
      <c r="A2067" s="8" t="s">
        <v>1426</v>
      </c>
      <c r="B2067" s="62" t="s">
        <v>918</v>
      </c>
      <c r="C2067" s="68" t="s">
        <v>1386</v>
      </c>
      <c r="D2067" s="68" t="s">
        <v>1479</v>
      </c>
      <c r="E2067" s="8" t="s">
        <v>495</v>
      </c>
      <c r="F2067" s="45" t="s">
        <v>464</v>
      </c>
      <c r="G2067" s="23" t="s">
        <v>822</v>
      </c>
      <c r="H2067" s="20">
        <v>0</v>
      </c>
      <c r="I2067" s="14">
        <f>I2068</f>
        <v>76</v>
      </c>
      <c r="J2067" s="14">
        <f t="shared" si="926"/>
        <v>76</v>
      </c>
      <c r="K2067" s="78">
        <f t="shared" si="922"/>
        <v>100</v>
      </c>
      <c r="L2067" s="14">
        <f t="shared" si="926"/>
        <v>0</v>
      </c>
      <c r="M2067" s="50"/>
      <c r="N2067" s="50"/>
    </row>
    <row r="2068" spans="1:14" x14ac:dyDescent="0.3">
      <c r="A2068" s="8" t="s">
        <v>1426</v>
      </c>
      <c r="B2068" s="62" t="s">
        <v>918</v>
      </c>
      <c r="C2068" s="68" t="s">
        <v>1386</v>
      </c>
      <c r="D2068" s="68" t="s">
        <v>1479</v>
      </c>
      <c r="E2068" s="8" t="s">
        <v>495</v>
      </c>
      <c r="F2068" s="45" t="s">
        <v>728</v>
      </c>
      <c r="G2068" s="23" t="s">
        <v>823</v>
      </c>
      <c r="H2068" s="20">
        <v>0</v>
      </c>
      <c r="I2068" s="14">
        <v>76</v>
      </c>
      <c r="J2068" s="14">
        <v>76</v>
      </c>
      <c r="K2068" s="78">
        <f t="shared" si="922"/>
        <v>100</v>
      </c>
      <c r="L2068" s="14"/>
      <c r="M2068" s="50"/>
      <c r="N2068" s="50"/>
    </row>
    <row r="2069" spans="1:14" s="3" customFormat="1" x14ac:dyDescent="0.3">
      <c r="A2069" s="10" t="s">
        <v>1426</v>
      </c>
      <c r="B2069" s="43" t="s">
        <v>1392</v>
      </c>
      <c r="C2069" s="43" t="s">
        <v>1392</v>
      </c>
      <c r="D2069" s="43" t="s">
        <v>915</v>
      </c>
      <c r="E2069" s="10"/>
      <c r="F2069" s="10"/>
      <c r="G2069" s="5" t="s">
        <v>1416</v>
      </c>
      <c r="H2069" s="15">
        <f>H2077+H2119+H2070</f>
        <v>34776.212999999996</v>
      </c>
      <c r="I2069" s="15">
        <f>I2077+I2119+I2070</f>
        <v>81029.878899999996</v>
      </c>
      <c r="J2069" s="15">
        <f t="shared" ref="J2069" si="927">J2077+J2119+J2070</f>
        <v>75715.240430000005</v>
      </c>
      <c r="K2069" s="81">
        <f t="shared" si="922"/>
        <v>93.441137340759383</v>
      </c>
      <c r="L2069" s="15">
        <f>L2077+L2119+L2070</f>
        <v>0</v>
      </c>
      <c r="M2069" s="65"/>
      <c r="N2069" s="65"/>
    </row>
    <row r="2070" spans="1:14" s="9" customFormat="1" x14ac:dyDescent="0.3">
      <c r="A2070" s="11" t="s">
        <v>1426</v>
      </c>
      <c r="B2070" s="48" t="s">
        <v>938</v>
      </c>
      <c r="C2070" s="48" t="s">
        <v>1392</v>
      </c>
      <c r="D2070" s="48" t="s">
        <v>1478</v>
      </c>
      <c r="E2070" s="11"/>
      <c r="F2070" s="11"/>
      <c r="G2070" s="7" t="s">
        <v>1451</v>
      </c>
      <c r="H2070" s="16">
        <f t="shared" ref="H2070:L2075" si="928">H2071</f>
        <v>179.98399999999995</v>
      </c>
      <c r="I2070" s="16">
        <f t="shared" si="928"/>
        <v>179.98400000000001</v>
      </c>
      <c r="J2070" s="16">
        <f t="shared" si="928"/>
        <v>179.98324</v>
      </c>
      <c r="K2070" s="82">
        <f t="shared" si="922"/>
        <v>99.999577740243566</v>
      </c>
      <c r="L2070" s="16">
        <f t="shared" si="928"/>
        <v>0</v>
      </c>
      <c r="M2070" s="65"/>
      <c r="N2070" s="65"/>
    </row>
    <row r="2071" spans="1:14" ht="31.2" x14ac:dyDescent="0.3">
      <c r="A2071" s="8" t="s">
        <v>1426</v>
      </c>
      <c r="B2071" s="62" t="s">
        <v>938</v>
      </c>
      <c r="C2071" s="68" t="s">
        <v>1392</v>
      </c>
      <c r="D2071" s="68" t="s">
        <v>1478</v>
      </c>
      <c r="E2071" s="8" t="s">
        <v>368</v>
      </c>
      <c r="F2071" s="8"/>
      <c r="G2071" s="13" t="s">
        <v>1079</v>
      </c>
      <c r="H2071" s="14">
        <f t="shared" si="928"/>
        <v>179.98399999999995</v>
      </c>
      <c r="I2071" s="14">
        <f t="shared" si="928"/>
        <v>179.98400000000001</v>
      </c>
      <c r="J2071" s="14">
        <f t="shared" si="928"/>
        <v>179.98324</v>
      </c>
      <c r="K2071" s="78">
        <f t="shared" si="922"/>
        <v>99.999577740243566</v>
      </c>
      <c r="L2071" s="14">
        <f t="shared" si="928"/>
        <v>0</v>
      </c>
      <c r="M2071" s="50"/>
      <c r="N2071" s="50"/>
    </row>
    <row r="2072" spans="1:14" ht="31.2" x14ac:dyDescent="0.3">
      <c r="A2072" s="8" t="s">
        <v>1426</v>
      </c>
      <c r="B2072" s="62" t="s">
        <v>938</v>
      </c>
      <c r="C2072" s="68" t="s">
        <v>1392</v>
      </c>
      <c r="D2072" s="68" t="s">
        <v>1478</v>
      </c>
      <c r="E2072" s="8" t="s">
        <v>515</v>
      </c>
      <c r="F2072" s="8"/>
      <c r="G2072" s="23" t="s">
        <v>1091</v>
      </c>
      <c r="H2072" s="14">
        <f t="shared" si="928"/>
        <v>179.98399999999995</v>
      </c>
      <c r="I2072" s="14">
        <f t="shared" si="928"/>
        <v>179.98400000000001</v>
      </c>
      <c r="J2072" s="14">
        <f t="shared" si="928"/>
        <v>179.98324</v>
      </c>
      <c r="K2072" s="78">
        <f t="shared" si="922"/>
        <v>99.999577740243566</v>
      </c>
      <c r="L2072" s="14">
        <f t="shared" si="928"/>
        <v>0</v>
      </c>
      <c r="M2072" s="50"/>
      <c r="N2072" s="50"/>
    </row>
    <row r="2073" spans="1:14" ht="62.4" x14ac:dyDescent="0.3">
      <c r="A2073" s="8" t="s">
        <v>1426</v>
      </c>
      <c r="B2073" s="62" t="s">
        <v>938</v>
      </c>
      <c r="C2073" s="68" t="s">
        <v>1392</v>
      </c>
      <c r="D2073" s="68" t="s">
        <v>1478</v>
      </c>
      <c r="E2073" s="8" t="s">
        <v>516</v>
      </c>
      <c r="F2073" s="8"/>
      <c r="G2073" s="23" t="s">
        <v>1169</v>
      </c>
      <c r="H2073" s="14">
        <f t="shared" si="928"/>
        <v>179.98399999999995</v>
      </c>
      <c r="I2073" s="14">
        <f t="shared" si="928"/>
        <v>179.98400000000001</v>
      </c>
      <c r="J2073" s="14">
        <f t="shared" si="928"/>
        <v>179.98324</v>
      </c>
      <c r="K2073" s="78">
        <f t="shared" si="922"/>
        <v>99.999577740243566</v>
      </c>
      <c r="L2073" s="14">
        <f t="shared" si="928"/>
        <v>0</v>
      </c>
      <c r="M2073" s="50"/>
      <c r="N2073" s="50"/>
    </row>
    <row r="2074" spans="1:14" ht="31.2" x14ac:dyDescent="0.3">
      <c r="A2074" s="8" t="s">
        <v>1426</v>
      </c>
      <c r="B2074" s="62" t="s">
        <v>938</v>
      </c>
      <c r="C2074" s="68" t="s">
        <v>1392</v>
      </c>
      <c r="D2074" s="68" t="s">
        <v>1478</v>
      </c>
      <c r="E2074" s="8" t="s">
        <v>1245</v>
      </c>
      <c r="F2074" s="8"/>
      <c r="G2074" s="18" t="s">
        <v>1248</v>
      </c>
      <c r="H2074" s="14">
        <f t="shared" si="928"/>
        <v>179.98399999999995</v>
      </c>
      <c r="I2074" s="14">
        <f t="shared" si="928"/>
        <v>179.98400000000001</v>
      </c>
      <c r="J2074" s="14">
        <f t="shared" si="928"/>
        <v>179.98324</v>
      </c>
      <c r="K2074" s="78">
        <f t="shared" si="922"/>
        <v>99.999577740243566</v>
      </c>
      <c r="L2074" s="14">
        <f t="shared" si="928"/>
        <v>0</v>
      </c>
      <c r="M2074" s="50"/>
      <c r="N2074" s="50"/>
    </row>
    <row r="2075" spans="1:14" ht="31.2" x14ac:dyDescent="0.3">
      <c r="A2075" s="8" t="s">
        <v>1426</v>
      </c>
      <c r="B2075" s="62" t="s">
        <v>938</v>
      </c>
      <c r="C2075" s="68" t="s">
        <v>1392</v>
      </c>
      <c r="D2075" s="68" t="s">
        <v>1478</v>
      </c>
      <c r="E2075" s="8" t="s">
        <v>1245</v>
      </c>
      <c r="F2075" s="45" t="s">
        <v>380</v>
      </c>
      <c r="G2075" s="23" t="s">
        <v>809</v>
      </c>
      <c r="H2075" s="14">
        <f t="shared" si="928"/>
        <v>179.98399999999995</v>
      </c>
      <c r="I2075" s="14">
        <f t="shared" si="928"/>
        <v>179.98400000000001</v>
      </c>
      <c r="J2075" s="14">
        <f t="shared" si="928"/>
        <v>179.98324</v>
      </c>
      <c r="K2075" s="78">
        <f t="shared" si="922"/>
        <v>99.999577740243566</v>
      </c>
      <c r="L2075" s="14">
        <f t="shared" si="928"/>
        <v>0</v>
      </c>
      <c r="M2075" s="50"/>
      <c r="N2075" s="50"/>
    </row>
    <row r="2076" spans="1:14" ht="31.2" x14ac:dyDescent="0.3">
      <c r="A2076" s="8" t="s">
        <v>1426</v>
      </c>
      <c r="B2076" s="62" t="s">
        <v>938</v>
      </c>
      <c r="C2076" s="68" t="s">
        <v>1392</v>
      </c>
      <c r="D2076" s="68" t="s">
        <v>1478</v>
      </c>
      <c r="E2076" s="8" t="s">
        <v>1245</v>
      </c>
      <c r="F2076" s="8" t="s">
        <v>247</v>
      </c>
      <c r="G2076" s="23" t="s">
        <v>810</v>
      </c>
      <c r="H2076" s="14">
        <f>612.8-242.389-190.427</f>
        <v>179.98399999999995</v>
      </c>
      <c r="I2076" s="14">
        <v>179.98400000000001</v>
      </c>
      <c r="J2076" s="14">
        <v>179.98324</v>
      </c>
      <c r="K2076" s="78">
        <f t="shared" si="922"/>
        <v>99.999577740243566</v>
      </c>
      <c r="L2076" s="14"/>
      <c r="M2076" s="50"/>
      <c r="N2076" s="50"/>
    </row>
    <row r="2077" spans="1:14" s="9" customFormat="1" ht="16.5" customHeight="1" x14ac:dyDescent="0.3">
      <c r="A2077" s="11" t="s">
        <v>1426</v>
      </c>
      <c r="B2077" s="48" t="s">
        <v>939</v>
      </c>
      <c r="C2077" s="48" t="s">
        <v>1392</v>
      </c>
      <c r="D2077" s="48" t="s">
        <v>1391</v>
      </c>
      <c r="E2077" s="11"/>
      <c r="F2077" s="11"/>
      <c r="G2077" s="7" t="s">
        <v>1423</v>
      </c>
      <c r="H2077" s="16">
        <f>H2084+H2092+H2111+H2078+H2103</f>
        <v>23936.828999999998</v>
      </c>
      <c r="I2077" s="16">
        <f t="shared" ref="I2077:L2077" si="929">I2084+I2092+I2111+I2078+I2103</f>
        <v>70149.837899999999</v>
      </c>
      <c r="J2077" s="16">
        <f t="shared" si="929"/>
        <v>64835.200599999996</v>
      </c>
      <c r="K2077" s="82">
        <f t="shared" si="922"/>
        <v>92.423878003002486</v>
      </c>
      <c r="L2077" s="16">
        <f t="shared" si="929"/>
        <v>0</v>
      </c>
      <c r="M2077" s="65"/>
      <c r="N2077" s="65"/>
    </row>
    <row r="2078" spans="1:14" ht="31.2" x14ac:dyDescent="0.3">
      <c r="A2078" s="8" t="s">
        <v>1426</v>
      </c>
      <c r="B2078" s="62" t="s">
        <v>939</v>
      </c>
      <c r="C2078" s="68" t="s">
        <v>1392</v>
      </c>
      <c r="D2078" s="68" t="s">
        <v>1391</v>
      </c>
      <c r="E2078" s="8" t="s">
        <v>355</v>
      </c>
      <c r="F2078" s="8"/>
      <c r="G2078" s="13" t="s">
        <v>893</v>
      </c>
      <c r="H2078" s="14">
        <f>H2079</f>
        <v>115.17100000000005</v>
      </c>
      <c r="I2078" s="14">
        <f t="shared" ref="I2078:L2082" si="930">I2079</f>
        <v>115.17100000000001</v>
      </c>
      <c r="J2078" s="14">
        <f t="shared" si="930"/>
        <v>115.17027</v>
      </c>
      <c r="K2078" s="78">
        <f t="shared" si="922"/>
        <v>99.999366159883991</v>
      </c>
      <c r="L2078" s="14">
        <f t="shared" si="930"/>
        <v>0</v>
      </c>
      <c r="M2078" s="50"/>
      <c r="N2078" s="50"/>
    </row>
    <row r="2079" spans="1:14" ht="31.2" x14ac:dyDescent="0.3">
      <c r="A2079" s="8" t="s">
        <v>1426</v>
      </c>
      <c r="B2079" s="62" t="s">
        <v>939</v>
      </c>
      <c r="C2079" s="68" t="s">
        <v>1392</v>
      </c>
      <c r="D2079" s="68" t="s">
        <v>1391</v>
      </c>
      <c r="E2079" s="8" t="s">
        <v>356</v>
      </c>
      <c r="F2079" s="8"/>
      <c r="G2079" s="13" t="s">
        <v>894</v>
      </c>
      <c r="H2079" s="14">
        <f>H2080</f>
        <v>115.17100000000005</v>
      </c>
      <c r="I2079" s="14">
        <f t="shared" si="930"/>
        <v>115.17100000000001</v>
      </c>
      <c r="J2079" s="14">
        <f t="shared" si="930"/>
        <v>115.17027</v>
      </c>
      <c r="K2079" s="78">
        <f t="shared" si="922"/>
        <v>99.999366159883991</v>
      </c>
      <c r="L2079" s="14">
        <f t="shared" si="930"/>
        <v>0</v>
      </c>
      <c r="M2079" s="50"/>
      <c r="N2079" s="50"/>
    </row>
    <row r="2080" spans="1:14" ht="62.4" x14ac:dyDescent="0.3">
      <c r="A2080" s="8" t="s">
        <v>1426</v>
      </c>
      <c r="B2080" s="62" t="s">
        <v>939</v>
      </c>
      <c r="C2080" s="68" t="s">
        <v>1392</v>
      </c>
      <c r="D2080" s="68" t="s">
        <v>1391</v>
      </c>
      <c r="E2080" s="8" t="s">
        <v>593</v>
      </c>
      <c r="F2080" s="8"/>
      <c r="G2080" s="18" t="s">
        <v>1035</v>
      </c>
      <c r="H2080" s="14">
        <f>H2081</f>
        <v>115.17100000000005</v>
      </c>
      <c r="I2080" s="14">
        <f t="shared" si="930"/>
        <v>115.17100000000001</v>
      </c>
      <c r="J2080" s="14">
        <f t="shared" si="930"/>
        <v>115.17027</v>
      </c>
      <c r="K2080" s="78">
        <f t="shared" si="922"/>
        <v>99.999366159883991</v>
      </c>
      <c r="L2080" s="14">
        <f t="shared" si="930"/>
        <v>0</v>
      </c>
      <c r="M2080" s="50"/>
      <c r="N2080" s="50"/>
    </row>
    <row r="2081" spans="1:14" ht="31.2" x14ac:dyDescent="0.3">
      <c r="A2081" s="8" t="s">
        <v>1426</v>
      </c>
      <c r="B2081" s="62" t="s">
        <v>939</v>
      </c>
      <c r="C2081" s="68" t="s">
        <v>1392</v>
      </c>
      <c r="D2081" s="68" t="s">
        <v>1391</v>
      </c>
      <c r="E2081" s="8" t="s">
        <v>1003</v>
      </c>
      <c r="F2081" s="8"/>
      <c r="G2081" s="23" t="s">
        <v>1004</v>
      </c>
      <c r="H2081" s="14">
        <f>H2082</f>
        <v>115.17100000000005</v>
      </c>
      <c r="I2081" s="14">
        <f t="shared" si="930"/>
        <v>115.17100000000001</v>
      </c>
      <c r="J2081" s="14">
        <f t="shared" si="930"/>
        <v>115.17027</v>
      </c>
      <c r="K2081" s="78">
        <f t="shared" si="922"/>
        <v>99.999366159883991</v>
      </c>
      <c r="L2081" s="14">
        <f t="shared" si="930"/>
        <v>0</v>
      </c>
      <c r="M2081" s="50"/>
      <c r="N2081" s="50"/>
    </row>
    <row r="2082" spans="1:14" ht="31.2" x14ac:dyDescent="0.3">
      <c r="A2082" s="8" t="s">
        <v>1426</v>
      </c>
      <c r="B2082" s="62" t="s">
        <v>939</v>
      </c>
      <c r="C2082" s="68" t="s">
        <v>1392</v>
      </c>
      <c r="D2082" s="68" t="s">
        <v>1391</v>
      </c>
      <c r="E2082" s="8" t="s">
        <v>1003</v>
      </c>
      <c r="F2082" s="45" t="s">
        <v>380</v>
      </c>
      <c r="G2082" s="23" t="s">
        <v>809</v>
      </c>
      <c r="H2082" s="14">
        <f>H2083</f>
        <v>115.17100000000005</v>
      </c>
      <c r="I2082" s="14">
        <f t="shared" si="930"/>
        <v>115.17100000000001</v>
      </c>
      <c r="J2082" s="14">
        <f t="shared" si="930"/>
        <v>115.17027</v>
      </c>
      <c r="K2082" s="78">
        <f t="shared" si="922"/>
        <v>99.999366159883991</v>
      </c>
      <c r="L2082" s="14">
        <f t="shared" si="930"/>
        <v>0</v>
      </c>
      <c r="M2082" s="50"/>
      <c r="N2082" s="50"/>
    </row>
    <row r="2083" spans="1:14" ht="31.2" x14ac:dyDescent="0.3">
      <c r="A2083" s="8" t="s">
        <v>1426</v>
      </c>
      <c r="B2083" s="62" t="s">
        <v>939</v>
      </c>
      <c r="C2083" s="68" t="s">
        <v>1392</v>
      </c>
      <c r="D2083" s="68" t="s">
        <v>1391</v>
      </c>
      <c r="E2083" s="8" t="s">
        <v>1003</v>
      </c>
      <c r="F2083" s="8" t="s">
        <v>247</v>
      </c>
      <c r="G2083" s="23" t="s">
        <v>810</v>
      </c>
      <c r="H2083" s="14">
        <f>525.282-410.111</f>
        <v>115.17100000000005</v>
      </c>
      <c r="I2083" s="14">
        <v>115.17100000000001</v>
      </c>
      <c r="J2083" s="20">
        <v>115.17027</v>
      </c>
      <c r="K2083" s="77">
        <f t="shared" si="922"/>
        <v>99.999366159883991</v>
      </c>
      <c r="L2083" s="14"/>
      <c r="M2083" s="50"/>
      <c r="N2083" s="50"/>
    </row>
    <row r="2084" spans="1:14" ht="62.4" x14ac:dyDescent="0.3">
      <c r="A2084" s="8" t="s">
        <v>1426</v>
      </c>
      <c r="B2084" s="62" t="s">
        <v>939</v>
      </c>
      <c r="C2084" s="68" t="s">
        <v>1392</v>
      </c>
      <c r="D2084" s="68" t="s">
        <v>1391</v>
      </c>
      <c r="E2084" s="8" t="s">
        <v>358</v>
      </c>
      <c r="F2084" s="8"/>
      <c r="G2084" s="13" t="s">
        <v>1040</v>
      </c>
      <c r="H2084" s="14">
        <f t="shared" ref="H2084:L2084" si="931">H2085</f>
        <v>21564.258000000002</v>
      </c>
      <c r="I2084" s="14">
        <f t="shared" si="931"/>
        <v>21564.257999999998</v>
      </c>
      <c r="J2084" s="14">
        <f t="shared" si="931"/>
        <v>16260.125749999999</v>
      </c>
      <c r="K2084" s="78">
        <f t="shared" si="922"/>
        <v>75.403131190509782</v>
      </c>
      <c r="L2084" s="14">
        <f t="shared" si="931"/>
        <v>0</v>
      </c>
      <c r="M2084" s="50"/>
      <c r="N2084" s="50"/>
    </row>
    <row r="2085" spans="1:14" ht="31.2" x14ac:dyDescent="0.3">
      <c r="A2085" s="8" t="s">
        <v>1426</v>
      </c>
      <c r="B2085" s="62" t="s">
        <v>939</v>
      </c>
      <c r="C2085" s="68" t="s">
        <v>1392</v>
      </c>
      <c r="D2085" s="68" t="s">
        <v>1391</v>
      </c>
      <c r="E2085" s="8" t="s">
        <v>359</v>
      </c>
      <c r="F2085" s="8"/>
      <c r="G2085" s="13" t="s">
        <v>1041</v>
      </c>
      <c r="H2085" s="14">
        <f>H2086+H2089</f>
        <v>21564.258000000002</v>
      </c>
      <c r="I2085" s="14">
        <f>I2086+I2089</f>
        <v>21564.257999999998</v>
      </c>
      <c r="J2085" s="14">
        <f t="shared" ref="J2085" si="932">J2086+J2089</f>
        <v>16260.125749999999</v>
      </c>
      <c r="K2085" s="78">
        <f t="shared" si="922"/>
        <v>75.403131190509782</v>
      </c>
      <c r="L2085" s="14">
        <f>L2086+L2089</f>
        <v>0</v>
      </c>
      <c r="M2085" s="50"/>
      <c r="N2085" s="50"/>
    </row>
    <row r="2086" spans="1:14" ht="31.2" x14ac:dyDescent="0.3">
      <c r="A2086" s="8" t="s">
        <v>1426</v>
      </c>
      <c r="B2086" s="62" t="s">
        <v>939</v>
      </c>
      <c r="C2086" s="68" t="s">
        <v>1392</v>
      </c>
      <c r="D2086" s="68" t="s">
        <v>1391</v>
      </c>
      <c r="E2086" s="8" t="s">
        <v>370</v>
      </c>
      <c r="F2086" s="8"/>
      <c r="G2086" s="18" t="s">
        <v>125</v>
      </c>
      <c r="H2086" s="14">
        <f t="shared" ref="H2086:L2086" si="933">H2087</f>
        <v>20190.370000000003</v>
      </c>
      <c r="I2086" s="14">
        <f t="shared" si="933"/>
        <v>20190.37</v>
      </c>
      <c r="J2086" s="14">
        <f t="shared" si="933"/>
        <v>14886.23775</v>
      </c>
      <c r="K2086" s="78">
        <f t="shared" si="922"/>
        <v>73.729395498943319</v>
      </c>
      <c r="L2086" s="14">
        <f t="shared" si="933"/>
        <v>0</v>
      </c>
      <c r="M2086" s="50"/>
      <c r="N2086" s="50"/>
    </row>
    <row r="2087" spans="1:14" ht="31.2" x14ac:dyDescent="0.3">
      <c r="A2087" s="8" t="s">
        <v>1426</v>
      </c>
      <c r="B2087" s="62" t="s">
        <v>939</v>
      </c>
      <c r="C2087" s="68" t="s">
        <v>1392</v>
      </c>
      <c r="D2087" s="68" t="s">
        <v>1391</v>
      </c>
      <c r="E2087" s="8" t="s">
        <v>370</v>
      </c>
      <c r="F2087" s="45" t="s">
        <v>380</v>
      </c>
      <c r="G2087" s="23" t="s">
        <v>809</v>
      </c>
      <c r="H2087" s="14">
        <f t="shared" ref="H2087:L2087" si="934">H2088</f>
        <v>20190.370000000003</v>
      </c>
      <c r="I2087" s="14">
        <f t="shared" si="934"/>
        <v>20190.37</v>
      </c>
      <c r="J2087" s="14">
        <f t="shared" si="934"/>
        <v>14886.23775</v>
      </c>
      <c r="K2087" s="78">
        <f t="shared" si="922"/>
        <v>73.729395498943319</v>
      </c>
      <c r="L2087" s="14">
        <f t="shared" si="934"/>
        <v>0</v>
      </c>
      <c r="M2087" s="50"/>
      <c r="N2087" s="50"/>
    </row>
    <row r="2088" spans="1:14" ht="31.2" x14ac:dyDescent="0.3">
      <c r="A2088" s="8" t="s">
        <v>1426</v>
      </c>
      <c r="B2088" s="62" t="s">
        <v>939</v>
      </c>
      <c r="C2088" s="68" t="s">
        <v>1392</v>
      </c>
      <c r="D2088" s="68" t="s">
        <v>1391</v>
      </c>
      <c r="E2088" s="8" t="s">
        <v>370</v>
      </c>
      <c r="F2088" s="8" t="s">
        <v>247</v>
      </c>
      <c r="G2088" s="23" t="s">
        <v>810</v>
      </c>
      <c r="H2088" s="14">
        <f>15104.6-27.982+5303.716-189.964</f>
        <v>20190.370000000003</v>
      </c>
      <c r="I2088" s="14">
        <v>20190.37</v>
      </c>
      <c r="J2088" s="14">
        <v>14886.23775</v>
      </c>
      <c r="K2088" s="78">
        <f t="shared" si="922"/>
        <v>73.729395498943319</v>
      </c>
      <c r="L2088" s="14"/>
      <c r="M2088" s="50"/>
      <c r="N2088" s="50"/>
    </row>
    <row r="2089" spans="1:14" ht="31.2" x14ac:dyDescent="0.3">
      <c r="A2089" s="8" t="s">
        <v>1426</v>
      </c>
      <c r="B2089" s="62" t="s">
        <v>939</v>
      </c>
      <c r="C2089" s="68" t="s">
        <v>1392</v>
      </c>
      <c r="D2089" s="68" t="s">
        <v>1391</v>
      </c>
      <c r="E2089" s="8" t="s">
        <v>371</v>
      </c>
      <c r="F2089" s="8"/>
      <c r="G2089" s="18" t="s">
        <v>126</v>
      </c>
      <c r="H2089" s="14">
        <f t="shared" ref="H2089:L2090" si="935">H2090</f>
        <v>1373.8879999999999</v>
      </c>
      <c r="I2089" s="14">
        <f t="shared" si="935"/>
        <v>1373.8879999999999</v>
      </c>
      <c r="J2089" s="14">
        <f t="shared" si="935"/>
        <v>1373.8879999999999</v>
      </c>
      <c r="K2089" s="78">
        <f t="shared" si="922"/>
        <v>100</v>
      </c>
      <c r="L2089" s="14">
        <f t="shared" si="935"/>
        <v>0</v>
      </c>
      <c r="M2089" s="50"/>
      <c r="N2089" s="50"/>
    </row>
    <row r="2090" spans="1:14" ht="31.2" x14ac:dyDescent="0.3">
      <c r="A2090" s="8" t="s">
        <v>1426</v>
      </c>
      <c r="B2090" s="62" t="s">
        <v>939</v>
      </c>
      <c r="C2090" s="68" t="s">
        <v>1392</v>
      </c>
      <c r="D2090" s="68" t="s">
        <v>1391</v>
      </c>
      <c r="E2090" s="8" t="s">
        <v>371</v>
      </c>
      <c r="F2090" s="45" t="s">
        <v>380</v>
      </c>
      <c r="G2090" s="23" t="s">
        <v>809</v>
      </c>
      <c r="H2090" s="14">
        <f t="shared" si="935"/>
        <v>1373.8879999999999</v>
      </c>
      <c r="I2090" s="14">
        <f t="shared" si="935"/>
        <v>1373.8879999999999</v>
      </c>
      <c r="J2090" s="14">
        <f t="shared" si="935"/>
        <v>1373.8879999999999</v>
      </c>
      <c r="K2090" s="78">
        <f t="shared" si="922"/>
        <v>100</v>
      </c>
      <c r="L2090" s="14">
        <f t="shared" si="935"/>
        <v>0</v>
      </c>
      <c r="M2090" s="50"/>
      <c r="N2090" s="50"/>
    </row>
    <row r="2091" spans="1:14" ht="31.2" x14ac:dyDescent="0.3">
      <c r="A2091" s="8" t="s">
        <v>1426</v>
      </c>
      <c r="B2091" s="62" t="s">
        <v>939</v>
      </c>
      <c r="C2091" s="68" t="s">
        <v>1392</v>
      </c>
      <c r="D2091" s="68" t="s">
        <v>1391</v>
      </c>
      <c r="E2091" s="8" t="s">
        <v>371</v>
      </c>
      <c r="F2091" s="8" t="s">
        <v>247</v>
      </c>
      <c r="G2091" s="23" t="s">
        <v>810</v>
      </c>
      <c r="H2091" s="14">
        <f>1387.6-1.4-12.312</f>
        <v>1373.8879999999999</v>
      </c>
      <c r="I2091" s="14">
        <v>1373.8879999999999</v>
      </c>
      <c r="J2091" s="14">
        <v>1373.8879999999999</v>
      </c>
      <c r="K2091" s="78">
        <f t="shared" si="922"/>
        <v>100</v>
      </c>
      <c r="L2091" s="14"/>
      <c r="M2091" s="50"/>
      <c r="N2091" s="50"/>
    </row>
    <row r="2092" spans="1:14" ht="31.2" x14ac:dyDescent="0.3">
      <c r="A2092" s="8" t="s">
        <v>1426</v>
      </c>
      <c r="B2092" s="62" t="s">
        <v>939</v>
      </c>
      <c r="C2092" s="68" t="s">
        <v>1392</v>
      </c>
      <c r="D2092" s="68" t="s">
        <v>1391</v>
      </c>
      <c r="E2092" s="8" t="s">
        <v>368</v>
      </c>
      <c r="F2092" s="8"/>
      <c r="G2092" s="13" t="s">
        <v>1079</v>
      </c>
      <c r="H2092" s="14">
        <f t="shared" ref="H2092:L2096" si="936">H2093</f>
        <v>1889.3</v>
      </c>
      <c r="I2092" s="14">
        <f>I2093+I2098</f>
        <v>2070.0272999999997</v>
      </c>
      <c r="J2092" s="14">
        <f t="shared" ref="J2092:L2092" si="937">J2093+J2098</f>
        <v>2070.0272999999997</v>
      </c>
      <c r="K2092" s="78">
        <f t="shared" si="922"/>
        <v>100</v>
      </c>
      <c r="L2092" s="14">
        <f t="shared" si="937"/>
        <v>0</v>
      </c>
      <c r="M2092" s="50"/>
      <c r="N2092" s="50"/>
    </row>
    <row r="2093" spans="1:14" ht="31.2" x14ac:dyDescent="0.3">
      <c r="A2093" s="8" t="s">
        <v>1426</v>
      </c>
      <c r="B2093" s="62" t="s">
        <v>939</v>
      </c>
      <c r="C2093" s="68" t="s">
        <v>1392</v>
      </c>
      <c r="D2093" s="68" t="s">
        <v>1391</v>
      </c>
      <c r="E2093" s="8" t="s">
        <v>372</v>
      </c>
      <c r="F2093" s="8"/>
      <c r="G2093" s="13" t="s">
        <v>193</v>
      </c>
      <c r="H2093" s="14">
        <f t="shared" si="936"/>
        <v>1889.3</v>
      </c>
      <c r="I2093" s="14">
        <f t="shared" si="936"/>
        <v>1889.3</v>
      </c>
      <c r="J2093" s="14">
        <f t="shared" si="936"/>
        <v>1889.3</v>
      </c>
      <c r="K2093" s="78">
        <f t="shared" si="922"/>
        <v>100</v>
      </c>
      <c r="L2093" s="14">
        <f t="shared" si="936"/>
        <v>0</v>
      </c>
      <c r="M2093" s="50"/>
      <c r="N2093" s="50"/>
    </row>
    <row r="2094" spans="1:14" ht="46.8" x14ac:dyDescent="0.3">
      <c r="A2094" s="8" t="s">
        <v>1426</v>
      </c>
      <c r="B2094" s="62" t="s">
        <v>939</v>
      </c>
      <c r="C2094" s="68" t="s">
        <v>1392</v>
      </c>
      <c r="D2094" s="68" t="s">
        <v>1391</v>
      </c>
      <c r="E2094" s="8" t="s">
        <v>511</v>
      </c>
      <c r="F2094" s="8"/>
      <c r="G2094" s="18" t="s">
        <v>1192</v>
      </c>
      <c r="H2094" s="14">
        <f t="shared" si="936"/>
        <v>1889.3</v>
      </c>
      <c r="I2094" s="14">
        <f t="shared" si="936"/>
        <v>1889.3</v>
      </c>
      <c r="J2094" s="14">
        <f t="shared" si="936"/>
        <v>1889.3</v>
      </c>
      <c r="K2094" s="78">
        <f t="shared" si="922"/>
        <v>100</v>
      </c>
      <c r="L2094" s="14">
        <f t="shared" si="936"/>
        <v>0</v>
      </c>
      <c r="M2094" s="50"/>
      <c r="N2094" s="50"/>
    </row>
    <row r="2095" spans="1:14" ht="31.2" x14ac:dyDescent="0.3">
      <c r="A2095" s="8" t="s">
        <v>1426</v>
      </c>
      <c r="B2095" s="62" t="s">
        <v>939</v>
      </c>
      <c r="C2095" s="68" t="s">
        <v>1392</v>
      </c>
      <c r="D2095" s="68" t="s">
        <v>1391</v>
      </c>
      <c r="E2095" s="8" t="s">
        <v>70</v>
      </c>
      <c r="F2095" s="8"/>
      <c r="G2095" s="13" t="s">
        <v>164</v>
      </c>
      <c r="H2095" s="14">
        <f t="shared" si="936"/>
        <v>1889.3</v>
      </c>
      <c r="I2095" s="14">
        <f t="shared" si="936"/>
        <v>1889.3</v>
      </c>
      <c r="J2095" s="14">
        <f t="shared" si="936"/>
        <v>1889.3</v>
      </c>
      <c r="K2095" s="78">
        <f t="shared" si="922"/>
        <v>100</v>
      </c>
      <c r="L2095" s="14">
        <f t="shared" si="936"/>
        <v>0</v>
      </c>
      <c r="M2095" s="50"/>
      <c r="N2095" s="50"/>
    </row>
    <row r="2096" spans="1:14" ht="31.2" x14ac:dyDescent="0.3">
      <c r="A2096" s="8" t="s">
        <v>1426</v>
      </c>
      <c r="B2096" s="62" t="s">
        <v>939</v>
      </c>
      <c r="C2096" s="68" t="s">
        <v>1392</v>
      </c>
      <c r="D2096" s="68" t="s">
        <v>1391</v>
      </c>
      <c r="E2096" s="8" t="s">
        <v>70</v>
      </c>
      <c r="F2096" s="45" t="s">
        <v>380</v>
      </c>
      <c r="G2096" s="23" t="s">
        <v>809</v>
      </c>
      <c r="H2096" s="14">
        <f t="shared" si="936"/>
        <v>1889.3</v>
      </c>
      <c r="I2096" s="14">
        <f t="shared" si="936"/>
        <v>1889.3</v>
      </c>
      <c r="J2096" s="14">
        <f t="shared" si="936"/>
        <v>1889.3</v>
      </c>
      <c r="K2096" s="78">
        <f t="shared" si="922"/>
        <v>100</v>
      </c>
      <c r="L2096" s="14">
        <f t="shared" si="936"/>
        <v>0</v>
      </c>
      <c r="M2096" s="50"/>
      <c r="N2096" s="50"/>
    </row>
    <row r="2097" spans="1:14" ht="31.2" x14ac:dyDescent="0.3">
      <c r="A2097" s="8" t="s">
        <v>1426</v>
      </c>
      <c r="B2097" s="62" t="s">
        <v>939</v>
      </c>
      <c r="C2097" s="68" t="s">
        <v>1392</v>
      </c>
      <c r="D2097" s="68" t="s">
        <v>1391</v>
      </c>
      <c r="E2097" s="8" t="s">
        <v>70</v>
      </c>
      <c r="F2097" s="8" t="s">
        <v>247</v>
      </c>
      <c r="G2097" s="23" t="s">
        <v>810</v>
      </c>
      <c r="H2097" s="14">
        <v>1889.3</v>
      </c>
      <c r="I2097" s="14">
        <v>1889.3</v>
      </c>
      <c r="J2097" s="14">
        <v>1889.3</v>
      </c>
      <c r="K2097" s="78">
        <f t="shared" si="922"/>
        <v>100</v>
      </c>
      <c r="L2097" s="14"/>
      <c r="M2097" s="50"/>
      <c r="N2097" s="50"/>
    </row>
    <row r="2098" spans="1:14" ht="31.2" x14ac:dyDescent="0.3">
      <c r="A2098" s="8" t="s">
        <v>1426</v>
      </c>
      <c r="B2098" s="62" t="s">
        <v>939</v>
      </c>
      <c r="C2098" s="68" t="s">
        <v>1392</v>
      </c>
      <c r="D2098" s="68" t="s">
        <v>1391</v>
      </c>
      <c r="E2098" s="8" t="s">
        <v>369</v>
      </c>
      <c r="F2098" s="8"/>
      <c r="G2098" s="13" t="s">
        <v>1023</v>
      </c>
      <c r="H2098" s="19">
        <v>0</v>
      </c>
      <c r="I2098" s="14">
        <f>I2099</f>
        <v>180.72730000000001</v>
      </c>
      <c r="J2098" s="14">
        <f t="shared" ref="J2098:L2101" si="938">J2099</f>
        <v>180.72730000000001</v>
      </c>
      <c r="K2098" s="78">
        <f t="shared" si="922"/>
        <v>100</v>
      </c>
      <c r="L2098" s="14">
        <f t="shared" si="938"/>
        <v>0</v>
      </c>
      <c r="M2098" s="50"/>
      <c r="N2098" s="50"/>
    </row>
    <row r="2099" spans="1:14" ht="46.8" x14ac:dyDescent="0.3">
      <c r="A2099" s="8" t="s">
        <v>1426</v>
      </c>
      <c r="B2099" s="62" t="s">
        <v>939</v>
      </c>
      <c r="C2099" s="68" t="s">
        <v>1392</v>
      </c>
      <c r="D2099" s="68" t="s">
        <v>1391</v>
      </c>
      <c r="E2099" s="8" t="s">
        <v>514</v>
      </c>
      <c r="F2099" s="8"/>
      <c r="G2099" s="13" t="s">
        <v>1024</v>
      </c>
      <c r="H2099" s="19">
        <v>0</v>
      </c>
      <c r="I2099" s="14">
        <f>I2100</f>
        <v>180.72730000000001</v>
      </c>
      <c r="J2099" s="14">
        <f t="shared" si="938"/>
        <v>180.72730000000001</v>
      </c>
      <c r="K2099" s="78">
        <f t="shared" si="922"/>
        <v>100</v>
      </c>
      <c r="L2099" s="14">
        <f t="shared" si="938"/>
        <v>0</v>
      </c>
      <c r="M2099" s="50"/>
      <c r="N2099" s="50"/>
    </row>
    <row r="2100" spans="1:14" ht="46.8" x14ac:dyDescent="0.3">
      <c r="A2100" s="8" t="s">
        <v>1426</v>
      </c>
      <c r="B2100" s="62" t="s">
        <v>939</v>
      </c>
      <c r="C2100" s="68" t="s">
        <v>1392</v>
      </c>
      <c r="D2100" s="68" t="s">
        <v>1391</v>
      </c>
      <c r="E2100" s="8" t="s">
        <v>69</v>
      </c>
      <c r="F2100" s="8"/>
      <c r="G2100" s="13" t="s">
        <v>1267</v>
      </c>
      <c r="H2100" s="19">
        <v>0</v>
      </c>
      <c r="I2100" s="14">
        <f>I2101</f>
        <v>180.72730000000001</v>
      </c>
      <c r="J2100" s="14">
        <f t="shared" si="938"/>
        <v>180.72730000000001</v>
      </c>
      <c r="K2100" s="78">
        <f t="shared" si="922"/>
        <v>100</v>
      </c>
      <c r="L2100" s="14">
        <f t="shared" si="938"/>
        <v>0</v>
      </c>
      <c r="M2100" s="50"/>
      <c r="N2100" s="50"/>
    </row>
    <row r="2101" spans="1:14" x14ac:dyDescent="0.3">
      <c r="A2101" s="8" t="s">
        <v>1426</v>
      </c>
      <c r="B2101" s="62" t="s">
        <v>939</v>
      </c>
      <c r="C2101" s="68" t="s">
        <v>1392</v>
      </c>
      <c r="D2101" s="68" t="s">
        <v>1391</v>
      </c>
      <c r="E2101" s="8" t="s">
        <v>69</v>
      </c>
      <c r="F2101" s="8" t="s">
        <v>464</v>
      </c>
      <c r="G2101" s="23" t="s">
        <v>822</v>
      </c>
      <c r="H2101" s="19">
        <v>0</v>
      </c>
      <c r="I2101" s="14">
        <f>I2102</f>
        <v>180.72730000000001</v>
      </c>
      <c r="J2101" s="14">
        <f t="shared" si="938"/>
        <v>180.72730000000001</v>
      </c>
      <c r="K2101" s="78">
        <f t="shared" si="922"/>
        <v>100</v>
      </c>
      <c r="L2101" s="14">
        <f t="shared" si="938"/>
        <v>0</v>
      </c>
      <c r="M2101" s="50"/>
      <c r="N2101" s="50"/>
    </row>
    <row r="2102" spans="1:14" ht="62.4" x14ac:dyDescent="0.3">
      <c r="A2102" s="8" t="s">
        <v>1426</v>
      </c>
      <c r="B2102" s="62" t="s">
        <v>939</v>
      </c>
      <c r="C2102" s="68" t="s">
        <v>1392</v>
      </c>
      <c r="D2102" s="68" t="s">
        <v>1391</v>
      </c>
      <c r="E2102" s="8" t="s">
        <v>69</v>
      </c>
      <c r="F2102" s="8" t="s">
        <v>727</v>
      </c>
      <c r="G2102" s="23" t="s">
        <v>830</v>
      </c>
      <c r="H2102" s="19">
        <v>0</v>
      </c>
      <c r="I2102" s="14">
        <v>180.72730000000001</v>
      </c>
      <c r="J2102" s="14">
        <v>180.72730000000001</v>
      </c>
      <c r="K2102" s="78">
        <f t="shared" si="922"/>
        <v>100</v>
      </c>
      <c r="L2102" s="14"/>
      <c r="M2102" s="50"/>
      <c r="N2102" s="50"/>
    </row>
    <row r="2103" spans="1:14" ht="31.2" x14ac:dyDescent="0.3">
      <c r="A2103" s="8" t="s">
        <v>1426</v>
      </c>
      <c r="B2103" s="62" t="s">
        <v>939</v>
      </c>
      <c r="C2103" s="68" t="s">
        <v>1392</v>
      </c>
      <c r="D2103" s="68" t="s">
        <v>1391</v>
      </c>
      <c r="E2103" s="8" t="s">
        <v>1256</v>
      </c>
      <c r="F2103" s="8"/>
      <c r="G2103" s="23" t="s">
        <v>743</v>
      </c>
      <c r="H2103" s="14">
        <f>H2104</f>
        <v>0</v>
      </c>
      <c r="I2103" s="14">
        <f t="shared" ref="I2103:L2105" si="939">I2104</f>
        <v>45791.381600000001</v>
      </c>
      <c r="J2103" s="14">
        <f t="shared" si="939"/>
        <v>45791.377280000001</v>
      </c>
      <c r="K2103" s="78">
        <f t="shared" si="922"/>
        <v>99.999990565910338</v>
      </c>
      <c r="L2103" s="14">
        <f t="shared" si="939"/>
        <v>0</v>
      </c>
      <c r="M2103" s="50"/>
      <c r="N2103" s="50"/>
    </row>
    <row r="2104" spans="1:14" ht="46.8" x14ac:dyDescent="0.3">
      <c r="A2104" s="8" t="s">
        <v>1426</v>
      </c>
      <c r="B2104" s="62" t="s">
        <v>939</v>
      </c>
      <c r="C2104" s="68" t="s">
        <v>1392</v>
      </c>
      <c r="D2104" s="68" t="s">
        <v>1391</v>
      </c>
      <c r="E2104" s="8" t="s">
        <v>1260</v>
      </c>
      <c r="F2104" s="8"/>
      <c r="G2104" s="23" t="s">
        <v>744</v>
      </c>
      <c r="H2104" s="14">
        <f>H2105</f>
        <v>0</v>
      </c>
      <c r="I2104" s="14">
        <f t="shared" si="939"/>
        <v>45791.381600000001</v>
      </c>
      <c r="J2104" s="14">
        <f t="shared" si="939"/>
        <v>45791.377280000001</v>
      </c>
      <c r="K2104" s="78">
        <f t="shared" si="922"/>
        <v>99.999990565910338</v>
      </c>
      <c r="L2104" s="14">
        <f t="shared" si="939"/>
        <v>0</v>
      </c>
      <c r="M2104" s="50"/>
      <c r="N2104" s="50"/>
    </row>
    <row r="2105" spans="1:14" ht="31.2" x14ac:dyDescent="0.3">
      <c r="A2105" s="8" t="s">
        <v>1426</v>
      </c>
      <c r="B2105" s="62" t="s">
        <v>939</v>
      </c>
      <c r="C2105" s="68" t="s">
        <v>1392</v>
      </c>
      <c r="D2105" s="68" t="s">
        <v>1391</v>
      </c>
      <c r="E2105" s="8" t="s">
        <v>1261</v>
      </c>
      <c r="F2105" s="8"/>
      <c r="G2105" s="23" t="s">
        <v>745</v>
      </c>
      <c r="H2105" s="14">
        <f>H2106</f>
        <v>0</v>
      </c>
      <c r="I2105" s="14">
        <f t="shared" si="939"/>
        <v>45791.381600000001</v>
      </c>
      <c r="J2105" s="14">
        <f t="shared" si="939"/>
        <v>45791.377280000001</v>
      </c>
      <c r="K2105" s="78">
        <f t="shared" si="922"/>
        <v>99.999990565910338</v>
      </c>
      <c r="L2105" s="14">
        <f t="shared" si="939"/>
        <v>0</v>
      </c>
      <c r="M2105" s="50"/>
      <c r="N2105" s="50"/>
    </row>
    <row r="2106" spans="1:14" ht="31.2" x14ac:dyDescent="0.3">
      <c r="A2106" s="8" t="s">
        <v>1426</v>
      </c>
      <c r="B2106" s="62" t="s">
        <v>939</v>
      </c>
      <c r="C2106" s="68" t="s">
        <v>1392</v>
      </c>
      <c r="D2106" s="68" t="s">
        <v>1391</v>
      </c>
      <c r="E2106" s="8" t="s">
        <v>1262</v>
      </c>
      <c r="F2106" s="8"/>
      <c r="G2106" s="23" t="s">
        <v>691</v>
      </c>
      <c r="H2106" s="14">
        <f>H2107+H2109</f>
        <v>0</v>
      </c>
      <c r="I2106" s="14">
        <f t="shared" ref="I2106:L2106" si="940">I2107+I2109</f>
        <v>45791.381600000001</v>
      </c>
      <c r="J2106" s="14">
        <f t="shared" si="940"/>
        <v>45791.377280000001</v>
      </c>
      <c r="K2106" s="78">
        <f t="shared" si="922"/>
        <v>99.999990565910338</v>
      </c>
      <c r="L2106" s="14">
        <f t="shared" si="940"/>
        <v>0</v>
      </c>
      <c r="M2106" s="50"/>
      <c r="N2106" s="50"/>
    </row>
    <row r="2107" spans="1:14" ht="31.2" x14ac:dyDescent="0.3">
      <c r="A2107" s="8" t="s">
        <v>1426</v>
      </c>
      <c r="B2107" s="62" t="s">
        <v>939</v>
      </c>
      <c r="C2107" s="68" t="s">
        <v>1392</v>
      </c>
      <c r="D2107" s="68" t="s">
        <v>1391</v>
      </c>
      <c r="E2107" s="8" t="s">
        <v>1262</v>
      </c>
      <c r="F2107" s="45" t="s">
        <v>402</v>
      </c>
      <c r="G2107" s="23" t="s">
        <v>819</v>
      </c>
      <c r="H2107" s="14">
        <f>H2108</f>
        <v>0</v>
      </c>
      <c r="I2107" s="14">
        <f t="shared" ref="I2107:L2107" si="941">I2108</f>
        <v>12260.17635</v>
      </c>
      <c r="J2107" s="14">
        <f t="shared" si="941"/>
        <v>12260.17635</v>
      </c>
      <c r="K2107" s="78">
        <f t="shared" si="922"/>
        <v>100</v>
      </c>
      <c r="L2107" s="14">
        <f t="shared" si="941"/>
        <v>0</v>
      </c>
      <c r="M2107" s="50"/>
      <c r="N2107" s="50"/>
    </row>
    <row r="2108" spans="1:14" ht="46.8" x14ac:dyDescent="0.3">
      <c r="A2108" s="8" t="s">
        <v>1426</v>
      </c>
      <c r="B2108" s="62" t="s">
        <v>939</v>
      </c>
      <c r="C2108" s="68" t="s">
        <v>1392</v>
      </c>
      <c r="D2108" s="68" t="s">
        <v>1391</v>
      </c>
      <c r="E2108" s="8" t="s">
        <v>1262</v>
      </c>
      <c r="F2108" s="45" t="s">
        <v>280</v>
      </c>
      <c r="G2108" s="23" t="s">
        <v>821</v>
      </c>
      <c r="H2108" s="20">
        <v>0</v>
      </c>
      <c r="I2108" s="14">
        <v>12260.17635</v>
      </c>
      <c r="J2108" s="14">
        <v>12260.17635</v>
      </c>
      <c r="K2108" s="78">
        <f t="shared" si="922"/>
        <v>100</v>
      </c>
      <c r="L2108" s="14"/>
      <c r="M2108" s="50"/>
      <c r="N2108" s="50"/>
    </row>
    <row r="2109" spans="1:14" ht="16.5" customHeight="1" x14ac:dyDescent="0.3">
      <c r="A2109" s="8" t="s">
        <v>1426</v>
      </c>
      <c r="B2109" s="62" t="s">
        <v>939</v>
      </c>
      <c r="C2109" s="68" t="s">
        <v>1392</v>
      </c>
      <c r="D2109" s="68" t="s">
        <v>1391</v>
      </c>
      <c r="E2109" s="8" t="s">
        <v>1262</v>
      </c>
      <c r="F2109" s="8" t="s">
        <v>464</v>
      </c>
      <c r="G2109" s="23" t="s">
        <v>822</v>
      </c>
      <c r="H2109" s="14">
        <f>H2110</f>
        <v>0</v>
      </c>
      <c r="I2109" s="14">
        <f t="shared" ref="I2109:L2109" si="942">I2110</f>
        <v>33531.205249999999</v>
      </c>
      <c r="J2109" s="14">
        <f t="shared" si="942"/>
        <v>33531.200929999999</v>
      </c>
      <c r="K2109" s="78">
        <f t="shared" si="922"/>
        <v>99.999987116478621</v>
      </c>
      <c r="L2109" s="14">
        <f t="shared" si="942"/>
        <v>0</v>
      </c>
      <c r="M2109" s="50"/>
      <c r="N2109" s="50"/>
    </row>
    <row r="2110" spans="1:14" ht="62.4" x14ac:dyDescent="0.3">
      <c r="A2110" s="8" t="s">
        <v>1426</v>
      </c>
      <c r="B2110" s="62" t="s">
        <v>939</v>
      </c>
      <c r="C2110" s="68" t="s">
        <v>1392</v>
      </c>
      <c r="D2110" s="68" t="s">
        <v>1391</v>
      </c>
      <c r="E2110" s="8" t="s">
        <v>1262</v>
      </c>
      <c r="F2110" s="8" t="s">
        <v>727</v>
      </c>
      <c r="G2110" s="23" t="s">
        <v>830</v>
      </c>
      <c r="H2110" s="20">
        <v>0</v>
      </c>
      <c r="I2110" s="14">
        <v>33531.205249999999</v>
      </c>
      <c r="J2110" s="14">
        <v>33531.200929999999</v>
      </c>
      <c r="K2110" s="78">
        <f t="shared" si="922"/>
        <v>99.999987116478621</v>
      </c>
      <c r="L2110" s="14"/>
      <c r="M2110" s="50"/>
      <c r="N2110" s="50"/>
    </row>
    <row r="2111" spans="1:14" ht="31.2" x14ac:dyDescent="0.3">
      <c r="A2111" s="8" t="s">
        <v>1426</v>
      </c>
      <c r="B2111" s="62" t="s">
        <v>939</v>
      </c>
      <c r="C2111" s="68" t="s">
        <v>1392</v>
      </c>
      <c r="D2111" s="68" t="s">
        <v>1391</v>
      </c>
      <c r="E2111" s="8" t="s">
        <v>429</v>
      </c>
      <c r="F2111" s="8"/>
      <c r="G2111" s="23" t="s">
        <v>1140</v>
      </c>
      <c r="H2111" s="14">
        <f t="shared" ref="H2111:L2113" si="943">H2112</f>
        <v>368.1</v>
      </c>
      <c r="I2111" s="14">
        <f t="shared" si="943"/>
        <v>609</v>
      </c>
      <c r="J2111" s="14">
        <f t="shared" si="943"/>
        <v>598.5</v>
      </c>
      <c r="K2111" s="78">
        <f t="shared" si="922"/>
        <v>98.275862068965509</v>
      </c>
      <c r="L2111" s="14">
        <f t="shared" si="943"/>
        <v>0</v>
      </c>
      <c r="M2111" s="50"/>
      <c r="N2111" s="50"/>
    </row>
    <row r="2112" spans="1:14" ht="46.8" x14ac:dyDescent="0.3">
      <c r="A2112" s="8" t="s">
        <v>1426</v>
      </c>
      <c r="B2112" s="62" t="s">
        <v>939</v>
      </c>
      <c r="C2112" s="68" t="s">
        <v>1392</v>
      </c>
      <c r="D2112" s="68" t="s">
        <v>1391</v>
      </c>
      <c r="E2112" s="8" t="s">
        <v>535</v>
      </c>
      <c r="F2112" s="8"/>
      <c r="G2112" s="31" t="s">
        <v>176</v>
      </c>
      <c r="H2112" s="14">
        <f t="shared" si="943"/>
        <v>368.1</v>
      </c>
      <c r="I2112" s="14">
        <f>I2113+I2115+I2117</f>
        <v>609</v>
      </c>
      <c r="J2112" s="14">
        <f t="shared" ref="J2112:L2112" si="944">J2113+J2115+J2117</f>
        <v>598.5</v>
      </c>
      <c r="K2112" s="78">
        <f t="shared" si="922"/>
        <v>98.275862068965509</v>
      </c>
      <c r="L2112" s="14">
        <f t="shared" si="944"/>
        <v>0</v>
      </c>
      <c r="M2112" s="50"/>
      <c r="N2112" s="50"/>
    </row>
    <row r="2113" spans="1:14" ht="31.2" x14ac:dyDescent="0.3">
      <c r="A2113" s="8" t="s">
        <v>1426</v>
      </c>
      <c r="B2113" s="62" t="s">
        <v>939</v>
      </c>
      <c r="C2113" s="68" t="s">
        <v>1392</v>
      </c>
      <c r="D2113" s="68" t="s">
        <v>1391</v>
      </c>
      <c r="E2113" s="8" t="s">
        <v>535</v>
      </c>
      <c r="F2113" s="45" t="s">
        <v>380</v>
      </c>
      <c r="G2113" s="23" t="s">
        <v>809</v>
      </c>
      <c r="H2113" s="14">
        <f t="shared" si="943"/>
        <v>368.1</v>
      </c>
      <c r="I2113" s="14">
        <f t="shared" si="943"/>
        <v>458</v>
      </c>
      <c r="J2113" s="14">
        <f t="shared" si="943"/>
        <v>447.5</v>
      </c>
      <c r="K2113" s="78">
        <f t="shared" si="922"/>
        <v>97.707423580786028</v>
      </c>
      <c r="L2113" s="14">
        <f t="shared" si="943"/>
        <v>0</v>
      </c>
      <c r="M2113" s="50"/>
      <c r="N2113" s="50"/>
    </row>
    <row r="2114" spans="1:14" ht="31.2" x14ac:dyDescent="0.3">
      <c r="A2114" s="8" t="s">
        <v>1426</v>
      </c>
      <c r="B2114" s="62" t="s">
        <v>939</v>
      </c>
      <c r="C2114" s="68" t="s">
        <v>1392</v>
      </c>
      <c r="D2114" s="68" t="s">
        <v>1391</v>
      </c>
      <c r="E2114" s="8" t="s">
        <v>535</v>
      </c>
      <c r="F2114" s="8" t="s">
        <v>247</v>
      </c>
      <c r="G2114" s="23" t="s">
        <v>810</v>
      </c>
      <c r="H2114" s="14">
        <v>368.1</v>
      </c>
      <c r="I2114" s="14">
        <v>458</v>
      </c>
      <c r="J2114" s="14">
        <v>447.5</v>
      </c>
      <c r="K2114" s="78">
        <f t="shared" si="922"/>
        <v>97.707423580786028</v>
      </c>
      <c r="L2114" s="14"/>
      <c r="M2114" s="50"/>
      <c r="N2114" s="50"/>
    </row>
    <row r="2115" spans="1:14" ht="31.2" x14ac:dyDescent="0.3">
      <c r="A2115" s="8" t="s">
        <v>1426</v>
      </c>
      <c r="B2115" s="62" t="s">
        <v>939</v>
      </c>
      <c r="C2115" s="68" t="s">
        <v>1392</v>
      </c>
      <c r="D2115" s="68" t="s">
        <v>1391</v>
      </c>
      <c r="E2115" s="8" t="s">
        <v>535</v>
      </c>
      <c r="F2115" s="45" t="s">
        <v>402</v>
      </c>
      <c r="G2115" s="23" t="s">
        <v>819</v>
      </c>
      <c r="H2115" s="19">
        <v>0</v>
      </c>
      <c r="I2115" s="14">
        <f>I2116</f>
        <v>115</v>
      </c>
      <c r="J2115" s="14">
        <f t="shared" ref="J2115:L2115" si="945">J2116</f>
        <v>115</v>
      </c>
      <c r="K2115" s="78">
        <f t="shared" si="922"/>
        <v>100</v>
      </c>
      <c r="L2115" s="14">
        <f t="shared" si="945"/>
        <v>0</v>
      </c>
      <c r="M2115" s="50"/>
      <c r="N2115" s="50"/>
    </row>
    <row r="2116" spans="1:14" ht="46.8" x14ac:dyDescent="0.3">
      <c r="A2116" s="8" t="s">
        <v>1426</v>
      </c>
      <c r="B2116" s="62" t="s">
        <v>939</v>
      </c>
      <c r="C2116" s="68" t="s">
        <v>1392</v>
      </c>
      <c r="D2116" s="68" t="s">
        <v>1391</v>
      </c>
      <c r="E2116" s="8" t="s">
        <v>535</v>
      </c>
      <c r="F2116" s="45" t="s">
        <v>280</v>
      </c>
      <c r="G2116" s="23" t="s">
        <v>821</v>
      </c>
      <c r="H2116" s="19">
        <v>0</v>
      </c>
      <c r="I2116" s="14">
        <v>115</v>
      </c>
      <c r="J2116" s="14">
        <v>115</v>
      </c>
      <c r="K2116" s="78">
        <f t="shared" si="922"/>
        <v>100</v>
      </c>
      <c r="L2116" s="14"/>
      <c r="M2116" s="50"/>
      <c r="N2116" s="50"/>
    </row>
    <row r="2117" spans="1:14" x14ac:dyDescent="0.3">
      <c r="A2117" s="8" t="s">
        <v>1426</v>
      </c>
      <c r="B2117" s="62" t="s">
        <v>939</v>
      </c>
      <c r="C2117" s="68" t="s">
        <v>1392</v>
      </c>
      <c r="D2117" s="68" t="s">
        <v>1391</v>
      </c>
      <c r="E2117" s="8" t="s">
        <v>535</v>
      </c>
      <c r="F2117" s="8" t="s">
        <v>464</v>
      </c>
      <c r="G2117" s="23" t="s">
        <v>822</v>
      </c>
      <c r="H2117" s="19">
        <v>0</v>
      </c>
      <c r="I2117" s="14">
        <f>I2118</f>
        <v>36</v>
      </c>
      <c r="J2117" s="14">
        <f t="shared" ref="J2117:L2117" si="946">J2118</f>
        <v>36</v>
      </c>
      <c r="K2117" s="78">
        <f t="shared" si="922"/>
        <v>100</v>
      </c>
      <c r="L2117" s="14">
        <f t="shared" si="946"/>
        <v>0</v>
      </c>
      <c r="M2117" s="50"/>
      <c r="N2117" s="50"/>
    </row>
    <row r="2118" spans="1:14" ht="62.4" x14ac:dyDescent="0.3">
      <c r="A2118" s="8" t="s">
        <v>1426</v>
      </c>
      <c r="B2118" s="62" t="s">
        <v>939</v>
      </c>
      <c r="C2118" s="68" t="s">
        <v>1392</v>
      </c>
      <c r="D2118" s="68" t="s">
        <v>1391</v>
      </c>
      <c r="E2118" s="8" t="s">
        <v>535</v>
      </c>
      <c r="F2118" s="8" t="s">
        <v>727</v>
      </c>
      <c r="G2118" s="23" t="s">
        <v>830</v>
      </c>
      <c r="H2118" s="19">
        <v>0</v>
      </c>
      <c r="I2118" s="14">
        <v>36</v>
      </c>
      <c r="J2118" s="14">
        <v>36</v>
      </c>
      <c r="K2118" s="78">
        <f t="shared" si="922"/>
        <v>100</v>
      </c>
      <c r="L2118" s="14"/>
      <c r="M2118" s="50"/>
      <c r="N2118" s="50"/>
    </row>
    <row r="2119" spans="1:14" s="9" customFormat="1" ht="31.2" x14ac:dyDescent="0.3">
      <c r="A2119" s="11" t="s">
        <v>1426</v>
      </c>
      <c r="B2119" s="48" t="s">
        <v>940</v>
      </c>
      <c r="C2119" s="48" t="s">
        <v>1392</v>
      </c>
      <c r="D2119" s="48" t="s">
        <v>1392</v>
      </c>
      <c r="E2119" s="11"/>
      <c r="F2119" s="11"/>
      <c r="G2119" s="7" t="s">
        <v>1424</v>
      </c>
      <c r="H2119" s="16">
        <f t="shared" ref="H2119:L2122" si="947">H2120</f>
        <v>10659.4</v>
      </c>
      <c r="I2119" s="16">
        <f t="shared" si="947"/>
        <v>10700.057000000001</v>
      </c>
      <c r="J2119" s="16">
        <f t="shared" si="947"/>
        <v>10700.05659</v>
      </c>
      <c r="K2119" s="82">
        <f t="shared" si="922"/>
        <v>99.999996168244706</v>
      </c>
      <c r="L2119" s="16">
        <f t="shared" si="947"/>
        <v>0</v>
      </c>
      <c r="M2119" s="65"/>
      <c r="N2119" s="65"/>
    </row>
    <row r="2120" spans="1:14" ht="31.2" x14ac:dyDescent="0.3">
      <c r="A2120" s="8" t="s">
        <v>1426</v>
      </c>
      <c r="B2120" s="62" t="s">
        <v>940</v>
      </c>
      <c r="C2120" s="68" t="s">
        <v>1392</v>
      </c>
      <c r="D2120" s="68" t="s">
        <v>1392</v>
      </c>
      <c r="E2120" s="8" t="s">
        <v>355</v>
      </c>
      <c r="F2120" s="8"/>
      <c r="G2120" s="13" t="s">
        <v>893</v>
      </c>
      <c r="H2120" s="14">
        <f t="shared" si="947"/>
        <v>10659.4</v>
      </c>
      <c r="I2120" s="14">
        <f t="shared" si="947"/>
        <v>10700.057000000001</v>
      </c>
      <c r="J2120" s="14">
        <f t="shared" si="947"/>
        <v>10700.05659</v>
      </c>
      <c r="K2120" s="78">
        <f t="shared" ref="K2120:K2183" si="948">J2120/I2120*100</f>
        <v>99.999996168244706</v>
      </c>
      <c r="L2120" s="14">
        <f t="shared" si="947"/>
        <v>0</v>
      </c>
      <c r="M2120" s="50"/>
      <c r="N2120" s="50"/>
    </row>
    <row r="2121" spans="1:14" ht="31.2" x14ac:dyDescent="0.3">
      <c r="A2121" s="8" t="s">
        <v>1426</v>
      </c>
      <c r="B2121" s="62" t="s">
        <v>940</v>
      </c>
      <c r="C2121" s="68" t="s">
        <v>1392</v>
      </c>
      <c r="D2121" s="68" t="s">
        <v>1392</v>
      </c>
      <c r="E2121" s="8" t="s">
        <v>373</v>
      </c>
      <c r="F2121" s="8"/>
      <c r="G2121" s="13" t="s">
        <v>1038</v>
      </c>
      <c r="H2121" s="14">
        <f t="shared" si="947"/>
        <v>10659.4</v>
      </c>
      <c r="I2121" s="14">
        <f t="shared" si="947"/>
        <v>10700.057000000001</v>
      </c>
      <c r="J2121" s="14">
        <f t="shared" si="947"/>
        <v>10700.05659</v>
      </c>
      <c r="K2121" s="78">
        <f t="shared" si="948"/>
        <v>99.999996168244706</v>
      </c>
      <c r="L2121" s="14">
        <f t="shared" si="947"/>
        <v>0</v>
      </c>
      <c r="M2121" s="50"/>
      <c r="N2121" s="50"/>
    </row>
    <row r="2122" spans="1:14" ht="31.2" x14ac:dyDescent="0.3">
      <c r="A2122" s="8" t="s">
        <v>1426</v>
      </c>
      <c r="B2122" s="62" t="s">
        <v>940</v>
      </c>
      <c r="C2122" s="68" t="s">
        <v>1392</v>
      </c>
      <c r="D2122" s="68" t="s">
        <v>1392</v>
      </c>
      <c r="E2122" s="8" t="s">
        <v>374</v>
      </c>
      <c r="F2122" s="8"/>
      <c r="G2122" s="13" t="s">
        <v>1039</v>
      </c>
      <c r="H2122" s="14">
        <f t="shared" si="947"/>
        <v>10659.4</v>
      </c>
      <c r="I2122" s="14">
        <f t="shared" si="947"/>
        <v>10700.057000000001</v>
      </c>
      <c r="J2122" s="14">
        <f t="shared" si="947"/>
        <v>10700.05659</v>
      </c>
      <c r="K2122" s="78">
        <f t="shared" si="948"/>
        <v>99.999996168244706</v>
      </c>
      <c r="L2122" s="14">
        <f t="shared" si="947"/>
        <v>0</v>
      </c>
      <c r="M2122" s="50"/>
      <c r="N2122" s="50"/>
    </row>
    <row r="2123" spans="1:14" ht="62.4" x14ac:dyDescent="0.3">
      <c r="A2123" s="8" t="s">
        <v>1426</v>
      </c>
      <c r="B2123" s="62" t="s">
        <v>940</v>
      </c>
      <c r="C2123" s="68" t="s">
        <v>1392</v>
      </c>
      <c r="D2123" s="68" t="s">
        <v>1392</v>
      </c>
      <c r="E2123" s="8" t="s">
        <v>375</v>
      </c>
      <c r="F2123" s="8"/>
      <c r="G2123" s="23" t="s">
        <v>1291</v>
      </c>
      <c r="H2123" s="14">
        <f>H2124+H2126+H2128</f>
        <v>10659.4</v>
      </c>
      <c r="I2123" s="14">
        <f>I2124+I2126+I2128</f>
        <v>10700.057000000001</v>
      </c>
      <c r="J2123" s="14">
        <f t="shared" ref="J2123" si="949">J2124+J2126+J2128</f>
        <v>10700.05659</v>
      </c>
      <c r="K2123" s="78">
        <f t="shared" si="948"/>
        <v>99.999996168244706</v>
      </c>
      <c r="L2123" s="14">
        <f>L2124+L2126+L2128</f>
        <v>0</v>
      </c>
      <c r="M2123" s="50"/>
      <c r="N2123" s="50"/>
    </row>
    <row r="2124" spans="1:14" ht="78" x14ac:dyDescent="0.3">
      <c r="A2124" s="8" t="s">
        <v>1426</v>
      </c>
      <c r="B2124" s="62" t="s">
        <v>940</v>
      </c>
      <c r="C2124" s="68" t="s">
        <v>1392</v>
      </c>
      <c r="D2124" s="68" t="s">
        <v>1392</v>
      </c>
      <c r="E2124" s="8" t="s">
        <v>375</v>
      </c>
      <c r="F2124" s="45" t="s">
        <v>431</v>
      </c>
      <c r="G2124" s="23" t="s">
        <v>806</v>
      </c>
      <c r="H2124" s="14">
        <f t="shared" ref="H2124:L2124" si="950">H2125</f>
        <v>7862.5</v>
      </c>
      <c r="I2124" s="14">
        <f t="shared" si="950"/>
        <v>7931.0617400000001</v>
      </c>
      <c r="J2124" s="14">
        <f t="shared" si="950"/>
        <v>7931.0616399999999</v>
      </c>
      <c r="K2124" s="78">
        <f t="shared" si="948"/>
        <v>99.999998739134767</v>
      </c>
      <c r="L2124" s="14">
        <f t="shared" si="950"/>
        <v>0</v>
      </c>
      <c r="M2124" s="50"/>
      <c r="N2124" s="50"/>
    </row>
    <row r="2125" spans="1:14" x14ac:dyDescent="0.3">
      <c r="A2125" s="8" t="s">
        <v>1426</v>
      </c>
      <c r="B2125" s="62" t="s">
        <v>940</v>
      </c>
      <c r="C2125" s="68" t="s">
        <v>1392</v>
      </c>
      <c r="D2125" s="68" t="s">
        <v>1392</v>
      </c>
      <c r="E2125" s="8" t="s">
        <v>375</v>
      </c>
      <c r="F2125" s="8" t="s">
        <v>719</v>
      </c>
      <c r="G2125" s="23" t="s">
        <v>807</v>
      </c>
      <c r="H2125" s="14">
        <v>7862.5</v>
      </c>
      <c r="I2125" s="14">
        <v>7931.0617400000001</v>
      </c>
      <c r="J2125" s="14">
        <v>7931.0616399999999</v>
      </c>
      <c r="K2125" s="78">
        <f t="shared" si="948"/>
        <v>99.999998739134767</v>
      </c>
      <c r="L2125" s="14"/>
      <c r="M2125" s="50"/>
      <c r="N2125" s="50"/>
    </row>
    <row r="2126" spans="1:14" ht="31.2" x14ac:dyDescent="0.3">
      <c r="A2126" s="8" t="s">
        <v>1426</v>
      </c>
      <c r="B2126" s="62" t="s">
        <v>940</v>
      </c>
      <c r="C2126" s="68" t="s">
        <v>1392</v>
      </c>
      <c r="D2126" s="68" t="s">
        <v>1392</v>
      </c>
      <c r="E2126" s="8" t="s">
        <v>375</v>
      </c>
      <c r="F2126" s="45" t="s">
        <v>380</v>
      </c>
      <c r="G2126" s="23" t="s">
        <v>809</v>
      </c>
      <c r="H2126" s="14">
        <f t="shared" ref="H2126:L2126" si="951">H2127</f>
        <v>2718.8</v>
      </c>
      <c r="I2126" s="14">
        <f t="shared" si="951"/>
        <v>2648.8322600000001</v>
      </c>
      <c r="J2126" s="14">
        <f t="shared" si="951"/>
        <v>2648.8319499999998</v>
      </c>
      <c r="K2126" s="78">
        <f t="shared" si="948"/>
        <v>99.999988296729654</v>
      </c>
      <c r="L2126" s="14">
        <f t="shared" si="951"/>
        <v>0</v>
      </c>
      <c r="M2126" s="50"/>
      <c r="N2126" s="50"/>
    </row>
    <row r="2127" spans="1:14" ht="31.2" x14ac:dyDescent="0.3">
      <c r="A2127" s="8" t="s">
        <v>1426</v>
      </c>
      <c r="B2127" s="62" t="s">
        <v>940</v>
      </c>
      <c r="C2127" s="68" t="s">
        <v>1392</v>
      </c>
      <c r="D2127" s="68" t="s">
        <v>1392</v>
      </c>
      <c r="E2127" s="8" t="s">
        <v>375</v>
      </c>
      <c r="F2127" s="8" t="s">
        <v>247</v>
      </c>
      <c r="G2127" s="23" t="s">
        <v>810</v>
      </c>
      <c r="H2127" s="14">
        <v>2718.8</v>
      </c>
      <c r="I2127" s="14">
        <v>2648.8322600000001</v>
      </c>
      <c r="J2127" s="14">
        <v>2648.8319499999998</v>
      </c>
      <c r="K2127" s="78">
        <f t="shared" si="948"/>
        <v>99.999988296729654</v>
      </c>
      <c r="L2127" s="14"/>
      <c r="M2127" s="50"/>
      <c r="N2127" s="50"/>
    </row>
    <row r="2128" spans="1:14" x14ac:dyDescent="0.3">
      <c r="A2128" s="8" t="s">
        <v>1426</v>
      </c>
      <c r="B2128" s="62" t="s">
        <v>940</v>
      </c>
      <c r="C2128" s="68" t="s">
        <v>1392</v>
      </c>
      <c r="D2128" s="68" t="s">
        <v>1392</v>
      </c>
      <c r="E2128" s="8" t="s">
        <v>375</v>
      </c>
      <c r="F2128" s="45" t="s">
        <v>464</v>
      </c>
      <c r="G2128" s="23" t="s">
        <v>822</v>
      </c>
      <c r="H2128" s="14">
        <f t="shared" ref="H2128:L2128" si="952">H2129</f>
        <v>78.099999999999994</v>
      </c>
      <c r="I2128" s="14">
        <f t="shared" si="952"/>
        <v>120.163</v>
      </c>
      <c r="J2128" s="14">
        <f t="shared" si="952"/>
        <v>120.163</v>
      </c>
      <c r="K2128" s="78">
        <f t="shared" si="948"/>
        <v>100</v>
      </c>
      <c r="L2128" s="14">
        <f t="shared" si="952"/>
        <v>0</v>
      </c>
      <c r="M2128" s="50"/>
      <c r="N2128" s="50"/>
    </row>
    <row r="2129" spans="1:14" x14ac:dyDescent="0.3">
      <c r="A2129" s="8" t="s">
        <v>1426</v>
      </c>
      <c r="B2129" s="62" t="s">
        <v>940</v>
      </c>
      <c r="C2129" s="68" t="s">
        <v>1392</v>
      </c>
      <c r="D2129" s="68" t="s">
        <v>1392</v>
      </c>
      <c r="E2129" s="8" t="s">
        <v>375</v>
      </c>
      <c r="F2129" s="45" t="s">
        <v>729</v>
      </c>
      <c r="G2129" s="23" t="s">
        <v>824</v>
      </c>
      <c r="H2129" s="14">
        <v>78.099999999999994</v>
      </c>
      <c r="I2129" s="14">
        <v>120.163</v>
      </c>
      <c r="J2129" s="14">
        <v>120.163</v>
      </c>
      <c r="K2129" s="78">
        <f t="shared" si="948"/>
        <v>100</v>
      </c>
      <c r="L2129" s="14"/>
      <c r="M2129" s="50"/>
      <c r="N2129" s="50"/>
    </row>
    <row r="2130" spans="1:14" s="3" customFormat="1" x14ac:dyDescent="0.3">
      <c r="A2130" s="10" t="s">
        <v>1426</v>
      </c>
      <c r="B2130" s="43" t="s">
        <v>1381</v>
      </c>
      <c r="C2130" s="43" t="s">
        <v>1381</v>
      </c>
      <c r="D2130" s="43" t="s">
        <v>915</v>
      </c>
      <c r="E2130" s="10"/>
      <c r="F2130" s="10"/>
      <c r="G2130" s="5" t="s">
        <v>1395</v>
      </c>
      <c r="H2130" s="15">
        <f t="shared" ref="H2130:L2136" si="953">H2131</f>
        <v>740.07100000000003</v>
      </c>
      <c r="I2130" s="15">
        <f t="shared" si="953"/>
        <v>1795.3420000000001</v>
      </c>
      <c r="J2130" s="15">
        <f t="shared" si="953"/>
        <v>1795.3414499999999</v>
      </c>
      <c r="K2130" s="81">
        <f t="shared" si="948"/>
        <v>99.999969365168297</v>
      </c>
      <c r="L2130" s="15">
        <f t="shared" si="953"/>
        <v>0</v>
      </c>
      <c r="M2130" s="65"/>
      <c r="N2130" s="65"/>
    </row>
    <row r="2131" spans="1:14" s="9" customFormat="1" ht="31.2" x14ac:dyDescent="0.3">
      <c r="A2131" s="11" t="s">
        <v>1426</v>
      </c>
      <c r="B2131" s="48" t="s">
        <v>920</v>
      </c>
      <c r="C2131" s="48" t="s">
        <v>1381</v>
      </c>
      <c r="D2131" s="48" t="s">
        <v>1391</v>
      </c>
      <c r="E2131" s="11"/>
      <c r="F2131" s="11"/>
      <c r="G2131" s="7" t="s">
        <v>1396</v>
      </c>
      <c r="H2131" s="16">
        <f t="shared" si="953"/>
        <v>740.07100000000003</v>
      </c>
      <c r="I2131" s="16">
        <f t="shared" si="953"/>
        <v>1795.3420000000001</v>
      </c>
      <c r="J2131" s="16">
        <f t="shared" si="953"/>
        <v>1795.3414499999999</v>
      </c>
      <c r="K2131" s="82">
        <f t="shared" si="948"/>
        <v>99.999969365168297</v>
      </c>
      <c r="L2131" s="16">
        <f t="shared" si="953"/>
        <v>0</v>
      </c>
      <c r="M2131" s="65"/>
      <c r="N2131" s="65"/>
    </row>
    <row r="2132" spans="1:14" ht="31.2" x14ac:dyDescent="0.3">
      <c r="A2132" s="8" t="s">
        <v>1426</v>
      </c>
      <c r="B2132" s="62" t="s">
        <v>920</v>
      </c>
      <c r="C2132" s="68" t="s">
        <v>1381</v>
      </c>
      <c r="D2132" s="68" t="s">
        <v>1391</v>
      </c>
      <c r="E2132" s="8" t="s">
        <v>376</v>
      </c>
      <c r="F2132" s="8"/>
      <c r="G2132" s="23" t="s">
        <v>1101</v>
      </c>
      <c r="H2132" s="14">
        <f t="shared" si="953"/>
        <v>740.07100000000003</v>
      </c>
      <c r="I2132" s="14">
        <f t="shared" si="953"/>
        <v>1795.3420000000001</v>
      </c>
      <c r="J2132" s="14">
        <f t="shared" si="953"/>
        <v>1795.3414499999999</v>
      </c>
      <c r="K2132" s="78">
        <f t="shared" si="948"/>
        <v>99.999969365168297</v>
      </c>
      <c r="L2132" s="14">
        <f t="shared" si="953"/>
        <v>0</v>
      </c>
      <c r="M2132" s="50"/>
      <c r="N2132" s="50"/>
    </row>
    <row r="2133" spans="1:14" ht="31.2" x14ac:dyDescent="0.3">
      <c r="A2133" s="8" t="s">
        <v>1426</v>
      </c>
      <c r="B2133" s="62" t="s">
        <v>920</v>
      </c>
      <c r="C2133" s="68" t="s">
        <v>1381</v>
      </c>
      <c r="D2133" s="68" t="s">
        <v>1391</v>
      </c>
      <c r="E2133" s="8" t="s">
        <v>379</v>
      </c>
      <c r="F2133" s="8"/>
      <c r="G2133" s="23" t="s">
        <v>1200</v>
      </c>
      <c r="H2133" s="14">
        <f>H2134+H2138</f>
        <v>740.07100000000003</v>
      </c>
      <c r="I2133" s="14">
        <f>I2134+I2138</f>
        <v>1795.3420000000001</v>
      </c>
      <c r="J2133" s="14">
        <f t="shared" ref="J2133" si="954">J2134+J2138</f>
        <v>1795.3414499999999</v>
      </c>
      <c r="K2133" s="78">
        <f t="shared" si="948"/>
        <v>99.999969365168297</v>
      </c>
      <c r="L2133" s="14">
        <f>L2134+L2138</f>
        <v>0</v>
      </c>
      <c r="M2133" s="50"/>
      <c r="N2133" s="50"/>
    </row>
    <row r="2134" spans="1:14" ht="31.2" x14ac:dyDescent="0.3">
      <c r="A2134" s="8" t="s">
        <v>1426</v>
      </c>
      <c r="B2134" s="62" t="s">
        <v>920</v>
      </c>
      <c r="C2134" s="68" t="s">
        <v>1381</v>
      </c>
      <c r="D2134" s="68" t="s">
        <v>1391</v>
      </c>
      <c r="E2134" s="8" t="s">
        <v>377</v>
      </c>
      <c r="F2134" s="8"/>
      <c r="G2134" s="23" t="s">
        <v>1102</v>
      </c>
      <c r="H2134" s="14">
        <f t="shared" si="953"/>
        <v>0</v>
      </c>
      <c r="I2134" s="14">
        <f t="shared" si="953"/>
        <v>1055.271</v>
      </c>
      <c r="J2134" s="14">
        <f t="shared" si="953"/>
        <v>1055.271</v>
      </c>
      <c r="K2134" s="78">
        <f t="shared" si="948"/>
        <v>100</v>
      </c>
      <c r="L2134" s="14">
        <f t="shared" si="953"/>
        <v>0</v>
      </c>
      <c r="M2134" s="50"/>
      <c r="N2134" s="50"/>
    </row>
    <row r="2135" spans="1:14" ht="31.2" x14ac:dyDescent="0.3">
      <c r="A2135" s="8" t="s">
        <v>1426</v>
      </c>
      <c r="B2135" s="62" t="s">
        <v>920</v>
      </c>
      <c r="C2135" s="68" t="s">
        <v>1381</v>
      </c>
      <c r="D2135" s="68" t="s">
        <v>1391</v>
      </c>
      <c r="E2135" s="8" t="s">
        <v>378</v>
      </c>
      <c r="F2135" s="8"/>
      <c r="G2135" s="23" t="s">
        <v>1178</v>
      </c>
      <c r="H2135" s="14">
        <f t="shared" si="953"/>
        <v>0</v>
      </c>
      <c r="I2135" s="14">
        <f t="shared" si="953"/>
        <v>1055.271</v>
      </c>
      <c r="J2135" s="14">
        <f t="shared" si="953"/>
        <v>1055.271</v>
      </c>
      <c r="K2135" s="78">
        <f t="shared" si="948"/>
        <v>100</v>
      </c>
      <c r="L2135" s="14">
        <f t="shared" si="953"/>
        <v>0</v>
      </c>
      <c r="M2135" s="50"/>
      <c r="N2135" s="50"/>
    </row>
    <row r="2136" spans="1:14" ht="31.2" x14ac:dyDescent="0.3">
      <c r="A2136" s="8" t="s">
        <v>1426</v>
      </c>
      <c r="B2136" s="62" t="s">
        <v>920</v>
      </c>
      <c r="C2136" s="68" t="s">
        <v>1381</v>
      </c>
      <c r="D2136" s="68" t="s">
        <v>1391</v>
      </c>
      <c r="E2136" s="8" t="s">
        <v>378</v>
      </c>
      <c r="F2136" s="45" t="s">
        <v>380</v>
      </c>
      <c r="G2136" s="23" t="s">
        <v>809</v>
      </c>
      <c r="H2136" s="14">
        <f t="shared" si="953"/>
        <v>0</v>
      </c>
      <c r="I2136" s="14">
        <f t="shared" si="953"/>
        <v>1055.271</v>
      </c>
      <c r="J2136" s="14">
        <f t="shared" si="953"/>
        <v>1055.271</v>
      </c>
      <c r="K2136" s="78">
        <f t="shared" si="948"/>
        <v>100</v>
      </c>
      <c r="L2136" s="14">
        <f t="shared" si="953"/>
        <v>0</v>
      </c>
      <c r="M2136" s="50"/>
      <c r="N2136" s="50"/>
    </row>
    <row r="2137" spans="1:14" ht="31.2" x14ac:dyDescent="0.3">
      <c r="A2137" s="8" t="s">
        <v>1426</v>
      </c>
      <c r="B2137" s="62" t="s">
        <v>920</v>
      </c>
      <c r="C2137" s="68" t="s">
        <v>1381</v>
      </c>
      <c r="D2137" s="68" t="s">
        <v>1391</v>
      </c>
      <c r="E2137" s="8" t="s">
        <v>378</v>
      </c>
      <c r="F2137" s="8" t="s">
        <v>247</v>
      </c>
      <c r="G2137" s="23" t="s">
        <v>810</v>
      </c>
      <c r="H2137" s="14">
        <v>0</v>
      </c>
      <c r="I2137" s="14">
        <v>1055.271</v>
      </c>
      <c r="J2137" s="19">
        <v>1055.271</v>
      </c>
      <c r="K2137" s="75">
        <f t="shared" si="948"/>
        <v>100</v>
      </c>
      <c r="L2137" s="14"/>
      <c r="M2137" s="50"/>
      <c r="N2137" s="50"/>
    </row>
    <row r="2138" spans="1:14" ht="31.2" x14ac:dyDescent="0.3">
      <c r="A2138" s="8" t="s">
        <v>1426</v>
      </c>
      <c r="B2138" s="62" t="s">
        <v>920</v>
      </c>
      <c r="C2138" s="68" t="s">
        <v>1381</v>
      </c>
      <c r="D2138" s="68" t="s">
        <v>1391</v>
      </c>
      <c r="E2138" s="8" t="s">
        <v>1222</v>
      </c>
      <c r="F2138" s="8"/>
      <c r="G2138" s="23" t="s">
        <v>737</v>
      </c>
      <c r="H2138" s="14">
        <f t="shared" ref="H2138:L2140" si="955">H2139</f>
        <v>740.07100000000003</v>
      </c>
      <c r="I2138" s="14">
        <f t="shared" si="955"/>
        <v>740.07100000000003</v>
      </c>
      <c r="J2138" s="14">
        <f t="shared" si="955"/>
        <v>740.07045000000005</v>
      </c>
      <c r="K2138" s="78">
        <f t="shared" si="948"/>
        <v>99.999925682806108</v>
      </c>
      <c r="L2138" s="14">
        <f t="shared" si="955"/>
        <v>0</v>
      </c>
      <c r="M2138" s="50"/>
      <c r="N2138" s="50"/>
    </row>
    <row r="2139" spans="1:14" x14ac:dyDescent="0.3">
      <c r="A2139" s="8" t="s">
        <v>1426</v>
      </c>
      <c r="B2139" s="62" t="s">
        <v>920</v>
      </c>
      <c r="C2139" s="68" t="s">
        <v>1381</v>
      </c>
      <c r="D2139" s="68" t="s">
        <v>1391</v>
      </c>
      <c r="E2139" s="8" t="s">
        <v>1223</v>
      </c>
      <c r="F2139" s="8"/>
      <c r="G2139" s="23" t="s">
        <v>1224</v>
      </c>
      <c r="H2139" s="14">
        <f t="shared" si="955"/>
        <v>740.07100000000003</v>
      </c>
      <c r="I2139" s="14">
        <f t="shared" si="955"/>
        <v>740.07100000000003</v>
      </c>
      <c r="J2139" s="14">
        <f t="shared" si="955"/>
        <v>740.07045000000005</v>
      </c>
      <c r="K2139" s="78">
        <f t="shared" si="948"/>
        <v>99.999925682806108</v>
      </c>
      <c r="L2139" s="14">
        <f t="shared" si="955"/>
        <v>0</v>
      </c>
      <c r="M2139" s="50"/>
      <c r="N2139" s="50"/>
    </row>
    <row r="2140" spans="1:14" ht="31.2" x14ac:dyDescent="0.3">
      <c r="A2140" s="8" t="s">
        <v>1426</v>
      </c>
      <c r="B2140" s="62" t="s">
        <v>920</v>
      </c>
      <c r="C2140" s="68" t="s">
        <v>1381</v>
      </c>
      <c r="D2140" s="68" t="s">
        <v>1391</v>
      </c>
      <c r="E2140" s="8" t="s">
        <v>1223</v>
      </c>
      <c r="F2140" s="45" t="s">
        <v>380</v>
      </c>
      <c r="G2140" s="23" t="s">
        <v>809</v>
      </c>
      <c r="H2140" s="14">
        <f t="shared" si="955"/>
        <v>740.07100000000003</v>
      </c>
      <c r="I2140" s="14">
        <f t="shared" si="955"/>
        <v>740.07100000000003</v>
      </c>
      <c r="J2140" s="14">
        <f t="shared" si="955"/>
        <v>740.07045000000005</v>
      </c>
      <c r="K2140" s="78">
        <f t="shared" si="948"/>
        <v>99.999925682806108</v>
      </c>
      <c r="L2140" s="14">
        <f t="shared" si="955"/>
        <v>0</v>
      </c>
      <c r="M2140" s="50"/>
      <c r="N2140" s="50"/>
    </row>
    <row r="2141" spans="1:14" ht="31.2" x14ac:dyDescent="0.3">
      <c r="A2141" s="8" t="s">
        <v>1426</v>
      </c>
      <c r="B2141" s="62" t="s">
        <v>920</v>
      </c>
      <c r="C2141" s="68" t="s">
        <v>1381</v>
      </c>
      <c r="D2141" s="68" t="s">
        <v>1391</v>
      </c>
      <c r="E2141" s="8" t="s">
        <v>1223</v>
      </c>
      <c r="F2141" s="8" t="s">
        <v>247</v>
      </c>
      <c r="G2141" s="23" t="s">
        <v>810</v>
      </c>
      <c r="H2141" s="14">
        <f>1267-526.929</f>
        <v>740.07100000000003</v>
      </c>
      <c r="I2141" s="14">
        <v>740.07100000000003</v>
      </c>
      <c r="J2141" s="14">
        <v>740.07045000000005</v>
      </c>
      <c r="K2141" s="78">
        <f t="shared" si="948"/>
        <v>99.999925682806108</v>
      </c>
      <c r="L2141" s="14"/>
      <c r="M2141" s="50"/>
      <c r="N2141" s="50"/>
    </row>
    <row r="2142" spans="1:14" s="3" customFormat="1" x14ac:dyDescent="0.3">
      <c r="A2142" s="10" t="s">
        <v>1426</v>
      </c>
      <c r="B2142" s="43" t="s">
        <v>1374</v>
      </c>
      <c r="C2142" s="43" t="s">
        <v>1374</v>
      </c>
      <c r="D2142" s="43" t="s">
        <v>915</v>
      </c>
      <c r="E2142" s="10"/>
      <c r="F2142" s="10"/>
      <c r="G2142" s="5" t="s">
        <v>1378</v>
      </c>
      <c r="H2142" s="15">
        <f t="shared" ref="H2142:L2144" si="956">H2143</f>
        <v>3537.5759999999996</v>
      </c>
      <c r="I2142" s="15">
        <f t="shared" si="956"/>
        <v>3537.576</v>
      </c>
      <c r="J2142" s="15">
        <f t="shared" si="956"/>
        <v>3537.5750200000002</v>
      </c>
      <c r="K2142" s="81">
        <f t="shared" si="948"/>
        <v>99.999972297414956</v>
      </c>
      <c r="L2142" s="15">
        <f t="shared" si="956"/>
        <v>0</v>
      </c>
      <c r="M2142" s="65"/>
      <c r="N2142" s="65"/>
    </row>
    <row r="2143" spans="1:14" s="9" customFormat="1" x14ac:dyDescent="0.3">
      <c r="A2143" s="11" t="s">
        <v>1426</v>
      </c>
      <c r="B2143" s="48" t="s">
        <v>924</v>
      </c>
      <c r="C2143" s="48" t="s">
        <v>1374</v>
      </c>
      <c r="D2143" s="48" t="s">
        <v>1374</v>
      </c>
      <c r="E2143" s="11"/>
      <c r="F2143" s="11"/>
      <c r="G2143" s="7" t="s">
        <v>1221</v>
      </c>
      <c r="H2143" s="16">
        <f t="shared" si="956"/>
        <v>3537.5759999999996</v>
      </c>
      <c r="I2143" s="16">
        <f t="shared" si="956"/>
        <v>3537.576</v>
      </c>
      <c r="J2143" s="16">
        <f t="shared" si="956"/>
        <v>3537.5750200000002</v>
      </c>
      <c r="K2143" s="82">
        <f t="shared" si="948"/>
        <v>99.999972297414956</v>
      </c>
      <c r="L2143" s="16">
        <f t="shared" si="956"/>
        <v>0</v>
      </c>
      <c r="M2143" s="65"/>
      <c r="N2143" s="65"/>
    </row>
    <row r="2144" spans="1:14" x14ac:dyDescent="0.3">
      <c r="A2144" s="8" t="s">
        <v>1426</v>
      </c>
      <c r="B2144" s="62" t="s">
        <v>924</v>
      </c>
      <c r="C2144" s="68" t="s">
        <v>1374</v>
      </c>
      <c r="D2144" s="68" t="s">
        <v>1374</v>
      </c>
      <c r="E2144" s="8" t="s">
        <v>390</v>
      </c>
      <c r="F2144" s="8"/>
      <c r="G2144" s="13" t="s">
        <v>862</v>
      </c>
      <c r="H2144" s="14">
        <f t="shared" si="956"/>
        <v>3537.5759999999996</v>
      </c>
      <c r="I2144" s="14">
        <f t="shared" si="956"/>
        <v>3537.576</v>
      </c>
      <c r="J2144" s="14">
        <f t="shared" si="956"/>
        <v>3537.5750200000002</v>
      </c>
      <c r="K2144" s="78">
        <f t="shared" si="948"/>
        <v>99.999972297414956</v>
      </c>
      <c r="L2144" s="14">
        <f t="shared" si="956"/>
        <v>0</v>
      </c>
      <c r="M2144" s="50"/>
      <c r="N2144" s="50"/>
    </row>
    <row r="2145" spans="1:14" ht="46.8" x14ac:dyDescent="0.3">
      <c r="A2145" s="8" t="s">
        <v>1426</v>
      </c>
      <c r="B2145" s="62" t="s">
        <v>924</v>
      </c>
      <c r="C2145" s="68" t="s">
        <v>1374</v>
      </c>
      <c r="D2145" s="68" t="s">
        <v>1374</v>
      </c>
      <c r="E2145" s="8" t="s">
        <v>59</v>
      </c>
      <c r="F2145" s="8"/>
      <c r="G2145" s="23" t="s">
        <v>1295</v>
      </c>
      <c r="H2145" s="14">
        <f t="shared" ref="H2145:L2148" si="957">H2146</f>
        <v>3537.5759999999996</v>
      </c>
      <c r="I2145" s="14">
        <f t="shared" si="957"/>
        <v>3537.576</v>
      </c>
      <c r="J2145" s="14">
        <f t="shared" si="957"/>
        <v>3537.5750200000002</v>
      </c>
      <c r="K2145" s="78">
        <f t="shared" si="948"/>
        <v>99.999972297414956</v>
      </c>
      <c r="L2145" s="14">
        <f t="shared" si="957"/>
        <v>0</v>
      </c>
      <c r="M2145" s="50"/>
      <c r="N2145" s="50"/>
    </row>
    <row r="2146" spans="1:14" ht="31.2" x14ac:dyDescent="0.3">
      <c r="A2146" s="8" t="s">
        <v>1426</v>
      </c>
      <c r="B2146" s="62" t="s">
        <v>924</v>
      </c>
      <c r="C2146" s="68" t="s">
        <v>1374</v>
      </c>
      <c r="D2146" s="68" t="s">
        <v>1374</v>
      </c>
      <c r="E2146" s="8" t="s">
        <v>60</v>
      </c>
      <c r="F2146" s="8"/>
      <c r="G2146" s="23" t="s">
        <v>1296</v>
      </c>
      <c r="H2146" s="14">
        <f t="shared" si="957"/>
        <v>3537.5759999999996</v>
      </c>
      <c r="I2146" s="14">
        <f t="shared" si="957"/>
        <v>3537.576</v>
      </c>
      <c r="J2146" s="14">
        <f t="shared" si="957"/>
        <v>3537.5750200000002</v>
      </c>
      <c r="K2146" s="78">
        <f t="shared" si="948"/>
        <v>99.999972297414956</v>
      </c>
      <c r="L2146" s="14">
        <f t="shared" si="957"/>
        <v>0</v>
      </c>
      <c r="M2146" s="50"/>
      <c r="N2146" s="50"/>
    </row>
    <row r="2147" spans="1:14" ht="62.4" x14ac:dyDescent="0.3">
      <c r="A2147" s="8" t="s">
        <v>1426</v>
      </c>
      <c r="B2147" s="62" t="s">
        <v>924</v>
      </c>
      <c r="C2147" s="68" t="s">
        <v>1374</v>
      </c>
      <c r="D2147" s="68" t="s">
        <v>1374</v>
      </c>
      <c r="E2147" s="8" t="s">
        <v>62</v>
      </c>
      <c r="F2147" s="8"/>
      <c r="G2147" s="18" t="s">
        <v>298</v>
      </c>
      <c r="H2147" s="14">
        <f t="shared" si="957"/>
        <v>3537.5759999999996</v>
      </c>
      <c r="I2147" s="14">
        <f t="shared" si="957"/>
        <v>3537.576</v>
      </c>
      <c r="J2147" s="14">
        <f t="shared" si="957"/>
        <v>3537.5750200000002</v>
      </c>
      <c r="K2147" s="78">
        <f t="shared" si="948"/>
        <v>99.999972297414956</v>
      </c>
      <c r="L2147" s="14">
        <f t="shared" si="957"/>
        <v>0</v>
      </c>
      <c r="M2147" s="50"/>
      <c r="N2147" s="50"/>
    </row>
    <row r="2148" spans="1:14" ht="31.2" x14ac:dyDescent="0.3">
      <c r="A2148" s="8" t="s">
        <v>1426</v>
      </c>
      <c r="B2148" s="62" t="s">
        <v>924</v>
      </c>
      <c r="C2148" s="68" t="s">
        <v>1374</v>
      </c>
      <c r="D2148" s="68" t="s">
        <v>1374</v>
      </c>
      <c r="E2148" s="8" t="s">
        <v>62</v>
      </c>
      <c r="F2148" s="45" t="s">
        <v>402</v>
      </c>
      <c r="G2148" s="23" t="s">
        <v>819</v>
      </c>
      <c r="H2148" s="14">
        <f t="shared" si="957"/>
        <v>3537.5759999999996</v>
      </c>
      <c r="I2148" s="14">
        <f t="shared" si="957"/>
        <v>3537.576</v>
      </c>
      <c r="J2148" s="14">
        <f t="shared" si="957"/>
        <v>3537.5750200000002</v>
      </c>
      <c r="K2148" s="78">
        <f t="shared" si="948"/>
        <v>99.999972297414956</v>
      </c>
      <c r="L2148" s="14">
        <f t="shared" si="957"/>
        <v>0</v>
      </c>
      <c r="M2148" s="50"/>
      <c r="N2148" s="50"/>
    </row>
    <row r="2149" spans="1:14" ht="46.8" x14ac:dyDescent="0.3">
      <c r="A2149" s="8" t="s">
        <v>1426</v>
      </c>
      <c r="B2149" s="62" t="s">
        <v>924</v>
      </c>
      <c r="C2149" s="68" t="s">
        <v>1374</v>
      </c>
      <c r="D2149" s="68" t="s">
        <v>1374</v>
      </c>
      <c r="E2149" s="8" t="s">
        <v>62</v>
      </c>
      <c r="F2149" s="45" t="s">
        <v>280</v>
      </c>
      <c r="G2149" s="23" t="s">
        <v>821</v>
      </c>
      <c r="H2149" s="14">
        <f>2907.6+656.8-26.824</f>
        <v>3537.5759999999996</v>
      </c>
      <c r="I2149" s="14">
        <v>3537.576</v>
      </c>
      <c r="J2149" s="14">
        <v>3537.5750200000002</v>
      </c>
      <c r="K2149" s="78">
        <f t="shared" si="948"/>
        <v>99.999972297414956</v>
      </c>
      <c r="L2149" s="14"/>
      <c r="M2149" s="50"/>
      <c r="N2149" s="50"/>
    </row>
    <row r="2150" spans="1:14" s="3" customFormat="1" x14ac:dyDescent="0.3">
      <c r="A2150" s="10" t="s">
        <v>1426</v>
      </c>
      <c r="B2150" s="43" t="s">
        <v>1402</v>
      </c>
      <c r="C2150" s="43" t="s">
        <v>1402</v>
      </c>
      <c r="D2150" s="43" t="s">
        <v>915</v>
      </c>
      <c r="E2150" s="10"/>
      <c r="F2150" s="10"/>
      <c r="G2150" s="5" t="s">
        <v>1405</v>
      </c>
      <c r="H2150" s="15">
        <f t="shared" ref="H2150:L2150" si="958">H2151</f>
        <v>1451.0110000000002</v>
      </c>
      <c r="I2150" s="15">
        <f t="shared" si="958"/>
        <v>1723.1009999999999</v>
      </c>
      <c r="J2150" s="15">
        <f t="shared" si="958"/>
        <v>1710.8509999999999</v>
      </c>
      <c r="K2150" s="81">
        <f t="shared" si="948"/>
        <v>99.289072433943232</v>
      </c>
      <c r="L2150" s="15">
        <f t="shared" si="958"/>
        <v>0</v>
      </c>
      <c r="M2150" s="65"/>
      <c r="N2150" s="65"/>
    </row>
    <row r="2151" spans="1:14" s="9" customFormat="1" x14ac:dyDescent="0.3">
      <c r="A2151" s="11" t="s">
        <v>1426</v>
      </c>
      <c r="B2151" s="48" t="s">
        <v>926</v>
      </c>
      <c r="C2151" s="48" t="s">
        <v>1402</v>
      </c>
      <c r="D2151" s="48" t="s">
        <v>1372</v>
      </c>
      <c r="E2151" s="11"/>
      <c r="F2151" s="11"/>
      <c r="G2151" s="7" t="s">
        <v>1406</v>
      </c>
      <c r="H2151" s="16">
        <f t="shared" ref="H2151:L2151" si="959">H2152+H2158</f>
        <v>1451.0110000000002</v>
      </c>
      <c r="I2151" s="16">
        <f t="shared" si="959"/>
        <v>1723.1009999999999</v>
      </c>
      <c r="J2151" s="16">
        <f t="shared" si="959"/>
        <v>1710.8509999999999</v>
      </c>
      <c r="K2151" s="82">
        <f t="shared" si="948"/>
        <v>99.289072433943232</v>
      </c>
      <c r="L2151" s="16">
        <f t="shared" si="959"/>
        <v>0</v>
      </c>
      <c r="M2151" s="65"/>
      <c r="N2151" s="65"/>
    </row>
    <row r="2152" spans="1:14" x14ac:dyDescent="0.3">
      <c r="A2152" s="8" t="s">
        <v>1426</v>
      </c>
      <c r="B2152" s="62" t="s">
        <v>926</v>
      </c>
      <c r="C2152" s="68" t="s">
        <v>1402</v>
      </c>
      <c r="D2152" s="68" t="s">
        <v>1372</v>
      </c>
      <c r="E2152" s="8" t="s">
        <v>387</v>
      </c>
      <c r="F2152" s="8"/>
      <c r="G2152" s="18" t="s">
        <v>851</v>
      </c>
      <c r="H2152" s="14">
        <f>H2153</f>
        <v>1438.0110000000002</v>
      </c>
      <c r="I2152" s="14">
        <f t="shared" ref="I2152:L2152" si="960">I2153</f>
        <v>1438.011</v>
      </c>
      <c r="J2152" s="14">
        <f t="shared" si="960"/>
        <v>1431.511</v>
      </c>
      <c r="K2152" s="78">
        <f t="shared" si="948"/>
        <v>99.547986767834189</v>
      </c>
      <c r="L2152" s="14">
        <f t="shared" si="960"/>
        <v>0</v>
      </c>
      <c r="M2152" s="50"/>
      <c r="N2152" s="50"/>
    </row>
    <row r="2153" spans="1:14" ht="31.2" x14ac:dyDescent="0.3">
      <c r="A2153" s="8" t="s">
        <v>1426</v>
      </c>
      <c r="B2153" s="62" t="s">
        <v>926</v>
      </c>
      <c r="C2153" s="68" t="s">
        <v>1402</v>
      </c>
      <c r="D2153" s="68" t="s">
        <v>1372</v>
      </c>
      <c r="E2153" s="8" t="s">
        <v>410</v>
      </c>
      <c r="F2153" s="8"/>
      <c r="G2153" s="13" t="s">
        <v>852</v>
      </c>
      <c r="H2153" s="14">
        <f t="shared" ref="H2153:L2156" si="961">H2154</f>
        <v>1438.0110000000002</v>
      </c>
      <c r="I2153" s="14">
        <f t="shared" si="961"/>
        <v>1438.011</v>
      </c>
      <c r="J2153" s="14">
        <f t="shared" si="961"/>
        <v>1431.511</v>
      </c>
      <c r="K2153" s="78">
        <f t="shared" si="948"/>
        <v>99.547986767834189</v>
      </c>
      <c r="L2153" s="14">
        <f t="shared" si="961"/>
        <v>0</v>
      </c>
      <c r="M2153" s="50"/>
      <c r="N2153" s="50"/>
    </row>
    <row r="2154" spans="1:14" ht="31.2" x14ac:dyDescent="0.3">
      <c r="A2154" s="8" t="s">
        <v>1426</v>
      </c>
      <c r="B2154" s="62" t="s">
        <v>926</v>
      </c>
      <c r="C2154" s="68" t="s">
        <v>1402</v>
      </c>
      <c r="D2154" s="68" t="s">
        <v>1372</v>
      </c>
      <c r="E2154" s="8" t="s">
        <v>411</v>
      </c>
      <c r="F2154" s="8"/>
      <c r="G2154" s="13" t="s">
        <v>853</v>
      </c>
      <c r="H2154" s="14">
        <f t="shared" si="961"/>
        <v>1438.0110000000002</v>
      </c>
      <c r="I2154" s="14">
        <f t="shared" si="961"/>
        <v>1438.011</v>
      </c>
      <c r="J2154" s="14">
        <f t="shared" si="961"/>
        <v>1431.511</v>
      </c>
      <c r="K2154" s="78">
        <f t="shared" si="948"/>
        <v>99.547986767834189</v>
      </c>
      <c r="L2154" s="14">
        <f t="shared" si="961"/>
        <v>0</v>
      </c>
      <c r="M2154" s="50"/>
      <c r="N2154" s="50"/>
    </row>
    <row r="2155" spans="1:14" ht="31.2" x14ac:dyDescent="0.3">
      <c r="A2155" s="8" t="s">
        <v>1426</v>
      </c>
      <c r="B2155" s="62" t="s">
        <v>926</v>
      </c>
      <c r="C2155" s="68" t="s">
        <v>1402</v>
      </c>
      <c r="D2155" s="68" t="s">
        <v>1372</v>
      </c>
      <c r="E2155" s="8" t="s">
        <v>413</v>
      </c>
      <c r="F2155" s="8"/>
      <c r="G2155" s="13" t="s">
        <v>855</v>
      </c>
      <c r="H2155" s="14">
        <f t="shared" si="961"/>
        <v>1438.0110000000002</v>
      </c>
      <c r="I2155" s="14">
        <f t="shared" si="961"/>
        <v>1438.011</v>
      </c>
      <c r="J2155" s="14">
        <f t="shared" si="961"/>
        <v>1431.511</v>
      </c>
      <c r="K2155" s="78">
        <f t="shared" si="948"/>
        <v>99.547986767834189</v>
      </c>
      <c r="L2155" s="14">
        <f t="shared" si="961"/>
        <v>0</v>
      </c>
      <c r="M2155" s="50"/>
      <c r="N2155" s="50"/>
    </row>
    <row r="2156" spans="1:14" ht="31.2" x14ac:dyDescent="0.3">
      <c r="A2156" s="8" t="s">
        <v>1426</v>
      </c>
      <c r="B2156" s="62" t="s">
        <v>926</v>
      </c>
      <c r="C2156" s="68" t="s">
        <v>1402</v>
      </c>
      <c r="D2156" s="68" t="s">
        <v>1372</v>
      </c>
      <c r="E2156" s="8" t="s">
        <v>413</v>
      </c>
      <c r="F2156" s="45" t="s">
        <v>380</v>
      </c>
      <c r="G2156" s="23" t="s">
        <v>809</v>
      </c>
      <c r="H2156" s="14">
        <f t="shared" si="961"/>
        <v>1438.0110000000002</v>
      </c>
      <c r="I2156" s="14">
        <f t="shared" si="961"/>
        <v>1438.011</v>
      </c>
      <c r="J2156" s="14">
        <f t="shared" si="961"/>
        <v>1431.511</v>
      </c>
      <c r="K2156" s="78">
        <f t="shared" si="948"/>
        <v>99.547986767834189</v>
      </c>
      <c r="L2156" s="14">
        <f t="shared" si="961"/>
        <v>0</v>
      </c>
      <c r="M2156" s="50"/>
      <c r="N2156" s="50"/>
    </row>
    <row r="2157" spans="1:14" ht="31.2" x14ac:dyDescent="0.3">
      <c r="A2157" s="8" t="s">
        <v>1426</v>
      </c>
      <c r="B2157" s="62" t="s">
        <v>926</v>
      </c>
      <c r="C2157" s="68" t="s">
        <v>1402</v>
      </c>
      <c r="D2157" s="68" t="s">
        <v>1372</v>
      </c>
      <c r="E2157" s="8" t="s">
        <v>413</v>
      </c>
      <c r="F2157" s="8" t="s">
        <v>247</v>
      </c>
      <c r="G2157" s="23" t="s">
        <v>810</v>
      </c>
      <c r="H2157" s="14">
        <f>1452.4-14.014-0.375</f>
        <v>1438.0110000000002</v>
      </c>
      <c r="I2157" s="14">
        <v>1438.011</v>
      </c>
      <c r="J2157" s="14">
        <v>1431.511</v>
      </c>
      <c r="K2157" s="78">
        <f t="shared" si="948"/>
        <v>99.547986767834189</v>
      </c>
      <c r="L2157" s="14"/>
      <c r="M2157" s="50"/>
      <c r="N2157" s="50"/>
    </row>
    <row r="2158" spans="1:14" ht="31.2" x14ac:dyDescent="0.3">
      <c r="A2158" s="8" t="s">
        <v>1426</v>
      </c>
      <c r="B2158" s="62" t="s">
        <v>926</v>
      </c>
      <c r="C2158" s="68" t="s">
        <v>1402</v>
      </c>
      <c r="D2158" s="68" t="s">
        <v>1372</v>
      </c>
      <c r="E2158" s="8" t="s">
        <v>429</v>
      </c>
      <c r="F2158" s="8"/>
      <c r="G2158" s="23" t="s">
        <v>1140</v>
      </c>
      <c r="H2158" s="14">
        <f t="shared" ref="H2158:L2160" si="962">H2159</f>
        <v>13</v>
      </c>
      <c r="I2158" s="14">
        <f t="shared" si="962"/>
        <v>285.08999999999997</v>
      </c>
      <c r="J2158" s="14">
        <f t="shared" si="962"/>
        <v>279.33999999999997</v>
      </c>
      <c r="K2158" s="78">
        <f t="shared" si="948"/>
        <v>97.983093058332457</v>
      </c>
      <c r="L2158" s="14">
        <f t="shared" si="962"/>
        <v>0</v>
      </c>
      <c r="M2158" s="50"/>
      <c r="N2158" s="50"/>
    </row>
    <row r="2159" spans="1:14" ht="46.8" x14ac:dyDescent="0.3">
      <c r="A2159" s="8" t="s">
        <v>1426</v>
      </c>
      <c r="B2159" s="62" t="s">
        <v>926</v>
      </c>
      <c r="C2159" s="68" t="s">
        <v>1402</v>
      </c>
      <c r="D2159" s="68" t="s">
        <v>1372</v>
      </c>
      <c r="E2159" s="8" t="s">
        <v>535</v>
      </c>
      <c r="F2159" s="8"/>
      <c r="G2159" s="31" t="s">
        <v>176</v>
      </c>
      <c r="H2159" s="14">
        <f t="shared" si="962"/>
        <v>13</v>
      </c>
      <c r="I2159" s="14">
        <f t="shared" si="962"/>
        <v>285.08999999999997</v>
      </c>
      <c r="J2159" s="14">
        <f t="shared" si="962"/>
        <v>279.33999999999997</v>
      </c>
      <c r="K2159" s="78">
        <f t="shared" si="948"/>
        <v>97.983093058332457</v>
      </c>
      <c r="L2159" s="14">
        <f t="shared" si="962"/>
        <v>0</v>
      </c>
      <c r="M2159" s="50"/>
      <c r="N2159" s="50"/>
    </row>
    <row r="2160" spans="1:14" ht="31.2" x14ac:dyDescent="0.3">
      <c r="A2160" s="8" t="s">
        <v>1426</v>
      </c>
      <c r="B2160" s="62" t="s">
        <v>926</v>
      </c>
      <c r="C2160" s="68" t="s">
        <v>1402</v>
      </c>
      <c r="D2160" s="68" t="s">
        <v>1372</v>
      </c>
      <c r="E2160" s="8" t="s">
        <v>535</v>
      </c>
      <c r="F2160" s="45" t="s">
        <v>380</v>
      </c>
      <c r="G2160" s="23" t="s">
        <v>809</v>
      </c>
      <c r="H2160" s="14">
        <f t="shared" si="962"/>
        <v>13</v>
      </c>
      <c r="I2160" s="14">
        <f t="shared" si="962"/>
        <v>285.08999999999997</v>
      </c>
      <c r="J2160" s="14">
        <f t="shared" si="962"/>
        <v>279.33999999999997</v>
      </c>
      <c r="K2160" s="78">
        <f t="shared" si="948"/>
        <v>97.983093058332457</v>
      </c>
      <c r="L2160" s="14">
        <f t="shared" si="962"/>
        <v>0</v>
      </c>
      <c r="M2160" s="50"/>
      <c r="N2160" s="50"/>
    </row>
    <row r="2161" spans="1:14" ht="31.2" x14ac:dyDescent="0.3">
      <c r="A2161" s="8" t="s">
        <v>1426</v>
      </c>
      <c r="B2161" s="62" t="s">
        <v>926</v>
      </c>
      <c r="C2161" s="68" t="s">
        <v>1402</v>
      </c>
      <c r="D2161" s="68" t="s">
        <v>1372</v>
      </c>
      <c r="E2161" s="8" t="s">
        <v>535</v>
      </c>
      <c r="F2161" s="8" t="s">
        <v>247</v>
      </c>
      <c r="G2161" s="23" t="s">
        <v>810</v>
      </c>
      <c r="H2161" s="14">
        <v>13</v>
      </c>
      <c r="I2161" s="14">
        <v>285.08999999999997</v>
      </c>
      <c r="J2161" s="14">
        <v>279.33999999999997</v>
      </c>
      <c r="K2161" s="78">
        <f t="shared" si="948"/>
        <v>97.983093058332457</v>
      </c>
      <c r="L2161" s="14"/>
      <c r="M2161" s="50"/>
      <c r="N2161" s="50"/>
    </row>
    <row r="2162" spans="1:14" s="3" customFormat="1" x14ac:dyDescent="0.3">
      <c r="A2162" s="10" t="s">
        <v>1426</v>
      </c>
      <c r="B2162" s="43" t="s">
        <v>1382</v>
      </c>
      <c r="C2162" s="43" t="s">
        <v>1382</v>
      </c>
      <c r="D2162" s="43" t="s">
        <v>915</v>
      </c>
      <c r="E2162" s="10"/>
      <c r="F2162" s="10"/>
      <c r="G2162" s="5" t="s">
        <v>1417</v>
      </c>
      <c r="H2162" s="15">
        <f t="shared" ref="H2162:L2167" si="963">H2163</f>
        <v>1443.3620000000001</v>
      </c>
      <c r="I2162" s="15">
        <f t="shared" si="963"/>
        <v>1523.3620000000001</v>
      </c>
      <c r="J2162" s="15">
        <f t="shared" si="963"/>
        <v>1523.1114299999999</v>
      </c>
      <c r="K2162" s="81">
        <f t="shared" si="948"/>
        <v>99.983551513034968</v>
      </c>
      <c r="L2162" s="15">
        <f t="shared" si="963"/>
        <v>0</v>
      </c>
      <c r="M2162" s="65"/>
      <c r="N2162" s="65"/>
    </row>
    <row r="2163" spans="1:14" s="9" customFormat="1" x14ac:dyDescent="0.3">
      <c r="A2163" s="11" t="s">
        <v>1426</v>
      </c>
      <c r="B2163" s="48" t="s">
        <v>914</v>
      </c>
      <c r="C2163" s="48" t="s">
        <v>1382</v>
      </c>
      <c r="D2163" s="48" t="s">
        <v>1478</v>
      </c>
      <c r="E2163" s="11"/>
      <c r="F2163" s="11"/>
      <c r="G2163" s="7" t="s">
        <v>1425</v>
      </c>
      <c r="H2163" s="16">
        <f t="shared" si="963"/>
        <v>1443.3620000000001</v>
      </c>
      <c r="I2163" s="16">
        <f>I2164+I2169</f>
        <v>1523.3620000000001</v>
      </c>
      <c r="J2163" s="16">
        <f t="shared" ref="J2163:L2163" si="964">J2164+J2169</f>
        <v>1523.1114299999999</v>
      </c>
      <c r="K2163" s="82">
        <f t="shared" si="948"/>
        <v>99.983551513034968</v>
      </c>
      <c r="L2163" s="16">
        <f t="shared" si="964"/>
        <v>0</v>
      </c>
      <c r="M2163" s="65"/>
      <c r="N2163" s="65"/>
    </row>
    <row r="2164" spans="1:14" ht="31.2" x14ac:dyDescent="0.3">
      <c r="A2164" s="8" t="s">
        <v>1426</v>
      </c>
      <c r="B2164" s="62" t="s">
        <v>914</v>
      </c>
      <c r="C2164" s="68" t="s">
        <v>1382</v>
      </c>
      <c r="D2164" s="68" t="s">
        <v>1478</v>
      </c>
      <c r="E2164" s="8" t="s">
        <v>446</v>
      </c>
      <c r="F2164" s="8"/>
      <c r="G2164" s="23" t="s">
        <v>864</v>
      </c>
      <c r="H2164" s="14">
        <f t="shared" si="963"/>
        <v>1443.3620000000001</v>
      </c>
      <c r="I2164" s="14">
        <f t="shared" si="963"/>
        <v>1443.3620000000001</v>
      </c>
      <c r="J2164" s="14">
        <f t="shared" si="963"/>
        <v>1443.3614299999999</v>
      </c>
      <c r="K2164" s="78">
        <f t="shared" si="948"/>
        <v>99.999960508867474</v>
      </c>
      <c r="L2164" s="14">
        <f t="shared" si="963"/>
        <v>0</v>
      </c>
      <c r="M2164" s="50"/>
      <c r="N2164" s="50"/>
    </row>
    <row r="2165" spans="1:14" ht="31.2" x14ac:dyDescent="0.3">
      <c r="A2165" s="8" t="s">
        <v>1426</v>
      </c>
      <c r="B2165" s="62" t="s">
        <v>914</v>
      </c>
      <c r="C2165" s="68" t="s">
        <v>1382</v>
      </c>
      <c r="D2165" s="68" t="s">
        <v>1478</v>
      </c>
      <c r="E2165" s="8" t="s">
        <v>666</v>
      </c>
      <c r="F2165" s="8"/>
      <c r="G2165" s="13" t="s">
        <v>1167</v>
      </c>
      <c r="H2165" s="14">
        <f t="shared" si="963"/>
        <v>1443.3620000000001</v>
      </c>
      <c r="I2165" s="14">
        <f t="shared" si="963"/>
        <v>1443.3620000000001</v>
      </c>
      <c r="J2165" s="14">
        <f t="shared" si="963"/>
        <v>1443.3614299999999</v>
      </c>
      <c r="K2165" s="78">
        <f t="shared" si="948"/>
        <v>99.999960508867474</v>
      </c>
      <c r="L2165" s="14">
        <f t="shared" si="963"/>
        <v>0</v>
      </c>
      <c r="M2165" s="50"/>
      <c r="N2165" s="50"/>
    </row>
    <row r="2166" spans="1:14" ht="62.4" x14ac:dyDescent="0.3">
      <c r="A2166" s="8" t="s">
        <v>1426</v>
      </c>
      <c r="B2166" s="62" t="s">
        <v>914</v>
      </c>
      <c r="C2166" s="68" t="s">
        <v>1382</v>
      </c>
      <c r="D2166" s="68" t="s">
        <v>1478</v>
      </c>
      <c r="E2166" s="8" t="s">
        <v>674</v>
      </c>
      <c r="F2166" s="8"/>
      <c r="G2166" s="18" t="s">
        <v>1184</v>
      </c>
      <c r="H2166" s="14">
        <f t="shared" si="963"/>
        <v>1443.3620000000001</v>
      </c>
      <c r="I2166" s="14">
        <f t="shared" si="963"/>
        <v>1443.3620000000001</v>
      </c>
      <c r="J2166" s="14">
        <f t="shared" si="963"/>
        <v>1443.3614299999999</v>
      </c>
      <c r="K2166" s="78">
        <f t="shared" si="948"/>
        <v>99.999960508867474</v>
      </c>
      <c r="L2166" s="14">
        <f t="shared" si="963"/>
        <v>0</v>
      </c>
      <c r="M2166" s="50"/>
      <c r="N2166" s="50"/>
    </row>
    <row r="2167" spans="1:14" ht="31.2" x14ac:dyDescent="0.3">
      <c r="A2167" s="8" t="s">
        <v>1426</v>
      </c>
      <c r="B2167" s="62" t="s">
        <v>914</v>
      </c>
      <c r="C2167" s="68" t="s">
        <v>1382</v>
      </c>
      <c r="D2167" s="68" t="s">
        <v>1478</v>
      </c>
      <c r="E2167" s="8" t="s">
        <v>674</v>
      </c>
      <c r="F2167" s="45" t="s">
        <v>380</v>
      </c>
      <c r="G2167" s="23" t="s">
        <v>809</v>
      </c>
      <c r="H2167" s="14">
        <f t="shared" si="963"/>
        <v>1443.3620000000001</v>
      </c>
      <c r="I2167" s="14">
        <f t="shared" si="963"/>
        <v>1443.3620000000001</v>
      </c>
      <c r="J2167" s="14">
        <f t="shared" si="963"/>
        <v>1443.3614299999999</v>
      </c>
      <c r="K2167" s="78">
        <f t="shared" si="948"/>
        <v>99.999960508867474</v>
      </c>
      <c r="L2167" s="14">
        <f t="shared" si="963"/>
        <v>0</v>
      </c>
      <c r="M2167" s="50"/>
      <c r="N2167" s="50"/>
    </row>
    <row r="2168" spans="1:14" ht="31.2" x14ac:dyDescent="0.3">
      <c r="A2168" s="8" t="s">
        <v>1426</v>
      </c>
      <c r="B2168" s="62" t="s">
        <v>914</v>
      </c>
      <c r="C2168" s="68" t="s">
        <v>1382</v>
      </c>
      <c r="D2168" s="68" t="s">
        <v>1478</v>
      </c>
      <c r="E2168" s="8" t="s">
        <v>674</v>
      </c>
      <c r="F2168" s="8" t="s">
        <v>247</v>
      </c>
      <c r="G2168" s="23" t="s">
        <v>810</v>
      </c>
      <c r="H2168" s="14">
        <f>1493.5-22.566-27.072-0.5</f>
        <v>1443.3620000000001</v>
      </c>
      <c r="I2168" s="14">
        <v>1443.3620000000001</v>
      </c>
      <c r="J2168" s="14">
        <v>1443.3614299999999</v>
      </c>
      <c r="K2168" s="78">
        <f t="shared" si="948"/>
        <v>99.999960508867474</v>
      </c>
      <c r="L2168" s="14"/>
      <c r="M2168" s="50"/>
      <c r="N2168" s="50"/>
    </row>
    <row r="2169" spans="1:14" ht="31.2" x14ac:dyDescent="0.3">
      <c r="A2169" s="8" t="s">
        <v>1426</v>
      </c>
      <c r="B2169" s="62" t="s">
        <v>914</v>
      </c>
      <c r="C2169" s="68" t="s">
        <v>1382</v>
      </c>
      <c r="D2169" s="68" t="s">
        <v>1478</v>
      </c>
      <c r="E2169" s="8" t="s">
        <v>429</v>
      </c>
      <c r="F2169" s="8"/>
      <c r="G2169" s="13" t="s">
        <v>1140</v>
      </c>
      <c r="H2169" s="20">
        <v>0</v>
      </c>
      <c r="I2169" s="14">
        <f>I2170</f>
        <v>80</v>
      </c>
      <c r="J2169" s="14">
        <f t="shared" ref="J2169:L2171" si="965">J2170</f>
        <v>79.75</v>
      </c>
      <c r="K2169" s="78">
        <f t="shared" si="948"/>
        <v>99.6875</v>
      </c>
      <c r="L2169" s="14">
        <f t="shared" si="965"/>
        <v>0</v>
      </c>
      <c r="M2169" s="50"/>
      <c r="N2169" s="50"/>
    </row>
    <row r="2170" spans="1:14" ht="46.8" x14ac:dyDescent="0.3">
      <c r="A2170" s="8" t="s">
        <v>1426</v>
      </c>
      <c r="B2170" s="62" t="s">
        <v>914</v>
      </c>
      <c r="C2170" s="68" t="s">
        <v>1382</v>
      </c>
      <c r="D2170" s="68" t="s">
        <v>1478</v>
      </c>
      <c r="E2170" s="8" t="s">
        <v>535</v>
      </c>
      <c r="F2170" s="8"/>
      <c r="G2170" s="13" t="s">
        <v>176</v>
      </c>
      <c r="H2170" s="20">
        <v>0</v>
      </c>
      <c r="I2170" s="14">
        <f>I2171</f>
        <v>80</v>
      </c>
      <c r="J2170" s="14">
        <f t="shared" si="965"/>
        <v>79.75</v>
      </c>
      <c r="K2170" s="78">
        <f t="shared" si="948"/>
        <v>99.6875</v>
      </c>
      <c r="L2170" s="14">
        <f t="shared" si="965"/>
        <v>0</v>
      </c>
      <c r="M2170" s="50"/>
      <c r="N2170" s="50"/>
    </row>
    <row r="2171" spans="1:14" ht="31.2" x14ac:dyDescent="0.3">
      <c r="A2171" s="8" t="s">
        <v>1426</v>
      </c>
      <c r="B2171" s="62" t="s">
        <v>914</v>
      </c>
      <c r="C2171" s="68" t="s">
        <v>1382</v>
      </c>
      <c r="D2171" s="68" t="s">
        <v>1478</v>
      </c>
      <c r="E2171" s="8" t="s">
        <v>535</v>
      </c>
      <c r="F2171" s="45" t="s">
        <v>380</v>
      </c>
      <c r="G2171" s="23" t="s">
        <v>809</v>
      </c>
      <c r="H2171" s="20">
        <v>0</v>
      </c>
      <c r="I2171" s="14">
        <f>I2172</f>
        <v>80</v>
      </c>
      <c r="J2171" s="14">
        <f t="shared" si="965"/>
        <v>79.75</v>
      </c>
      <c r="K2171" s="78">
        <f t="shared" si="948"/>
        <v>99.6875</v>
      </c>
      <c r="L2171" s="14">
        <f t="shared" si="965"/>
        <v>0</v>
      </c>
      <c r="M2171" s="50"/>
      <c r="N2171" s="50"/>
    </row>
    <row r="2172" spans="1:14" ht="31.2" x14ac:dyDescent="0.3">
      <c r="A2172" s="8" t="s">
        <v>1426</v>
      </c>
      <c r="B2172" s="62" t="s">
        <v>914</v>
      </c>
      <c r="C2172" s="68" t="s">
        <v>1382</v>
      </c>
      <c r="D2172" s="68" t="s">
        <v>1478</v>
      </c>
      <c r="E2172" s="8" t="s">
        <v>535</v>
      </c>
      <c r="F2172" s="8" t="s">
        <v>247</v>
      </c>
      <c r="G2172" s="23" t="s">
        <v>810</v>
      </c>
      <c r="H2172" s="20">
        <v>0</v>
      </c>
      <c r="I2172" s="14">
        <v>80</v>
      </c>
      <c r="J2172" s="14">
        <v>79.75</v>
      </c>
      <c r="K2172" s="78">
        <f t="shared" si="948"/>
        <v>99.6875</v>
      </c>
      <c r="L2172" s="14"/>
      <c r="M2172" s="50"/>
      <c r="N2172" s="50"/>
    </row>
    <row r="2173" spans="1:14" s="3" customFormat="1" ht="31.2" x14ac:dyDescent="0.3">
      <c r="A2173" s="10" t="s">
        <v>1427</v>
      </c>
      <c r="B2173" s="43" t="s">
        <v>915</v>
      </c>
      <c r="C2173" s="43" t="s">
        <v>915</v>
      </c>
      <c r="D2173" s="43" t="s">
        <v>915</v>
      </c>
      <c r="E2173" s="10"/>
      <c r="F2173" s="10"/>
      <c r="G2173" s="5" t="s">
        <v>1428</v>
      </c>
      <c r="H2173" s="15">
        <f t="shared" ref="H2173:L2173" si="966">H2174+H2280+H2347+H2408+H2237+H2416+H2424+H2436</f>
        <v>263653.78700000007</v>
      </c>
      <c r="I2173" s="15">
        <f t="shared" si="966"/>
        <v>468237.85904000007</v>
      </c>
      <c r="J2173" s="15">
        <f t="shared" si="966"/>
        <v>463374.47405999998</v>
      </c>
      <c r="K2173" s="81">
        <f t="shared" si="948"/>
        <v>98.961343068249292</v>
      </c>
      <c r="L2173" s="15">
        <f t="shared" si="966"/>
        <v>0</v>
      </c>
      <c r="M2173" s="65"/>
      <c r="N2173" s="65"/>
    </row>
    <row r="2174" spans="1:14" s="3" customFormat="1" x14ac:dyDescent="0.3">
      <c r="A2174" s="10" t="s">
        <v>1427</v>
      </c>
      <c r="B2174" s="43" t="s">
        <v>1372</v>
      </c>
      <c r="C2174" s="43" t="s">
        <v>1372</v>
      </c>
      <c r="D2174" s="43" t="s">
        <v>915</v>
      </c>
      <c r="E2174" s="10"/>
      <c r="F2174" s="10"/>
      <c r="G2174" s="5" t="s">
        <v>1376</v>
      </c>
      <c r="H2174" s="15">
        <f>H2175+H2201</f>
        <v>54310.626000000004</v>
      </c>
      <c r="I2174" s="15">
        <f>I2175+I2201</f>
        <v>54464.176000000007</v>
      </c>
      <c r="J2174" s="15">
        <f t="shared" ref="J2174" si="967">J2175+J2201</f>
        <v>54278.933670000006</v>
      </c>
      <c r="K2174" s="81">
        <f t="shared" si="948"/>
        <v>99.659882249939841</v>
      </c>
      <c r="L2174" s="15">
        <f>L2175+L2201</f>
        <v>0</v>
      </c>
      <c r="M2174" s="65"/>
      <c r="N2174" s="65"/>
    </row>
    <row r="2175" spans="1:14" s="9" customFormat="1" ht="62.4" x14ac:dyDescent="0.3">
      <c r="A2175" s="11" t="s">
        <v>1427</v>
      </c>
      <c r="B2175" s="48" t="s">
        <v>934</v>
      </c>
      <c r="C2175" s="48" t="s">
        <v>1372</v>
      </c>
      <c r="D2175" s="48" t="s">
        <v>1386</v>
      </c>
      <c r="E2175" s="11"/>
      <c r="F2175" s="11"/>
      <c r="G2175" s="7" t="s">
        <v>1418</v>
      </c>
      <c r="H2175" s="16">
        <f>H2184+H2176+H2196</f>
        <v>44584.4</v>
      </c>
      <c r="I2175" s="16">
        <f t="shared" ref="I2175:L2175" si="968">I2184+I2176+I2196</f>
        <v>44630.200000000004</v>
      </c>
      <c r="J2175" s="16">
        <f t="shared" si="968"/>
        <v>44630.200000000004</v>
      </c>
      <c r="K2175" s="82">
        <f t="shared" si="948"/>
        <v>100</v>
      </c>
      <c r="L2175" s="16">
        <f t="shared" si="968"/>
        <v>0</v>
      </c>
      <c r="M2175" s="65"/>
      <c r="N2175" s="65"/>
    </row>
    <row r="2176" spans="1:14" ht="31.2" x14ac:dyDescent="0.3">
      <c r="A2176" s="8" t="s">
        <v>1427</v>
      </c>
      <c r="B2176" s="62" t="s">
        <v>934</v>
      </c>
      <c r="C2176" s="68" t="s">
        <v>1372</v>
      </c>
      <c r="D2176" s="68" t="s">
        <v>1386</v>
      </c>
      <c r="E2176" s="8" t="s">
        <v>396</v>
      </c>
      <c r="F2176" s="8"/>
      <c r="G2176" s="13" t="s">
        <v>876</v>
      </c>
      <c r="H2176" s="14">
        <f t="shared" ref="H2176:L2178" si="969">H2177</f>
        <v>4637.9000000000005</v>
      </c>
      <c r="I2176" s="14">
        <f t="shared" si="969"/>
        <v>4637.9000000000005</v>
      </c>
      <c r="J2176" s="14">
        <f t="shared" si="969"/>
        <v>4637.9000000000005</v>
      </c>
      <c r="K2176" s="78">
        <f t="shared" si="948"/>
        <v>100</v>
      </c>
      <c r="L2176" s="14">
        <f t="shared" si="969"/>
        <v>0</v>
      </c>
      <c r="M2176" s="50"/>
      <c r="N2176" s="50"/>
    </row>
    <row r="2177" spans="1:14" ht="31.2" x14ac:dyDescent="0.3">
      <c r="A2177" s="8" t="s">
        <v>1427</v>
      </c>
      <c r="B2177" s="62" t="s">
        <v>934</v>
      </c>
      <c r="C2177" s="68" t="s">
        <v>1372</v>
      </c>
      <c r="D2177" s="68" t="s">
        <v>1386</v>
      </c>
      <c r="E2177" s="8" t="s">
        <v>485</v>
      </c>
      <c r="F2177" s="8"/>
      <c r="G2177" s="13" t="s">
        <v>877</v>
      </c>
      <c r="H2177" s="14">
        <f t="shared" si="969"/>
        <v>4637.9000000000005</v>
      </c>
      <c r="I2177" s="14">
        <f t="shared" si="969"/>
        <v>4637.9000000000005</v>
      </c>
      <c r="J2177" s="14">
        <f t="shared" si="969"/>
        <v>4637.9000000000005</v>
      </c>
      <c r="K2177" s="78">
        <f t="shared" si="948"/>
        <v>100</v>
      </c>
      <c r="L2177" s="14">
        <f t="shared" si="969"/>
        <v>0</v>
      </c>
      <c r="M2177" s="50"/>
      <c r="N2177" s="50"/>
    </row>
    <row r="2178" spans="1:14" ht="62.4" x14ac:dyDescent="0.3">
      <c r="A2178" s="8" t="s">
        <v>1427</v>
      </c>
      <c r="B2178" s="62" t="s">
        <v>934</v>
      </c>
      <c r="C2178" s="68" t="s">
        <v>1372</v>
      </c>
      <c r="D2178" s="68" t="s">
        <v>1386</v>
      </c>
      <c r="E2178" s="8" t="s">
        <v>518</v>
      </c>
      <c r="F2178" s="8"/>
      <c r="G2178" s="18" t="s">
        <v>878</v>
      </c>
      <c r="H2178" s="14">
        <f t="shared" si="969"/>
        <v>4637.9000000000005</v>
      </c>
      <c r="I2178" s="14">
        <f t="shared" si="969"/>
        <v>4637.9000000000005</v>
      </c>
      <c r="J2178" s="14">
        <f t="shared" si="969"/>
        <v>4637.9000000000005</v>
      </c>
      <c r="K2178" s="78">
        <f t="shared" si="948"/>
        <v>100</v>
      </c>
      <c r="L2178" s="14">
        <f t="shared" si="969"/>
        <v>0</v>
      </c>
      <c r="M2178" s="50"/>
      <c r="N2178" s="50"/>
    </row>
    <row r="2179" spans="1:14" ht="31.2" x14ac:dyDescent="0.3">
      <c r="A2179" s="8" t="s">
        <v>1427</v>
      </c>
      <c r="B2179" s="62" t="s">
        <v>934</v>
      </c>
      <c r="C2179" s="68" t="s">
        <v>1372</v>
      </c>
      <c r="D2179" s="68" t="s">
        <v>1386</v>
      </c>
      <c r="E2179" s="8" t="s">
        <v>244</v>
      </c>
      <c r="F2179" s="8"/>
      <c r="G2179" s="18" t="s">
        <v>879</v>
      </c>
      <c r="H2179" s="14">
        <f>H2180+H2182</f>
        <v>4637.9000000000005</v>
      </c>
      <c r="I2179" s="14">
        <f>I2180+I2182</f>
        <v>4637.9000000000005</v>
      </c>
      <c r="J2179" s="14">
        <f t="shared" ref="J2179" si="970">J2180+J2182</f>
        <v>4637.9000000000005</v>
      </c>
      <c r="K2179" s="78">
        <f t="shared" si="948"/>
        <v>100</v>
      </c>
      <c r="L2179" s="14">
        <f>L2180+L2182</f>
        <v>0</v>
      </c>
      <c r="M2179" s="50"/>
      <c r="N2179" s="50"/>
    </row>
    <row r="2180" spans="1:14" ht="78" x14ac:dyDescent="0.3">
      <c r="A2180" s="8" t="s">
        <v>1427</v>
      </c>
      <c r="B2180" s="62" t="s">
        <v>934</v>
      </c>
      <c r="C2180" s="68" t="s">
        <v>1372</v>
      </c>
      <c r="D2180" s="68" t="s">
        <v>1386</v>
      </c>
      <c r="E2180" s="8" t="s">
        <v>244</v>
      </c>
      <c r="F2180" s="45" t="s">
        <v>431</v>
      </c>
      <c r="G2180" s="23" t="s">
        <v>806</v>
      </c>
      <c r="H2180" s="14">
        <f t="shared" ref="H2180:L2180" si="971">H2181</f>
        <v>4470.6000000000004</v>
      </c>
      <c r="I2180" s="14">
        <f t="shared" si="971"/>
        <v>4386.5152200000002</v>
      </c>
      <c r="J2180" s="14">
        <f t="shared" si="971"/>
        <v>4386.5152200000002</v>
      </c>
      <c r="K2180" s="78">
        <f t="shared" si="948"/>
        <v>100</v>
      </c>
      <c r="L2180" s="14">
        <f t="shared" si="971"/>
        <v>0</v>
      </c>
      <c r="M2180" s="50"/>
      <c r="N2180" s="50"/>
    </row>
    <row r="2181" spans="1:14" ht="31.2" x14ac:dyDescent="0.3">
      <c r="A2181" s="8" t="s">
        <v>1427</v>
      </c>
      <c r="B2181" s="62" t="s">
        <v>934</v>
      </c>
      <c r="C2181" s="68" t="s">
        <v>1372</v>
      </c>
      <c r="D2181" s="68" t="s">
        <v>1386</v>
      </c>
      <c r="E2181" s="8" t="s">
        <v>244</v>
      </c>
      <c r="F2181" s="45" t="s">
        <v>233</v>
      </c>
      <c r="G2181" s="23" t="s">
        <v>808</v>
      </c>
      <c r="H2181" s="14">
        <v>4470.6000000000004</v>
      </c>
      <c r="I2181" s="14">
        <v>4386.5152200000002</v>
      </c>
      <c r="J2181" s="14">
        <v>4386.5152200000002</v>
      </c>
      <c r="K2181" s="78">
        <f t="shared" si="948"/>
        <v>100</v>
      </c>
      <c r="L2181" s="14"/>
      <c r="M2181" s="50"/>
      <c r="N2181" s="50"/>
    </row>
    <row r="2182" spans="1:14" ht="31.2" x14ac:dyDescent="0.3">
      <c r="A2182" s="8" t="s">
        <v>1427</v>
      </c>
      <c r="B2182" s="62" t="s">
        <v>934</v>
      </c>
      <c r="C2182" s="68" t="s">
        <v>1372</v>
      </c>
      <c r="D2182" s="68" t="s">
        <v>1386</v>
      </c>
      <c r="E2182" s="8" t="s">
        <v>244</v>
      </c>
      <c r="F2182" s="45" t="s">
        <v>380</v>
      </c>
      <c r="G2182" s="23" t="s">
        <v>809</v>
      </c>
      <c r="H2182" s="14">
        <f t="shared" ref="H2182:L2182" si="972">H2183</f>
        <v>167.3</v>
      </c>
      <c r="I2182" s="14">
        <f t="shared" si="972"/>
        <v>251.38478000000001</v>
      </c>
      <c r="J2182" s="14">
        <f t="shared" si="972"/>
        <v>251.38478000000001</v>
      </c>
      <c r="K2182" s="78">
        <f t="shared" si="948"/>
        <v>100</v>
      </c>
      <c r="L2182" s="14">
        <f t="shared" si="972"/>
        <v>0</v>
      </c>
      <c r="M2182" s="50"/>
      <c r="N2182" s="50"/>
    </row>
    <row r="2183" spans="1:14" ht="31.2" x14ac:dyDescent="0.3">
      <c r="A2183" s="8" t="s">
        <v>1427</v>
      </c>
      <c r="B2183" s="62" t="s">
        <v>934</v>
      </c>
      <c r="C2183" s="68" t="s">
        <v>1372</v>
      </c>
      <c r="D2183" s="68" t="s">
        <v>1386</v>
      </c>
      <c r="E2183" s="8" t="s">
        <v>244</v>
      </c>
      <c r="F2183" s="8" t="s">
        <v>247</v>
      </c>
      <c r="G2183" s="23" t="s">
        <v>810</v>
      </c>
      <c r="H2183" s="14">
        <v>167.3</v>
      </c>
      <c r="I2183" s="14">
        <v>251.38478000000001</v>
      </c>
      <c r="J2183" s="14">
        <v>251.38478000000001</v>
      </c>
      <c r="K2183" s="78">
        <f t="shared" si="948"/>
        <v>100</v>
      </c>
      <c r="L2183" s="14"/>
      <c r="M2183" s="50"/>
      <c r="N2183" s="50"/>
    </row>
    <row r="2184" spans="1:14" ht="31.2" x14ac:dyDescent="0.3">
      <c r="A2184" s="8" t="s">
        <v>1427</v>
      </c>
      <c r="B2184" s="62" t="s">
        <v>934</v>
      </c>
      <c r="C2184" s="68" t="s">
        <v>1372</v>
      </c>
      <c r="D2184" s="68" t="s">
        <v>1386</v>
      </c>
      <c r="E2184" s="8" t="s">
        <v>343</v>
      </c>
      <c r="F2184" s="8"/>
      <c r="G2184" s="23" t="s">
        <v>1157</v>
      </c>
      <c r="H2184" s="14">
        <f t="shared" ref="H2184:L2184" si="973">H2185</f>
        <v>39946.5</v>
      </c>
      <c r="I2184" s="14">
        <f t="shared" si="973"/>
        <v>39990.5</v>
      </c>
      <c r="J2184" s="14">
        <f t="shared" si="973"/>
        <v>39990.5</v>
      </c>
      <c r="K2184" s="78">
        <f t="shared" ref="K2184:K2247" si="974">J2184/I2184*100</f>
        <v>100</v>
      </c>
      <c r="L2184" s="14">
        <f t="shared" si="973"/>
        <v>0</v>
      </c>
      <c r="M2184" s="50"/>
      <c r="N2184" s="50"/>
    </row>
    <row r="2185" spans="1:14" x14ac:dyDescent="0.3">
      <c r="A2185" s="8" t="s">
        <v>1427</v>
      </c>
      <c r="B2185" s="62" t="s">
        <v>934</v>
      </c>
      <c r="C2185" s="68" t="s">
        <v>1372</v>
      </c>
      <c r="D2185" s="68" t="s">
        <v>1386</v>
      </c>
      <c r="E2185" s="8" t="s">
        <v>351</v>
      </c>
      <c r="F2185" s="8"/>
      <c r="G2185" s="13" t="s">
        <v>1158</v>
      </c>
      <c r="H2185" s="14">
        <f>H2186+H2189</f>
        <v>39946.5</v>
      </c>
      <c r="I2185" s="14">
        <f>I2186+I2189</f>
        <v>39990.5</v>
      </c>
      <c r="J2185" s="14">
        <f t="shared" ref="J2185" si="975">J2186+J2189</f>
        <v>39990.5</v>
      </c>
      <c r="K2185" s="78">
        <f t="shared" si="974"/>
        <v>100</v>
      </c>
      <c r="L2185" s="14">
        <f>L2186+L2189</f>
        <v>0</v>
      </c>
      <c r="M2185" s="50"/>
      <c r="N2185" s="50"/>
    </row>
    <row r="2186" spans="1:14" ht="31.2" x14ac:dyDescent="0.3">
      <c r="A2186" s="8" t="s">
        <v>1427</v>
      </c>
      <c r="B2186" s="62" t="s">
        <v>934</v>
      </c>
      <c r="C2186" s="68" t="s">
        <v>1372</v>
      </c>
      <c r="D2186" s="68" t="s">
        <v>1386</v>
      </c>
      <c r="E2186" s="8" t="s">
        <v>352</v>
      </c>
      <c r="F2186" s="8"/>
      <c r="G2186" s="13" t="s">
        <v>1152</v>
      </c>
      <c r="H2186" s="14">
        <f t="shared" ref="H2186:L2187" si="976">H2187</f>
        <v>36425.699999999997</v>
      </c>
      <c r="I2186" s="14">
        <f t="shared" si="976"/>
        <v>36524.118300000002</v>
      </c>
      <c r="J2186" s="14">
        <f t="shared" si="976"/>
        <v>36524.118300000002</v>
      </c>
      <c r="K2186" s="78">
        <f t="shared" si="974"/>
        <v>100</v>
      </c>
      <c r="L2186" s="14">
        <f t="shared" si="976"/>
        <v>0</v>
      </c>
      <c r="M2186" s="50"/>
      <c r="N2186" s="50"/>
    </row>
    <row r="2187" spans="1:14" ht="78" x14ac:dyDescent="0.3">
      <c r="A2187" s="8" t="s">
        <v>1427</v>
      </c>
      <c r="B2187" s="62" t="s">
        <v>934</v>
      </c>
      <c r="C2187" s="68" t="s">
        <v>1372</v>
      </c>
      <c r="D2187" s="68" t="s">
        <v>1386</v>
      </c>
      <c r="E2187" s="8" t="s">
        <v>352</v>
      </c>
      <c r="F2187" s="45" t="s">
        <v>431</v>
      </c>
      <c r="G2187" s="23" t="s">
        <v>806</v>
      </c>
      <c r="H2187" s="14">
        <f t="shared" si="976"/>
        <v>36425.699999999997</v>
      </c>
      <c r="I2187" s="14">
        <f t="shared" si="976"/>
        <v>36524.118300000002</v>
      </c>
      <c r="J2187" s="14">
        <f t="shared" si="976"/>
        <v>36524.118300000002</v>
      </c>
      <c r="K2187" s="78">
        <f t="shared" si="974"/>
        <v>100</v>
      </c>
      <c r="L2187" s="14">
        <f t="shared" si="976"/>
        <v>0</v>
      </c>
      <c r="M2187" s="50"/>
      <c r="N2187" s="50"/>
    </row>
    <row r="2188" spans="1:14" ht="31.2" x14ac:dyDescent="0.3">
      <c r="A2188" s="8" t="s">
        <v>1427</v>
      </c>
      <c r="B2188" s="62" t="s">
        <v>934</v>
      </c>
      <c r="C2188" s="68" t="s">
        <v>1372</v>
      </c>
      <c r="D2188" s="68" t="s">
        <v>1386</v>
      </c>
      <c r="E2188" s="8" t="s">
        <v>352</v>
      </c>
      <c r="F2188" s="45" t="s">
        <v>233</v>
      </c>
      <c r="G2188" s="23" t="s">
        <v>808</v>
      </c>
      <c r="H2188" s="14">
        <v>36425.699999999997</v>
      </c>
      <c r="I2188" s="14">
        <v>36524.118300000002</v>
      </c>
      <c r="J2188" s="14">
        <v>36524.118300000002</v>
      </c>
      <c r="K2188" s="78">
        <f t="shared" si="974"/>
        <v>100</v>
      </c>
      <c r="L2188" s="14"/>
      <c r="M2188" s="50"/>
      <c r="N2188" s="50"/>
    </row>
    <row r="2189" spans="1:14" ht="31.2" x14ac:dyDescent="0.3">
      <c r="A2189" s="8" t="s">
        <v>1427</v>
      </c>
      <c r="B2189" s="62" t="s">
        <v>934</v>
      </c>
      <c r="C2189" s="68" t="s">
        <v>1372</v>
      </c>
      <c r="D2189" s="68" t="s">
        <v>1386</v>
      </c>
      <c r="E2189" s="8" t="s">
        <v>353</v>
      </c>
      <c r="F2189" s="8"/>
      <c r="G2189" s="13" t="s">
        <v>1154</v>
      </c>
      <c r="H2189" s="14">
        <f>H2194+H2190+H2192</f>
        <v>3520.8</v>
      </c>
      <c r="I2189" s="14">
        <f>I2194+I2190+I2192</f>
        <v>3466.3816999999999</v>
      </c>
      <c r="J2189" s="14">
        <f t="shared" ref="J2189" si="977">J2194+J2190+J2192</f>
        <v>3466.3816999999999</v>
      </c>
      <c r="K2189" s="78">
        <f t="shared" si="974"/>
        <v>100</v>
      </c>
      <c r="L2189" s="14">
        <f>L2194+L2190+L2192</f>
        <v>0</v>
      </c>
      <c r="M2189" s="50"/>
      <c r="N2189" s="50"/>
    </row>
    <row r="2190" spans="1:14" ht="78" x14ac:dyDescent="0.3">
      <c r="A2190" s="8" t="s">
        <v>1427</v>
      </c>
      <c r="B2190" s="62" t="s">
        <v>934</v>
      </c>
      <c r="C2190" s="68" t="s">
        <v>1372</v>
      </c>
      <c r="D2190" s="68" t="s">
        <v>1386</v>
      </c>
      <c r="E2190" s="8" t="s">
        <v>353</v>
      </c>
      <c r="F2190" s="45" t="s">
        <v>431</v>
      </c>
      <c r="G2190" s="23" t="s">
        <v>806</v>
      </c>
      <c r="H2190" s="14">
        <f t="shared" ref="H2190:L2190" si="978">H2191</f>
        <v>18.2</v>
      </c>
      <c r="I2190" s="14">
        <f t="shared" si="978"/>
        <v>20.401800000000001</v>
      </c>
      <c r="J2190" s="14">
        <f t="shared" si="978"/>
        <v>20.401800000000001</v>
      </c>
      <c r="K2190" s="78">
        <f t="shared" si="974"/>
        <v>100</v>
      </c>
      <c r="L2190" s="14">
        <f t="shared" si="978"/>
        <v>0</v>
      </c>
      <c r="M2190" s="50"/>
      <c r="N2190" s="50"/>
    </row>
    <row r="2191" spans="1:14" ht="31.2" x14ac:dyDescent="0.3">
      <c r="A2191" s="8" t="s">
        <v>1427</v>
      </c>
      <c r="B2191" s="62" t="s">
        <v>934</v>
      </c>
      <c r="C2191" s="68" t="s">
        <v>1372</v>
      </c>
      <c r="D2191" s="68" t="s">
        <v>1386</v>
      </c>
      <c r="E2191" s="8" t="s">
        <v>353</v>
      </c>
      <c r="F2191" s="45" t="s">
        <v>233</v>
      </c>
      <c r="G2191" s="23" t="s">
        <v>808</v>
      </c>
      <c r="H2191" s="14">
        <v>18.2</v>
      </c>
      <c r="I2191" s="14">
        <v>20.401800000000001</v>
      </c>
      <c r="J2191" s="14">
        <v>20.401800000000001</v>
      </c>
      <c r="K2191" s="78">
        <f t="shared" si="974"/>
        <v>100</v>
      </c>
      <c r="L2191" s="14"/>
      <c r="M2191" s="50"/>
      <c r="N2191" s="50"/>
    </row>
    <row r="2192" spans="1:14" ht="31.2" x14ac:dyDescent="0.3">
      <c r="A2192" s="8" t="s">
        <v>1427</v>
      </c>
      <c r="B2192" s="62" t="s">
        <v>934</v>
      </c>
      <c r="C2192" s="68" t="s">
        <v>1372</v>
      </c>
      <c r="D2192" s="68" t="s">
        <v>1386</v>
      </c>
      <c r="E2192" s="8" t="s">
        <v>353</v>
      </c>
      <c r="F2192" s="45" t="s">
        <v>380</v>
      </c>
      <c r="G2192" s="23" t="s">
        <v>809</v>
      </c>
      <c r="H2192" s="14">
        <f t="shared" ref="H2192:L2192" si="979">H2193</f>
        <v>3500.8</v>
      </c>
      <c r="I2192" s="14">
        <f t="shared" si="979"/>
        <v>3445.4908999999998</v>
      </c>
      <c r="J2192" s="14">
        <f t="shared" si="979"/>
        <v>3445.4908999999998</v>
      </c>
      <c r="K2192" s="78">
        <f t="shared" si="974"/>
        <v>100</v>
      </c>
      <c r="L2192" s="14">
        <f t="shared" si="979"/>
        <v>0</v>
      </c>
      <c r="M2192" s="50"/>
      <c r="N2192" s="50"/>
    </row>
    <row r="2193" spans="1:14" ht="31.2" x14ac:dyDescent="0.3">
      <c r="A2193" s="8" t="s">
        <v>1427</v>
      </c>
      <c r="B2193" s="62" t="s">
        <v>934</v>
      </c>
      <c r="C2193" s="68" t="s">
        <v>1372</v>
      </c>
      <c r="D2193" s="68" t="s">
        <v>1386</v>
      </c>
      <c r="E2193" s="8" t="s">
        <v>353</v>
      </c>
      <c r="F2193" s="8" t="s">
        <v>247</v>
      </c>
      <c r="G2193" s="23" t="s">
        <v>810</v>
      </c>
      <c r="H2193" s="14">
        <v>3500.8</v>
      </c>
      <c r="I2193" s="14">
        <v>3445.4908999999998</v>
      </c>
      <c r="J2193" s="14">
        <v>3445.4908999999998</v>
      </c>
      <c r="K2193" s="78">
        <f t="shared" si="974"/>
        <v>100</v>
      </c>
      <c r="L2193" s="14"/>
      <c r="M2193" s="50"/>
      <c r="N2193" s="50"/>
    </row>
    <row r="2194" spans="1:14" x14ac:dyDescent="0.3">
      <c r="A2194" s="8" t="s">
        <v>1427</v>
      </c>
      <c r="B2194" s="62" t="s">
        <v>934</v>
      </c>
      <c r="C2194" s="68" t="s">
        <v>1372</v>
      </c>
      <c r="D2194" s="68" t="s">
        <v>1386</v>
      </c>
      <c r="E2194" s="8" t="s">
        <v>353</v>
      </c>
      <c r="F2194" s="45" t="s">
        <v>464</v>
      </c>
      <c r="G2194" s="23" t="s">
        <v>822</v>
      </c>
      <c r="H2194" s="14">
        <f t="shared" ref="H2194:L2194" si="980">H2195</f>
        <v>1.8</v>
      </c>
      <c r="I2194" s="14">
        <f t="shared" si="980"/>
        <v>0.48899999999999999</v>
      </c>
      <c r="J2194" s="14">
        <f t="shared" si="980"/>
        <v>0.48899999999999999</v>
      </c>
      <c r="K2194" s="78">
        <f t="shared" si="974"/>
        <v>100</v>
      </c>
      <c r="L2194" s="14">
        <f t="shared" si="980"/>
        <v>0</v>
      </c>
      <c r="M2194" s="50"/>
      <c r="N2194" s="50"/>
    </row>
    <row r="2195" spans="1:14" x14ac:dyDescent="0.3">
      <c r="A2195" s="8" t="s">
        <v>1427</v>
      </c>
      <c r="B2195" s="62" t="s">
        <v>934</v>
      </c>
      <c r="C2195" s="68" t="s">
        <v>1372</v>
      </c>
      <c r="D2195" s="68" t="s">
        <v>1386</v>
      </c>
      <c r="E2195" s="8" t="s">
        <v>353</v>
      </c>
      <c r="F2195" s="45" t="s">
        <v>729</v>
      </c>
      <c r="G2195" s="23" t="s">
        <v>824</v>
      </c>
      <c r="H2195" s="14">
        <v>1.8</v>
      </c>
      <c r="I2195" s="14">
        <v>0.48899999999999999</v>
      </c>
      <c r="J2195" s="14">
        <v>0.48899999999999999</v>
      </c>
      <c r="K2195" s="78">
        <f t="shared" si="974"/>
        <v>100</v>
      </c>
      <c r="L2195" s="14"/>
      <c r="M2195" s="50"/>
      <c r="N2195" s="50"/>
    </row>
    <row r="2196" spans="1:14" ht="46.8" x14ac:dyDescent="0.3">
      <c r="A2196" s="8" t="s">
        <v>1427</v>
      </c>
      <c r="B2196" s="62" t="s">
        <v>934</v>
      </c>
      <c r="C2196" s="83" t="s">
        <v>1372</v>
      </c>
      <c r="D2196" s="83" t="s">
        <v>1386</v>
      </c>
      <c r="E2196" s="45" t="s">
        <v>493</v>
      </c>
      <c r="F2196" s="45"/>
      <c r="G2196" s="23" t="s">
        <v>1160</v>
      </c>
      <c r="H2196" s="14">
        <f>H2197</f>
        <v>0</v>
      </c>
      <c r="I2196" s="14">
        <f t="shared" ref="I2196:L2199" si="981">I2197</f>
        <v>1.8</v>
      </c>
      <c r="J2196" s="14">
        <f t="shared" si="981"/>
        <v>1.8</v>
      </c>
      <c r="K2196" s="78">
        <f t="shared" si="974"/>
        <v>100</v>
      </c>
      <c r="L2196" s="14">
        <f t="shared" si="981"/>
        <v>0</v>
      </c>
      <c r="M2196" s="50"/>
      <c r="N2196" s="50"/>
    </row>
    <row r="2197" spans="1:14" ht="31.2" x14ac:dyDescent="0.3">
      <c r="A2197" s="8" t="s">
        <v>1427</v>
      </c>
      <c r="B2197" s="62" t="s">
        <v>934</v>
      </c>
      <c r="C2197" s="83" t="s">
        <v>1372</v>
      </c>
      <c r="D2197" s="83" t="s">
        <v>1386</v>
      </c>
      <c r="E2197" s="45" t="s">
        <v>494</v>
      </c>
      <c r="F2197" s="45"/>
      <c r="G2197" s="23" t="s">
        <v>1161</v>
      </c>
      <c r="H2197" s="14">
        <f>H2198</f>
        <v>0</v>
      </c>
      <c r="I2197" s="14">
        <f t="shared" si="981"/>
        <v>1.8</v>
      </c>
      <c r="J2197" s="14">
        <f t="shared" si="981"/>
        <v>1.8</v>
      </c>
      <c r="K2197" s="78">
        <f t="shared" si="974"/>
        <v>100</v>
      </c>
      <c r="L2197" s="14">
        <f t="shared" si="981"/>
        <v>0</v>
      </c>
      <c r="M2197" s="50"/>
      <c r="N2197" s="50"/>
    </row>
    <row r="2198" spans="1:14" ht="31.2" x14ac:dyDescent="0.3">
      <c r="A2198" s="8" t="s">
        <v>1427</v>
      </c>
      <c r="B2198" s="62" t="s">
        <v>934</v>
      </c>
      <c r="C2198" s="83" t="s">
        <v>1372</v>
      </c>
      <c r="D2198" s="83" t="s">
        <v>1386</v>
      </c>
      <c r="E2198" s="45" t="s">
        <v>495</v>
      </c>
      <c r="F2198" s="45"/>
      <c r="G2198" s="23" t="s">
        <v>687</v>
      </c>
      <c r="H2198" s="14">
        <f>H2199</f>
        <v>0</v>
      </c>
      <c r="I2198" s="14">
        <f t="shared" si="981"/>
        <v>1.8</v>
      </c>
      <c r="J2198" s="14">
        <f t="shared" si="981"/>
        <v>1.8</v>
      </c>
      <c r="K2198" s="78">
        <f t="shared" si="974"/>
        <v>100</v>
      </c>
      <c r="L2198" s="14">
        <f t="shared" si="981"/>
        <v>0</v>
      </c>
      <c r="M2198" s="50"/>
      <c r="N2198" s="50"/>
    </row>
    <row r="2199" spans="1:14" x14ac:dyDescent="0.3">
      <c r="A2199" s="8" t="s">
        <v>1427</v>
      </c>
      <c r="B2199" s="62" t="s">
        <v>934</v>
      </c>
      <c r="C2199" s="83" t="s">
        <v>1372</v>
      </c>
      <c r="D2199" s="83" t="s">
        <v>1386</v>
      </c>
      <c r="E2199" s="45" t="s">
        <v>495</v>
      </c>
      <c r="F2199" s="45" t="s">
        <v>464</v>
      </c>
      <c r="G2199" s="23" t="s">
        <v>822</v>
      </c>
      <c r="H2199" s="14">
        <f>H2200</f>
        <v>0</v>
      </c>
      <c r="I2199" s="14">
        <f t="shared" si="981"/>
        <v>1.8</v>
      </c>
      <c r="J2199" s="14">
        <f t="shared" si="981"/>
        <v>1.8</v>
      </c>
      <c r="K2199" s="78">
        <f t="shared" si="974"/>
        <v>100</v>
      </c>
      <c r="L2199" s="14">
        <f t="shared" si="981"/>
        <v>0</v>
      </c>
      <c r="M2199" s="50"/>
      <c r="N2199" s="50"/>
    </row>
    <row r="2200" spans="1:14" x14ac:dyDescent="0.3">
      <c r="A2200" s="8" t="s">
        <v>1427</v>
      </c>
      <c r="B2200" s="62" t="s">
        <v>934</v>
      </c>
      <c r="C2200" s="83" t="s">
        <v>1372</v>
      </c>
      <c r="D2200" s="83" t="s">
        <v>1386</v>
      </c>
      <c r="E2200" s="45" t="s">
        <v>495</v>
      </c>
      <c r="F2200" s="45" t="s">
        <v>728</v>
      </c>
      <c r="G2200" s="23" t="s">
        <v>823</v>
      </c>
      <c r="H2200" s="19">
        <v>0</v>
      </c>
      <c r="I2200" s="14">
        <v>1.8</v>
      </c>
      <c r="J2200" s="14">
        <v>1.8</v>
      </c>
      <c r="K2200" s="78">
        <f t="shared" si="974"/>
        <v>100</v>
      </c>
      <c r="L2200" s="14"/>
      <c r="M2200" s="50"/>
      <c r="N2200" s="50"/>
    </row>
    <row r="2201" spans="1:14" s="9" customFormat="1" x14ac:dyDescent="0.3">
      <c r="A2201" s="11" t="s">
        <v>1427</v>
      </c>
      <c r="B2201" s="48" t="s">
        <v>912</v>
      </c>
      <c r="C2201" s="48" t="s">
        <v>1372</v>
      </c>
      <c r="D2201" s="48" t="s">
        <v>1477</v>
      </c>
      <c r="E2201" s="11"/>
      <c r="F2201" s="11"/>
      <c r="G2201" s="7" t="s">
        <v>1377</v>
      </c>
      <c r="H2201" s="16">
        <f>H2202+H2211+H2233</f>
        <v>9726.2259999999987</v>
      </c>
      <c r="I2201" s="16">
        <f>I2202+I2211+I2233</f>
        <v>9833.9759999999987</v>
      </c>
      <c r="J2201" s="16">
        <f t="shared" ref="J2201" si="982">J2202+J2211+J2233</f>
        <v>9648.7336700000014</v>
      </c>
      <c r="K2201" s="82">
        <f t="shared" si="974"/>
        <v>98.116302805701409</v>
      </c>
      <c r="L2201" s="16">
        <f>L2202+L2211+L2233</f>
        <v>0</v>
      </c>
      <c r="M2201" s="65"/>
      <c r="N2201" s="65"/>
    </row>
    <row r="2202" spans="1:14" ht="46.8" x14ac:dyDescent="0.3">
      <c r="A2202" s="8" t="s">
        <v>1427</v>
      </c>
      <c r="B2202" s="62" t="s">
        <v>912</v>
      </c>
      <c r="C2202" s="68" t="s">
        <v>1372</v>
      </c>
      <c r="D2202" s="68" t="s">
        <v>1477</v>
      </c>
      <c r="E2202" s="8" t="s">
        <v>338</v>
      </c>
      <c r="F2202" s="8"/>
      <c r="G2202" s="13" t="s">
        <v>843</v>
      </c>
      <c r="H2202" s="14">
        <f>H2203+H2207</f>
        <v>120</v>
      </c>
      <c r="I2202" s="14">
        <f>I2203+I2207</f>
        <v>120</v>
      </c>
      <c r="J2202" s="14">
        <f t="shared" ref="J2202" si="983">J2203+J2207</f>
        <v>120</v>
      </c>
      <c r="K2202" s="78">
        <f t="shared" si="974"/>
        <v>100</v>
      </c>
      <c r="L2202" s="14">
        <f>L2203+L2207</f>
        <v>0</v>
      </c>
      <c r="M2202" s="50"/>
      <c r="N2202" s="50"/>
    </row>
    <row r="2203" spans="1:14" ht="46.8" x14ac:dyDescent="0.3">
      <c r="A2203" s="8" t="s">
        <v>1427</v>
      </c>
      <c r="B2203" s="62" t="s">
        <v>912</v>
      </c>
      <c r="C2203" s="68" t="s">
        <v>1372</v>
      </c>
      <c r="D2203" s="68" t="s">
        <v>1477</v>
      </c>
      <c r="E2203" s="8" t="s">
        <v>339</v>
      </c>
      <c r="F2203" s="8"/>
      <c r="G2203" s="13" t="s">
        <v>844</v>
      </c>
      <c r="H2203" s="14">
        <f t="shared" ref="H2203:L2205" si="984">H2204</f>
        <v>95</v>
      </c>
      <c r="I2203" s="14">
        <f t="shared" si="984"/>
        <v>95</v>
      </c>
      <c r="J2203" s="14">
        <f t="shared" si="984"/>
        <v>95</v>
      </c>
      <c r="K2203" s="78">
        <f t="shared" si="974"/>
        <v>100</v>
      </c>
      <c r="L2203" s="14">
        <f t="shared" si="984"/>
        <v>0</v>
      </c>
      <c r="M2203" s="50"/>
      <c r="N2203" s="50"/>
    </row>
    <row r="2204" spans="1:14" ht="62.4" x14ac:dyDescent="0.3">
      <c r="A2204" s="8" t="s">
        <v>1427</v>
      </c>
      <c r="B2204" s="62" t="s">
        <v>912</v>
      </c>
      <c r="C2204" s="68" t="s">
        <v>1372</v>
      </c>
      <c r="D2204" s="68" t="s">
        <v>1477</v>
      </c>
      <c r="E2204" s="8" t="s">
        <v>340</v>
      </c>
      <c r="F2204" s="8"/>
      <c r="G2204" s="13" t="s">
        <v>845</v>
      </c>
      <c r="H2204" s="14">
        <f t="shared" si="984"/>
        <v>95</v>
      </c>
      <c r="I2204" s="14">
        <f t="shared" si="984"/>
        <v>95</v>
      </c>
      <c r="J2204" s="14">
        <f t="shared" si="984"/>
        <v>95</v>
      </c>
      <c r="K2204" s="78">
        <f t="shared" si="974"/>
        <v>100</v>
      </c>
      <c r="L2204" s="14">
        <f t="shared" si="984"/>
        <v>0</v>
      </c>
      <c r="M2204" s="50"/>
      <c r="N2204" s="50"/>
    </row>
    <row r="2205" spans="1:14" ht="31.2" x14ac:dyDescent="0.3">
      <c r="A2205" s="8" t="s">
        <v>1427</v>
      </c>
      <c r="B2205" s="62" t="s">
        <v>912</v>
      </c>
      <c r="C2205" s="68" t="s">
        <v>1372</v>
      </c>
      <c r="D2205" s="68" t="s">
        <v>1477</v>
      </c>
      <c r="E2205" s="8" t="s">
        <v>340</v>
      </c>
      <c r="F2205" s="45" t="s">
        <v>402</v>
      </c>
      <c r="G2205" s="23" t="s">
        <v>819</v>
      </c>
      <c r="H2205" s="14">
        <f t="shared" si="984"/>
        <v>95</v>
      </c>
      <c r="I2205" s="14">
        <f t="shared" si="984"/>
        <v>95</v>
      </c>
      <c r="J2205" s="14">
        <f t="shared" si="984"/>
        <v>95</v>
      </c>
      <c r="K2205" s="78">
        <f t="shared" si="974"/>
        <v>100</v>
      </c>
      <c r="L2205" s="14">
        <f t="shared" si="984"/>
        <v>0</v>
      </c>
      <c r="M2205" s="50"/>
      <c r="N2205" s="50"/>
    </row>
    <row r="2206" spans="1:14" ht="46.8" x14ac:dyDescent="0.3">
      <c r="A2206" s="8" t="s">
        <v>1427</v>
      </c>
      <c r="B2206" s="62" t="s">
        <v>912</v>
      </c>
      <c r="C2206" s="68" t="s">
        <v>1372</v>
      </c>
      <c r="D2206" s="68" t="s">
        <v>1477</v>
      </c>
      <c r="E2206" s="8" t="s">
        <v>340</v>
      </c>
      <c r="F2206" s="45" t="s">
        <v>280</v>
      </c>
      <c r="G2206" s="23" t="s">
        <v>821</v>
      </c>
      <c r="H2206" s="14">
        <v>95</v>
      </c>
      <c r="I2206" s="14">
        <v>95</v>
      </c>
      <c r="J2206" s="19">
        <v>95</v>
      </c>
      <c r="K2206" s="75">
        <f t="shared" si="974"/>
        <v>100</v>
      </c>
      <c r="L2206" s="14"/>
      <c r="M2206" s="50"/>
      <c r="N2206" s="50"/>
    </row>
    <row r="2207" spans="1:14" ht="46.8" x14ac:dyDescent="0.3">
      <c r="A2207" s="8" t="s">
        <v>1427</v>
      </c>
      <c r="B2207" s="62" t="s">
        <v>912</v>
      </c>
      <c r="C2207" s="68" t="s">
        <v>1372</v>
      </c>
      <c r="D2207" s="68" t="s">
        <v>1477</v>
      </c>
      <c r="E2207" s="8" t="s">
        <v>341</v>
      </c>
      <c r="F2207" s="8"/>
      <c r="G2207" s="13" t="s">
        <v>846</v>
      </c>
      <c r="H2207" s="14">
        <f t="shared" ref="H2207:L2209" si="985">H2208</f>
        <v>25</v>
      </c>
      <c r="I2207" s="14">
        <f t="shared" si="985"/>
        <v>25</v>
      </c>
      <c r="J2207" s="14">
        <f t="shared" si="985"/>
        <v>25</v>
      </c>
      <c r="K2207" s="78">
        <f t="shared" si="974"/>
        <v>100</v>
      </c>
      <c r="L2207" s="14">
        <f t="shared" si="985"/>
        <v>0</v>
      </c>
      <c r="M2207" s="50"/>
      <c r="N2207" s="50"/>
    </row>
    <row r="2208" spans="1:14" ht="62.4" x14ac:dyDescent="0.3">
      <c r="A2208" s="8" t="s">
        <v>1427</v>
      </c>
      <c r="B2208" s="62" t="s">
        <v>912</v>
      </c>
      <c r="C2208" s="68" t="s">
        <v>1372</v>
      </c>
      <c r="D2208" s="68" t="s">
        <v>1477</v>
      </c>
      <c r="E2208" s="8" t="s">
        <v>342</v>
      </c>
      <c r="F2208" s="8"/>
      <c r="G2208" s="13" t="s">
        <v>847</v>
      </c>
      <c r="H2208" s="14">
        <f t="shared" si="985"/>
        <v>25</v>
      </c>
      <c r="I2208" s="14">
        <f t="shared" si="985"/>
        <v>25</v>
      </c>
      <c r="J2208" s="14">
        <f t="shared" si="985"/>
        <v>25</v>
      </c>
      <c r="K2208" s="78">
        <f t="shared" si="974"/>
        <v>100</v>
      </c>
      <c r="L2208" s="14">
        <f t="shared" si="985"/>
        <v>0</v>
      </c>
      <c r="M2208" s="50"/>
      <c r="N2208" s="50"/>
    </row>
    <row r="2209" spans="1:14" ht="31.2" x14ac:dyDescent="0.3">
      <c r="A2209" s="8" t="s">
        <v>1427</v>
      </c>
      <c r="B2209" s="62" t="s">
        <v>912</v>
      </c>
      <c r="C2209" s="68" t="s">
        <v>1372</v>
      </c>
      <c r="D2209" s="68" t="s">
        <v>1477</v>
      </c>
      <c r="E2209" s="8" t="s">
        <v>342</v>
      </c>
      <c r="F2209" s="45" t="s">
        <v>402</v>
      </c>
      <c r="G2209" s="23" t="s">
        <v>819</v>
      </c>
      <c r="H2209" s="14">
        <f t="shared" si="985"/>
        <v>25</v>
      </c>
      <c r="I2209" s="14">
        <f t="shared" si="985"/>
        <v>25</v>
      </c>
      <c r="J2209" s="14">
        <f t="shared" si="985"/>
        <v>25</v>
      </c>
      <c r="K2209" s="78">
        <f t="shared" si="974"/>
        <v>100</v>
      </c>
      <c r="L2209" s="14">
        <f t="shared" si="985"/>
        <v>0</v>
      </c>
      <c r="M2209" s="50"/>
      <c r="N2209" s="50"/>
    </row>
    <row r="2210" spans="1:14" ht="46.8" x14ac:dyDescent="0.3">
      <c r="A2210" s="8" t="s">
        <v>1427</v>
      </c>
      <c r="B2210" s="62" t="s">
        <v>912</v>
      </c>
      <c r="C2210" s="68" t="s">
        <v>1372</v>
      </c>
      <c r="D2210" s="68" t="s">
        <v>1477</v>
      </c>
      <c r="E2210" s="8" t="s">
        <v>342</v>
      </c>
      <c r="F2210" s="45" t="s">
        <v>280</v>
      </c>
      <c r="G2210" s="23" t="s">
        <v>821</v>
      </c>
      <c r="H2210" s="14">
        <v>25</v>
      </c>
      <c r="I2210" s="14">
        <v>25</v>
      </c>
      <c r="J2210" s="19">
        <v>25</v>
      </c>
      <c r="K2210" s="75">
        <f t="shared" si="974"/>
        <v>100</v>
      </c>
      <c r="L2210" s="14"/>
      <c r="M2210" s="50"/>
      <c r="N2210" s="50"/>
    </row>
    <row r="2211" spans="1:14" x14ac:dyDescent="0.3">
      <c r="A2211" s="8" t="s">
        <v>1427</v>
      </c>
      <c r="B2211" s="62" t="s">
        <v>912</v>
      </c>
      <c r="C2211" s="68" t="s">
        <v>1372</v>
      </c>
      <c r="D2211" s="68" t="s">
        <v>1477</v>
      </c>
      <c r="E2211" s="8" t="s">
        <v>354</v>
      </c>
      <c r="F2211" s="8"/>
      <c r="G2211" s="13" t="s">
        <v>869</v>
      </c>
      <c r="H2211" s="14">
        <f>H2212+H2223</f>
        <v>9584.7259999999987</v>
      </c>
      <c r="I2211" s="14">
        <f>I2212+I2223</f>
        <v>9584.7259999999987</v>
      </c>
      <c r="J2211" s="14">
        <f t="shared" ref="J2211" si="986">J2212+J2223</f>
        <v>9399.7836700000007</v>
      </c>
      <c r="K2211" s="78">
        <f t="shared" si="974"/>
        <v>98.070447397244337</v>
      </c>
      <c r="L2211" s="14">
        <f>L2212+L2223</f>
        <v>0</v>
      </c>
      <c r="M2211" s="50"/>
      <c r="N2211" s="50"/>
    </row>
    <row r="2212" spans="1:14" ht="46.8" x14ac:dyDescent="0.3">
      <c r="A2212" s="8" t="s">
        <v>1427</v>
      </c>
      <c r="B2212" s="62" t="s">
        <v>912</v>
      </c>
      <c r="C2212" s="68" t="s">
        <v>1372</v>
      </c>
      <c r="D2212" s="68" t="s">
        <v>1477</v>
      </c>
      <c r="E2212" s="8" t="s">
        <v>648</v>
      </c>
      <c r="F2212" s="8"/>
      <c r="G2212" s="13" t="s">
        <v>870</v>
      </c>
      <c r="H2212" s="14">
        <f t="shared" ref="H2212:L2212" si="987">H2213</f>
        <v>4399.4229999999998</v>
      </c>
      <c r="I2212" s="14">
        <f t="shared" si="987"/>
        <v>4399.4229999999998</v>
      </c>
      <c r="J2212" s="14">
        <f t="shared" si="987"/>
        <v>4399.4229999999998</v>
      </c>
      <c r="K2212" s="78">
        <f t="shared" si="974"/>
        <v>100</v>
      </c>
      <c r="L2212" s="14">
        <f t="shared" si="987"/>
        <v>0</v>
      </c>
      <c r="M2212" s="50"/>
      <c r="N2212" s="50"/>
    </row>
    <row r="2213" spans="1:14" ht="46.8" x14ac:dyDescent="0.3">
      <c r="A2213" s="8" t="s">
        <v>1427</v>
      </c>
      <c r="B2213" s="62" t="s">
        <v>912</v>
      </c>
      <c r="C2213" s="68" t="s">
        <v>1372</v>
      </c>
      <c r="D2213" s="68" t="s">
        <v>1477</v>
      </c>
      <c r="E2213" s="8" t="s">
        <v>1305</v>
      </c>
      <c r="F2213" s="8"/>
      <c r="G2213" s="18" t="s">
        <v>115</v>
      </c>
      <c r="H2213" s="14">
        <f>H2214+H2217+H2220</f>
        <v>4399.4229999999998</v>
      </c>
      <c r="I2213" s="14">
        <f>I2214+I2217+I2220</f>
        <v>4399.4229999999998</v>
      </c>
      <c r="J2213" s="14">
        <f t="shared" ref="J2213" si="988">J2214+J2217+J2220</f>
        <v>4399.4229999999998</v>
      </c>
      <c r="K2213" s="78">
        <f t="shared" si="974"/>
        <v>100</v>
      </c>
      <c r="L2213" s="14">
        <f>L2214+L2217+L2220</f>
        <v>0</v>
      </c>
      <c r="M2213" s="50"/>
      <c r="N2213" s="50"/>
    </row>
    <row r="2214" spans="1:14" ht="31.2" x14ac:dyDescent="0.3">
      <c r="A2214" s="8" t="s">
        <v>1427</v>
      </c>
      <c r="B2214" s="62" t="s">
        <v>912</v>
      </c>
      <c r="C2214" s="68" t="s">
        <v>1372</v>
      </c>
      <c r="D2214" s="68" t="s">
        <v>1477</v>
      </c>
      <c r="E2214" s="8" t="s">
        <v>1306</v>
      </c>
      <c r="F2214" s="8"/>
      <c r="G2214" s="13" t="s">
        <v>872</v>
      </c>
      <c r="H2214" s="14">
        <f t="shared" ref="H2214:L2215" si="989">H2215</f>
        <v>3522.123</v>
      </c>
      <c r="I2214" s="14">
        <f t="shared" si="989"/>
        <v>3522.123</v>
      </c>
      <c r="J2214" s="14">
        <f t="shared" si="989"/>
        <v>3522.123</v>
      </c>
      <c r="K2214" s="78">
        <f t="shared" si="974"/>
        <v>100</v>
      </c>
      <c r="L2214" s="14">
        <f t="shared" si="989"/>
        <v>0</v>
      </c>
      <c r="M2214" s="50"/>
      <c r="N2214" s="50"/>
    </row>
    <row r="2215" spans="1:14" ht="31.2" x14ac:dyDescent="0.3">
      <c r="A2215" s="8" t="s">
        <v>1427</v>
      </c>
      <c r="B2215" s="62" t="s">
        <v>912</v>
      </c>
      <c r="C2215" s="68" t="s">
        <v>1372</v>
      </c>
      <c r="D2215" s="68" t="s">
        <v>1477</v>
      </c>
      <c r="E2215" s="8" t="s">
        <v>1306</v>
      </c>
      <c r="F2215" s="45" t="s">
        <v>402</v>
      </c>
      <c r="G2215" s="23" t="s">
        <v>819</v>
      </c>
      <c r="H2215" s="14">
        <f t="shared" si="989"/>
        <v>3522.123</v>
      </c>
      <c r="I2215" s="14">
        <f t="shared" si="989"/>
        <v>3522.123</v>
      </c>
      <c r="J2215" s="14">
        <f t="shared" si="989"/>
        <v>3522.123</v>
      </c>
      <c r="K2215" s="78">
        <f t="shared" si="974"/>
        <v>100</v>
      </c>
      <c r="L2215" s="14">
        <f t="shared" si="989"/>
        <v>0</v>
      </c>
      <c r="M2215" s="50"/>
      <c r="N2215" s="50"/>
    </row>
    <row r="2216" spans="1:14" ht="46.8" x14ac:dyDescent="0.3">
      <c r="A2216" s="8" t="s">
        <v>1427</v>
      </c>
      <c r="B2216" s="62" t="s">
        <v>912</v>
      </c>
      <c r="C2216" s="68" t="s">
        <v>1372</v>
      </c>
      <c r="D2216" s="68" t="s">
        <v>1477</v>
      </c>
      <c r="E2216" s="8" t="s">
        <v>1306</v>
      </c>
      <c r="F2216" s="45" t="s">
        <v>280</v>
      </c>
      <c r="G2216" s="23" t="s">
        <v>821</v>
      </c>
      <c r="H2216" s="14">
        <f>3811.5-289.377</f>
        <v>3522.123</v>
      </c>
      <c r="I2216" s="14">
        <v>3522.123</v>
      </c>
      <c r="J2216" s="14">
        <v>3522.123</v>
      </c>
      <c r="K2216" s="78">
        <f t="shared" si="974"/>
        <v>100</v>
      </c>
      <c r="L2216" s="14"/>
      <c r="M2216" s="50"/>
      <c r="N2216" s="50"/>
    </row>
    <row r="2217" spans="1:14" ht="31.2" x14ac:dyDescent="0.3">
      <c r="A2217" s="8" t="s">
        <v>1427</v>
      </c>
      <c r="B2217" s="62" t="s">
        <v>912</v>
      </c>
      <c r="C2217" s="68" t="s">
        <v>1372</v>
      </c>
      <c r="D2217" s="68" t="s">
        <v>1477</v>
      </c>
      <c r="E2217" s="8" t="s">
        <v>1307</v>
      </c>
      <c r="F2217" s="8"/>
      <c r="G2217" s="18" t="s">
        <v>758</v>
      </c>
      <c r="H2217" s="14">
        <f t="shared" ref="H2217:L2218" si="990">H2218</f>
        <v>542.29999999999995</v>
      </c>
      <c r="I2217" s="14">
        <f t="shared" si="990"/>
        <v>542.29999999999995</v>
      </c>
      <c r="J2217" s="14">
        <f t="shared" si="990"/>
        <v>542.29999999999995</v>
      </c>
      <c r="K2217" s="78">
        <f t="shared" si="974"/>
        <v>100</v>
      </c>
      <c r="L2217" s="14">
        <f t="shared" si="990"/>
        <v>0</v>
      </c>
      <c r="M2217" s="50"/>
      <c r="N2217" s="50"/>
    </row>
    <row r="2218" spans="1:14" ht="31.2" x14ac:dyDescent="0.3">
      <c r="A2218" s="8" t="s">
        <v>1427</v>
      </c>
      <c r="B2218" s="62" t="s">
        <v>912</v>
      </c>
      <c r="C2218" s="68" t="s">
        <v>1372</v>
      </c>
      <c r="D2218" s="68" t="s">
        <v>1477</v>
      </c>
      <c r="E2218" s="8" t="s">
        <v>1307</v>
      </c>
      <c r="F2218" s="45" t="s">
        <v>402</v>
      </c>
      <c r="G2218" s="23" t="s">
        <v>819</v>
      </c>
      <c r="H2218" s="14">
        <f t="shared" si="990"/>
        <v>542.29999999999995</v>
      </c>
      <c r="I2218" s="14">
        <f t="shared" si="990"/>
        <v>542.29999999999995</v>
      </c>
      <c r="J2218" s="14">
        <f t="shared" si="990"/>
        <v>542.29999999999995</v>
      </c>
      <c r="K2218" s="78">
        <f t="shared" si="974"/>
        <v>100</v>
      </c>
      <c r="L2218" s="14">
        <f t="shared" si="990"/>
        <v>0</v>
      </c>
      <c r="M2218" s="50"/>
      <c r="N2218" s="50"/>
    </row>
    <row r="2219" spans="1:14" ht="46.8" x14ac:dyDescent="0.3">
      <c r="A2219" s="8" t="s">
        <v>1427</v>
      </c>
      <c r="B2219" s="62" t="s">
        <v>912</v>
      </c>
      <c r="C2219" s="68" t="s">
        <v>1372</v>
      </c>
      <c r="D2219" s="68" t="s">
        <v>1477</v>
      </c>
      <c r="E2219" s="8" t="s">
        <v>1307</v>
      </c>
      <c r="F2219" s="45" t="s">
        <v>280</v>
      </c>
      <c r="G2219" s="23" t="s">
        <v>821</v>
      </c>
      <c r="H2219" s="14">
        <v>542.29999999999995</v>
      </c>
      <c r="I2219" s="14">
        <v>542.29999999999995</v>
      </c>
      <c r="J2219" s="14">
        <v>542.29999999999995</v>
      </c>
      <c r="K2219" s="78">
        <f t="shared" si="974"/>
        <v>100</v>
      </c>
      <c r="L2219" s="14"/>
      <c r="M2219" s="50"/>
      <c r="N2219" s="50"/>
    </row>
    <row r="2220" spans="1:14" ht="62.4" x14ac:dyDescent="0.3">
      <c r="A2220" s="8" t="s">
        <v>1427</v>
      </c>
      <c r="B2220" s="62" t="s">
        <v>912</v>
      </c>
      <c r="C2220" s="68" t="s">
        <v>1372</v>
      </c>
      <c r="D2220" s="68" t="s">
        <v>1477</v>
      </c>
      <c r="E2220" s="8" t="s">
        <v>1308</v>
      </c>
      <c r="F2220" s="8"/>
      <c r="G2220" s="13" t="s">
        <v>301</v>
      </c>
      <c r="H2220" s="14">
        <f t="shared" ref="H2220:L2221" si="991">H2221</f>
        <v>335</v>
      </c>
      <c r="I2220" s="14">
        <f t="shared" si="991"/>
        <v>335</v>
      </c>
      <c r="J2220" s="14">
        <f t="shared" si="991"/>
        <v>335</v>
      </c>
      <c r="K2220" s="78">
        <f t="shared" si="974"/>
        <v>100</v>
      </c>
      <c r="L2220" s="14">
        <f t="shared" si="991"/>
        <v>0</v>
      </c>
      <c r="M2220" s="50"/>
      <c r="N2220" s="50"/>
    </row>
    <row r="2221" spans="1:14" ht="31.2" x14ac:dyDescent="0.3">
      <c r="A2221" s="8" t="s">
        <v>1427</v>
      </c>
      <c r="B2221" s="62" t="s">
        <v>912</v>
      </c>
      <c r="C2221" s="68" t="s">
        <v>1372</v>
      </c>
      <c r="D2221" s="68" t="s">
        <v>1477</v>
      </c>
      <c r="E2221" s="8" t="s">
        <v>1308</v>
      </c>
      <c r="F2221" s="45" t="s">
        <v>402</v>
      </c>
      <c r="G2221" s="23" t="s">
        <v>819</v>
      </c>
      <c r="H2221" s="14">
        <f t="shared" si="991"/>
        <v>335</v>
      </c>
      <c r="I2221" s="14">
        <f t="shared" si="991"/>
        <v>335</v>
      </c>
      <c r="J2221" s="14">
        <f t="shared" si="991"/>
        <v>335</v>
      </c>
      <c r="K2221" s="78">
        <f t="shared" si="974"/>
        <v>100</v>
      </c>
      <c r="L2221" s="14">
        <f t="shared" si="991"/>
        <v>0</v>
      </c>
      <c r="M2221" s="50"/>
      <c r="N2221" s="50"/>
    </row>
    <row r="2222" spans="1:14" ht="46.8" x14ac:dyDescent="0.3">
      <c r="A2222" s="8" t="s">
        <v>1427</v>
      </c>
      <c r="B2222" s="62" t="s">
        <v>912</v>
      </c>
      <c r="C2222" s="68" t="s">
        <v>1372</v>
      </c>
      <c r="D2222" s="68" t="s">
        <v>1477</v>
      </c>
      <c r="E2222" s="8" t="s">
        <v>1308</v>
      </c>
      <c r="F2222" s="45" t="s">
        <v>280</v>
      </c>
      <c r="G2222" s="23" t="s">
        <v>821</v>
      </c>
      <c r="H2222" s="14">
        <v>335</v>
      </c>
      <c r="I2222" s="14">
        <v>335</v>
      </c>
      <c r="J2222" s="14">
        <v>335</v>
      </c>
      <c r="K2222" s="78">
        <f t="shared" si="974"/>
        <v>100</v>
      </c>
      <c r="L2222" s="14"/>
      <c r="M2222" s="50"/>
      <c r="N2222" s="50"/>
    </row>
    <row r="2223" spans="1:14" ht="31.2" x14ac:dyDescent="0.3">
      <c r="A2223" s="8" t="s">
        <v>1427</v>
      </c>
      <c r="B2223" s="62" t="s">
        <v>912</v>
      </c>
      <c r="C2223" s="68" t="s">
        <v>1372</v>
      </c>
      <c r="D2223" s="68" t="s">
        <v>1477</v>
      </c>
      <c r="E2223" s="8" t="s">
        <v>1310</v>
      </c>
      <c r="F2223" s="8"/>
      <c r="G2223" s="18" t="s">
        <v>116</v>
      </c>
      <c r="H2223" s="14">
        <f t="shared" ref="H2223:L2223" si="992">H2224</f>
        <v>5185.3029999999999</v>
      </c>
      <c r="I2223" s="14">
        <f t="shared" si="992"/>
        <v>5185.3029999999999</v>
      </c>
      <c r="J2223" s="14">
        <f t="shared" si="992"/>
        <v>5000.36067</v>
      </c>
      <c r="K2223" s="78">
        <f t="shared" si="974"/>
        <v>96.433336103984672</v>
      </c>
      <c r="L2223" s="14">
        <f t="shared" si="992"/>
        <v>0</v>
      </c>
      <c r="M2223" s="50"/>
      <c r="N2223" s="50"/>
    </row>
    <row r="2224" spans="1:14" ht="78" x14ac:dyDescent="0.3">
      <c r="A2224" s="8" t="s">
        <v>1427</v>
      </c>
      <c r="B2224" s="62" t="s">
        <v>912</v>
      </c>
      <c r="C2224" s="68" t="s">
        <v>1372</v>
      </c>
      <c r="D2224" s="68" t="s">
        <v>1477</v>
      </c>
      <c r="E2224" s="8" t="s">
        <v>1311</v>
      </c>
      <c r="F2224" s="8"/>
      <c r="G2224" s="13" t="s">
        <v>873</v>
      </c>
      <c r="H2224" s="14">
        <f>H2225+H2230</f>
        <v>5185.3029999999999</v>
      </c>
      <c r="I2224" s="14">
        <f>I2225+I2230</f>
        <v>5185.3029999999999</v>
      </c>
      <c r="J2224" s="14">
        <f t="shared" ref="J2224" si="993">J2225+J2230</f>
        <v>5000.36067</v>
      </c>
      <c r="K2224" s="78">
        <f t="shared" si="974"/>
        <v>96.433336103984672</v>
      </c>
      <c r="L2224" s="14">
        <f>L2225+L2230</f>
        <v>0</v>
      </c>
      <c r="M2224" s="50"/>
      <c r="N2224" s="50"/>
    </row>
    <row r="2225" spans="1:14" ht="31.2" x14ac:dyDescent="0.3">
      <c r="A2225" s="8" t="s">
        <v>1427</v>
      </c>
      <c r="B2225" s="62" t="s">
        <v>912</v>
      </c>
      <c r="C2225" s="68" t="s">
        <v>1372</v>
      </c>
      <c r="D2225" s="68" t="s">
        <v>1477</v>
      </c>
      <c r="E2225" s="8" t="s">
        <v>1312</v>
      </c>
      <c r="F2225" s="8"/>
      <c r="G2225" s="13" t="s">
        <v>874</v>
      </c>
      <c r="H2225" s="14">
        <f>H2226+H2228</f>
        <v>4963.8029999999999</v>
      </c>
      <c r="I2225" s="14">
        <f>I2226+I2228</f>
        <v>4963.8029999999999</v>
      </c>
      <c r="J2225" s="14">
        <f t="shared" ref="J2225" si="994">J2226+J2228</f>
        <v>4778.86067</v>
      </c>
      <c r="K2225" s="78">
        <f t="shared" si="974"/>
        <v>96.274180703786996</v>
      </c>
      <c r="L2225" s="14">
        <f>L2226+L2228</f>
        <v>0</v>
      </c>
      <c r="M2225" s="50"/>
      <c r="N2225" s="50"/>
    </row>
    <row r="2226" spans="1:14" ht="31.2" x14ac:dyDescent="0.3">
      <c r="A2226" s="8" t="s">
        <v>1427</v>
      </c>
      <c r="B2226" s="62" t="s">
        <v>912</v>
      </c>
      <c r="C2226" s="68" t="s">
        <v>1372</v>
      </c>
      <c r="D2226" s="68" t="s">
        <v>1477</v>
      </c>
      <c r="E2226" s="8" t="s">
        <v>1312</v>
      </c>
      <c r="F2226" s="45" t="s">
        <v>380</v>
      </c>
      <c r="G2226" s="23" t="s">
        <v>809</v>
      </c>
      <c r="H2226" s="14">
        <f t="shared" ref="H2226:L2226" si="995">H2227</f>
        <v>4818.3029999999999</v>
      </c>
      <c r="I2226" s="14">
        <f t="shared" si="995"/>
        <v>4828.366</v>
      </c>
      <c r="J2226" s="14">
        <f t="shared" si="995"/>
        <v>4643.4236700000001</v>
      </c>
      <c r="K2226" s="78">
        <f t="shared" si="974"/>
        <v>96.169670443375665</v>
      </c>
      <c r="L2226" s="14">
        <f t="shared" si="995"/>
        <v>0</v>
      </c>
      <c r="M2226" s="50"/>
      <c r="N2226" s="50"/>
    </row>
    <row r="2227" spans="1:14" ht="31.2" x14ac:dyDescent="0.3">
      <c r="A2227" s="8" t="s">
        <v>1427</v>
      </c>
      <c r="B2227" s="62" t="s">
        <v>912</v>
      </c>
      <c r="C2227" s="68" t="s">
        <v>1372</v>
      </c>
      <c r="D2227" s="68" t="s">
        <v>1477</v>
      </c>
      <c r="E2227" s="8" t="s">
        <v>1312</v>
      </c>
      <c r="F2227" s="8" t="s">
        <v>247</v>
      </c>
      <c r="G2227" s="23" t="s">
        <v>810</v>
      </c>
      <c r="H2227" s="14">
        <f>4856-37.697</f>
        <v>4818.3029999999999</v>
      </c>
      <c r="I2227" s="14">
        <v>4828.366</v>
      </c>
      <c r="J2227" s="14">
        <v>4643.4236700000001</v>
      </c>
      <c r="K2227" s="78">
        <f t="shared" si="974"/>
        <v>96.169670443375665</v>
      </c>
      <c r="L2227" s="14"/>
      <c r="M2227" s="50"/>
      <c r="N2227" s="50"/>
    </row>
    <row r="2228" spans="1:14" x14ac:dyDescent="0.3">
      <c r="A2228" s="8" t="s">
        <v>1427</v>
      </c>
      <c r="B2228" s="62" t="s">
        <v>912</v>
      </c>
      <c r="C2228" s="68" t="s">
        <v>1372</v>
      </c>
      <c r="D2228" s="68" t="s">
        <v>1477</v>
      </c>
      <c r="E2228" s="8" t="s">
        <v>1312</v>
      </c>
      <c r="F2228" s="45" t="s">
        <v>464</v>
      </c>
      <c r="G2228" s="23" t="s">
        <v>822</v>
      </c>
      <c r="H2228" s="14">
        <f t="shared" ref="H2228:L2228" si="996">H2229</f>
        <v>145.5</v>
      </c>
      <c r="I2228" s="14">
        <f t="shared" si="996"/>
        <v>135.43700000000001</v>
      </c>
      <c r="J2228" s="14">
        <f t="shared" si="996"/>
        <v>135.43700000000001</v>
      </c>
      <c r="K2228" s="78">
        <f t="shared" si="974"/>
        <v>100</v>
      </c>
      <c r="L2228" s="14">
        <f t="shared" si="996"/>
        <v>0</v>
      </c>
      <c r="M2228" s="50"/>
      <c r="N2228" s="50"/>
    </row>
    <row r="2229" spans="1:14" x14ac:dyDescent="0.3">
      <c r="A2229" s="8" t="s">
        <v>1427</v>
      </c>
      <c r="B2229" s="62" t="s">
        <v>912</v>
      </c>
      <c r="C2229" s="68" t="s">
        <v>1372</v>
      </c>
      <c r="D2229" s="68" t="s">
        <v>1477</v>
      </c>
      <c r="E2229" s="8" t="s">
        <v>1312</v>
      </c>
      <c r="F2229" s="45" t="s">
        <v>729</v>
      </c>
      <c r="G2229" s="23" t="s">
        <v>824</v>
      </c>
      <c r="H2229" s="14">
        <v>145.5</v>
      </c>
      <c r="I2229" s="14">
        <v>135.43700000000001</v>
      </c>
      <c r="J2229" s="14">
        <v>135.43700000000001</v>
      </c>
      <c r="K2229" s="78">
        <f t="shared" si="974"/>
        <v>100</v>
      </c>
      <c r="L2229" s="14"/>
      <c r="M2229" s="50"/>
      <c r="N2229" s="50"/>
    </row>
    <row r="2230" spans="1:14" ht="78" x14ac:dyDescent="0.3">
      <c r="A2230" s="8" t="s">
        <v>1427</v>
      </c>
      <c r="B2230" s="62" t="s">
        <v>912</v>
      </c>
      <c r="C2230" s="68" t="s">
        <v>1372</v>
      </c>
      <c r="D2230" s="68" t="s">
        <v>1477</v>
      </c>
      <c r="E2230" s="8" t="s">
        <v>1313</v>
      </c>
      <c r="F2230" s="8"/>
      <c r="G2230" s="13" t="s">
        <v>875</v>
      </c>
      <c r="H2230" s="14">
        <f t="shared" ref="H2230:L2231" si="997">H2231</f>
        <v>221.5</v>
      </c>
      <c r="I2230" s="14">
        <f t="shared" si="997"/>
        <v>221.5</v>
      </c>
      <c r="J2230" s="14">
        <f t="shared" si="997"/>
        <v>221.5</v>
      </c>
      <c r="K2230" s="78">
        <f t="shared" si="974"/>
        <v>100</v>
      </c>
      <c r="L2230" s="14">
        <f t="shared" si="997"/>
        <v>0</v>
      </c>
      <c r="M2230" s="50"/>
      <c r="N2230" s="50"/>
    </row>
    <row r="2231" spans="1:14" ht="31.2" x14ac:dyDescent="0.3">
      <c r="A2231" s="8" t="s">
        <v>1427</v>
      </c>
      <c r="B2231" s="62" t="s">
        <v>912</v>
      </c>
      <c r="C2231" s="68" t="s">
        <v>1372</v>
      </c>
      <c r="D2231" s="68" t="s">
        <v>1477</v>
      </c>
      <c r="E2231" s="8" t="s">
        <v>1313</v>
      </c>
      <c r="F2231" s="45" t="s">
        <v>380</v>
      </c>
      <c r="G2231" s="23" t="s">
        <v>809</v>
      </c>
      <c r="H2231" s="14">
        <f t="shared" si="997"/>
        <v>221.5</v>
      </c>
      <c r="I2231" s="14">
        <f t="shared" si="997"/>
        <v>221.5</v>
      </c>
      <c r="J2231" s="14">
        <f t="shared" si="997"/>
        <v>221.5</v>
      </c>
      <c r="K2231" s="78">
        <f t="shared" si="974"/>
        <v>100</v>
      </c>
      <c r="L2231" s="14">
        <f t="shared" si="997"/>
        <v>0</v>
      </c>
      <c r="M2231" s="50"/>
      <c r="N2231" s="50"/>
    </row>
    <row r="2232" spans="1:14" ht="31.2" x14ac:dyDescent="0.3">
      <c r="A2232" s="8" t="s">
        <v>1427</v>
      </c>
      <c r="B2232" s="62" t="s">
        <v>912</v>
      </c>
      <c r="C2232" s="68" t="s">
        <v>1372</v>
      </c>
      <c r="D2232" s="68" t="s">
        <v>1477</v>
      </c>
      <c r="E2232" s="8" t="s">
        <v>1313</v>
      </c>
      <c r="F2232" s="8" t="s">
        <v>247</v>
      </c>
      <c r="G2232" s="23" t="s">
        <v>810</v>
      </c>
      <c r="H2232" s="14">
        <v>221.5</v>
      </c>
      <c r="I2232" s="14">
        <v>221.5</v>
      </c>
      <c r="J2232" s="14">
        <v>221.5</v>
      </c>
      <c r="K2232" s="78">
        <f t="shared" si="974"/>
        <v>100</v>
      </c>
      <c r="L2232" s="14"/>
      <c r="M2232" s="50"/>
      <c r="N2232" s="50"/>
    </row>
    <row r="2233" spans="1:14" ht="31.2" x14ac:dyDescent="0.3">
      <c r="A2233" s="8" t="s">
        <v>1427</v>
      </c>
      <c r="B2233" s="62" t="s">
        <v>912</v>
      </c>
      <c r="C2233" s="68" t="s">
        <v>1372</v>
      </c>
      <c r="D2233" s="68" t="s">
        <v>1477</v>
      </c>
      <c r="E2233" s="8" t="s">
        <v>429</v>
      </c>
      <c r="F2233" s="8"/>
      <c r="G2233" s="23" t="s">
        <v>1140</v>
      </c>
      <c r="H2233" s="14">
        <f t="shared" ref="H2233:L2235" si="998">H2234</f>
        <v>21.5</v>
      </c>
      <c r="I2233" s="14">
        <f t="shared" si="998"/>
        <v>129.25</v>
      </c>
      <c r="J2233" s="14">
        <f t="shared" si="998"/>
        <v>128.94999999999999</v>
      </c>
      <c r="K2233" s="78">
        <f t="shared" si="974"/>
        <v>99.76789168278529</v>
      </c>
      <c r="L2233" s="14">
        <f t="shared" si="998"/>
        <v>0</v>
      </c>
      <c r="M2233" s="50"/>
      <c r="N2233" s="50"/>
    </row>
    <row r="2234" spans="1:14" ht="46.8" x14ac:dyDescent="0.3">
      <c r="A2234" s="8" t="s">
        <v>1427</v>
      </c>
      <c r="B2234" s="62" t="s">
        <v>912</v>
      </c>
      <c r="C2234" s="68" t="s">
        <v>1372</v>
      </c>
      <c r="D2234" s="68" t="s">
        <v>1477</v>
      </c>
      <c r="E2234" s="8" t="s">
        <v>535</v>
      </c>
      <c r="F2234" s="8"/>
      <c r="G2234" s="31" t="s">
        <v>176</v>
      </c>
      <c r="H2234" s="14">
        <f t="shared" si="998"/>
        <v>21.5</v>
      </c>
      <c r="I2234" s="14">
        <f t="shared" si="998"/>
        <v>129.25</v>
      </c>
      <c r="J2234" s="14">
        <f t="shared" si="998"/>
        <v>128.94999999999999</v>
      </c>
      <c r="K2234" s="78">
        <f t="shared" si="974"/>
        <v>99.76789168278529</v>
      </c>
      <c r="L2234" s="14">
        <f t="shared" si="998"/>
        <v>0</v>
      </c>
      <c r="M2234" s="50"/>
      <c r="N2234" s="50"/>
    </row>
    <row r="2235" spans="1:14" ht="31.2" x14ac:dyDescent="0.3">
      <c r="A2235" s="8" t="s">
        <v>1427</v>
      </c>
      <c r="B2235" s="62" t="s">
        <v>912</v>
      </c>
      <c r="C2235" s="68" t="s">
        <v>1372</v>
      </c>
      <c r="D2235" s="68" t="s">
        <v>1477</v>
      </c>
      <c r="E2235" s="8" t="s">
        <v>535</v>
      </c>
      <c r="F2235" s="45" t="s">
        <v>380</v>
      </c>
      <c r="G2235" s="23" t="s">
        <v>809</v>
      </c>
      <c r="H2235" s="14">
        <f t="shared" si="998"/>
        <v>21.5</v>
      </c>
      <c r="I2235" s="14">
        <f t="shared" si="998"/>
        <v>129.25</v>
      </c>
      <c r="J2235" s="14">
        <f t="shared" si="998"/>
        <v>128.94999999999999</v>
      </c>
      <c r="K2235" s="78">
        <f t="shared" si="974"/>
        <v>99.76789168278529</v>
      </c>
      <c r="L2235" s="14">
        <f t="shared" si="998"/>
        <v>0</v>
      </c>
      <c r="M2235" s="50"/>
      <c r="N2235" s="50"/>
    </row>
    <row r="2236" spans="1:14" ht="31.2" x14ac:dyDescent="0.3">
      <c r="A2236" s="8" t="s">
        <v>1427</v>
      </c>
      <c r="B2236" s="62" t="s">
        <v>912</v>
      </c>
      <c r="C2236" s="68" t="s">
        <v>1372</v>
      </c>
      <c r="D2236" s="68" t="s">
        <v>1477</v>
      </c>
      <c r="E2236" s="8" t="s">
        <v>535</v>
      </c>
      <c r="F2236" s="8" t="s">
        <v>247</v>
      </c>
      <c r="G2236" s="23" t="s">
        <v>810</v>
      </c>
      <c r="H2236" s="14">
        <v>21.5</v>
      </c>
      <c r="I2236" s="14">
        <v>129.25</v>
      </c>
      <c r="J2236" s="14">
        <v>128.94999999999999</v>
      </c>
      <c r="K2236" s="78">
        <f t="shared" si="974"/>
        <v>99.76789168278529</v>
      </c>
      <c r="L2236" s="14"/>
      <c r="M2236" s="50"/>
      <c r="N2236" s="50"/>
    </row>
    <row r="2237" spans="1:14" s="3" customFormat="1" ht="31.2" x14ac:dyDescent="0.3">
      <c r="A2237" s="10" t="s">
        <v>1427</v>
      </c>
      <c r="B2237" s="43" t="s">
        <v>1391</v>
      </c>
      <c r="C2237" s="43" t="s">
        <v>1391</v>
      </c>
      <c r="D2237" s="43" t="s">
        <v>915</v>
      </c>
      <c r="E2237" s="10"/>
      <c r="F2237" s="10"/>
      <c r="G2237" s="5" t="s">
        <v>1415</v>
      </c>
      <c r="H2237" s="15">
        <f>H2257+H2238</f>
        <v>914.73699999999997</v>
      </c>
      <c r="I2237" s="15">
        <f>I2257+I2238</f>
        <v>3226.5589999999997</v>
      </c>
      <c r="J2237" s="15">
        <f t="shared" ref="J2237" si="999">J2257+J2238</f>
        <v>3151.2326400000002</v>
      </c>
      <c r="K2237" s="81">
        <f t="shared" si="974"/>
        <v>97.665427472424966</v>
      </c>
      <c r="L2237" s="15">
        <f>L2257+L2238</f>
        <v>0</v>
      </c>
      <c r="M2237" s="65"/>
      <c r="N2237" s="65"/>
    </row>
    <row r="2238" spans="1:14" s="9" customFormat="1" ht="46.8" x14ac:dyDescent="0.3">
      <c r="A2238" s="11" t="s">
        <v>1427</v>
      </c>
      <c r="B2238" s="48" t="s">
        <v>935</v>
      </c>
      <c r="C2238" s="48" t="s">
        <v>1391</v>
      </c>
      <c r="D2238" s="48" t="s">
        <v>1398</v>
      </c>
      <c r="E2238" s="11"/>
      <c r="F2238" s="11"/>
      <c r="G2238" s="7" t="s">
        <v>1420</v>
      </c>
      <c r="H2238" s="16">
        <f>H2245+H2239+H2252</f>
        <v>265.60000000000002</v>
      </c>
      <c r="I2238" s="16">
        <f t="shared" ref="I2238:L2238" si="1000">I2245+I2239+I2252</f>
        <v>2166.4569999999999</v>
      </c>
      <c r="J2238" s="16">
        <f t="shared" si="1000"/>
        <v>2163.8203699999999</v>
      </c>
      <c r="K2238" s="82">
        <f t="shared" si="974"/>
        <v>99.878297607568484</v>
      </c>
      <c r="L2238" s="16">
        <f t="shared" si="1000"/>
        <v>0</v>
      </c>
      <c r="M2238" s="65"/>
      <c r="N2238" s="65"/>
    </row>
    <row r="2239" spans="1:14" ht="46.8" hidden="1" x14ac:dyDescent="0.3">
      <c r="A2239" s="8" t="s">
        <v>1427</v>
      </c>
      <c r="B2239" s="62" t="s">
        <v>935</v>
      </c>
      <c r="C2239" s="68" t="s">
        <v>1391</v>
      </c>
      <c r="D2239" s="68" t="s">
        <v>1398</v>
      </c>
      <c r="E2239" s="8" t="s">
        <v>381</v>
      </c>
      <c r="F2239" s="8"/>
      <c r="G2239" s="18" t="s">
        <v>1061</v>
      </c>
      <c r="H2239" s="14">
        <f t="shared" ref="H2239:L2243" si="1001">H2240</f>
        <v>0</v>
      </c>
      <c r="I2239" s="14">
        <f t="shared" si="1001"/>
        <v>0</v>
      </c>
      <c r="J2239" s="14">
        <f t="shared" si="1001"/>
        <v>0</v>
      </c>
      <c r="K2239" s="78" t="e">
        <f t="shared" si="974"/>
        <v>#DIV/0!</v>
      </c>
      <c r="L2239" s="14">
        <f t="shared" si="1001"/>
        <v>0</v>
      </c>
      <c r="M2239" s="50">
        <v>111</v>
      </c>
      <c r="N2239" s="50"/>
    </row>
    <row r="2240" spans="1:14" ht="62.4" hidden="1" x14ac:dyDescent="0.3">
      <c r="A2240" s="8" t="s">
        <v>1427</v>
      </c>
      <c r="B2240" s="62" t="s">
        <v>935</v>
      </c>
      <c r="C2240" s="68" t="s">
        <v>1391</v>
      </c>
      <c r="D2240" s="68" t="s">
        <v>1398</v>
      </c>
      <c r="E2240" s="8" t="s">
        <v>382</v>
      </c>
      <c r="F2240" s="8"/>
      <c r="G2240" s="18" t="s">
        <v>1062</v>
      </c>
      <c r="H2240" s="14">
        <f t="shared" si="1001"/>
        <v>0</v>
      </c>
      <c r="I2240" s="14">
        <f t="shared" si="1001"/>
        <v>0</v>
      </c>
      <c r="J2240" s="14">
        <f t="shared" si="1001"/>
        <v>0</v>
      </c>
      <c r="K2240" s="78" t="e">
        <f t="shared" si="974"/>
        <v>#DIV/0!</v>
      </c>
      <c r="L2240" s="14">
        <f t="shared" si="1001"/>
        <v>0</v>
      </c>
      <c r="M2240" s="50">
        <v>111</v>
      </c>
      <c r="N2240" s="50"/>
    </row>
    <row r="2241" spans="1:14" ht="46.8" hidden="1" x14ac:dyDescent="0.3">
      <c r="A2241" s="8" t="s">
        <v>1427</v>
      </c>
      <c r="B2241" s="62" t="s">
        <v>935</v>
      </c>
      <c r="C2241" s="68" t="s">
        <v>1391</v>
      </c>
      <c r="D2241" s="68" t="s">
        <v>1398</v>
      </c>
      <c r="E2241" s="8" t="s">
        <v>53</v>
      </c>
      <c r="F2241" s="8"/>
      <c r="G2241" s="31" t="s">
        <v>1318</v>
      </c>
      <c r="H2241" s="14">
        <f t="shared" si="1001"/>
        <v>0</v>
      </c>
      <c r="I2241" s="14">
        <f t="shared" si="1001"/>
        <v>0</v>
      </c>
      <c r="J2241" s="14">
        <f t="shared" si="1001"/>
        <v>0</v>
      </c>
      <c r="K2241" s="78" t="e">
        <f t="shared" si="974"/>
        <v>#DIV/0!</v>
      </c>
      <c r="L2241" s="14">
        <f t="shared" si="1001"/>
        <v>0</v>
      </c>
      <c r="M2241" s="50">
        <v>111</v>
      </c>
      <c r="N2241" s="50"/>
    </row>
    <row r="2242" spans="1:14" ht="31.2" hidden="1" x14ac:dyDescent="0.3">
      <c r="A2242" s="8" t="s">
        <v>1427</v>
      </c>
      <c r="B2242" s="62" t="s">
        <v>935</v>
      </c>
      <c r="C2242" s="68" t="s">
        <v>1391</v>
      </c>
      <c r="D2242" s="68" t="s">
        <v>1398</v>
      </c>
      <c r="E2242" s="8" t="s">
        <v>93</v>
      </c>
      <c r="F2242" s="8"/>
      <c r="G2242" s="23" t="s">
        <v>161</v>
      </c>
      <c r="H2242" s="14">
        <f t="shared" si="1001"/>
        <v>0</v>
      </c>
      <c r="I2242" s="14">
        <f t="shared" si="1001"/>
        <v>0</v>
      </c>
      <c r="J2242" s="14">
        <f t="shared" si="1001"/>
        <v>0</v>
      </c>
      <c r="K2242" s="78" t="e">
        <f t="shared" si="974"/>
        <v>#DIV/0!</v>
      </c>
      <c r="L2242" s="14">
        <f t="shared" si="1001"/>
        <v>0</v>
      </c>
      <c r="M2242" s="50">
        <v>111</v>
      </c>
      <c r="N2242" s="50"/>
    </row>
    <row r="2243" spans="1:14" ht="31.2" hidden="1" x14ac:dyDescent="0.3">
      <c r="A2243" s="8" t="s">
        <v>1427</v>
      </c>
      <c r="B2243" s="62" t="s">
        <v>935</v>
      </c>
      <c r="C2243" s="68" t="s">
        <v>1391</v>
      </c>
      <c r="D2243" s="68" t="s">
        <v>1398</v>
      </c>
      <c r="E2243" s="8" t="s">
        <v>93</v>
      </c>
      <c r="F2243" s="45" t="s">
        <v>380</v>
      </c>
      <c r="G2243" s="23" t="s">
        <v>809</v>
      </c>
      <c r="H2243" s="14">
        <f t="shared" si="1001"/>
        <v>0</v>
      </c>
      <c r="I2243" s="14">
        <f t="shared" si="1001"/>
        <v>0</v>
      </c>
      <c r="J2243" s="14">
        <f t="shared" si="1001"/>
        <v>0</v>
      </c>
      <c r="K2243" s="78" t="e">
        <f t="shared" si="974"/>
        <v>#DIV/0!</v>
      </c>
      <c r="L2243" s="14">
        <f t="shared" si="1001"/>
        <v>0</v>
      </c>
      <c r="M2243" s="50">
        <v>111</v>
      </c>
      <c r="N2243" s="50"/>
    </row>
    <row r="2244" spans="1:14" ht="31.2" hidden="1" x14ac:dyDescent="0.3">
      <c r="A2244" s="8" t="s">
        <v>1427</v>
      </c>
      <c r="B2244" s="62" t="s">
        <v>935</v>
      </c>
      <c r="C2244" s="68" t="s">
        <v>1391</v>
      </c>
      <c r="D2244" s="68" t="s">
        <v>1398</v>
      </c>
      <c r="E2244" s="8" t="s">
        <v>93</v>
      </c>
      <c r="F2244" s="8" t="s">
        <v>247</v>
      </c>
      <c r="G2244" s="23" t="s">
        <v>810</v>
      </c>
      <c r="H2244" s="14">
        <v>0</v>
      </c>
      <c r="I2244" s="14">
        <v>0</v>
      </c>
      <c r="J2244" s="19">
        <v>0</v>
      </c>
      <c r="K2244" s="75" t="e">
        <f t="shared" si="974"/>
        <v>#DIV/0!</v>
      </c>
      <c r="L2244" s="14"/>
      <c r="M2244" s="50">
        <v>111</v>
      </c>
      <c r="N2244" s="50"/>
    </row>
    <row r="2245" spans="1:14" ht="31.2" x14ac:dyDescent="0.3">
      <c r="A2245" s="8" t="s">
        <v>1427</v>
      </c>
      <c r="B2245" s="62" t="s">
        <v>935</v>
      </c>
      <c r="C2245" s="68" t="s">
        <v>1391</v>
      </c>
      <c r="D2245" s="68" t="s">
        <v>1398</v>
      </c>
      <c r="E2245" s="8" t="s">
        <v>429</v>
      </c>
      <c r="F2245" s="8"/>
      <c r="G2245" s="23" t="s">
        <v>1140</v>
      </c>
      <c r="H2245" s="14">
        <f t="shared" ref="H2245:L2248" si="1002">H2246</f>
        <v>265.60000000000002</v>
      </c>
      <c r="I2245" s="14">
        <f t="shared" si="1002"/>
        <v>265.60000000000002</v>
      </c>
      <c r="J2245" s="14">
        <f t="shared" si="1002"/>
        <v>262.96337</v>
      </c>
      <c r="K2245" s="78">
        <f t="shared" si="974"/>
        <v>99.007292921686741</v>
      </c>
      <c r="L2245" s="14">
        <f t="shared" si="1002"/>
        <v>0</v>
      </c>
      <c r="M2245" s="50"/>
      <c r="N2245" s="50"/>
    </row>
    <row r="2246" spans="1:14" x14ac:dyDescent="0.3">
      <c r="A2246" s="8" t="s">
        <v>1427</v>
      </c>
      <c r="B2246" s="62" t="s">
        <v>935</v>
      </c>
      <c r="C2246" s="68" t="s">
        <v>1391</v>
      </c>
      <c r="D2246" s="68" t="s">
        <v>1398</v>
      </c>
      <c r="E2246" s="8" t="s">
        <v>430</v>
      </c>
      <c r="F2246" s="8"/>
      <c r="G2246" s="23" t="s">
        <v>1141</v>
      </c>
      <c r="H2246" s="14">
        <f t="shared" si="1002"/>
        <v>265.60000000000002</v>
      </c>
      <c r="I2246" s="14">
        <f t="shared" si="1002"/>
        <v>265.60000000000002</v>
      </c>
      <c r="J2246" s="14">
        <f t="shared" si="1002"/>
        <v>262.96337</v>
      </c>
      <c r="K2246" s="78">
        <f t="shared" si="974"/>
        <v>99.007292921686741</v>
      </c>
      <c r="L2246" s="14">
        <f t="shared" si="1002"/>
        <v>0</v>
      </c>
      <c r="M2246" s="50"/>
      <c r="N2246" s="50"/>
    </row>
    <row r="2247" spans="1:14" ht="46.8" x14ac:dyDescent="0.3">
      <c r="A2247" s="8" t="s">
        <v>1427</v>
      </c>
      <c r="B2247" s="62" t="s">
        <v>935</v>
      </c>
      <c r="C2247" s="68" t="s">
        <v>1391</v>
      </c>
      <c r="D2247" s="68" t="s">
        <v>1398</v>
      </c>
      <c r="E2247" s="8" t="s">
        <v>444</v>
      </c>
      <c r="F2247" s="8"/>
      <c r="G2247" s="18" t="s">
        <v>1143</v>
      </c>
      <c r="H2247" s="14">
        <f>H2248+H2250</f>
        <v>265.60000000000002</v>
      </c>
      <c r="I2247" s="14">
        <f>I2248+I2250</f>
        <v>265.60000000000002</v>
      </c>
      <c r="J2247" s="14">
        <f t="shared" ref="J2247" si="1003">J2248+J2250</f>
        <v>262.96337</v>
      </c>
      <c r="K2247" s="78">
        <f t="shared" si="974"/>
        <v>99.007292921686741</v>
      </c>
      <c r="L2247" s="14">
        <f>L2248+L2250</f>
        <v>0</v>
      </c>
      <c r="M2247" s="50"/>
      <c r="N2247" s="50"/>
    </row>
    <row r="2248" spans="1:14" ht="31.2" x14ac:dyDescent="0.3">
      <c r="A2248" s="8" t="s">
        <v>1427</v>
      </c>
      <c r="B2248" s="62" t="s">
        <v>935</v>
      </c>
      <c r="C2248" s="68" t="s">
        <v>1391</v>
      </c>
      <c r="D2248" s="68" t="s">
        <v>1398</v>
      </c>
      <c r="E2248" s="8" t="s">
        <v>444</v>
      </c>
      <c r="F2248" s="45" t="s">
        <v>380</v>
      </c>
      <c r="G2248" s="23" t="s">
        <v>809</v>
      </c>
      <c r="H2248" s="14">
        <f t="shared" si="1002"/>
        <v>262</v>
      </c>
      <c r="I2248" s="14">
        <f t="shared" si="1002"/>
        <v>262.69</v>
      </c>
      <c r="J2248" s="14">
        <f t="shared" si="1002"/>
        <v>260.05336999999997</v>
      </c>
      <c r="K2248" s="78">
        <f t="shared" ref="K2248:K2311" si="1004">J2248/I2248*100</f>
        <v>98.996296014313444</v>
      </c>
      <c r="L2248" s="14">
        <f t="shared" si="1002"/>
        <v>0</v>
      </c>
      <c r="M2248" s="50"/>
      <c r="N2248" s="50"/>
    </row>
    <row r="2249" spans="1:14" ht="31.2" x14ac:dyDescent="0.3">
      <c r="A2249" s="8" t="s">
        <v>1427</v>
      </c>
      <c r="B2249" s="62" t="s">
        <v>935</v>
      </c>
      <c r="C2249" s="68" t="s">
        <v>1391</v>
      </c>
      <c r="D2249" s="68" t="s">
        <v>1398</v>
      </c>
      <c r="E2249" s="8" t="s">
        <v>444</v>
      </c>
      <c r="F2249" s="8" t="s">
        <v>247</v>
      </c>
      <c r="G2249" s="23" t="s">
        <v>810</v>
      </c>
      <c r="H2249" s="14">
        <v>262</v>
      </c>
      <c r="I2249" s="14">
        <v>262.69</v>
      </c>
      <c r="J2249" s="14">
        <v>260.05336999999997</v>
      </c>
      <c r="K2249" s="78">
        <f t="shared" si="1004"/>
        <v>98.996296014313444</v>
      </c>
      <c r="L2249" s="14"/>
      <c r="M2249" s="50"/>
      <c r="N2249" s="50"/>
    </row>
    <row r="2250" spans="1:14" x14ac:dyDescent="0.3">
      <c r="A2250" s="8" t="s">
        <v>1427</v>
      </c>
      <c r="B2250" s="62" t="s">
        <v>935</v>
      </c>
      <c r="C2250" s="68" t="s">
        <v>1391</v>
      </c>
      <c r="D2250" s="68" t="s">
        <v>1398</v>
      </c>
      <c r="E2250" s="8" t="s">
        <v>444</v>
      </c>
      <c r="F2250" s="45" t="s">
        <v>464</v>
      </c>
      <c r="G2250" s="23" t="s">
        <v>822</v>
      </c>
      <c r="H2250" s="14">
        <f t="shared" ref="H2250:L2250" si="1005">H2251</f>
        <v>3.6</v>
      </c>
      <c r="I2250" s="14">
        <f t="shared" si="1005"/>
        <v>2.91</v>
      </c>
      <c r="J2250" s="14">
        <f t="shared" si="1005"/>
        <v>2.91</v>
      </c>
      <c r="K2250" s="78">
        <f t="shared" si="1004"/>
        <v>100</v>
      </c>
      <c r="L2250" s="14">
        <f t="shared" si="1005"/>
        <v>0</v>
      </c>
      <c r="M2250" s="50"/>
      <c r="N2250" s="50"/>
    </row>
    <row r="2251" spans="1:14" x14ac:dyDescent="0.3">
      <c r="A2251" s="8" t="s">
        <v>1427</v>
      </c>
      <c r="B2251" s="62" t="s">
        <v>935</v>
      </c>
      <c r="C2251" s="68" t="s">
        <v>1391</v>
      </c>
      <c r="D2251" s="68" t="s">
        <v>1398</v>
      </c>
      <c r="E2251" s="8" t="s">
        <v>444</v>
      </c>
      <c r="F2251" s="45" t="s">
        <v>729</v>
      </c>
      <c r="G2251" s="23" t="s">
        <v>824</v>
      </c>
      <c r="H2251" s="14">
        <v>3.6</v>
      </c>
      <c r="I2251" s="14">
        <v>2.91</v>
      </c>
      <c r="J2251" s="14">
        <v>2.91</v>
      </c>
      <c r="K2251" s="78">
        <f t="shared" si="1004"/>
        <v>100</v>
      </c>
      <c r="L2251" s="14"/>
      <c r="M2251" s="50"/>
      <c r="N2251" s="50"/>
    </row>
    <row r="2252" spans="1:14" ht="46.8" x14ac:dyDescent="0.3">
      <c r="A2252" s="8" t="s">
        <v>1427</v>
      </c>
      <c r="B2252" s="62" t="s">
        <v>935</v>
      </c>
      <c r="C2252" s="68" t="s">
        <v>1391</v>
      </c>
      <c r="D2252" s="68" t="s">
        <v>1398</v>
      </c>
      <c r="E2252" s="8" t="s">
        <v>493</v>
      </c>
      <c r="F2252" s="8"/>
      <c r="G2252" s="13" t="s">
        <v>1160</v>
      </c>
      <c r="H2252" s="14">
        <f>H2253</f>
        <v>0</v>
      </c>
      <c r="I2252" s="14">
        <f t="shared" ref="I2252:L2255" si="1006">I2253</f>
        <v>1900.857</v>
      </c>
      <c r="J2252" s="14">
        <f t="shared" si="1006"/>
        <v>1900.857</v>
      </c>
      <c r="K2252" s="78">
        <f t="shared" si="1004"/>
        <v>100</v>
      </c>
      <c r="L2252" s="14">
        <f t="shared" si="1006"/>
        <v>0</v>
      </c>
      <c r="M2252" s="50"/>
      <c r="N2252" s="50"/>
    </row>
    <row r="2253" spans="1:14" x14ac:dyDescent="0.3">
      <c r="A2253" s="8" t="s">
        <v>1427</v>
      </c>
      <c r="B2253" s="62" t="s">
        <v>935</v>
      </c>
      <c r="C2253" s="68" t="s">
        <v>1391</v>
      </c>
      <c r="D2253" s="68" t="s">
        <v>1398</v>
      </c>
      <c r="E2253" s="8" t="s">
        <v>533</v>
      </c>
      <c r="F2253" s="8"/>
      <c r="G2253" s="13" t="s">
        <v>1162</v>
      </c>
      <c r="H2253" s="14">
        <f>H2254</f>
        <v>0</v>
      </c>
      <c r="I2253" s="14">
        <f t="shared" si="1006"/>
        <v>1900.857</v>
      </c>
      <c r="J2253" s="14">
        <f t="shared" si="1006"/>
        <v>1900.857</v>
      </c>
      <c r="K2253" s="78">
        <f t="shared" si="1004"/>
        <v>100</v>
      </c>
      <c r="L2253" s="14">
        <f t="shared" si="1006"/>
        <v>0</v>
      </c>
      <c r="M2253" s="50"/>
      <c r="N2253" s="50"/>
    </row>
    <row r="2254" spans="1:14" x14ac:dyDescent="0.3">
      <c r="A2254" s="8" t="s">
        <v>1427</v>
      </c>
      <c r="B2254" s="62" t="s">
        <v>935</v>
      </c>
      <c r="C2254" s="68" t="s">
        <v>1391</v>
      </c>
      <c r="D2254" s="68" t="s">
        <v>1398</v>
      </c>
      <c r="E2254" s="8" t="s">
        <v>534</v>
      </c>
      <c r="F2254" s="8"/>
      <c r="G2254" s="13" t="s">
        <v>1163</v>
      </c>
      <c r="H2254" s="14">
        <f>H2255</f>
        <v>0</v>
      </c>
      <c r="I2254" s="14">
        <f t="shared" si="1006"/>
        <v>1900.857</v>
      </c>
      <c r="J2254" s="14">
        <f t="shared" si="1006"/>
        <v>1900.857</v>
      </c>
      <c r="K2254" s="78">
        <f t="shared" si="1004"/>
        <v>100</v>
      </c>
      <c r="L2254" s="14">
        <f t="shared" si="1006"/>
        <v>0</v>
      </c>
      <c r="M2254" s="50"/>
      <c r="N2254" s="50"/>
    </row>
    <row r="2255" spans="1:14" ht="31.2" x14ac:dyDescent="0.3">
      <c r="A2255" s="8" t="s">
        <v>1427</v>
      </c>
      <c r="B2255" s="62" t="s">
        <v>935</v>
      </c>
      <c r="C2255" s="68" t="s">
        <v>1391</v>
      </c>
      <c r="D2255" s="68" t="s">
        <v>1398</v>
      </c>
      <c r="E2255" s="8" t="s">
        <v>534</v>
      </c>
      <c r="F2255" s="45" t="s">
        <v>380</v>
      </c>
      <c r="G2255" s="23" t="s">
        <v>809</v>
      </c>
      <c r="H2255" s="14">
        <f>H2256</f>
        <v>0</v>
      </c>
      <c r="I2255" s="14">
        <f t="shared" si="1006"/>
        <v>1900.857</v>
      </c>
      <c r="J2255" s="14">
        <f t="shared" si="1006"/>
        <v>1900.857</v>
      </c>
      <c r="K2255" s="78">
        <f t="shared" si="1004"/>
        <v>100</v>
      </c>
      <c r="L2255" s="14">
        <f t="shared" si="1006"/>
        <v>0</v>
      </c>
      <c r="M2255" s="50"/>
      <c r="N2255" s="50"/>
    </row>
    <row r="2256" spans="1:14" ht="31.2" x14ac:dyDescent="0.3">
      <c r="A2256" s="8" t="s">
        <v>1427</v>
      </c>
      <c r="B2256" s="62" t="s">
        <v>935</v>
      </c>
      <c r="C2256" s="68" t="s">
        <v>1391</v>
      </c>
      <c r="D2256" s="68" t="s">
        <v>1398</v>
      </c>
      <c r="E2256" s="8" t="s">
        <v>534</v>
      </c>
      <c r="F2256" s="8" t="s">
        <v>247</v>
      </c>
      <c r="G2256" s="23" t="s">
        <v>810</v>
      </c>
      <c r="H2256" s="20">
        <v>0</v>
      </c>
      <c r="I2256" s="14">
        <v>1900.857</v>
      </c>
      <c r="J2256" s="14">
        <v>1900.857</v>
      </c>
      <c r="K2256" s="78">
        <f t="shared" si="1004"/>
        <v>100</v>
      </c>
      <c r="L2256" s="14"/>
      <c r="M2256" s="50"/>
      <c r="N2256" s="50"/>
    </row>
    <row r="2257" spans="1:14" s="9" customFormat="1" ht="31.2" x14ac:dyDescent="0.3">
      <c r="A2257" s="11" t="s">
        <v>1427</v>
      </c>
      <c r="B2257" s="48" t="s">
        <v>936</v>
      </c>
      <c r="C2257" s="48" t="s">
        <v>1391</v>
      </c>
      <c r="D2257" s="48" t="s">
        <v>1480</v>
      </c>
      <c r="E2257" s="11"/>
      <c r="F2257" s="11"/>
      <c r="G2257" s="7" t="s">
        <v>1421</v>
      </c>
      <c r="H2257" s="16">
        <f>H2258+H2264</f>
        <v>649.13699999999994</v>
      </c>
      <c r="I2257" s="16">
        <f>I2258+I2264+I2270</f>
        <v>1060.1019999999999</v>
      </c>
      <c r="J2257" s="16">
        <f t="shared" ref="J2257:L2257" si="1007">J2258+J2264+J2270</f>
        <v>987.41227000000003</v>
      </c>
      <c r="K2257" s="82">
        <f t="shared" si="1004"/>
        <v>93.143138113124976</v>
      </c>
      <c r="L2257" s="16">
        <f t="shared" si="1007"/>
        <v>0</v>
      </c>
      <c r="M2257" s="65"/>
      <c r="N2257" s="65"/>
    </row>
    <row r="2258" spans="1:14" ht="31.2" x14ac:dyDescent="0.3">
      <c r="A2258" s="8" t="s">
        <v>1427</v>
      </c>
      <c r="B2258" s="62" t="s">
        <v>936</v>
      </c>
      <c r="C2258" s="68" t="s">
        <v>1391</v>
      </c>
      <c r="D2258" s="68" t="s">
        <v>1480</v>
      </c>
      <c r="E2258" s="8" t="s">
        <v>383</v>
      </c>
      <c r="F2258" s="8"/>
      <c r="G2258" s="13" t="s">
        <v>1055</v>
      </c>
      <c r="H2258" s="14">
        <f t="shared" ref="H2258:L2262" si="1008">H2259</f>
        <v>234.36</v>
      </c>
      <c r="I2258" s="14">
        <f t="shared" si="1008"/>
        <v>234.36</v>
      </c>
      <c r="J2258" s="14">
        <f t="shared" si="1008"/>
        <v>234.36</v>
      </c>
      <c r="K2258" s="78">
        <f t="shared" si="1004"/>
        <v>100</v>
      </c>
      <c r="L2258" s="14">
        <f t="shared" si="1008"/>
        <v>0</v>
      </c>
      <c r="M2258" s="50"/>
      <c r="N2258" s="50"/>
    </row>
    <row r="2259" spans="1:14" ht="46.8" x14ac:dyDescent="0.3">
      <c r="A2259" s="8" t="s">
        <v>1427</v>
      </c>
      <c r="B2259" s="62" t="s">
        <v>936</v>
      </c>
      <c r="C2259" s="68" t="s">
        <v>1391</v>
      </c>
      <c r="D2259" s="68" t="s">
        <v>1480</v>
      </c>
      <c r="E2259" s="8" t="s">
        <v>432</v>
      </c>
      <c r="F2259" s="8"/>
      <c r="G2259" s="13" t="s">
        <v>1056</v>
      </c>
      <c r="H2259" s="14">
        <f t="shared" si="1008"/>
        <v>234.36</v>
      </c>
      <c r="I2259" s="14">
        <f t="shared" si="1008"/>
        <v>234.36</v>
      </c>
      <c r="J2259" s="14">
        <f t="shared" si="1008"/>
        <v>234.36</v>
      </c>
      <c r="K2259" s="78">
        <f t="shared" si="1004"/>
        <v>100</v>
      </c>
      <c r="L2259" s="14">
        <f t="shared" si="1008"/>
        <v>0</v>
      </c>
      <c r="M2259" s="50"/>
      <c r="N2259" s="50"/>
    </row>
    <row r="2260" spans="1:14" ht="46.8" x14ac:dyDescent="0.3">
      <c r="A2260" s="8" t="s">
        <v>1427</v>
      </c>
      <c r="B2260" s="62" t="s">
        <v>936</v>
      </c>
      <c r="C2260" s="68" t="s">
        <v>1391</v>
      </c>
      <c r="D2260" s="68" t="s">
        <v>1480</v>
      </c>
      <c r="E2260" s="8" t="s">
        <v>433</v>
      </c>
      <c r="F2260" s="8"/>
      <c r="G2260" s="18" t="s">
        <v>132</v>
      </c>
      <c r="H2260" s="14">
        <f t="shared" si="1008"/>
        <v>234.36</v>
      </c>
      <c r="I2260" s="14">
        <f t="shared" si="1008"/>
        <v>234.36</v>
      </c>
      <c r="J2260" s="14">
        <f t="shared" si="1008"/>
        <v>234.36</v>
      </c>
      <c r="K2260" s="78">
        <f t="shared" si="1004"/>
        <v>100</v>
      </c>
      <c r="L2260" s="14">
        <f t="shared" si="1008"/>
        <v>0</v>
      </c>
      <c r="M2260" s="50"/>
      <c r="N2260" s="50"/>
    </row>
    <row r="2261" spans="1:14" ht="31.2" x14ac:dyDescent="0.3">
      <c r="A2261" s="8" t="s">
        <v>1427</v>
      </c>
      <c r="B2261" s="62" t="s">
        <v>936</v>
      </c>
      <c r="C2261" s="68" t="s">
        <v>1391</v>
      </c>
      <c r="D2261" s="68" t="s">
        <v>1480</v>
      </c>
      <c r="E2261" s="8" t="s">
        <v>434</v>
      </c>
      <c r="F2261" s="8"/>
      <c r="G2261" s="13" t="s">
        <v>1058</v>
      </c>
      <c r="H2261" s="14">
        <f t="shared" si="1008"/>
        <v>234.36</v>
      </c>
      <c r="I2261" s="14">
        <f t="shared" si="1008"/>
        <v>234.36</v>
      </c>
      <c r="J2261" s="14">
        <f t="shared" si="1008"/>
        <v>234.36</v>
      </c>
      <c r="K2261" s="78">
        <f t="shared" si="1004"/>
        <v>100</v>
      </c>
      <c r="L2261" s="14">
        <f t="shared" si="1008"/>
        <v>0</v>
      </c>
      <c r="M2261" s="50"/>
      <c r="N2261" s="50"/>
    </row>
    <row r="2262" spans="1:14" ht="31.2" x14ac:dyDescent="0.3">
      <c r="A2262" s="8" t="s">
        <v>1427</v>
      </c>
      <c r="B2262" s="62" t="s">
        <v>936</v>
      </c>
      <c r="C2262" s="68" t="s">
        <v>1391</v>
      </c>
      <c r="D2262" s="68" t="s">
        <v>1480</v>
      </c>
      <c r="E2262" s="8" t="s">
        <v>434</v>
      </c>
      <c r="F2262" s="45" t="s">
        <v>380</v>
      </c>
      <c r="G2262" s="23" t="s">
        <v>809</v>
      </c>
      <c r="H2262" s="14">
        <f t="shared" si="1008"/>
        <v>234.36</v>
      </c>
      <c r="I2262" s="14">
        <f t="shared" si="1008"/>
        <v>234.36</v>
      </c>
      <c r="J2262" s="14">
        <f t="shared" si="1008"/>
        <v>234.36</v>
      </c>
      <c r="K2262" s="78">
        <f t="shared" si="1004"/>
        <v>100</v>
      </c>
      <c r="L2262" s="14">
        <f t="shared" si="1008"/>
        <v>0</v>
      </c>
      <c r="M2262" s="50"/>
      <c r="N2262" s="50"/>
    </row>
    <row r="2263" spans="1:14" ht="31.2" x14ac:dyDescent="0.3">
      <c r="A2263" s="8" t="s">
        <v>1427</v>
      </c>
      <c r="B2263" s="62" t="s">
        <v>936</v>
      </c>
      <c r="C2263" s="68" t="s">
        <v>1391</v>
      </c>
      <c r="D2263" s="68" t="s">
        <v>1480</v>
      </c>
      <c r="E2263" s="8" t="s">
        <v>434</v>
      </c>
      <c r="F2263" s="8" t="s">
        <v>247</v>
      </c>
      <c r="G2263" s="23" t="s">
        <v>810</v>
      </c>
      <c r="H2263" s="14">
        <f>248-13.64</f>
        <v>234.36</v>
      </c>
      <c r="I2263" s="14">
        <v>234.36</v>
      </c>
      <c r="J2263" s="14">
        <v>234.36</v>
      </c>
      <c r="K2263" s="78">
        <f t="shared" si="1004"/>
        <v>100</v>
      </c>
      <c r="L2263" s="14"/>
      <c r="M2263" s="50"/>
      <c r="N2263" s="50"/>
    </row>
    <row r="2264" spans="1:14" ht="46.8" x14ac:dyDescent="0.3">
      <c r="A2264" s="8" t="s">
        <v>1427</v>
      </c>
      <c r="B2264" s="62" t="s">
        <v>936</v>
      </c>
      <c r="C2264" s="68" t="s">
        <v>1391</v>
      </c>
      <c r="D2264" s="68" t="s">
        <v>1480</v>
      </c>
      <c r="E2264" s="8" t="s">
        <v>381</v>
      </c>
      <c r="F2264" s="8"/>
      <c r="G2264" s="18" t="s">
        <v>1061</v>
      </c>
      <c r="H2264" s="14">
        <f t="shared" ref="H2264:L2268" si="1009">H2265</f>
        <v>414.77699999999999</v>
      </c>
      <c r="I2264" s="14">
        <f t="shared" si="1009"/>
        <v>414.77699999999999</v>
      </c>
      <c r="J2264" s="14">
        <f t="shared" si="1009"/>
        <v>342.08726999999999</v>
      </c>
      <c r="K2264" s="78">
        <f t="shared" si="1004"/>
        <v>82.474985353575534</v>
      </c>
      <c r="L2264" s="14">
        <f t="shared" si="1009"/>
        <v>0</v>
      </c>
      <c r="M2264" s="50"/>
      <c r="N2264" s="50"/>
    </row>
    <row r="2265" spans="1:14" ht="31.2" x14ac:dyDescent="0.3">
      <c r="A2265" s="8" t="s">
        <v>1427</v>
      </c>
      <c r="B2265" s="62" t="s">
        <v>936</v>
      </c>
      <c r="C2265" s="68" t="s">
        <v>1391</v>
      </c>
      <c r="D2265" s="68" t="s">
        <v>1480</v>
      </c>
      <c r="E2265" s="8" t="s">
        <v>435</v>
      </c>
      <c r="F2265" s="8"/>
      <c r="G2265" s="13" t="s">
        <v>1064</v>
      </c>
      <c r="H2265" s="14">
        <f t="shared" si="1009"/>
        <v>414.77699999999999</v>
      </c>
      <c r="I2265" s="14">
        <f t="shared" si="1009"/>
        <v>414.77699999999999</v>
      </c>
      <c r="J2265" s="14">
        <f t="shared" si="1009"/>
        <v>342.08726999999999</v>
      </c>
      <c r="K2265" s="78">
        <f t="shared" si="1004"/>
        <v>82.474985353575534</v>
      </c>
      <c r="L2265" s="14">
        <f t="shared" si="1009"/>
        <v>0</v>
      </c>
      <c r="M2265" s="50"/>
      <c r="N2265" s="50"/>
    </row>
    <row r="2266" spans="1:14" ht="46.8" x14ac:dyDescent="0.3">
      <c r="A2266" s="8" t="s">
        <v>1427</v>
      </c>
      <c r="B2266" s="62" t="s">
        <v>936</v>
      </c>
      <c r="C2266" s="68" t="s">
        <v>1391</v>
      </c>
      <c r="D2266" s="68" t="s">
        <v>1480</v>
      </c>
      <c r="E2266" s="8" t="s">
        <v>436</v>
      </c>
      <c r="F2266" s="8"/>
      <c r="G2266" s="13" t="s">
        <v>1211</v>
      </c>
      <c r="H2266" s="14">
        <f t="shared" si="1009"/>
        <v>414.77699999999999</v>
      </c>
      <c r="I2266" s="14">
        <f t="shared" si="1009"/>
        <v>414.77699999999999</v>
      </c>
      <c r="J2266" s="14">
        <f t="shared" si="1009"/>
        <v>342.08726999999999</v>
      </c>
      <c r="K2266" s="78">
        <f t="shared" si="1004"/>
        <v>82.474985353575534</v>
      </c>
      <c r="L2266" s="14">
        <f t="shared" si="1009"/>
        <v>0</v>
      </c>
      <c r="M2266" s="50"/>
      <c r="N2266" s="50"/>
    </row>
    <row r="2267" spans="1:14" ht="46.8" x14ac:dyDescent="0.3">
      <c r="A2267" s="8" t="s">
        <v>1427</v>
      </c>
      <c r="B2267" s="62" t="s">
        <v>936</v>
      </c>
      <c r="C2267" s="68" t="s">
        <v>1391</v>
      </c>
      <c r="D2267" s="68" t="s">
        <v>1480</v>
      </c>
      <c r="E2267" s="8" t="s">
        <v>437</v>
      </c>
      <c r="F2267" s="8"/>
      <c r="G2267" s="18" t="s">
        <v>19</v>
      </c>
      <c r="H2267" s="14">
        <f t="shared" si="1009"/>
        <v>414.77699999999999</v>
      </c>
      <c r="I2267" s="14">
        <f t="shared" si="1009"/>
        <v>414.77699999999999</v>
      </c>
      <c r="J2267" s="14">
        <f t="shared" si="1009"/>
        <v>342.08726999999999</v>
      </c>
      <c r="K2267" s="78">
        <f t="shared" si="1004"/>
        <v>82.474985353575534</v>
      </c>
      <c r="L2267" s="14">
        <f t="shared" si="1009"/>
        <v>0</v>
      </c>
      <c r="M2267" s="50"/>
      <c r="N2267" s="50"/>
    </row>
    <row r="2268" spans="1:14" ht="31.2" x14ac:dyDescent="0.3">
      <c r="A2268" s="8" t="s">
        <v>1427</v>
      </c>
      <c r="B2268" s="62" t="s">
        <v>936</v>
      </c>
      <c r="C2268" s="68" t="s">
        <v>1391</v>
      </c>
      <c r="D2268" s="68" t="s">
        <v>1480</v>
      </c>
      <c r="E2268" s="8" t="s">
        <v>437</v>
      </c>
      <c r="F2268" s="45" t="s">
        <v>380</v>
      </c>
      <c r="G2268" s="23" t="s">
        <v>809</v>
      </c>
      <c r="H2268" s="14">
        <f t="shared" si="1009"/>
        <v>414.77699999999999</v>
      </c>
      <c r="I2268" s="14">
        <f t="shared" si="1009"/>
        <v>414.77699999999999</v>
      </c>
      <c r="J2268" s="14">
        <f t="shared" si="1009"/>
        <v>342.08726999999999</v>
      </c>
      <c r="K2268" s="78">
        <f t="shared" si="1004"/>
        <v>82.474985353575534</v>
      </c>
      <c r="L2268" s="14">
        <f t="shared" si="1009"/>
        <v>0</v>
      </c>
      <c r="M2268" s="50"/>
      <c r="N2268" s="50"/>
    </row>
    <row r="2269" spans="1:14" ht="31.2" x14ac:dyDescent="0.3">
      <c r="A2269" s="8" t="s">
        <v>1427</v>
      </c>
      <c r="B2269" s="62" t="s">
        <v>936</v>
      </c>
      <c r="C2269" s="68" t="s">
        <v>1391</v>
      </c>
      <c r="D2269" s="68" t="s">
        <v>1480</v>
      </c>
      <c r="E2269" s="8" t="s">
        <v>437</v>
      </c>
      <c r="F2269" s="8" t="s">
        <v>247</v>
      </c>
      <c r="G2269" s="23" t="s">
        <v>810</v>
      </c>
      <c r="H2269" s="14">
        <f>393+58.4+29.2-25.618-40.205</f>
        <v>414.77699999999999</v>
      </c>
      <c r="I2269" s="14">
        <v>414.77699999999999</v>
      </c>
      <c r="J2269" s="14">
        <v>342.08726999999999</v>
      </c>
      <c r="K2269" s="78">
        <f t="shared" si="1004"/>
        <v>82.474985353575534</v>
      </c>
      <c r="L2269" s="14"/>
      <c r="M2269" s="50"/>
      <c r="N2269" s="50"/>
    </row>
    <row r="2270" spans="1:14" ht="31.2" x14ac:dyDescent="0.3">
      <c r="A2270" s="8" t="s">
        <v>1427</v>
      </c>
      <c r="B2270" s="62" t="s">
        <v>936</v>
      </c>
      <c r="C2270" s="68" t="s">
        <v>1391</v>
      </c>
      <c r="D2270" s="68" t="s">
        <v>1480</v>
      </c>
      <c r="E2270" s="8" t="s">
        <v>429</v>
      </c>
      <c r="F2270" s="8"/>
      <c r="G2270" s="13" t="s">
        <v>1140</v>
      </c>
      <c r="H2270" s="20">
        <v>0</v>
      </c>
      <c r="I2270" s="14">
        <f>I2271</f>
        <v>410.96500000000003</v>
      </c>
      <c r="J2270" s="14">
        <f t="shared" ref="J2270:L2270" si="1010">J2271</f>
        <v>410.96500000000003</v>
      </c>
      <c r="K2270" s="78">
        <f t="shared" si="1004"/>
        <v>100</v>
      </c>
      <c r="L2270" s="14">
        <f t="shared" si="1010"/>
        <v>0</v>
      </c>
      <c r="M2270" s="50"/>
      <c r="N2270" s="50"/>
    </row>
    <row r="2271" spans="1:14" x14ac:dyDescent="0.3">
      <c r="A2271" s="8" t="s">
        <v>1427</v>
      </c>
      <c r="B2271" s="62" t="s">
        <v>936</v>
      </c>
      <c r="C2271" s="68" t="s">
        <v>1391</v>
      </c>
      <c r="D2271" s="68" t="s">
        <v>1480</v>
      </c>
      <c r="E2271" s="8" t="s">
        <v>430</v>
      </c>
      <c r="F2271" s="8"/>
      <c r="G2271" s="13" t="s">
        <v>1141</v>
      </c>
      <c r="H2271" s="20">
        <v>0</v>
      </c>
      <c r="I2271" s="14">
        <f>I2272+I2275</f>
        <v>410.96500000000003</v>
      </c>
      <c r="J2271" s="14">
        <f t="shared" ref="J2271:L2271" si="1011">J2272+J2275</f>
        <v>410.96500000000003</v>
      </c>
      <c r="K2271" s="78">
        <f t="shared" si="1004"/>
        <v>100</v>
      </c>
      <c r="L2271" s="14">
        <f t="shared" si="1011"/>
        <v>0</v>
      </c>
      <c r="M2271" s="50"/>
      <c r="N2271" s="50"/>
    </row>
    <row r="2272" spans="1:14" ht="31.2" x14ac:dyDescent="0.3">
      <c r="A2272" s="8" t="s">
        <v>1427</v>
      </c>
      <c r="B2272" s="62" t="s">
        <v>936</v>
      </c>
      <c r="C2272" s="68" t="s">
        <v>1391</v>
      </c>
      <c r="D2272" s="68" t="s">
        <v>1480</v>
      </c>
      <c r="E2272" s="8" t="s">
        <v>209</v>
      </c>
      <c r="F2272" s="8"/>
      <c r="G2272" s="13" t="s">
        <v>1147</v>
      </c>
      <c r="H2272" s="20">
        <v>0</v>
      </c>
      <c r="I2272" s="14">
        <f>I2273</f>
        <v>96.819000000000003</v>
      </c>
      <c r="J2272" s="14">
        <f t="shared" ref="J2272:L2273" si="1012">J2273</f>
        <v>96.819000000000003</v>
      </c>
      <c r="K2272" s="78">
        <f t="shared" si="1004"/>
        <v>100</v>
      </c>
      <c r="L2272" s="14">
        <f t="shared" si="1012"/>
        <v>0</v>
      </c>
      <c r="M2272" s="50"/>
      <c r="N2272" s="50"/>
    </row>
    <row r="2273" spans="1:14" ht="31.2" x14ac:dyDescent="0.3">
      <c r="A2273" s="8" t="s">
        <v>1427</v>
      </c>
      <c r="B2273" s="62" t="s">
        <v>936</v>
      </c>
      <c r="C2273" s="68" t="s">
        <v>1391</v>
      </c>
      <c r="D2273" s="68" t="s">
        <v>1480</v>
      </c>
      <c r="E2273" s="8" t="s">
        <v>209</v>
      </c>
      <c r="F2273" s="45" t="s">
        <v>380</v>
      </c>
      <c r="G2273" s="23" t="s">
        <v>809</v>
      </c>
      <c r="H2273" s="20">
        <v>0</v>
      </c>
      <c r="I2273" s="14">
        <f>I2274</f>
        <v>96.819000000000003</v>
      </c>
      <c r="J2273" s="14">
        <f t="shared" si="1012"/>
        <v>96.819000000000003</v>
      </c>
      <c r="K2273" s="78">
        <f t="shared" si="1004"/>
        <v>100</v>
      </c>
      <c r="L2273" s="14">
        <f t="shared" si="1012"/>
        <v>0</v>
      </c>
      <c r="M2273" s="50"/>
      <c r="N2273" s="50"/>
    </row>
    <row r="2274" spans="1:14" ht="31.2" x14ac:dyDescent="0.3">
      <c r="A2274" s="8" t="s">
        <v>1427</v>
      </c>
      <c r="B2274" s="62" t="s">
        <v>936</v>
      </c>
      <c r="C2274" s="68" t="s">
        <v>1391</v>
      </c>
      <c r="D2274" s="68" t="s">
        <v>1480</v>
      </c>
      <c r="E2274" s="8" t="s">
        <v>209</v>
      </c>
      <c r="F2274" s="8" t="s">
        <v>247</v>
      </c>
      <c r="G2274" s="23" t="s">
        <v>810</v>
      </c>
      <c r="H2274" s="20">
        <v>0</v>
      </c>
      <c r="I2274" s="14">
        <v>96.819000000000003</v>
      </c>
      <c r="J2274" s="14">
        <v>96.819000000000003</v>
      </c>
      <c r="K2274" s="78">
        <f t="shared" si="1004"/>
        <v>100</v>
      </c>
      <c r="L2274" s="14"/>
      <c r="M2274" s="50"/>
      <c r="N2274" s="50"/>
    </row>
    <row r="2275" spans="1:14" ht="31.2" x14ac:dyDescent="0.3">
      <c r="A2275" s="8" t="s">
        <v>1427</v>
      </c>
      <c r="B2275" s="62" t="s">
        <v>936</v>
      </c>
      <c r="C2275" s="68" t="s">
        <v>1391</v>
      </c>
      <c r="D2275" s="68" t="s">
        <v>1480</v>
      </c>
      <c r="E2275" s="8" t="s">
        <v>210</v>
      </c>
      <c r="F2275" s="8"/>
      <c r="G2275" s="13" t="s">
        <v>1183</v>
      </c>
      <c r="H2275" s="20">
        <v>0</v>
      </c>
      <c r="I2275" s="14">
        <f>I2276+I2278</f>
        <v>314.14600000000002</v>
      </c>
      <c r="J2275" s="14">
        <f t="shared" ref="J2275:L2275" si="1013">J2276+J2278</f>
        <v>314.14600000000002</v>
      </c>
      <c r="K2275" s="78">
        <f t="shared" si="1004"/>
        <v>100</v>
      </c>
      <c r="L2275" s="14">
        <f t="shared" si="1013"/>
        <v>0</v>
      </c>
      <c r="M2275" s="50"/>
      <c r="N2275" s="50"/>
    </row>
    <row r="2276" spans="1:14" ht="78" x14ac:dyDescent="0.3">
      <c r="A2276" s="8" t="s">
        <v>1427</v>
      </c>
      <c r="B2276" s="62" t="s">
        <v>936</v>
      </c>
      <c r="C2276" s="68" t="s">
        <v>1391</v>
      </c>
      <c r="D2276" s="68" t="s">
        <v>1480</v>
      </c>
      <c r="E2276" s="8" t="s">
        <v>210</v>
      </c>
      <c r="F2276" s="45" t="s">
        <v>431</v>
      </c>
      <c r="G2276" s="23" t="s">
        <v>806</v>
      </c>
      <c r="H2276" s="20">
        <v>0</v>
      </c>
      <c r="I2276" s="14">
        <f>I2277</f>
        <v>148.80018000000001</v>
      </c>
      <c r="J2276" s="14">
        <f t="shared" ref="J2276:L2276" si="1014">J2277</f>
        <v>148.80018000000001</v>
      </c>
      <c r="K2276" s="78">
        <f t="shared" si="1004"/>
        <v>100</v>
      </c>
      <c r="L2276" s="14">
        <f t="shared" si="1014"/>
        <v>0</v>
      </c>
      <c r="M2276" s="50"/>
      <c r="N2276" s="50"/>
    </row>
    <row r="2277" spans="1:14" ht="31.2" x14ac:dyDescent="0.3">
      <c r="A2277" s="8" t="s">
        <v>1427</v>
      </c>
      <c r="B2277" s="62" t="s">
        <v>936</v>
      </c>
      <c r="C2277" s="68" t="s">
        <v>1391</v>
      </c>
      <c r="D2277" s="68" t="s">
        <v>1480</v>
      </c>
      <c r="E2277" s="8" t="s">
        <v>210</v>
      </c>
      <c r="F2277" s="45" t="s">
        <v>233</v>
      </c>
      <c r="G2277" s="23" t="s">
        <v>808</v>
      </c>
      <c r="H2277" s="20">
        <v>0</v>
      </c>
      <c r="I2277" s="14">
        <v>148.80018000000001</v>
      </c>
      <c r="J2277" s="14">
        <v>148.80018000000001</v>
      </c>
      <c r="K2277" s="78">
        <f t="shared" si="1004"/>
        <v>100</v>
      </c>
      <c r="L2277" s="14"/>
      <c r="M2277" s="50"/>
      <c r="N2277" s="50"/>
    </row>
    <row r="2278" spans="1:14" ht="31.2" x14ac:dyDescent="0.3">
      <c r="A2278" s="8" t="s">
        <v>1427</v>
      </c>
      <c r="B2278" s="62" t="s">
        <v>936</v>
      </c>
      <c r="C2278" s="68" t="s">
        <v>1391</v>
      </c>
      <c r="D2278" s="68" t="s">
        <v>1480</v>
      </c>
      <c r="E2278" s="8" t="s">
        <v>210</v>
      </c>
      <c r="F2278" s="45" t="s">
        <v>380</v>
      </c>
      <c r="G2278" s="23" t="s">
        <v>809</v>
      </c>
      <c r="H2278" s="20">
        <v>0</v>
      </c>
      <c r="I2278" s="14">
        <f>I2279</f>
        <v>165.34582</v>
      </c>
      <c r="J2278" s="14">
        <f t="shared" ref="J2278:L2278" si="1015">J2279</f>
        <v>165.34582</v>
      </c>
      <c r="K2278" s="78">
        <f t="shared" si="1004"/>
        <v>100</v>
      </c>
      <c r="L2278" s="14">
        <f t="shared" si="1015"/>
        <v>0</v>
      </c>
      <c r="M2278" s="50"/>
      <c r="N2278" s="50"/>
    </row>
    <row r="2279" spans="1:14" ht="31.2" x14ac:dyDescent="0.3">
      <c r="A2279" s="8" t="s">
        <v>1427</v>
      </c>
      <c r="B2279" s="62" t="s">
        <v>936</v>
      </c>
      <c r="C2279" s="68" t="s">
        <v>1391</v>
      </c>
      <c r="D2279" s="68" t="s">
        <v>1480</v>
      </c>
      <c r="E2279" s="8" t="s">
        <v>210</v>
      </c>
      <c r="F2279" s="8" t="s">
        <v>247</v>
      </c>
      <c r="G2279" s="23" t="s">
        <v>810</v>
      </c>
      <c r="H2279" s="20">
        <v>0</v>
      </c>
      <c r="I2279" s="14">
        <v>165.34582</v>
      </c>
      <c r="J2279" s="14">
        <v>165.34582</v>
      </c>
      <c r="K2279" s="78">
        <f t="shared" si="1004"/>
        <v>100</v>
      </c>
      <c r="L2279" s="14"/>
      <c r="M2279" s="50"/>
      <c r="N2279" s="50"/>
    </row>
    <row r="2280" spans="1:14" s="3" customFormat="1" x14ac:dyDescent="0.3">
      <c r="A2280" s="10" t="s">
        <v>1427</v>
      </c>
      <c r="B2280" s="43" t="s">
        <v>1386</v>
      </c>
      <c r="C2280" s="43" t="s">
        <v>1386</v>
      </c>
      <c r="D2280" s="43" t="s">
        <v>915</v>
      </c>
      <c r="E2280" s="10"/>
      <c r="F2280" s="10"/>
      <c r="G2280" s="5" t="s">
        <v>1388</v>
      </c>
      <c r="H2280" s="15">
        <f>H2281+H2322</f>
        <v>178596.60900000003</v>
      </c>
      <c r="I2280" s="15">
        <f>I2281+I2322</f>
        <v>343699.21390000003</v>
      </c>
      <c r="J2280" s="15">
        <f t="shared" ref="J2280" si="1016">J2281+J2322</f>
        <v>341007.20097999997</v>
      </c>
      <c r="K2280" s="81">
        <f t="shared" si="1004"/>
        <v>99.216753250770211</v>
      </c>
      <c r="L2280" s="15">
        <f>L2281+L2322</f>
        <v>0</v>
      </c>
      <c r="M2280" s="65"/>
      <c r="N2280" s="65"/>
    </row>
    <row r="2281" spans="1:14" s="9" customFormat="1" x14ac:dyDescent="0.3">
      <c r="A2281" s="11" t="s">
        <v>1427</v>
      </c>
      <c r="B2281" s="48" t="s">
        <v>937</v>
      </c>
      <c r="C2281" s="48" t="s">
        <v>1386</v>
      </c>
      <c r="D2281" s="48" t="s">
        <v>1398</v>
      </c>
      <c r="E2281" s="11"/>
      <c r="F2281" s="11"/>
      <c r="G2281" s="7" t="s">
        <v>1419</v>
      </c>
      <c r="H2281" s="16">
        <f>H2282+H2297+H2302+H2308+H2316</f>
        <v>177019.43300000002</v>
      </c>
      <c r="I2281" s="16">
        <f>I2282+I2297+I2302+I2308+I2316</f>
        <v>341871.53854000004</v>
      </c>
      <c r="J2281" s="16">
        <f t="shared" ref="J2281" si="1017">J2282+J2297+J2302+J2308+J2316</f>
        <v>340247.23009999999</v>
      </c>
      <c r="K2281" s="82">
        <f t="shared" si="1004"/>
        <v>99.524877547005858</v>
      </c>
      <c r="L2281" s="16">
        <f>L2282+L2297+L2302+L2308+L2316</f>
        <v>0</v>
      </c>
      <c r="M2281" s="65"/>
      <c r="N2281" s="65"/>
    </row>
    <row r="2282" spans="1:14" ht="31.2" x14ac:dyDescent="0.3">
      <c r="A2282" s="8" t="s">
        <v>1427</v>
      </c>
      <c r="B2282" s="62" t="s">
        <v>937</v>
      </c>
      <c r="C2282" s="68" t="s">
        <v>1386</v>
      </c>
      <c r="D2282" s="68" t="s">
        <v>1398</v>
      </c>
      <c r="E2282" s="8" t="s">
        <v>355</v>
      </c>
      <c r="F2282" s="8"/>
      <c r="G2282" s="13" t="s">
        <v>893</v>
      </c>
      <c r="H2282" s="14">
        <f t="shared" ref="H2282:L2283" si="1018">H2283</f>
        <v>162502.302</v>
      </c>
      <c r="I2282" s="14">
        <f t="shared" si="1018"/>
        <v>319695.90284</v>
      </c>
      <c r="J2282" s="14">
        <f t="shared" si="1018"/>
        <v>319084.98564999999</v>
      </c>
      <c r="K2282" s="78">
        <f t="shared" si="1004"/>
        <v>99.808906781546796</v>
      </c>
      <c r="L2282" s="14">
        <f t="shared" si="1018"/>
        <v>0</v>
      </c>
      <c r="M2282" s="50"/>
      <c r="N2282" s="50"/>
    </row>
    <row r="2283" spans="1:14" ht="31.2" x14ac:dyDescent="0.3">
      <c r="A2283" s="8" t="s">
        <v>1427</v>
      </c>
      <c r="B2283" s="62" t="s">
        <v>937</v>
      </c>
      <c r="C2283" s="68" t="s">
        <v>1386</v>
      </c>
      <c r="D2283" s="68" t="s">
        <v>1398</v>
      </c>
      <c r="E2283" s="8" t="s">
        <v>356</v>
      </c>
      <c r="F2283" s="8"/>
      <c r="G2283" s="13" t="s">
        <v>894</v>
      </c>
      <c r="H2283" s="14">
        <f t="shared" si="1018"/>
        <v>162502.302</v>
      </c>
      <c r="I2283" s="14">
        <f t="shared" si="1018"/>
        <v>319695.90284</v>
      </c>
      <c r="J2283" s="14">
        <f t="shared" si="1018"/>
        <v>319084.98564999999</v>
      </c>
      <c r="K2283" s="78">
        <f t="shared" si="1004"/>
        <v>99.808906781546796</v>
      </c>
      <c r="L2283" s="14">
        <f t="shared" si="1018"/>
        <v>0</v>
      </c>
      <c r="M2283" s="50"/>
      <c r="N2283" s="50"/>
    </row>
    <row r="2284" spans="1:14" ht="46.8" x14ac:dyDescent="0.3">
      <c r="A2284" s="8" t="s">
        <v>1427</v>
      </c>
      <c r="B2284" s="62" t="s">
        <v>937</v>
      </c>
      <c r="C2284" s="68" t="s">
        <v>1386</v>
      </c>
      <c r="D2284" s="68" t="s">
        <v>1398</v>
      </c>
      <c r="E2284" s="8" t="s">
        <v>357</v>
      </c>
      <c r="F2284" s="8"/>
      <c r="G2284" s="18" t="s">
        <v>121</v>
      </c>
      <c r="H2284" s="14">
        <f>H2285+H2288+H2291</f>
        <v>162502.302</v>
      </c>
      <c r="I2284" s="14">
        <f>I2285+I2288+I2291+I2294</f>
        <v>319695.90284</v>
      </c>
      <c r="J2284" s="14">
        <f t="shared" ref="J2284:L2284" si="1019">J2285+J2288+J2291+J2294</f>
        <v>319084.98564999999</v>
      </c>
      <c r="K2284" s="78">
        <f t="shared" si="1004"/>
        <v>99.808906781546796</v>
      </c>
      <c r="L2284" s="14">
        <f t="shared" si="1019"/>
        <v>0</v>
      </c>
      <c r="M2284" s="50"/>
      <c r="N2284" s="50"/>
    </row>
    <row r="2285" spans="1:14" x14ac:dyDescent="0.3">
      <c r="A2285" s="8" t="s">
        <v>1427</v>
      </c>
      <c r="B2285" s="62" t="s">
        <v>937</v>
      </c>
      <c r="C2285" s="68" t="s">
        <v>1386</v>
      </c>
      <c r="D2285" s="68" t="s">
        <v>1398</v>
      </c>
      <c r="E2285" s="8" t="s">
        <v>67</v>
      </c>
      <c r="F2285" s="8"/>
      <c r="G2285" s="23" t="s">
        <v>155</v>
      </c>
      <c r="H2285" s="14">
        <f t="shared" ref="H2285:L2286" si="1020">H2286</f>
        <v>159453.851</v>
      </c>
      <c r="I2285" s="14">
        <f t="shared" si="1020"/>
        <v>158348.71161</v>
      </c>
      <c r="J2285" s="14">
        <f t="shared" si="1020"/>
        <v>157798.13691999999</v>
      </c>
      <c r="K2285" s="78">
        <f t="shared" si="1004"/>
        <v>99.652302387305795</v>
      </c>
      <c r="L2285" s="14">
        <f t="shared" si="1020"/>
        <v>0</v>
      </c>
      <c r="M2285" s="50"/>
      <c r="N2285" s="50"/>
    </row>
    <row r="2286" spans="1:14" ht="31.2" x14ac:dyDescent="0.3">
      <c r="A2286" s="8" t="s">
        <v>1427</v>
      </c>
      <c r="B2286" s="62" t="s">
        <v>937</v>
      </c>
      <c r="C2286" s="68" t="s">
        <v>1386</v>
      </c>
      <c r="D2286" s="68" t="s">
        <v>1398</v>
      </c>
      <c r="E2286" s="8" t="s">
        <v>67</v>
      </c>
      <c r="F2286" s="45" t="s">
        <v>380</v>
      </c>
      <c r="G2286" s="23" t="s">
        <v>809</v>
      </c>
      <c r="H2286" s="14">
        <f t="shared" si="1020"/>
        <v>159453.851</v>
      </c>
      <c r="I2286" s="14">
        <f t="shared" si="1020"/>
        <v>158348.71161</v>
      </c>
      <c r="J2286" s="14">
        <f t="shared" si="1020"/>
        <v>157798.13691999999</v>
      </c>
      <c r="K2286" s="78">
        <f t="shared" si="1004"/>
        <v>99.652302387305795</v>
      </c>
      <c r="L2286" s="14">
        <f t="shared" si="1020"/>
        <v>0</v>
      </c>
      <c r="M2286" s="50"/>
      <c r="N2286" s="50"/>
    </row>
    <row r="2287" spans="1:14" ht="31.2" x14ac:dyDescent="0.3">
      <c r="A2287" s="8" t="s">
        <v>1427</v>
      </c>
      <c r="B2287" s="62" t="s">
        <v>937</v>
      </c>
      <c r="C2287" s="68" t="s">
        <v>1386</v>
      </c>
      <c r="D2287" s="68" t="s">
        <v>1398</v>
      </c>
      <c r="E2287" s="8" t="s">
        <v>67</v>
      </c>
      <c r="F2287" s="8" t="s">
        <v>247</v>
      </c>
      <c r="G2287" s="23" t="s">
        <v>810</v>
      </c>
      <c r="H2287" s="14">
        <f>159815-17.149-344</f>
        <v>159453.851</v>
      </c>
      <c r="I2287" s="14">
        <v>158348.71161</v>
      </c>
      <c r="J2287" s="14">
        <v>157798.13691999999</v>
      </c>
      <c r="K2287" s="78">
        <f t="shared" si="1004"/>
        <v>99.652302387305795</v>
      </c>
      <c r="L2287" s="14"/>
      <c r="M2287" s="50"/>
      <c r="N2287" s="50"/>
    </row>
    <row r="2288" spans="1:14" ht="31.2" x14ac:dyDescent="0.3">
      <c r="A2288" s="8" t="s">
        <v>1427</v>
      </c>
      <c r="B2288" s="62" t="s">
        <v>937</v>
      </c>
      <c r="C2288" s="68" t="s">
        <v>1386</v>
      </c>
      <c r="D2288" s="68" t="s">
        <v>1398</v>
      </c>
      <c r="E2288" s="8" t="s">
        <v>68</v>
      </c>
      <c r="F2288" s="8"/>
      <c r="G2288" s="23" t="s">
        <v>182</v>
      </c>
      <c r="H2288" s="14">
        <f t="shared" ref="H2288:L2289" si="1021">H2289</f>
        <v>2988.1090000000004</v>
      </c>
      <c r="I2288" s="14">
        <f t="shared" si="1021"/>
        <v>2988.1089999999999</v>
      </c>
      <c r="J2288" s="14">
        <f t="shared" si="1021"/>
        <v>2988.1084999999998</v>
      </c>
      <c r="K2288" s="78">
        <f t="shared" si="1004"/>
        <v>99.999983267009327</v>
      </c>
      <c r="L2288" s="14">
        <f t="shared" si="1021"/>
        <v>0</v>
      </c>
      <c r="M2288" s="50"/>
      <c r="N2288" s="50"/>
    </row>
    <row r="2289" spans="1:14" ht="31.2" x14ac:dyDescent="0.3">
      <c r="A2289" s="8" t="s">
        <v>1427</v>
      </c>
      <c r="B2289" s="62" t="s">
        <v>937</v>
      </c>
      <c r="C2289" s="68" t="s">
        <v>1386</v>
      </c>
      <c r="D2289" s="68" t="s">
        <v>1398</v>
      </c>
      <c r="E2289" s="8" t="s">
        <v>68</v>
      </c>
      <c r="F2289" s="45" t="s">
        <v>380</v>
      </c>
      <c r="G2289" s="23" t="s">
        <v>809</v>
      </c>
      <c r="H2289" s="14">
        <f t="shared" si="1021"/>
        <v>2988.1090000000004</v>
      </c>
      <c r="I2289" s="14">
        <f t="shared" si="1021"/>
        <v>2988.1089999999999</v>
      </c>
      <c r="J2289" s="14">
        <f t="shared" si="1021"/>
        <v>2988.1084999999998</v>
      </c>
      <c r="K2289" s="78">
        <f t="shared" si="1004"/>
        <v>99.999983267009327</v>
      </c>
      <c r="L2289" s="14">
        <f t="shared" si="1021"/>
        <v>0</v>
      </c>
      <c r="M2289" s="50"/>
      <c r="N2289" s="50"/>
    </row>
    <row r="2290" spans="1:14" ht="31.2" x14ac:dyDescent="0.3">
      <c r="A2290" s="8" t="s">
        <v>1427</v>
      </c>
      <c r="B2290" s="62" t="s">
        <v>937</v>
      </c>
      <c r="C2290" s="68" t="s">
        <v>1386</v>
      </c>
      <c r="D2290" s="68" t="s">
        <v>1398</v>
      </c>
      <c r="E2290" s="8" t="s">
        <v>68</v>
      </c>
      <c r="F2290" s="8" t="s">
        <v>247</v>
      </c>
      <c r="G2290" s="23" t="s">
        <v>810</v>
      </c>
      <c r="H2290" s="14">
        <f>4126.1-1137.991</f>
        <v>2988.1090000000004</v>
      </c>
      <c r="I2290" s="14">
        <v>2988.1089999999999</v>
      </c>
      <c r="J2290" s="14">
        <v>2988.1084999999998</v>
      </c>
      <c r="K2290" s="78">
        <f t="shared" si="1004"/>
        <v>99.999983267009327</v>
      </c>
      <c r="L2290" s="14"/>
      <c r="M2290" s="50"/>
      <c r="N2290" s="50"/>
    </row>
    <row r="2291" spans="1:14" ht="31.2" x14ac:dyDescent="0.3">
      <c r="A2291" s="8" t="s">
        <v>1427</v>
      </c>
      <c r="B2291" s="62" t="s">
        <v>937</v>
      </c>
      <c r="C2291" s="68" t="s">
        <v>1386</v>
      </c>
      <c r="D2291" s="68" t="s">
        <v>1398</v>
      </c>
      <c r="E2291" s="8" t="s">
        <v>245</v>
      </c>
      <c r="F2291" s="8"/>
      <c r="G2291" s="23" t="s">
        <v>306</v>
      </c>
      <c r="H2291" s="14">
        <f t="shared" ref="H2291:L2292" si="1022">H2292</f>
        <v>60.342000000000013</v>
      </c>
      <c r="I2291" s="14">
        <f t="shared" si="1022"/>
        <v>60.341999999999999</v>
      </c>
      <c r="J2291" s="14">
        <f t="shared" si="1022"/>
        <v>0</v>
      </c>
      <c r="K2291" s="78">
        <f t="shared" si="1004"/>
        <v>0</v>
      </c>
      <c r="L2291" s="14">
        <f t="shared" si="1022"/>
        <v>0</v>
      </c>
      <c r="M2291" s="50"/>
      <c r="N2291" s="50"/>
    </row>
    <row r="2292" spans="1:14" ht="31.2" x14ac:dyDescent="0.3">
      <c r="A2292" s="8" t="s">
        <v>1427</v>
      </c>
      <c r="B2292" s="62" t="s">
        <v>937</v>
      </c>
      <c r="C2292" s="68" t="s">
        <v>1386</v>
      </c>
      <c r="D2292" s="68" t="s">
        <v>1398</v>
      </c>
      <c r="E2292" s="8" t="s">
        <v>245</v>
      </c>
      <c r="F2292" s="45" t="s">
        <v>380</v>
      </c>
      <c r="G2292" s="23" t="s">
        <v>809</v>
      </c>
      <c r="H2292" s="14">
        <f t="shared" si="1022"/>
        <v>60.342000000000013</v>
      </c>
      <c r="I2292" s="14">
        <f t="shared" si="1022"/>
        <v>60.341999999999999</v>
      </c>
      <c r="J2292" s="14">
        <f t="shared" si="1022"/>
        <v>0</v>
      </c>
      <c r="K2292" s="78">
        <f t="shared" si="1004"/>
        <v>0</v>
      </c>
      <c r="L2292" s="14">
        <f t="shared" si="1022"/>
        <v>0</v>
      </c>
      <c r="M2292" s="50"/>
      <c r="N2292" s="50"/>
    </row>
    <row r="2293" spans="1:14" ht="31.2" x14ac:dyDescent="0.3">
      <c r="A2293" s="8" t="s">
        <v>1427</v>
      </c>
      <c r="B2293" s="62" t="s">
        <v>937</v>
      </c>
      <c r="C2293" s="68" t="s">
        <v>1386</v>
      </c>
      <c r="D2293" s="68" t="s">
        <v>1398</v>
      </c>
      <c r="E2293" s="8" t="s">
        <v>245</v>
      </c>
      <c r="F2293" s="8" t="s">
        <v>247</v>
      </c>
      <c r="G2293" s="23" t="s">
        <v>810</v>
      </c>
      <c r="H2293" s="14">
        <f>128.621-67.976-0.303</f>
        <v>60.342000000000013</v>
      </c>
      <c r="I2293" s="14">
        <v>60.341999999999999</v>
      </c>
      <c r="J2293" s="14">
        <v>0</v>
      </c>
      <c r="K2293" s="78">
        <f t="shared" si="1004"/>
        <v>0</v>
      </c>
      <c r="L2293" s="14"/>
      <c r="M2293" s="50"/>
      <c r="N2293" s="50"/>
    </row>
    <row r="2294" spans="1:14" ht="62.4" x14ac:dyDescent="0.3">
      <c r="A2294" s="8" t="s">
        <v>1427</v>
      </c>
      <c r="B2294" s="62" t="s">
        <v>937</v>
      </c>
      <c r="C2294" s="68" t="s">
        <v>1386</v>
      </c>
      <c r="D2294" s="68" t="s">
        <v>1398</v>
      </c>
      <c r="E2294" s="8" t="s">
        <v>963</v>
      </c>
      <c r="F2294" s="8"/>
      <c r="G2294" s="13" t="s">
        <v>964</v>
      </c>
      <c r="H2294" s="20">
        <v>0</v>
      </c>
      <c r="I2294" s="14">
        <f>I2295</f>
        <v>158298.74023</v>
      </c>
      <c r="J2294" s="14">
        <f t="shared" ref="J2294:L2295" si="1023">J2295</f>
        <v>158298.74023</v>
      </c>
      <c r="K2294" s="78">
        <f t="shared" si="1004"/>
        <v>100</v>
      </c>
      <c r="L2294" s="14">
        <f t="shared" si="1023"/>
        <v>0</v>
      </c>
      <c r="M2294" s="50"/>
      <c r="N2294" s="50"/>
    </row>
    <row r="2295" spans="1:14" ht="31.2" x14ac:dyDescent="0.3">
      <c r="A2295" s="8" t="s">
        <v>1427</v>
      </c>
      <c r="B2295" s="62" t="s">
        <v>937</v>
      </c>
      <c r="C2295" s="68" t="s">
        <v>1386</v>
      </c>
      <c r="D2295" s="68" t="s">
        <v>1398</v>
      </c>
      <c r="E2295" s="8" t="s">
        <v>963</v>
      </c>
      <c r="F2295" s="45" t="s">
        <v>380</v>
      </c>
      <c r="G2295" s="23" t="s">
        <v>809</v>
      </c>
      <c r="H2295" s="20">
        <v>0</v>
      </c>
      <c r="I2295" s="14">
        <f>I2296</f>
        <v>158298.74023</v>
      </c>
      <c r="J2295" s="14">
        <f t="shared" si="1023"/>
        <v>158298.74023</v>
      </c>
      <c r="K2295" s="78">
        <f t="shared" si="1004"/>
        <v>100</v>
      </c>
      <c r="L2295" s="14">
        <f t="shared" si="1023"/>
        <v>0</v>
      </c>
      <c r="M2295" s="50"/>
      <c r="N2295" s="50"/>
    </row>
    <row r="2296" spans="1:14" ht="31.2" x14ac:dyDescent="0.3">
      <c r="A2296" s="8" t="s">
        <v>1427</v>
      </c>
      <c r="B2296" s="62" t="s">
        <v>937</v>
      </c>
      <c r="C2296" s="68" t="s">
        <v>1386</v>
      </c>
      <c r="D2296" s="68" t="s">
        <v>1398</v>
      </c>
      <c r="E2296" s="8" t="s">
        <v>963</v>
      </c>
      <c r="F2296" s="8" t="s">
        <v>247</v>
      </c>
      <c r="G2296" s="23" t="s">
        <v>810</v>
      </c>
      <c r="H2296" s="20">
        <v>0</v>
      </c>
      <c r="I2296" s="14">
        <v>158298.74023</v>
      </c>
      <c r="J2296" s="14">
        <v>158298.74023</v>
      </c>
      <c r="K2296" s="78">
        <f t="shared" si="1004"/>
        <v>100</v>
      </c>
      <c r="L2296" s="14"/>
      <c r="M2296" s="50"/>
      <c r="N2296" s="50"/>
    </row>
    <row r="2297" spans="1:14" ht="62.4" x14ac:dyDescent="0.3">
      <c r="A2297" s="8" t="s">
        <v>1427</v>
      </c>
      <c r="B2297" s="62" t="s">
        <v>937</v>
      </c>
      <c r="C2297" s="68" t="s">
        <v>1386</v>
      </c>
      <c r="D2297" s="68" t="s">
        <v>1398</v>
      </c>
      <c r="E2297" s="8" t="s">
        <v>358</v>
      </c>
      <c r="F2297" s="8"/>
      <c r="G2297" s="13" t="s">
        <v>1040</v>
      </c>
      <c r="H2297" s="14">
        <f t="shared" ref="H2297:L2300" si="1024">H2298</f>
        <v>179.7</v>
      </c>
      <c r="I2297" s="14">
        <f t="shared" si="1024"/>
        <v>179.7</v>
      </c>
      <c r="J2297" s="14">
        <f t="shared" si="1024"/>
        <v>179.61946</v>
      </c>
      <c r="K2297" s="78">
        <f t="shared" si="1004"/>
        <v>99.955180856983873</v>
      </c>
      <c r="L2297" s="14">
        <f t="shared" si="1024"/>
        <v>0</v>
      </c>
      <c r="M2297" s="50"/>
      <c r="N2297" s="50"/>
    </row>
    <row r="2298" spans="1:14" ht="31.2" x14ac:dyDescent="0.3">
      <c r="A2298" s="8" t="s">
        <v>1427</v>
      </c>
      <c r="B2298" s="62" t="s">
        <v>937</v>
      </c>
      <c r="C2298" s="68" t="s">
        <v>1386</v>
      </c>
      <c r="D2298" s="68" t="s">
        <v>1398</v>
      </c>
      <c r="E2298" s="8" t="s">
        <v>359</v>
      </c>
      <c r="F2298" s="8"/>
      <c r="G2298" s="13" t="s">
        <v>1041</v>
      </c>
      <c r="H2298" s="14">
        <f t="shared" si="1024"/>
        <v>179.7</v>
      </c>
      <c r="I2298" s="14">
        <f t="shared" si="1024"/>
        <v>179.7</v>
      </c>
      <c r="J2298" s="14">
        <f t="shared" si="1024"/>
        <v>179.61946</v>
      </c>
      <c r="K2298" s="78">
        <f t="shared" si="1004"/>
        <v>99.955180856983873</v>
      </c>
      <c r="L2298" s="14">
        <f t="shared" si="1024"/>
        <v>0</v>
      </c>
      <c r="M2298" s="50"/>
      <c r="N2298" s="50"/>
    </row>
    <row r="2299" spans="1:14" ht="46.8" x14ac:dyDescent="0.3">
      <c r="A2299" s="8" t="s">
        <v>1427</v>
      </c>
      <c r="B2299" s="62" t="s">
        <v>937</v>
      </c>
      <c r="C2299" s="68" t="s">
        <v>1386</v>
      </c>
      <c r="D2299" s="68" t="s">
        <v>1398</v>
      </c>
      <c r="E2299" s="8" t="s">
        <v>360</v>
      </c>
      <c r="F2299" s="8"/>
      <c r="G2299" s="18" t="s">
        <v>313</v>
      </c>
      <c r="H2299" s="14">
        <f t="shared" si="1024"/>
        <v>179.7</v>
      </c>
      <c r="I2299" s="14">
        <f t="shared" si="1024"/>
        <v>179.7</v>
      </c>
      <c r="J2299" s="14">
        <f t="shared" si="1024"/>
        <v>179.61946</v>
      </c>
      <c r="K2299" s="78">
        <f t="shared" si="1004"/>
        <v>99.955180856983873</v>
      </c>
      <c r="L2299" s="14">
        <f t="shared" si="1024"/>
        <v>0</v>
      </c>
      <c r="M2299" s="50"/>
      <c r="N2299" s="50"/>
    </row>
    <row r="2300" spans="1:14" ht="31.2" x14ac:dyDescent="0.3">
      <c r="A2300" s="8" t="s">
        <v>1427</v>
      </c>
      <c r="B2300" s="62" t="s">
        <v>937</v>
      </c>
      <c r="C2300" s="68" t="s">
        <v>1386</v>
      </c>
      <c r="D2300" s="68" t="s">
        <v>1398</v>
      </c>
      <c r="E2300" s="8" t="s">
        <v>360</v>
      </c>
      <c r="F2300" s="45" t="s">
        <v>380</v>
      </c>
      <c r="G2300" s="23" t="s">
        <v>809</v>
      </c>
      <c r="H2300" s="14">
        <f t="shared" si="1024"/>
        <v>179.7</v>
      </c>
      <c r="I2300" s="14">
        <f t="shared" si="1024"/>
        <v>179.7</v>
      </c>
      <c r="J2300" s="14">
        <f t="shared" si="1024"/>
        <v>179.61946</v>
      </c>
      <c r="K2300" s="78">
        <f t="shared" si="1004"/>
        <v>99.955180856983873</v>
      </c>
      <c r="L2300" s="14">
        <f t="shared" si="1024"/>
        <v>0</v>
      </c>
      <c r="M2300" s="50"/>
      <c r="N2300" s="50"/>
    </row>
    <row r="2301" spans="1:14" ht="31.2" x14ac:dyDescent="0.3">
      <c r="A2301" s="8" t="s">
        <v>1427</v>
      </c>
      <c r="B2301" s="62" t="s">
        <v>937</v>
      </c>
      <c r="C2301" s="68" t="s">
        <v>1386</v>
      </c>
      <c r="D2301" s="68" t="s">
        <v>1398</v>
      </c>
      <c r="E2301" s="8" t="s">
        <v>360</v>
      </c>
      <c r="F2301" s="8" t="s">
        <v>247</v>
      </c>
      <c r="G2301" s="23" t="s">
        <v>810</v>
      </c>
      <c r="H2301" s="14">
        <f>191.7-12</f>
        <v>179.7</v>
      </c>
      <c r="I2301" s="14">
        <v>179.7</v>
      </c>
      <c r="J2301" s="14">
        <v>179.61946</v>
      </c>
      <c r="K2301" s="78">
        <f t="shared" si="1004"/>
        <v>99.955180856983873</v>
      </c>
      <c r="L2301" s="14"/>
      <c r="M2301" s="50"/>
      <c r="N2301" s="50"/>
    </row>
    <row r="2302" spans="1:14" ht="62.4" x14ac:dyDescent="0.3">
      <c r="A2302" s="8" t="s">
        <v>1427</v>
      </c>
      <c r="B2302" s="62" t="s">
        <v>937</v>
      </c>
      <c r="C2302" s="68" t="s">
        <v>1386</v>
      </c>
      <c r="D2302" s="68" t="s">
        <v>1398</v>
      </c>
      <c r="E2302" s="8" t="s">
        <v>361</v>
      </c>
      <c r="F2302" s="8"/>
      <c r="G2302" s="18" t="s">
        <v>1191</v>
      </c>
      <c r="H2302" s="14">
        <f t="shared" ref="H2302:L2306" si="1025">H2303</f>
        <v>3036.5</v>
      </c>
      <c r="I2302" s="14">
        <f t="shared" si="1025"/>
        <v>3036.5</v>
      </c>
      <c r="J2302" s="14">
        <f t="shared" si="1025"/>
        <v>3027.2221500000001</v>
      </c>
      <c r="K2302" s="78">
        <f t="shared" si="1004"/>
        <v>99.694455787913711</v>
      </c>
      <c r="L2302" s="14">
        <f t="shared" si="1025"/>
        <v>0</v>
      </c>
      <c r="M2302" s="50"/>
      <c r="N2302" s="50"/>
    </row>
    <row r="2303" spans="1:14" ht="46.8" x14ac:dyDescent="0.3">
      <c r="A2303" s="8" t="s">
        <v>1427</v>
      </c>
      <c r="B2303" s="62" t="s">
        <v>937</v>
      </c>
      <c r="C2303" s="68" t="s">
        <v>1386</v>
      </c>
      <c r="D2303" s="68" t="s">
        <v>1398</v>
      </c>
      <c r="E2303" s="8" t="s">
        <v>362</v>
      </c>
      <c r="F2303" s="8"/>
      <c r="G2303" s="18" t="s">
        <v>1209</v>
      </c>
      <c r="H2303" s="14">
        <f t="shared" si="1025"/>
        <v>3036.5</v>
      </c>
      <c r="I2303" s="14">
        <f t="shared" si="1025"/>
        <v>3036.5</v>
      </c>
      <c r="J2303" s="14">
        <f t="shared" si="1025"/>
        <v>3027.2221500000001</v>
      </c>
      <c r="K2303" s="78">
        <f t="shared" si="1004"/>
        <v>99.694455787913711</v>
      </c>
      <c r="L2303" s="14">
        <f t="shared" si="1025"/>
        <v>0</v>
      </c>
      <c r="M2303" s="50"/>
      <c r="N2303" s="50"/>
    </row>
    <row r="2304" spans="1:14" ht="62.4" x14ac:dyDescent="0.3">
      <c r="A2304" s="8" t="s">
        <v>1427</v>
      </c>
      <c r="B2304" s="62" t="s">
        <v>937</v>
      </c>
      <c r="C2304" s="68" t="s">
        <v>1386</v>
      </c>
      <c r="D2304" s="68" t="s">
        <v>1398</v>
      </c>
      <c r="E2304" s="8" t="s">
        <v>363</v>
      </c>
      <c r="F2304" s="8"/>
      <c r="G2304" s="13" t="s">
        <v>1053</v>
      </c>
      <c r="H2304" s="14">
        <f t="shared" si="1025"/>
        <v>3036.5</v>
      </c>
      <c r="I2304" s="14">
        <f t="shared" si="1025"/>
        <v>3036.5</v>
      </c>
      <c r="J2304" s="14">
        <f t="shared" si="1025"/>
        <v>3027.2221500000001</v>
      </c>
      <c r="K2304" s="78">
        <f t="shared" si="1004"/>
        <v>99.694455787913711</v>
      </c>
      <c r="L2304" s="14">
        <f t="shared" si="1025"/>
        <v>0</v>
      </c>
      <c r="M2304" s="50"/>
      <c r="N2304" s="50"/>
    </row>
    <row r="2305" spans="1:14" x14ac:dyDescent="0.3">
      <c r="A2305" s="8" t="s">
        <v>1427</v>
      </c>
      <c r="B2305" s="62" t="s">
        <v>937</v>
      </c>
      <c r="C2305" s="68" t="s">
        <v>1386</v>
      </c>
      <c r="D2305" s="68" t="s">
        <v>1398</v>
      </c>
      <c r="E2305" s="8" t="s">
        <v>364</v>
      </c>
      <c r="F2305" s="8"/>
      <c r="G2305" s="13" t="s">
        <v>1054</v>
      </c>
      <c r="H2305" s="14">
        <f t="shared" si="1025"/>
        <v>3036.5</v>
      </c>
      <c r="I2305" s="14">
        <f t="shared" si="1025"/>
        <v>3036.5</v>
      </c>
      <c r="J2305" s="14">
        <f t="shared" si="1025"/>
        <v>3027.2221500000001</v>
      </c>
      <c r="K2305" s="78">
        <f t="shared" si="1004"/>
        <v>99.694455787913711</v>
      </c>
      <c r="L2305" s="14">
        <f t="shared" si="1025"/>
        <v>0</v>
      </c>
      <c r="M2305" s="50"/>
      <c r="N2305" s="50"/>
    </row>
    <row r="2306" spans="1:14" ht="31.2" x14ac:dyDescent="0.3">
      <c r="A2306" s="8" t="s">
        <v>1427</v>
      </c>
      <c r="B2306" s="62" t="s">
        <v>937</v>
      </c>
      <c r="C2306" s="68" t="s">
        <v>1386</v>
      </c>
      <c r="D2306" s="68" t="s">
        <v>1398</v>
      </c>
      <c r="E2306" s="8" t="s">
        <v>364</v>
      </c>
      <c r="F2306" s="45" t="s">
        <v>380</v>
      </c>
      <c r="G2306" s="23" t="s">
        <v>809</v>
      </c>
      <c r="H2306" s="14">
        <f t="shared" si="1025"/>
        <v>3036.5</v>
      </c>
      <c r="I2306" s="14">
        <f t="shared" si="1025"/>
        <v>3036.5</v>
      </c>
      <c r="J2306" s="14">
        <f t="shared" si="1025"/>
        <v>3027.2221500000001</v>
      </c>
      <c r="K2306" s="78">
        <f t="shared" si="1004"/>
        <v>99.694455787913711</v>
      </c>
      <c r="L2306" s="14">
        <f t="shared" si="1025"/>
        <v>0</v>
      </c>
      <c r="M2306" s="50"/>
      <c r="N2306" s="50"/>
    </row>
    <row r="2307" spans="1:14" ht="31.2" x14ac:dyDescent="0.3">
      <c r="A2307" s="8" t="s">
        <v>1427</v>
      </c>
      <c r="B2307" s="62" t="s">
        <v>937</v>
      </c>
      <c r="C2307" s="68" t="s">
        <v>1386</v>
      </c>
      <c r="D2307" s="68" t="s">
        <v>1398</v>
      </c>
      <c r="E2307" s="8" t="s">
        <v>364</v>
      </c>
      <c r="F2307" s="8" t="s">
        <v>247</v>
      </c>
      <c r="G2307" s="23" t="s">
        <v>810</v>
      </c>
      <c r="H2307" s="14">
        <v>3036.5</v>
      </c>
      <c r="I2307" s="14">
        <v>3036.5</v>
      </c>
      <c r="J2307" s="14">
        <v>3027.2221500000001</v>
      </c>
      <c r="K2307" s="78">
        <f t="shared" si="1004"/>
        <v>99.694455787913711</v>
      </c>
      <c r="L2307" s="14"/>
      <c r="M2307" s="50"/>
      <c r="N2307" s="50"/>
    </row>
    <row r="2308" spans="1:14" ht="31.2" x14ac:dyDescent="0.3">
      <c r="A2308" s="8" t="s">
        <v>1427</v>
      </c>
      <c r="B2308" s="62" t="s">
        <v>937</v>
      </c>
      <c r="C2308" s="68" t="s">
        <v>1386</v>
      </c>
      <c r="D2308" s="68" t="s">
        <v>1398</v>
      </c>
      <c r="E2308" s="8" t="s">
        <v>368</v>
      </c>
      <c r="F2308" s="8"/>
      <c r="G2308" s="13" t="s">
        <v>1079</v>
      </c>
      <c r="H2308" s="14">
        <f t="shared" ref="H2308:L2314" si="1026">H2309</f>
        <v>11177.342000000001</v>
      </c>
      <c r="I2308" s="14">
        <f t="shared" si="1026"/>
        <v>10810.025</v>
      </c>
      <c r="J2308" s="14">
        <f t="shared" si="1026"/>
        <v>10810.024299999999</v>
      </c>
      <c r="K2308" s="78">
        <f t="shared" si="1004"/>
        <v>99.999993524529302</v>
      </c>
      <c r="L2308" s="14">
        <f t="shared" si="1026"/>
        <v>0</v>
      </c>
      <c r="M2308" s="50"/>
      <c r="N2308" s="50"/>
    </row>
    <row r="2309" spans="1:14" ht="31.2" x14ac:dyDescent="0.3">
      <c r="A2309" s="8" t="s">
        <v>1427</v>
      </c>
      <c r="B2309" s="62" t="s">
        <v>937</v>
      </c>
      <c r="C2309" s="68" t="s">
        <v>1386</v>
      </c>
      <c r="D2309" s="68" t="s">
        <v>1398</v>
      </c>
      <c r="E2309" s="8" t="s">
        <v>369</v>
      </c>
      <c r="F2309" s="8"/>
      <c r="G2309" s="13" t="s">
        <v>1088</v>
      </c>
      <c r="H2309" s="14">
        <f t="shared" si="1026"/>
        <v>11177.342000000001</v>
      </c>
      <c r="I2309" s="14">
        <f t="shared" si="1026"/>
        <v>10810.025</v>
      </c>
      <c r="J2309" s="14">
        <f t="shared" si="1026"/>
        <v>10810.024299999999</v>
      </c>
      <c r="K2309" s="78">
        <f t="shared" si="1004"/>
        <v>99.999993524529302</v>
      </c>
      <c r="L2309" s="14">
        <f t="shared" si="1026"/>
        <v>0</v>
      </c>
      <c r="M2309" s="50"/>
      <c r="N2309" s="50"/>
    </row>
    <row r="2310" spans="1:14" ht="46.8" x14ac:dyDescent="0.3">
      <c r="A2310" s="8" t="s">
        <v>1427</v>
      </c>
      <c r="B2310" s="62" t="s">
        <v>937</v>
      </c>
      <c r="C2310" s="68" t="s">
        <v>1386</v>
      </c>
      <c r="D2310" s="68" t="s">
        <v>1398</v>
      </c>
      <c r="E2310" s="8" t="s">
        <v>514</v>
      </c>
      <c r="F2310" s="8"/>
      <c r="G2310" s="18" t="s">
        <v>1090</v>
      </c>
      <c r="H2310" s="14">
        <f t="shared" si="1026"/>
        <v>11177.342000000001</v>
      </c>
      <c r="I2310" s="14">
        <f t="shared" si="1026"/>
        <v>10810.025</v>
      </c>
      <c r="J2310" s="14">
        <f t="shared" si="1026"/>
        <v>10810.024299999999</v>
      </c>
      <c r="K2310" s="78">
        <f t="shared" si="1004"/>
        <v>99.999993524529302</v>
      </c>
      <c r="L2310" s="14">
        <f t="shared" si="1026"/>
        <v>0</v>
      </c>
      <c r="M2310" s="50"/>
      <c r="N2310" s="50"/>
    </row>
    <row r="2311" spans="1:14" ht="46.8" x14ac:dyDescent="0.3">
      <c r="A2311" s="8" t="s">
        <v>1427</v>
      </c>
      <c r="B2311" s="62" t="s">
        <v>937</v>
      </c>
      <c r="C2311" s="68" t="s">
        <v>1386</v>
      </c>
      <c r="D2311" s="68" t="s">
        <v>1398</v>
      </c>
      <c r="E2311" s="8" t="s">
        <v>69</v>
      </c>
      <c r="F2311" s="8"/>
      <c r="G2311" s="23" t="s">
        <v>1267</v>
      </c>
      <c r="H2311" s="14">
        <f>H2314+H2312</f>
        <v>11177.342000000001</v>
      </c>
      <c r="I2311" s="14">
        <f t="shared" ref="I2311:L2311" si="1027">I2314+I2312</f>
        <v>10810.025</v>
      </c>
      <c r="J2311" s="14">
        <f t="shared" si="1027"/>
        <v>10810.024299999999</v>
      </c>
      <c r="K2311" s="78">
        <f t="shared" si="1004"/>
        <v>99.999993524529302</v>
      </c>
      <c r="L2311" s="14">
        <f t="shared" si="1027"/>
        <v>0</v>
      </c>
      <c r="M2311" s="50"/>
      <c r="N2311" s="50"/>
    </row>
    <row r="2312" spans="1:14" ht="31.2" x14ac:dyDescent="0.3">
      <c r="A2312" s="8" t="s">
        <v>1427</v>
      </c>
      <c r="B2312" s="62" t="s">
        <v>937</v>
      </c>
      <c r="C2312" s="68" t="s">
        <v>1386</v>
      </c>
      <c r="D2312" s="68" t="s">
        <v>1398</v>
      </c>
      <c r="E2312" s="8" t="s">
        <v>69</v>
      </c>
      <c r="F2312" s="8" t="s">
        <v>402</v>
      </c>
      <c r="G2312" s="23" t="s">
        <v>819</v>
      </c>
      <c r="H2312" s="14">
        <f>H2313</f>
        <v>0</v>
      </c>
      <c r="I2312" s="14">
        <f t="shared" ref="I2312:L2312" si="1028">I2313</f>
        <v>2564.6455999999998</v>
      </c>
      <c r="J2312" s="14">
        <f t="shared" si="1028"/>
        <v>2564.6455999999998</v>
      </c>
      <c r="K2312" s="78">
        <f t="shared" ref="K2312:K2375" si="1029">J2312/I2312*100</f>
        <v>100</v>
      </c>
      <c r="L2312" s="14">
        <f t="shared" si="1028"/>
        <v>0</v>
      </c>
      <c r="M2312" s="50"/>
      <c r="N2312" s="50"/>
    </row>
    <row r="2313" spans="1:14" ht="46.8" x14ac:dyDescent="0.3">
      <c r="A2313" s="8" t="s">
        <v>1427</v>
      </c>
      <c r="B2313" s="62" t="s">
        <v>937</v>
      </c>
      <c r="C2313" s="68" t="s">
        <v>1386</v>
      </c>
      <c r="D2313" s="68" t="s">
        <v>1398</v>
      </c>
      <c r="E2313" s="8" t="s">
        <v>69</v>
      </c>
      <c r="F2313" s="8" t="s">
        <v>280</v>
      </c>
      <c r="G2313" s="23" t="s">
        <v>821</v>
      </c>
      <c r="H2313" s="19">
        <v>0</v>
      </c>
      <c r="I2313" s="14">
        <v>2564.6455999999998</v>
      </c>
      <c r="J2313" s="20">
        <v>2564.6455999999998</v>
      </c>
      <c r="K2313" s="77">
        <f t="shared" si="1029"/>
        <v>100</v>
      </c>
      <c r="L2313" s="14"/>
      <c r="M2313" s="50"/>
      <c r="N2313" s="50"/>
    </row>
    <row r="2314" spans="1:14" x14ac:dyDescent="0.3">
      <c r="A2314" s="8" t="s">
        <v>1427</v>
      </c>
      <c r="B2314" s="62" t="s">
        <v>937</v>
      </c>
      <c r="C2314" s="68" t="s">
        <v>1386</v>
      </c>
      <c r="D2314" s="68" t="s">
        <v>1398</v>
      </c>
      <c r="E2314" s="8" t="s">
        <v>69</v>
      </c>
      <c r="F2314" s="45" t="s">
        <v>464</v>
      </c>
      <c r="G2314" s="23" t="s">
        <v>822</v>
      </c>
      <c r="H2314" s="14">
        <f t="shared" si="1026"/>
        <v>11177.342000000001</v>
      </c>
      <c r="I2314" s="14">
        <f t="shared" si="1026"/>
        <v>8245.3793999999998</v>
      </c>
      <c r="J2314" s="14">
        <f t="shared" si="1026"/>
        <v>8245.3786999999993</v>
      </c>
      <c r="K2314" s="78">
        <f t="shared" si="1029"/>
        <v>99.999991510396711</v>
      </c>
      <c r="L2314" s="14">
        <f t="shared" si="1026"/>
        <v>0</v>
      </c>
      <c r="M2314" s="50"/>
      <c r="N2314" s="50"/>
    </row>
    <row r="2315" spans="1:14" ht="62.4" x14ac:dyDescent="0.3">
      <c r="A2315" s="8" t="s">
        <v>1427</v>
      </c>
      <c r="B2315" s="62" t="s">
        <v>937</v>
      </c>
      <c r="C2315" s="68" t="s">
        <v>1386</v>
      </c>
      <c r="D2315" s="68" t="s">
        <v>1398</v>
      </c>
      <c r="E2315" s="8" t="s">
        <v>69</v>
      </c>
      <c r="F2315" s="45" t="s">
        <v>727</v>
      </c>
      <c r="G2315" s="18" t="s">
        <v>830</v>
      </c>
      <c r="H2315" s="14">
        <f>11250-72.658</f>
        <v>11177.342000000001</v>
      </c>
      <c r="I2315" s="14">
        <v>8245.3793999999998</v>
      </c>
      <c r="J2315" s="14">
        <v>8245.3786999999993</v>
      </c>
      <c r="K2315" s="78">
        <f t="shared" si="1029"/>
        <v>99.999991510396711</v>
      </c>
      <c r="L2315" s="14"/>
      <c r="M2315" s="50"/>
      <c r="N2315" s="50"/>
    </row>
    <row r="2316" spans="1:14" ht="31.2" x14ac:dyDescent="0.3">
      <c r="A2316" s="8" t="s">
        <v>1427</v>
      </c>
      <c r="B2316" s="62" t="s">
        <v>937</v>
      </c>
      <c r="C2316" s="68" t="s">
        <v>1386</v>
      </c>
      <c r="D2316" s="68" t="s">
        <v>1398</v>
      </c>
      <c r="E2316" s="8" t="s">
        <v>429</v>
      </c>
      <c r="F2316" s="45"/>
      <c r="G2316" s="23" t="s">
        <v>1140</v>
      </c>
      <c r="H2316" s="14">
        <f t="shared" ref="H2316:L2318" si="1030">H2317</f>
        <v>123.589</v>
      </c>
      <c r="I2316" s="14">
        <f t="shared" si="1030"/>
        <v>8149.4107000000004</v>
      </c>
      <c r="J2316" s="14">
        <f t="shared" si="1030"/>
        <v>7145.3785399999997</v>
      </c>
      <c r="K2316" s="78">
        <f t="shared" si="1029"/>
        <v>87.679696152753721</v>
      </c>
      <c r="L2316" s="14">
        <f t="shared" si="1030"/>
        <v>0</v>
      </c>
      <c r="M2316" s="50"/>
      <c r="N2316" s="50"/>
    </row>
    <row r="2317" spans="1:14" ht="46.8" x14ac:dyDescent="0.3">
      <c r="A2317" s="8" t="s">
        <v>1427</v>
      </c>
      <c r="B2317" s="62" t="s">
        <v>937</v>
      </c>
      <c r="C2317" s="68" t="s">
        <v>1386</v>
      </c>
      <c r="D2317" s="68" t="s">
        <v>1398</v>
      </c>
      <c r="E2317" s="8" t="s">
        <v>535</v>
      </c>
      <c r="F2317" s="45"/>
      <c r="G2317" s="31" t="s">
        <v>176</v>
      </c>
      <c r="H2317" s="14">
        <f>H2318+H2320</f>
        <v>123.589</v>
      </c>
      <c r="I2317" s="14">
        <f t="shared" ref="I2317:L2317" si="1031">I2318+I2320</f>
        <v>8149.4107000000004</v>
      </c>
      <c r="J2317" s="14">
        <f t="shared" si="1031"/>
        <v>7145.3785399999997</v>
      </c>
      <c r="K2317" s="78">
        <f t="shared" si="1029"/>
        <v>87.679696152753721</v>
      </c>
      <c r="L2317" s="14">
        <f t="shared" si="1031"/>
        <v>0</v>
      </c>
      <c r="M2317" s="50"/>
      <c r="N2317" s="50"/>
    </row>
    <row r="2318" spans="1:14" ht="31.2" x14ac:dyDescent="0.3">
      <c r="A2318" s="8" t="s">
        <v>1427</v>
      </c>
      <c r="B2318" s="62" t="s">
        <v>937</v>
      </c>
      <c r="C2318" s="68" t="s">
        <v>1386</v>
      </c>
      <c r="D2318" s="68" t="s">
        <v>1398</v>
      </c>
      <c r="E2318" s="8" t="s">
        <v>535</v>
      </c>
      <c r="F2318" s="45" t="s">
        <v>380</v>
      </c>
      <c r="G2318" s="23" t="s">
        <v>809</v>
      </c>
      <c r="H2318" s="14">
        <f t="shared" si="1030"/>
        <v>123.589</v>
      </c>
      <c r="I2318" s="14">
        <f t="shared" si="1030"/>
        <v>6037.1471899999997</v>
      </c>
      <c r="J2318" s="14">
        <f t="shared" si="1030"/>
        <v>5033.1150299999999</v>
      </c>
      <c r="K2318" s="78">
        <f t="shared" si="1029"/>
        <v>83.3690958924591</v>
      </c>
      <c r="L2318" s="14">
        <f t="shared" si="1030"/>
        <v>0</v>
      </c>
      <c r="M2318" s="50"/>
      <c r="N2318" s="50"/>
    </row>
    <row r="2319" spans="1:14" ht="31.2" x14ac:dyDescent="0.3">
      <c r="A2319" s="8" t="s">
        <v>1427</v>
      </c>
      <c r="B2319" s="62" t="s">
        <v>937</v>
      </c>
      <c r="C2319" s="68" t="s">
        <v>1386</v>
      </c>
      <c r="D2319" s="68" t="s">
        <v>1398</v>
      </c>
      <c r="E2319" s="8" t="s">
        <v>535</v>
      </c>
      <c r="F2319" s="8" t="s">
        <v>247</v>
      </c>
      <c r="G2319" s="23" t="s">
        <v>810</v>
      </c>
      <c r="H2319" s="14">
        <v>123.589</v>
      </c>
      <c r="I2319" s="14">
        <v>6037.1471899999997</v>
      </c>
      <c r="J2319" s="14">
        <v>5033.1150299999999</v>
      </c>
      <c r="K2319" s="78">
        <f t="shared" si="1029"/>
        <v>83.3690958924591</v>
      </c>
      <c r="L2319" s="14"/>
      <c r="M2319" s="50"/>
      <c r="N2319" s="50"/>
    </row>
    <row r="2320" spans="1:14" x14ac:dyDescent="0.3">
      <c r="A2320" s="8" t="s">
        <v>1427</v>
      </c>
      <c r="B2320" s="62" t="s">
        <v>937</v>
      </c>
      <c r="C2320" s="68" t="s">
        <v>1386</v>
      </c>
      <c r="D2320" s="68" t="s">
        <v>1398</v>
      </c>
      <c r="E2320" s="8" t="s">
        <v>535</v>
      </c>
      <c r="F2320" s="45" t="s">
        <v>464</v>
      </c>
      <c r="G2320" s="23" t="s">
        <v>822</v>
      </c>
      <c r="H2320" s="14">
        <f>H2321</f>
        <v>0</v>
      </c>
      <c r="I2320" s="14">
        <f t="shared" ref="I2320:L2320" si="1032">I2321</f>
        <v>2112.2635100000002</v>
      </c>
      <c r="J2320" s="14">
        <f t="shared" si="1032"/>
        <v>2112.2635100000002</v>
      </c>
      <c r="K2320" s="78">
        <f t="shared" si="1029"/>
        <v>100</v>
      </c>
      <c r="L2320" s="14">
        <f t="shared" si="1032"/>
        <v>0</v>
      </c>
      <c r="M2320" s="50"/>
      <c r="N2320" s="50"/>
    </row>
    <row r="2321" spans="1:14" ht="62.4" x14ac:dyDescent="0.3">
      <c r="A2321" s="8" t="s">
        <v>1427</v>
      </c>
      <c r="B2321" s="62" t="s">
        <v>937</v>
      </c>
      <c r="C2321" s="68" t="s">
        <v>1386</v>
      </c>
      <c r="D2321" s="68" t="s">
        <v>1398</v>
      </c>
      <c r="E2321" s="8" t="s">
        <v>535</v>
      </c>
      <c r="F2321" s="45" t="s">
        <v>727</v>
      </c>
      <c r="G2321" s="18" t="s">
        <v>830</v>
      </c>
      <c r="H2321" s="19">
        <v>0</v>
      </c>
      <c r="I2321" s="14">
        <v>2112.2635100000002</v>
      </c>
      <c r="J2321" s="20">
        <v>2112.2635100000002</v>
      </c>
      <c r="K2321" s="77">
        <f t="shared" si="1029"/>
        <v>100</v>
      </c>
      <c r="L2321" s="14"/>
      <c r="M2321" s="50"/>
      <c r="N2321" s="50"/>
    </row>
    <row r="2322" spans="1:14" s="9" customFormat="1" x14ac:dyDescent="0.3">
      <c r="A2322" s="11" t="s">
        <v>1427</v>
      </c>
      <c r="B2322" s="48" t="s">
        <v>918</v>
      </c>
      <c r="C2322" s="48" t="s">
        <v>1386</v>
      </c>
      <c r="D2322" s="48" t="s">
        <v>1479</v>
      </c>
      <c r="E2322" s="11"/>
      <c r="F2322" s="11"/>
      <c r="G2322" s="7" t="s">
        <v>1389</v>
      </c>
      <c r="H2322" s="16">
        <f>H2332+H2337+H2323+H2342</f>
        <v>1577.1759999999999</v>
      </c>
      <c r="I2322" s="16">
        <f t="shared" ref="I2322:L2322" si="1033">I2332+I2337+I2323+I2342</f>
        <v>1827.67536</v>
      </c>
      <c r="J2322" s="16">
        <f t="shared" si="1033"/>
        <v>759.97087999999997</v>
      </c>
      <c r="K2322" s="82">
        <f t="shared" si="1029"/>
        <v>41.581283888403462</v>
      </c>
      <c r="L2322" s="16">
        <f t="shared" si="1033"/>
        <v>0</v>
      </c>
      <c r="M2322" s="65"/>
      <c r="N2322" s="65"/>
    </row>
    <row r="2323" spans="1:14" ht="31.2" x14ac:dyDescent="0.3">
      <c r="A2323" s="8" t="s">
        <v>1427</v>
      </c>
      <c r="B2323" s="62" t="s">
        <v>918</v>
      </c>
      <c r="C2323" s="68" t="s">
        <v>1386</v>
      </c>
      <c r="D2323" s="68" t="s">
        <v>1479</v>
      </c>
      <c r="E2323" s="8" t="s">
        <v>438</v>
      </c>
      <c r="F2323" s="8"/>
      <c r="G2323" s="18" t="s">
        <v>891</v>
      </c>
      <c r="H2323" s="14">
        <f t="shared" ref="H2323:L2327" si="1034">H2324</f>
        <v>764.38799999999992</v>
      </c>
      <c r="I2323" s="14">
        <f t="shared" si="1034"/>
        <v>764.38799999999992</v>
      </c>
      <c r="J2323" s="14">
        <f t="shared" si="1034"/>
        <v>441.87000999999998</v>
      </c>
      <c r="K2323" s="78">
        <f t="shared" si="1029"/>
        <v>57.807031245911766</v>
      </c>
      <c r="L2323" s="14">
        <f t="shared" si="1034"/>
        <v>0</v>
      </c>
      <c r="M2323" s="50"/>
      <c r="N2323" s="50"/>
    </row>
    <row r="2324" spans="1:14" ht="46.8" x14ac:dyDescent="0.3">
      <c r="A2324" s="8" t="s">
        <v>1427</v>
      </c>
      <c r="B2324" s="62" t="s">
        <v>918</v>
      </c>
      <c r="C2324" s="68" t="s">
        <v>1386</v>
      </c>
      <c r="D2324" s="68" t="s">
        <v>1479</v>
      </c>
      <c r="E2324" s="8" t="s">
        <v>439</v>
      </c>
      <c r="F2324" s="8"/>
      <c r="G2324" s="18" t="s">
        <v>119</v>
      </c>
      <c r="H2324" s="14">
        <f t="shared" si="1034"/>
        <v>764.38799999999992</v>
      </c>
      <c r="I2324" s="14">
        <f t="shared" si="1034"/>
        <v>764.38799999999992</v>
      </c>
      <c r="J2324" s="14">
        <f t="shared" si="1034"/>
        <v>441.87000999999998</v>
      </c>
      <c r="K2324" s="78">
        <f t="shared" si="1029"/>
        <v>57.807031245911766</v>
      </c>
      <c r="L2324" s="14">
        <f t="shared" si="1034"/>
        <v>0</v>
      </c>
      <c r="M2324" s="50"/>
      <c r="N2324" s="50"/>
    </row>
    <row r="2325" spans="1:14" ht="46.8" x14ac:dyDescent="0.3">
      <c r="A2325" s="8" t="s">
        <v>1427</v>
      </c>
      <c r="B2325" s="62" t="s">
        <v>918</v>
      </c>
      <c r="C2325" s="68" t="s">
        <v>1386</v>
      </c>
      <c r="D2325" s="68" t="s">
        <v>1479</v>
      </c>
      <c r="E2325" s="8" t="s">
        <v>440</v>
      </c>
      <c r="F2325" s="8"/>
      <c r="G2325" s="18" t="s">
        <v>120</v>
      </c>
      <c r="H2325" s="14">
        <f>H2326+H2329</f>
        <v>764.38799999999992</v>
      </c>
      <c r="I2325" s="14">
        <f>I2326+I2329</f>
        <v>764.38799999999992</v>
      </c>
      <c r="J2325" s="14">
        <f t="shared" ref="J2325" si="1035">J2326+J2329</f>
        <v>441.87000999999998</v>
      </c>
      <c r="K2325" s="78">
        <f t="shared" si="1029"/>
        <v>57.807031245911766</v>
      </c>
      <c r="L2325" s="14">
        <f>L2326+L2329</f>
        <v>0</v>
      </c>
      <c r="M2325" s="50"/>
      <c r="N2325" s="50"/>
    </row>
    <row r="2326" spans="1:14" ht="46.8" x14ac:dyDescent="0.3">
      <c r="A2326" s="8" t="s">
        <v>1427</v>
      </c>
      <c r="B2326" s="62" t="s">
        <v>918</v>
      </c>
      <c r="C2326" s="68" t="s">
        <v>1386</v>
      </c>
      <c r="D2326" s="68" t="s">
        <v>1479</v>
      </c>
      <c r="E2326" s="8" t="s">
        <v>441</v>
      </c>
      <c r="F2326" s="8"/>
      <c r="G2326" s="18" t="s">
        <v>761</v>
      </c>
      <c r="H2326" s="14">
        <f t="shared" si="1034"/>
        <v>589.84799999999996</v>
      </c>
      <c r="I2326" s="14">
        <f t="shared" si="1034"/>
        <v>589.84799999999996</v>
      </c>
      <c r="J2326" s="14">
        <f t="shared" si="1034"/>
        <v>267.33096</v>
      </c>
      <c r="K2326" s="78">
        <f t="shared" si="1029"/>
        <v>45.322008381820403</v>
      </c>
      <c r="L2326" s="14">
        <f t="shared" si="1034"/>
        <v>0</v>
      </c>
      <c r="M2326" s="50"/>
      <c r="N2326" s="50"/>
    </row>
    <row r="2327" spans="1:14" ht="31.2" x14ac:dyDescent="0.3">
      <c r="A2327" s="8" t="s">
        <v>1427</v>
      </c>
      <c r="B2327" s="62" t="s">
        <v>918</v>
      </c>
      <c r="C2327" s="68" t="s">
        <v>1386</v>
      </c>
      <c r="D2327" s="68" t="s">
        <v>1479</v>
      </c>
      <c r="E2327" s="8" t="s">
        <v>441</v>
      </c>
      <c r="F2327" s="45" t="s">
        <v>380</v>
      </c>
      <c r="G2327" s="23" t="s">
        <v>809</v>
      </c>
      <c r="H2327" s="14">
        <f t="shared" si="1034"/>
        <v>589.84799999999996</v>
      </c>
      <c r="I2327" s="14">
        <f t="shared" si="1034"/>
        <v>589.84799999999996</v>
      </c>
      <c r="J2327" s="14">
        <f t="shared" si="1034"/>
        <v>267.33096</v>
      </c>
      <c r="K2327" s="78">
        <f t="shared" si="1029"/>
        <v>45.322008381820403</v>
      </c>
      <c r="L2327" s="14">
        <f t="shared" si="1034"/>
        <v>0</v>
      </c>
      <c r="M2327" s="50"/>
      <c r="N2327" s="50"/>
    </row>
    <row r="2328" spans="1:14" ht="31.2" x14ac:dyDescent="0.3">
      <c r="A2328" s="8" t="s">
        <v>1427</v>
      </c>
      <c r="B2328" s="62" t="s">
        <v>918</v>
      </c>
      <c r="C2328" s="68" t="s">
        <v>1386</v>
      </c>
      <c r="D2328" s="68" t="s">
        <v>1479</v>
      </c>
      <c r="E2328" s="8" t="s">
        <v>441</v>
      </c>
      <c r="F2328" s="8" t="s">
        <v>247</v>
      </c>
      <c r="G2328" s="23" t="s">
        <v>810</v>
      </c>
      <c r="H2328" s="14">
        <f>1443.3-423.452-430</f>
        <v>589.84799999999996</v>
      </c>
      <c r="I2328" s="14">
        <v>589.84799999999996</v>
      </c>
      <c r="J2328" s="14">
        <v>267.33096</v>
      </c>
      <c r="K2328" s="78">
        <f t="shared" si="1029"/>
        <v>45.322008381820403</v>
      </c>
      <c r="L2328" s="14"/>
      <c r="M2328" s="50"/>
      <c r="N2328" s="50"/>
    </row>
    <row r="2329" spans="1:14" ht="31.2" x14ac:dyDescent="0.3">
      <c r="A2329" s="8" t="s">
        <v>1427</v>
      </c>
      <c r="B2329" s="62" t="s">
        <v>918</v>
      </c>
      <c r="C2329" s="68" t="s">
        <v>1386</v>
      </c>
      <c r="D2329" s="68" t="s">
        <v>1479</v>
      </c>
      <c r="E2329" s="8" t="s">
        <v>246</v>
      </c>
      <c r="F2329" s="8"/>
      <c r="G2329" s="23" t="s">
        <v>305</v>
      </c>
      <c r="H2329" s="14">
        <f t="shared" ref="H2329:L2330" si="1036">H2330</f>
        <v>174.54</v>
      </c>
      <c r="I2329" s="14">
        <f t="shared" si="1036"/>
        <v>174.54</v>
      </c>
      <c r="J2329" s="14">
        <f t="shared" si="1036"/>
        <v>174.53905</v>
      </c>
      <c r="K2329" s="78">
        <f t="shared" si="1029"/>
        <v>99.999455712157683</v>
      </c>
      <c r="L2329" s="14">
        <f t="shared" si="1036"/>
        <v>0</v>
      </c>
      <c r="M2329" s="50"/>
      <c r="N2329" s="50"/>
    </row>
    <row r="2330" spans="1:14" ht="31.2" x14ac:dyDescent="0.3">
      <c r="A2330" s="8" t="s">
        <v>1427</v>
      </c>
      <c r="B2330" s="62" t="s">
        <v>918</v>
      </c>
      <c r="C2330" s="68" t="s">
        <v>1386</v>
      </c>
      <c r="D2330" s="68" t="s">
        <v>1479</v>
      </c>
      <c r="E2330" s="8" t="s">
        <v>246</v>
      </c>
      <c r="F2330" s="45" t="s">
        <v>380</v>
      </c>
      <c r="G2330" s="23" t="s">
        <v>809</v>
      </c>
      <c r="H2330" s="14">
        <f t="shared" si="1036"/>
        <v>174.54</v>
      </c>
      <c r="I2330" s="14">
        <f t="shared" si="1036"/>
        <v>174.54</v>
      </c>
      <c r="J2330" s="14">
        <f t="shared" si="1036"/>
        <v>174.53905</v>
      </c>
      <c r="K2330" s="78">
        <f t="shared" si="1029"/>
        <v>99.999455712157683</v>
      </c>
      <c r="L2330" s="14">
        <f t="shared" si="1036"/>
        <v>0</v>
      </c>
      <c r="M2330" s="50"/>
      <c r="N2330" s="50"/>
    </row>
    <row r="2331" spans="1:14" ht="31.2" x14ac:dyDescent="0.3">
      <c r="A2331" s="8" t="s">
        <v>1427</v>
      </c>
      <c r="B2331" s="62" t="s">
        <v>918</v>
      </c>
      <c r="C2331" s="68" t="s">
        <v>1386</v>
      </c>
      <c r="D2331" s="68" t="s">
        <v>1479</v>
      </c>
      <c r="E2331" s="8" t="s">
        <v>246</v>
      </c>
      <c r="F2331" s="8" t="s">
        <v>247</v>
      </c>
      <c r="G2331" s="23" t="s">
        <v>810</v>
      </c>
      <c r="H2331" s="14">
        <f>222.5-47.96</f>
        <v>174.54</v>
      </c>
      <c r="I2331" s="14">
        <v>174.54</v>
      </c>
      <c r="J2331" s="14">
        <v>174.53905</v>
      </c>
      <c r="K2331" s="78">
        <f t="shared" si="1029"/>
        <v>99.999455712157683</v>
      </c>
      <c r="L2331" s="14"/>
      <c r="M2331" s="50"/>
      <c r="N2331" s="50"/>
    </row>
    <row r="2332" spans="1:14" ht="62.4" x14ac:dyDescent="0.3">
      <c r="A2332" s="8" t="s">
        <v>1427</v>
      </c>
      <c r="B2332" s="62" t="s">
        <v>918</v>
      </c>
      <c r="C2332" s="68" t="s">
        <v>1386</v>
      </c>
      <c r="D2332" s="68" t="s">
        <v>1479</v>
      </c>
      <c r="E2332" s="8" t="s">
        <v>358</v>
      </c>
      <c r="F2332" s="8"/>
      <c r="G2332" s="13" t="s">
        <v>1040</v>
      </c>
      <c r="H2332" s="14">
        <f t="shared" ref="H2332:L2335" si="1037">H2333</f>
        <v>67.600999999999999</v>
      </c>
      <c r="I2332" s="14">
        <f t="shared" si="1037"/>
        <v>67.600999999999999</v>
      </c>
      <c r="J2332" s="14">
        <f t="shared" si="1037"/>
        <v>67.60087</v>
      </c>
      <c r="K2332" s="78">
        <f t="shared" si="1029"/>
        <v>99.999807695152441</v>
      </c>
      <c r="L2332" s="14">
        <f t="shared" si="1037"/>
        <v>0</v>
      </c>
      <c r="M2332" s="50"/>
      <c r="N2332" s="50"/>
    </row>
    <row r="2333" spans="1:14" ht="31.2" x14ac:dyDescent="0.3">
      <c r="A2333" s="8" t="s">
        <v>1427</v>
      </c>
      <c r="B2333" s="62" t="s">
        <v>918</v>
      </c>
      <c r="C2333" s="68" t="s">
        <v>1386</v>
      </c>
      <c r="D2333" s="68" t="s">
        <v>1479</v>
      </c>
      <c r="E2333" s="8" t="s">
        <v>359</v>
      </c>
      <c r="F2333" s="8"/>
      <c r="G2333" s="13" t="s">
        <v>1041</v>
      </c>
      <c r="H2333" s="14">
        <f t="shared" si="1037"/>
        <v>67.600999999999999</v>
      </c>
      <c r="I2333" s="14">
        <f t="shared" si="1037"/>
        <v>67.600999999999999</v>
      </c>
      <c r="J2333" s="14">
        <f t="shared" si="1037"/>
        <v>67.60087</v>
      </c>
      <c r="K2333" s="78">
        <f t="shared" si="1029"/>
        <v>99.999807695152441</v>
      </c>
      <c r="L2333" s="14">
        <f t="shared" si="1037"/>
        <v>0</v>
      </c>
      <c r="M2333" s="50"/>
      <c r="N2333" s="50"/>
    </row>
    <row r="2334" spans="1:14" ht="46.8" x14ac:dyDescent="0.3">
      <c r="A2334" s="8" t="s">
        <v>1427</v>
      </c>
      <c r="B2334" s="62" t="s">
        <v>918</v>
      </c>
      <c r="C2334" s="68" t="s">
        <v>1386</v>
      </c>
      <c r="D2334" s="68" t="s">
        <v>1479</v>
      </c>
      <c r="E2334" s="8" t="s">
        <v>1237</v>
      </c>
      <c r="F2334" s="8"/>
      <c r="G2334" s="18" t="s">
        <v>316</v>
      </c>
      <c r="H2334" s="14">
        <f t="shared" si="1037"/>
        <v>67.600999999999999</v>
      </c>
      <c r="I2334" s="14">
        <f t="shared" si="1037"/>
        <v>67.600999999999999</v>
      </c>
      <c r="J2334" s="14">
        <f t="shared" si="1037"/>
        <v>67.60087</v>
      </c>
      <c r="K2334" s="78">
        <f t="shared" si="1029"/>
        <v>99.999807695152441</v>
      </c>
      <c r="L2334" s="14">
        <f t="shared" si="1037"/>
        <v>0</v>
      </c>
      <c r="M2334" s="50"/>
      <c r="N2334" s="50"/>
    </row>
    <row r="2335" spans="1:14" ht="31.2" x14ac:dyDescent="0.3">
      <c r="A2335" s="8" t="s">
        <v>1427</v>
      </c>
      <c r="B2335" s="62" t="s">
        <v>918</v>
      </c>
      <c r="C2335" s="68" t="s">
        <v>1386</v>
      </c>
      <c r="D2335" s="68" t="s">
        <v>1479</v>
      </c>
      <c r="E2335" s="8" t="s">
        <v>1237</v>
      </c>
      <c r="F2335" s="45" t="s">
        <v>380</v>
      </c>
      <c r="G2335" s="23" t="s">
        <v>809</v>
      </c>
      <c r="H2335" s="14">
        <f t="shared" si="1037"/>
        <v>67.600999999999999</v>
      </c>
      <c r="I2335" s="14">
        <f t="shared" si="1037"/>
        <v>67.600999999999999</v>
      </c>
      <c r="J2335" s="14">
        <f t="shared" si="1037"/>
        <v>67.60087</v>
      </c>
      <c r="K2335" s="78">
        <f t="shared" si="1029"/>
        <v>99.999807695152441</v>
      </c>
      <c r="L2335" s="14">
        <f t="shared" si="1037"/>
        <v>0</v>
      </c>
      <c r="M2335" s="50"/>
      <c r="N2335" s="50"/>
    </row>
    <row r="2336" spans="1:14" ht="31.2" x14ac:dyDescent="0.3">
      <c r="A2336" s="8" t="s">
        <v>1427</v>
      </c>
      <c r="B2336" s="62" t="s">
        <v>918</v>
      </c>
      <c r="C2336" s="68" t="s">
        <v>1386</v>
      </c>
      <c r="D2336" s="68" t="s">
        <v>1479</v>
      </c>
      <c r="E2336" s="8" t="s">
        <v>1237</v>
      </c>
      <c r="F2336" s="8" t="s">
        <v>247</v>
      </c>
      <c r="G2336" s="23" t="s">
        <v>810</v>
      </c>
      <c r="H2336" s="14">
        <f>292.3-224.699</f>
        <v>67.600999999999999</v>
      </c>
      <c r="I2336" s="14">
        <v>67.600999999999999</v>
      </c>
      <c r="J2336" s="14">
        <v>67.60087</v>
      </c>
      <c r="K2336" s="78">
        <f t="shared" si="1029"/>
        <v>99.999807695152441</v>
      </c>
      <c r="L2336" s="14"/>
      <c r="M2336" s="50"/>
      <c r="N2336" s="50"/>
    </row>
    <row r="2337" spans="1:14" ht="31.2" x14ac:dyDescent="0.3">
      <c r="A2337" s="8" t="s">
        <v>1427</v>
      </c>
      <c r="B2337" s="62" t="s">
        <v>918</v>
      </c>
      <c r="C2337" s="68" t="s">
        <v>1386</v>
      </c>
      <c r="D2337" s="68" t="s">
        <v>1479</v>
      </c>
      <c r="E2337" s="8" t="s">
        <v>365</v>
      </c>
      <c r="F2337" s="8"/>
      <c r="G2337" s="13" t="s">
        <v>831</v>
      </c>
      <c r="H2337" s="14">
        <f t="shared" ref="H2337:L2340" si="1038">H2338</f>
        <v>745.18700000000001</v>
      </c>
      <c r="I2337" s="14">
        <f t="shared" si="1038"/>
        <v>745.18636000000004</v>
      </c>
      <c r="J2337" s="14">
        <f t="shared" si="1038"/>
        <v>0</v>
      </c>
      <c r="K2337" s="78">
        <f t="shared" si="1029"/>
        <v>0</v>
      </c>
      <c r="L2337" s="14">
        <f t="shared" si="1038"/>
        <v>0</v>
      </c>
      <c r="M2337" s="50"/>
      <c r="N2337" s="50"/>
    </row>
    <row r="2338" spans="1:14" ht="31.2" x14ac:dyDescent="0.3">
      <c r="A2338" s="8" t="s">
        <v>1427</v>
      </c>
      <c r="B2338" s="62" t="s">
        <v>918</v>
      </c>
      <c r="C2338" s="68" t="s">
        <v>1386</v>
      </c>
      <c r="D2338" s="68" t="s">
        <v>1479</v>
      </c>
      <c r="E2338" s="8" t="s">
        <v>366</v>
      </c>
      <c r="F2338" s="8"/>
      <c r="G2338" s="13" t="s">
        <v>834</v>
      </c>
      <c r="H2338" s="14">
        <f t="shared" si="1038"/>
        <v>745.18700000000001</v>
      </c>
      <c r="I2338" s="14">
        <f t="shared" si="1038"/>
        <v>745.18636000000004</v>
      </c>
      <c r="J2338" s="14">
        <f t="shared" si="1038"/>
        <v>0</v>
      </c>
      <c r="K2338" s="78">
        <f t="shared" si="1029"/>
        <v>0</v>
      </c>
      <c r="L2338" s="14">
        <f t="shared" si="1038"/>
        <v>0</v>
      </c>
      <c r="M2338" s="50"/>
      <c r="N2338" s="50"/>
    </row>
    <row r="2339" spans="1:14" ht="62.4" x14ac:dyDescent="0.3">
      <c r="A2339" s="8" t="s">
        <v>1427</v>
      </c>
      <c r="B2339" s="62" t="s">
        <v>918</v>
      </c>
      <c r="C2339" s="68" t="s">
        <v>1386</v>
      </c>
      <c r="D2339" s="68" t="s">
        <v>1479</v>
      </c>
      <c r="E2339" s="8" t="s">
        <v>367</v>
      </c>
      <c r="F2339" s="8"/>
      <c r="G2339" s="13" t="s">
        <v>139</v>
      </c>
      <c r="H2339" s="14">
        <f t="shared" si="1038"/>
        <v>745.18700000000001</v>
      </c>
      <c r="I2339" s="14">
        <f t="shared" si="1038"/>
        <v>745.18636000000004</v>
      </c>
      <c r="J2339" s="14">
        <f t="shared" si="1038"/>
        <v>0</v>
      </c>
      <c r="K2339" s="78">
        <f t="shared" si="1029"/>
        <v>0</v>
      </c>
      <c r="L2339" s="14">
        <f t="shared" si="1038"/>
        <v>0</v>
      </c>
      <c r="M2339" s="50"/>
      <c r="N2339" s="50"/>
    </row>
    <row r="2340" spans="1:14" ht="31.2" x14ac:dyDescent="0.3">
      <c r="A2340" s="8" t="s">
        <v>1427</v>
      </c>
      <c r="B2340" s="62" t="s">
        <v>918</v>
      </c>
      <c r="C2340" s="68" t="s">
        <v>1386</v>
      </c>
      <c r="D2340" s="68" t="s">
        <v>1479</v>
      </c>
      <c r="E2340" s="8" t="s">
        <v>367</v>
      </c>
      <c r="F2340" s="45" t="s">
        <v>380</v>
      </c>
      <c r="G2340" s="23" t="s">
        <v>809</v>
      </c>
      <c r="H2340" s="14">
        <f t="shared" si="1038"/>
        <v>745.18700000000001</v>
      </c>
      <c r="I2340" s="14">
        <f t="shared" si="1038"/>
        <v>745.18636000000004</v>
      </c>
      <c r="J2340" s="14">
        <f t="shared" si="1038"/>
        <v>0</v>
      </c>
      <c r="K2340" s="78">
        <f t="shared" si="1029"/>
        <v>0</v>
      </c>
      <c r="L2340" s="14">
        <f t="shared" si="1038"/>
        <v>0</v>
      </c>
      <c r="M2340" s="50"/>
      <c r="N2340" s="50"/>
    </row>
    <row r="2341" spans="1:14" ht="31.2" x14ac:dyDescent="0.3">
      <c r="A2341" s="8" t="s">
        <v>1427</v>
      </c>
      <c r="B2341" s="62" t="s">
        <v>918</v>
      </c>
      <c r="C2341" s="68" t="s">
        <v>1386</v>
      </c>
      <c r="D2341" s="68" t="s">
        <v>1479</v>
      </c>
      <c r="E2341" s="8" t="s">
        <v>367</v>
      </c>
      <c r="F2341" s="8" t="s">
        <v>247</v>
      </c>
      <c r="G2341" s="23" t="s">
        <v>810</v>
      </c>
      <c r="H2341" s="14">
        <f>1875.029-879.972-249.87</f>
        <v>745.18700000000001</v>
      </c>
      <c r="I2341" s="14">
        <v>745.18636000000004</v>
      </c>
      <c r="J2341" s="14">
        <v>0</v>
      </c>
      <c r="K2341" s="78">
        <f t="shared" si="1029"/>
        <v>0</v>
      </c>
      <c r="L2341" s="14"/>
      <c r="M2341" s="50"/>
      <c r="N2341" s="50"/>
    </row>
    <row r="2342" spans="1:14" ht="46.8" x14ac:dyDescent="0.3">
      <c r="A2342" s="8" t="s">
        <v>1427</v>
      </c>
      <c r="B2342" s="62" t="s">
        <v>918</v>
      </c>
      <c r="C2342" s="68" t="s">
        <v>1386</v>
      </c>
      <c r="D2342" s="68" t="s">
        <v>1479</v>
      </c>
      <c r="E2342" s="8" t="s">
        <v>493</v>
      </c>
      <c r="F2342" s="8"/>
      <c r="G2342" s="13" t="s">
        <v>1160</v>
      </c>
      <c r="H2342" s="14">
        <f>H2343</f>
        <v>0</v>
      </c>
      <c r="I2342" s="14">
        <f t="shared" ref="I2342:J2345" si="1039">I2343</f>
        <v>250.5</v>
      </c>
      <c r="J2342" s="14">
        <f t="shared" si="1039"/>
        <v>250.5</v>
      </c>
      <c r="K2342" s="78">
        <f t="shared" si="1029"/>
        <v>100</v>
      </c>
      <c r="L2342" s="14"/>
      <c r="M2342" s="50"/>
      <c r="N2342" s="50"/>
    </row>
    <row r="2343" spans="1:14" ht="31.2" x14ac:dyDescent="0.3">
      <c r="A2343" s="8" t="s">
        <v>1427</v>
      </c>
      <c r="B2343" s="62" t="s">
        <v>918</v>
      </c>
      <c r="C2343" s="68" t="s">
        <v>1386</v>
      </c>
      <c r="D2343" s="68" t="s">
        <v>1479</v>
      </c>
      <c r="E2343" s="8" t="s">
        <v>494</v>
      </c>
      <c r="F2343" s="8"/>
      <c r="G2343" s="13" t="s">
        <v>1161</v>
      </c>
      <c r="H2343" s="14">
        <f>H2344</f>
        <v>0</v>
      </c>
      <c r="I2343" s="14">
        <f t="shared" si="1039"/>
        <v>250.5</v>
      </c>
      <c r="J2343" s="14">
        <f t="shared" si="1039"/>
        <v>250.5</v>
      </c>
      <c r="K2343" s="78">
        <f t="shared" si="1029"/>
        <v>100</v>
      </c>
      <c r="L2343" s="14"/>
      <c r="M2343" s="50"/>
      <c r="N2343" s="50"/>
    </row>
    <row r="2344" spans="1:14" ht="31.2" x14ac:dyDescent="0.3">
      <c r="A2344" s="8" t="s">
        <v>1427</v>
      </c>
      <c r="B2344" s="62" t="s">
        <v>918</v>
      </c>
      <c r="C2344" s="68" t="s">
        <v>1386</v>
      </c>
      <c r="D2344" s="68" t="s">
        <v>1479</v>
      </c>
      <c r="E2344" s="8" t="s">
        <v>495</v>
      </c>
      <c r="F2344" s="8"/>
      <c r="G2344" s="13" t="s">
        <v>687</v>
      </c>
      <c r="H2344" s="14">
        <f>H2345</f>
        <v>0</v>
      </c>
      <c r="I2344" s="14">
        <f t="shared" si="1039"/>
        <v>250.5</v>
      </c>
      <c r="J2344" s="14">
        <f t="shared" si="1039"/>
        <v>250.5</v>
      </c>
      <c r="K2344" s="78">
        <f t="shared" si="1029"/>
        <v>100</v>
      </c>
      <c r="L2344" s="14"/>
      <c r="M2344" s="50"/>
      <c r="N2344" s="50"/>
    </row>
    <row r="2345" spans="1:14" x14ac:dyDescent="0.3">
      <c r="A2345" s="8" t="s">
        <v>1427</v>
      </c>
      <c r="B2345" s="62" t="s">
        <v>918</v>
      </c>
      <c r="C2345" s="68" t="s">
        <v>1386</v>
      </c>
      <c r="D2345" s="68" t="s">
        <v>1479</v>
      </c>
      <c r="E2345" s="8" t="s">
        <v>495</v>
      </c>
      <c r="F2345" s="45" t="s">
        <v>464</v>
      </c>
      <c r="G2345" s="23" t="s">
        <v>822</v>
      </c>
      <c r="H2345" s="14">
        <f>H2346</f>
        <v>0</v>
      </c>
      <c r="I2345" s="14">
        <f t="shared" si="1039"/>
        <v>250.5</v>
      </c>
      <c r="J2345" s="14">
        <f t="shared" si="1039"/>
        <v>250.5</v>
      </c>
      <c r="K2345" s="78">
        <f t="shared" si="1029"/>
        <v>100</v>
      </c>
      <c r="L2345" s="14"/>
      <c r="M2345" s="50"/>
      <c r="N2345" s="50"/>
    </row>
    <row r="2346" spans="1:14" x14ac:dyDescent="0.3">
      <c r="A2346" s="8" t="s">
        <v>1427</v>
      </c>
      <c r="B2346" s="62" t="s">
        <v>918</v>
      </c>
      <c r="C2346" s="68" t="s">
        <v>1386</v>
      </c>
      <c r="D2346" s="68" t="s">
        <v>1479</v>
      </c>
      <c r="E2346" s="8" t="s">
        <v>495</v>
      </c>
      <c r="F2346" s="45" t="s">
        <v>728</v>
      </c>
      <c r="G2346" s="23" t="s">
        <v>823</v>
      </c>
      <c r="H2346" s="20">
        <v>0</v>
      </c>
      <c r="I2346" s="14">
        <v>250.5</v>
      </c>
      <c r="J2346" s="14">
        <v>250.5</v>
      </c>
      <c r="K2346" s="78">
        <f t="shared" si="1029"/>
        <v>100</v>
      </c>
      <c r="L2346" s="14"/>
      <c r="M2346" s="50"/>
      <c r="N2346" s="50"/>
    </row>
    <row r="2347" spans="1:14" s="3" customFormat="1" x14ac:dyDescent="0.3">
      <c r="A2347" s="10" t="s">
        <v>1427</v>
      </c>
      <c r="B2347" s="43" t="s">
        <v>1392</v>
      </c>
      <c r="C2347" s="43" t="s">
        <v>1392</v>
      </c>
      <c r="D2347" s="43" t="s">
        <v>915</v>
      </c>
      <c r="E2347" s="10"/>
      <c r="F2347" s="10"/>
      <c r="G2347" s="5" t="s">
        <v>1416</v>
      </c>
      <c r="H2347" s="15">
        <f t="shared" ref="H2347:L2347" si="1040">H2360+H2396+H2348</f>
        <v>22412.042000000001</v>
      </c>
      <c r="I2347" s="15">
        <f t="shared" si="1040"/>
        <v>57155.49914</v>
      </c>
      <c r="J2347" s="15">
        <f t="shared" si="1040"/>
        <v>55431.49005</v>
      </c>
      <c r="K2347" s="81">
        <f t="shared" si="1029"/>
        <v>96.983651414228561</v>
      </c>
      <c r="L2347" s="15">
        <f t="shared" si="1040"/>
        <v>0</v>
      </c>
      <c r="M2347" s="65"/>
      <c r="N2347" s="65"/>
    </row>
    <row r="2348" spans="1:14" s="9" customFormat="1" x14ac:dyDescent="0.3">
      <c r="A2348" s="11" t="s">
        <v>1427</v>
      </c>
      <c r="B2348" s="48" t="s">
        <v>938</v>
      </c>
      <c r="C2348" s="48" t="s">
        <v>1392</v>
      </c>
      <c r="D2348" s="48" t="s">
        <v>1478</v>
      </c>
      <c r="E2348" s="11"/>
      <c r="F2348" s="11"/>
      <c r="G2348" s="7" t="s">
        <v>1451</v>
      </c>
      <c r="H2348" s="16">
        <f>H2349+H2355</f>
        <v>231.01900000000001</v>
      </c>
      <c r="I2348" s="16">
        <f t="shared" ref="I2348:L2348" si="1041">I2349+I2355</f>
        <v>265.41899999999998</v>
      </c>
      <c r="J2348" s="16">
        <f t="shared" si="1041"/>
        <v>228.90563</v>
      </c>
      <c r="K2348" s="82">
        <f t="shared" si="1029"/>
        <v>86.243121253565121</v>
      </c>
      <c r="L2348" s="16">
        <f t="shared" si="1041"/>
        <v>0</v>
      </c>
      <c r="M2348" s="65"/>
      <c r="N2348" s="65"/>
    </row>
    <row r="2349" spans="1:14" ht="31.2" x14ac:dyDescent="0.3">
      <c r="A2349" s="8" t="s">
        <v>1427</v>
      </c>
      <c r="B2349" s="62" t="s">
        <v>938</v>
      </c>
      <c r="C2349" s="68" t="s">
        <v>1392</v>
      </c>
      <c r="D2349" s="68" t="s">
        <v>1478</v>
      </c>
      <c r="E2349" s="8" t="s">
        <v>368</v>
      </c>
      <c r="F2349" s="8"/>
      <c r="G2349" s="13" t="s">
        <v>1079</v>
      </c>
      <c r="H2349" s="14">
        <f t="shared" ref="H2349:L2353" si="1042">H2350</f>
        <v>231.01900000000001</v>
      </c>
      <c r="I2349" s="14">
        <f t="shared" si="1042"/>
        <v>231.01900000000001</v>
      </c>
      <c r="J2349" s="14">
        <f t="shared" si="1042"/>
        <v>194.50563</v>
      </c>
      <c r="K2349" s="78">
        <f t="shared" si="1029"/>
        <v>84.194646327791219</v>
      </c>
      <c r="L2349" s="14">
        <f t="shared" si="1042"/>
        <v>0</v>
      </c>
      <c r="M2349" s="50"/>
      <c r="N2349" s="50"/>
    </row>
    <row r="2350" spans="1:14" ht="31.2" x14ac:dyDescent="0.3">
      <c r="A2350" s="8" t="s">
        <v>1427</v>
      </c>
      <c r="B2350" s="62" t="s">
        <v>938</v>
      </c>
      <c r="C2350" s="68" t="s">
        <v>1392</v>
      </c>
      <c r="D2350" s="68" t="s">
        <v>1478</v>
      </c>
      <c r="E2350" s="8" t="s">
        <v>515</v>
      </c>
      <c r="F2350" s="8"/>
      <c r="G2350" s="23" t="s">
        <v>1091</v>
      </c>
      <c r="H2350" s="14">
        <f t="shared" si="1042"/>
        <v>231.01900000000001</v>
      </c>
      <c r="I2350" s="14">
        <f t="shared" si="1042"/>
        <v>231.01900000000001</v>
      </c>
      <c r="J2350" s="14">
        <f t="shared" si="1042"/>
        <v>194.50563</v>
      </c>
      <c r="K2350" s="78">
        <f t="shared" si="1029"/>
        <v>84.194646327791219</v>
      </c>
      <c r="L2350" s="14">
        <f t="shared" si="1042"/>
        <v>0</v>
      </c>
      <c r="M2350" s="50"/>
      <c r="N2350" s="50"/>
    </row>
    <row r="2351" spans="1:14" ht="62.4" x14ac:dyDescent="0.3">
      <c r="A2351" s="8" t="s">
        <v>1427</v>
      </c>
      <c r="B2351" s="62" t="s">
        <v>938</v>
      </c>
      <c r="C2351" s="68" t="s">
        <v>1392</v>
      </c>
      <c r="D2351" s="68" t="s">
        <v>1478</v>
      </c>
      <c r="E2351" s="8" t="s">
        <v>516</v>
      </c>
      <c r="F2351" s="8"/>
      <c r="G2351" s="23" t="s">
        <v>1169</v>
      </c>
      <c r="H2351" s="14">
        <f t="shared" si="1042"/>
        <v>231.01900000000001</v>
      </c>
      <c r="I2351" s="14">
        <f t="shared" si="1042"/>
        <v>231.01900000000001</v>
      </c>
      <c r="J2351" s="14">
        <f t="shared" si="1042"/>
        <v>194.50563</v>
      </c>
      <c r="K2351" s="78">
        <f t="shared" si="1029"/>
        <v>84.194646327791219</v>
      </c>
      <c r="L2351" s="14">
        <f t="shared" si="1042"/>
        <v>0</v>
      </c>
      <c r="M2351" s="50"/>
      <c r="N2351" s="50"/>
    </row>
    <row r="2352" spans="1:14" ht="31.2" x14ac:dyDescent="0.3">
      <c r="A2352" s="8" t="s">
        <v>1427</v>
      </c>
      <c r="B2352" s="62" t="s">
        <v>938</v>
      </c>
      <c r="C2352" s="68" t="s">
        <v>1392</v>
      </c>
      <c r="D2352" s="68" t="s">
        <v>1478</v>
      </c>
      <c r="E2352" s="8" t="s">
        <v>1245</v>
      </c>
      <c r="F2352" s="8"/>
      <c r="G2352" s="18" t="s">
        <v>1248</v>
      </c>
      <c r="H2352" s="14">
        <f t="shared" si="1042"/>
        <v>231.01900000000001</v>
      </c>
      <c r="I2352" s="14">
        <f t="shared" si="1042"/>
        <v>231.01900000000001</v>
      </c>
      <c r="J2352" s="14">
        <f t="shared" si="1042"/>
        <v>194.50563</v>
      </c>
      <c r="K2352" s="78">
        <f t="shared" si="1029"/>
        <v>84.194646327791219</v>
      </c>
      <c r="L2352" s="14">
        <f t="shared" si="1042"/>
        <v>0</v>
      </c>
      <c r="M2352" s="50"/>
      <c r="N2352" s="50"/>
    </row>
    <row r="2353" spans="1:14" ht="31.2" x14ac:dyDescent="0.3">
      <c r="A2353" s="8" t="s">
        <v>1427</v>
      </c>
      <c r="B2353" s="62" t="s">
        <v>938</v>
      </c>
      <c r="C2353" s="68" t="s">
        <v>1392</v>
      </c>
      <c r="D2353" s="68" t="s">
        <v>1478</v>
      </c>
      <c r="E2353" s="8" t="s">
        <v>1245</v>
      </c>
      <c r="F2353" s="45" t="s">
        <v>380</v>
      </c>
      <c r="G2353" s="23" t="s">
        <v>809</v>
      </c>
      <c r="H2353" s="14">
        <f t="shared" si="1042"/>
        <v>231.01900000000001</v>
      </c>
      <c r="I2353" s="14">
        <f t="shared" si="1042"/>
        <v>231.01900000000001</v>
      </c>
      <c r="J2353" s="14">
        <f t="shared" si="1042"/>
        <v>194.50563</v>
      </c>
      <c r="K2353" s="78">
        <f t="shared" si="1029"/>
        <v>84.194646327791219</v>
      </c>
      <c r="L2353" s="14">
        <f t="shared" si="1042"/>
        <v>0</v>
      </c>
      <c r="M2353" s="50"/>
      <c r="N2353" s="50"/>
    </row>
    <row r="2354" spans="1:14" ht="31.2" x14ac:dyDescent="0.3">
      <c r="A2354" s="8" t="s">
        <v>1427</v>
      </c>
      <c r="B2354" s="62" t="s">
        <v>938</v>
      </c>
      <c r="C2354" s="68" t="s">
        <v>1392</v>
      </c>
      <c r="D2354" s="68" t="s">
        <v>1478</v>
      </c>
      <c r="E2354" s="8" t="s">
        <v>1245</v>
      </c>
      <c r="F2354" s="8" t="s">
        <v>247</v>
      </c>
      <c r="G2354" s="23" t="s">
        <v>810</v>
      </c>
      <c r="H2354" s="14">
        <f>759.7-198.805-329.876</f>
        <v>231.01900000000001</v>
      </c>
      <c r="I2354" s="14">
        <v>231.01900000000001</v>
      </c>
      <c r="J2354" s="14">
        <v>194.50563</v>
      </c>
      <c r="K2354" s="78">
        <f t="shared" si="1029"/>
        <v>84.194646327791219</v>
      </c>
      <c r="L2354" s="14"/>
      <c r="M2354" s="50"/>
      <c r="N2354" s="50"/>
    </row>
    <row r="2355" spans="1:14" ht="46.8" x14ac:dyDescent="0.3">
      <c r="A2355" s="8" t="s">
        <v>1427</v>
      </c>
      <c r="B2355" s="62" t="s">
        <v>938</v>
      </c>
      <c r="C2355" s="83" t="s">
        <v>1392</v>
      </c>
      <c r="D2355" s="83" t="s">
        <v>1478</v>
      </c>
      <c r="E2355" s="45" t="s">
        <v>493</v>
      </c>
      <c r="F2355" s="45"/>
      <c r="G2355" s="23" t="s">
        <v>1160</v>
      </c>
      <c r="H2355" s="14">
        <f>H2356</f>
        <v>0</v>
      </c>
      <c r="I2355" s="14">
        <f t="shared" ref="I2355:L2358" si="1043">I2356</f>
        <v>34.4</v>
      </c>
      <c r="J2355" s="14">
        <f t="shared" si="1043"/>
        <v>34.4</v>
      </c>
      <c r="K2355" s="78">
        <f t="shared" si="1029"/>
        <v>100</v>
      </c>
      <c r="L2355" s="14">
        <f t="shared" si="1043"/>
        <v>0</v>
      </c>
      <c r="M2355" s="50"/>
      <c r="N2355" s="50"/>
    </row>
    <row r="2356" spans="1:14" x14ac:dyDescent="0.3">
      <c r="A2356" s="8" t="s">
        <v>1427</v>
      </c>
      <c r="B2356" s="62" t="s">
        <v>938</v>
      </c>
      <c r="C2356" s="83" t="s">
        <v>1392</v>
      </c>
      <c r="D2356" s="83" t="s">
        <v>1478</v>
      </c>
      <c r="E2356" s="45" t="s">
        <v>533</v>
      </c>
      <c r="F2356" s="45"/>
      <c r="G2356" s="23" t="s">
        <v>1162</v>
      </c>
      <c r="H2356" s="14">
        <f>H2357</f>
        <v>0</v>
      </c>
      <c r="I2356" s="14">
        <f t="shared" si="1043"/>
        <v>34.4</v>
      </c>
      <c r="J2356" s="14">
        <f t="shared" si="1043"/>
        <v>34.4</v>
      </c>
      <c r="K2356" s="78">
        <f t="shared" si="1029"/>
        <v>100</v>
      </c>
      <c r="L2356" s="14">
        <f t="shared" si="1043"/>
        <v>0</v>
      </c>
      <c r="M2356" s="50"/>
      <c r="N2356" s="50"/>
    </row>
    <row r="2357" spans="1:14" x14ac:dyDescent="0.3">
      <c r="A2357" s="8" t="s">
        <v>1427</v>
      </c>
      <c r="B2357" s="62" t="s">
        <v>938</v>
      </c>
      <c r="C2357" s="83" t="s">
        <v>1392</v>
      </c>
      <c r="D2357" s="83" t="s">
        <v>1478</v>
      </c>
      <c r="E2357" s="45" t="s">
        <v>534</v>
      </c>
      <c r="F2357" s="45"/>
      <c r="G2357" s="23" t="s">
        <v>1163</v>
      </c>
      <c r="H2357" s="14">
        <f>H2358</f>
        <v>0</v>
      </c>
      <c r="I2357" s="14">
        <f t="shared" si="1043"/>
        <v>34.4</v>
      </c>
      <c r="J2357" s="14">
        <f t="shared" si="1043"/>
        <v>34.4</v>
      </c>
      <c r="K2357" s="78">
        <f t="shared" si="1029"/>
        <v>100</v>
      </c>
      <c r="L2357" s="14">
        <f t="shared" si="1043"/>
        <v>0</v>
      </c>
      <c r="M2357" s="50"/>
      <c r="N2357" s="50"/>
    </row>
    <row r="2358" spans="1:14" ht="31.2" x14ac:dyDescent="0.3">
      <c r="A2358" s="8" t="s">
        <v>1427</v>
      </c>
      <c r="B2358" s="62" t="s">
        <v>938</v>
      </c>
      <c r="C2358" s="83" t="s">
        <v>1392</v>
      </c>
      <c r="D2358" s="83" t="s">
        <v>1478</v>
      </c>
      <c r="E2358" s="45" t="s">
        <v>534</v>
      </c>
      <c r="F2358" s="45" t="s">
        <v>380</v>
      </c>
      <c r="G2358" s="23" t="s">
        <v>809</v>
      </c>
      <c r="H2358" s="14">
        <f>H2359</f>
        <v>0</v>
      </c>
      <c r="I2358" s="14">
        <f t="shared" si="1043"/>
        <v>34.4</v>
      </c>
      <c r="J2358" s="14">
        <f t="shared" si="1043"/>
        <v>34.4</v>
      </c>
      <c r="K2358" s="78">
        <f t="shared" si="1029"/>
        <v>100</v>
      </c>
      <c r="L2358" s="14">
        <f t="shared" si="1043"/>
        <v>0</v>
      </c>
      <c r="M2358" s="50"/>
      <c r="N2358" s="50"/>
    </row>
    <row r="2359" spans="1:14" ht="31.2" x14ac:dyDescent="0.3">
      <c r="A2359" s="8" t="s">
        <v>1427</v>
      </c>
      <c r="B2359" s="62" t="s">
        <v>938</v>
      </c>
      <c r="C2359" s="83" t="s">
        <v>1392</v>
      </c>
      <c r="D2359" s="83" t="s">
        <v>1478</v>
      </c>
      <c r="E2359" s="45" t="s">
        <v>534</v>
      </c>
      <c r="F2359" s="8" t="s">
        <v>247</v>
      </c>
      <c r="G2359" s="23" t="s">
        <v>810</v>
      </c>
      <c r="H2359" s="19">
        <v>0</v>
      </c>
      <c r="I2359" s="14">
        <v>34.4</v>
      </c>
      <c r="J2359" s="14">
        <v>34.4</v>
      </c>
      <c r="K2359" s="78">
        <f t="shared" si="1029"/>
        <v>100</v>
      </c>
      <c r="L2359" s="14"/>
      <c r="M2359" s="50"/>
      <c r="N2359" s="50"/>
    </row>
    <row r="2360" spans="1:14" s="9" customFormat="1" x14ac:dyDescent="0.3">
      <c r="A2360" s="11" t="s">
        <v>1427</v>
      </c>
      <c r="B2360" s="48" t="s">
        <v>939</v>
      </c>
      <c r="C2360" s="48" t="s">
        <v>1392</v>
      </c>
      <c r="D2360" s="48" t="s">
        <v>1391</v>
      </c>
      <c r="E2360" s="11"/>
      <c r="F2360" s="11"/>
      <c r="G2360" s="7" t="s">
        <v>1423</v>
      </c>
      <c r="H2360" s="16">
        <f>H2361+H2369+H2390+H2382</f>
        <v>10551.123000000001</v>
      </c>
      <c r="I2360" s="16">
        <f t="shared" ref="I2360:L2360" si="1044">I2361+I2369+I2390+I2382</f>
        <v>44155.04075</v>
      </c>
      <c r="J2360" s="16">
        <f t="shared" si="1044"/>
        <v>43489.324939999999</v>
      </c>
      <c r="K2360" s="82">
        <f t="shared" si="1029"/>
        <v>98.49232205725005</v>
      </c>
      <c r="L2360" s="16">
        <f t="shared" si="1044"/>
        <v>0</v>
      </c>
      <c r="M2360" s="65"/>
      <c r="N2360" s="65"/>
    </row>
    <row r="2361" spans="1:14" ht="62.4" x14ac:dyDescent="0.3">
      <c r="A2361" s="8" t="s">
        <v>1427</v>
      </c>
      <c r="B2361" s="62" t="s">
        <v>939</v>
      </c>
      <c r="C2361" s="68" t="s">
        <v>1392</v>
      </c>
      <c r="D2361" s="68" t="s">
        <v>1391</v>
      </c>
      <c r="E2361" s="8" t="s">
        <v>358</v>
      </c>
      <c r="F2361" s="8"/>
      <c r="G2361" s="13" t="s">
        <v>1040</v>
      </c>
      <c r="H2361" s="14">
        <f t="shared" ref="H2361:L2361" si="1045">H2362</f>
        <v>8040.7780000000012</v>
      </c>
      <c r="I2361" s="14">
        <f t="shared" si="1045"/>
        <v>8040.7780000000002</v>
      </c>
      <c r="J2361" s="14">
        <f t="shared" si="1045"/>
        <v>8037.6622799999996</v>
      </c>
      <c r="K2361" s="78">
        <f t="shared" si="1029"/>
        <v>99.961251013272587</v>
      </c>
      <c r="L2361" s="14">
        <f t="shared" si="1045"/>
        <v>0</v>
      </c>
      <c r="M2361" s="50"/>
      <c r="N2361" s="50"/>
    </row>
    <row r="2362" spans="1:14" ht="31.2" x14ac:dyDescent="0.3">
      <c r="A2362" s="8" t="s">
        <v>1427</v>
      </c>
      <c r="B2362" s="62" t="s">
        <v>939</v>
      </c>
      <c r="C2362" s="68" t="s">
        <v>1392</v>
      </c>
      <c r="D2362" s="68" t="s">
        <v>1391</v>
      </c>
      <c r="E2362" s="8" t="s">
        <v>359</v>
      </c>
      <c r="F2362" s="8"/>
      <c r="G2362" s="13" t="s">
        <v>1041</v>
      </c>
      <c r="H2362" s="14">
        <f>H2363+H2366</f>
        <v>8040.7780000000012</v>
      </c>
      <c r="I2362" s="14">
        <f>I2363+I2366</f>
        <v>8040.7780000000002</v>
      </c>
      <c r="J2362" s="14">
        <f t="shared" ref="J2362" si="1046">J2363+J2366</f>
        <v>8037.6622799999996</v>
      </c>
      <c r="K2362" s="78">
        <f t="shared" si="1029"/>
        <v>99.961251013272587</v>
      </c>
      <c r="L2362" s="14">
        <f>L2363+L2366</f>
        <v>0</v>
      </c>
      <c r="M2362" s="50"/>
      <c r="N2362" s="50"/>
    </row>
    <row r="2363" spans="1:14" ht="31.2" x14ac:dyDescent="0.3">
      <c r="A2363" s="8" t="s">
        <v>1427</v>
      </c>
      <c r="B2363" s="62" t="s">
        <v>939</v>
      </c>
      <c r="C2363" s="68" t="s">
        <v>1392</v>
      </c>
      <c r="D2363" s="68" t="s">
        <v>1391</v>
      </c>
      <c r="E2363" s="8" t="s">
        <v>370</v>
      </c>
      <c r="F2363" s="8"/>
      <c r="G2363" s="18" t="s">
        <v>125</v>
      </c>
      <c r="H2363" s="14">
        <f t="shared" ref="H2363:L2363" si="1047">H2364</f>
        <v>7399.0500000000011</v>
      </c>
      <c r="I2363" s="14">
        <f t="shared" si="1047"/>
        <v>7399.05</v>
      </c>
      <c r="J2363" s="14">
        <f t="shared" si="1047"/>
        <v>7395.9423299999999</v>
      </c>
      <c r="K2363" s="78">
        <f t="shared" si="1029"/>
        <v>99.957999067447844</v>
      </c>
      <c r="L2363" s="14">
        <f t="shared" si="1047"/>
        <v>0</v>
      </c>
      <c r="M2363" s="50"/>
      <c r="N2363" s="50"/>
    </row>
    <row r="2364" spans="1:14" ht="31.2" x14ac:dyDescent="0.3">
      <c r="A2364" s="8" t="s">
        <v>1427</v>
      </c>
      <c r="B2364" s="62" t="s">
        <v>939</v>
      </c>
      <c r="C2364" s="68" t="s">
        <v>1392</v>
      </c>
      <c r="D2364" s="68" t="s">
        <v>1391</v>
      </c>
      <c r="E2364" s="8" t="s">
        <v>370</v>
      </c>
      <c r="F2364" s="45" t="s">
        <v>380</v>
      </c>
      <c r="G2364" s="23" t="s">
        <v>809</v>
      </c>
      <c r="H2364" s="14">
        <f t="shared" ref="H2364:L2364" si="1048">H2365</f>
        <v>7399.0500000000011</v>
      </c>
      <c r="I2364" s="14">
        <f t="shared" si="1048"/>
        <v>7399.05</v>
      </c>
      <c r="J2364" s="14">
        <f t="shared" si="1048"/>
        <v>7395.9423299999999</v>
      </c>
      <c r="K2364" s="78">
        <f t="shared" si="1029"/>
        <v>99.957999067447844</v>
      </c>
      <c r="L2364" s="14">
        <f t="shared" si="1048"/>
        <v>0</v>
      </c>
      <c r="M2364" s="50"/>
      <c r="N2364" s="50"/>
    </row>
    <row r="2365" spans="1:14" ht="31.2" x14ac:dyDescent="0.3">
      <c r="A2365" s="8" t="s">
        <v>1427</v>
      </c>
      <c r="B2365" s="62" t="s">
        <v>939</v>
      </c>
      <c r="C2365" s="68" t="s">
        <v>1392</v>
      </c>
      <c r="D2365" s="68" t="s">
        <v>1391</v>
      </c>
      <c r="E2365" s="8" t="s">
        <v>370</v>
      </c>
      <c r="F2365" s="8" t="s">
        <v>247</v>
      </c>
      <c r="G2365" s="23" t="s">
        <v>810</v>
      </c>
      <c r="H2365" s="14">
        <f>7435.6+350.484-89.034-298</f>
        <v>7399.0500000000011</v>
      </c>
      <c r="I2365" s="14">
        <v>7399.05</v>
      </c>
      <c r="J2365" s="14">
        <v>7395.9423299999999</v>
      </c>
      <c r="K2365" s="78">
        <f t="shared" si="1029"/>
        <v>99.957999067447844</v>
      </c>
      <c r="L2365" s="14"/>
      <c r="M2365" s="50"/>
      <c r="N2365" s="50"/>
    </row>
    <row r="2366" spans="1:14" ht="31.2" x14ac:dyDescent="0.3">
      <c r="A2366" s="8" t="s">
        <v>1427</v>
      </c>
      <c r="B2366" s="62" t="s">
        <v>939</v>
      </c>
      <c r="C2366" s="68" t="s">
        <v>1392</v>
      </c>
      <c r="D2366" s="68" t="s">
        <v>1391</v>
      </c>
      <c r="E2366" s="8" t="s">
        <v>371</v>
      </c>
      <c r="F2366" s="8"/>
      <c r="G2366" s="18" t="s">
        <v>126</v>
      </c>
      <c r="H2366" s="14">
        <f t="shared" ref="H2366:L2367" si="1049">H2367</f>
        <v>641.72799999999995</v>
      </c>
      <c r="I2366" s="14">
        <f t="shared" si="1049"/>
        <v>641.72799999999995</v>
      </c>
      <c r="J2366" s="14">
        <f t="shared" si="1049"/>
        <v>641.71995000000004</v>
      </c>
      <c r="K2366" s="78">
        <f t="shared" si="1029"/>
        <v>99.998745574449003</v>
      </c>
      <c r="L2366" s="14">
        <f t="shared" si="1049"/>
        <v>0</v>
      </c>
      <c r="M2366" s="50"/>
      <c r="N2366" s="50"/>
    </row>
    <row r="2367" spans="1:14" ht="31.2" x14ac:dyDescent="0.3">
      <c r="A2367" s="8" t="s">
        <v>1427</v>
      </c>
      <c r="B2367" s="62" t="s">
        <v>939</v>
      </c>
      <c r="C2367" s="68" t="s">
        <v>1392</v>
      </c>
      <c r="D2367" s="68" t="s">
        <v>1391</v>
      </c>
      <c r="E2367" s="8" t="s">
        <v>371</v>
      </c>
      <c r="F2367" s="45" t="s">
        <v>380</v>
      </c>
      <c r="G2367" s="23" t="s">
        <v>809</v>
      </c>
      <c r="H2367" s="14">
        <f t="shared" si="1049"/>
        <v>641.72799999999995</v>
      </c>
      <c r="I2367" s="14">
        <f t="shared" si="1049"/>
        <v>641.72799999999995</v>
      </c>
      <c r="J2367" s="14">
        <f t="shared" si="1049"/>
        <v>641.71995000000004</v>
      </c>
      <c r="K2367" s="78">
        <f t="shared" si="1029"/>
        <v>99.998745574449003</v>
      </c>
      <c r="L2367" s="14">
        <f t="shared" si="1049"/>
        <v>0</v>
      </c>
      <c r="M2367" s="50"/>
      <c r="N2367" s="50"/>
    </row>
    <row r="2368" spans="1:14" ht="31.2" x14ac:dyDescent="0.3">
      <c r="A2368" s="8" t="s">
        <v>1427</v>
      </c>
      <c r="B2368" s="62" t="s">
        <v>939</v>
      </c>
      <c r="C2368" s="68" t="s">
        <v>1392</v>
      </c>
      <c r="D2368" s="68" t="s">
        <v>1391</v>
      </c>
      <c r="E2368" s="8" t="s">
        <v>371</v>
      </c>
      <c r="F2368" s="8" t="s">
        <v>247</v>
      </c>
      <c r="G2368" s="23" t="s">
        <v>810</v>
      </c>
      <c r="H2368" s="14">
        <f>651.5-9.772</f>
        <v>641.72799999999995</v>
      </c>
      <c r="I2368" s="14">
        <v>641.72799999999995</v>
      </c>
      <c r="J2368" s="14">
        <v>641.71995000000004</v>
      </c>
      <c r="K2368" s="78">
        <f t="shared" si="1029"/>
        <v>99.998745574449003</v>
      </c>
      <c r="L2368" s="14"/>
      <c r="M2368" s="50"/>
      <c r="N2368" s="50"/>
    </row>
    <row r="2369" spans="1:14" ht="31.2" x14ac:dyDescent="0.3">
      <c r="A2369" s="8" t="s">
        <v>1427</v>
      </c>
      <c r="B2369" s="62" t="s">
        <v>939</v>
      </c>
      <c r="C2369" s="68" t="s">
        <v>1392</v>
      </c>
      <c r="D2369" s="68" t="s">
        <v>1391</v>
      </c>
      <c r="E2369" s="8" t="s">
        <v>368</v>
      </c>
      <c r="F2369" s="8"/>
      <c r="G2369" s="13" t="s">
        <v>1079</v>
      </c>
      <c r="H2369" s="14">
        <f>H2370+H2375</f>
        <v>2297.701</v>
      </c>
      <c r="I2369" s="14">
        <f t="shared" ref="I2369:L2369" si="1050">I2370+I2375</f>
        <v>2665.018</v>
      </c>
      <c r="J2369" s="14">
        <f t="shared" si="1050"/>
        <v>2665.01764</v>
      </c>
      <c r="K2369" s="78">
        <f t="shared" si="1029"/>
        <v>99.999986491648457</v>
      </c>
      <c r="L2369" s="14">
        <f t="shared" si="1050"/>
        <v>0</v>
      </c>
      <c r="M2369" s="50"/>
      <c r="N2369" s="50"/>
    </row>
    <row r="2370" spans="1:14" ht="31.2" x14ac:dyDescent="0.3">
      <c r="A2370" s="8" t="s">
        <v>1427</v>
      </c>
      <c r="B2370" s="62" t="s">
        <v>939</v>
      </c>
      <c r="C2370" s="68" t="s">
        <v>1392</v>
      </c>
      <c r="D2370" s="68" t="s">
        <v>1391</v>
      </c>
      <c r="E2370" s="8" t="s">
        <v>372</v>
      </c>
      <c r="F2370" s="8"/>
      <c r="G2370" s="13" t="s">
        <v>193</v>
      </c>
      <c r="H2370" s="14">
        <f t="shared" ref="H2370:L2373" si="1051">H2371</f>
        <v>2297.701</v>
      </c>
      <c r="I2370" s="14">
        <f t="shared" si="1051"/>
        <v>2297.701</v>
      </c>
      <c r="J2370" s="14">
        <f t="shared" si="1051"/>
        <v>2297.70064</v>
      </c>
      <c r="K2370" s="78">
        <f t="shared" si="1029"/>
        <v>99.999984332165056</v>
      </c>
      <c r="L2370" s="14">
        <f t="shared" si="1051"/>
        <v>0</v>
      </c>
      <c r="M2370" s="50"/>
      <c r="N2370" s="50"/>
    </row>
    <row r="2371" spans="1:14" ht="46.8" x14ac:dyDescent="0.3">
      <c r="A2371" s="8" t="s">
        <v>1427</v>
      </c>
      <c r="B2371" s="62" t="s">
        <v>939</v>
      </c>
      <c r="C2371" s="68" t="s">
        <v>1392</v>
      </c>
      <c r="D2371" s="68" t="s">
        <v>1391</v>
      </c>
      <c r="E2371" s="8" t="s">
        <v>511</v>
      </c>
      <c r="F2371" s="8"/>
      <c r="G2371" s="18" t="s">
        <v>1192</v>
      </c>
      <c r="H2371" s="14">
        <f t="shared" si="1051"/>
        <v>2297.701</v>
      </c>
      <c r="I2371" s="14">
        <f t="shared" si="1051"/>
        <v>2297.701</v>
      </c>
      <c r="J2371" s="14">
        <f t="shared" si="1051"/>
        <v>2297.70064</v>
      </c>
      <c r="K2371" s="78">
        <f t="shared" si="1029"/>
        <v>99.999984332165056</v>
      </c>
      <c r="L2371" s="14">
        <f t="shared" si="1051"/>
        <v>0</v>
      </c>
      <c r="M2371" s="50"/>
      <c r="N2371" s="50"/>
    </row>
    <row r="2372" spans="1:14" ht="31.2" x14ac:dyDescent="0.3">
      <c r="A2372" s="8" t="s">
        <v>1427</v>
      </c>
      <c r="B2372" s="62" t="s">
        <v>939</v>
      </c>
      <c r="C2372" s="68" t="s">
        <v>1392</v>
      </c>
      <c r="D2372" s="68" t="s">
        <v>1391</v>
      </c>
      <c r="E2372" s="8" t="s">
        <v>70</v>
      </c>
      <c r="F2372" s="8"/>
      <c r="G2372" s="13" t="s">
        <v>164</v>
      </c>
      <c r="H2372" s="14">
        <f t="shared" si="1051"/>
        <v>2297.701</v>
      </c>
      <c r="I2372" s="14">
        <f t="shared" si="1051"/>
        <v>2297.701</v>
      </c>
      <c r="J2372" s="14">
        <f t="shared" si="1051"/>
        <v>2297.70064</v>
      </c>
      <c r="K2372" s="78">
        <f t="shared" si="1029"/>
        <v>99.999984332165056</v>
      </c>
      <c r="L2372" s="14">
        <f t="shared" si="1051"/>
        <v>0</v>
      </c>
      <c r="M2372" s="50"/>
      <c r="N2372" s="50"/>
    </row>
    <row r="2373" spans="1:14" ht="31.2" x14ac:dyDescent="0.3">
      <c r="A2373" s="8" t="s">
        <v>1427</v>
      </c>
      <c r="B2373" s="62" t="s">
        <v>939</v>
      </c>
      <c r="C2373" s="68" t="s">
        <v>1392</v>
      </c>
      <c r="D2373" s="68" t="s">
        <v>1391</v>
      </c>
      <c r="E2373" s="8" t="s">
        <v>70</v>
      </c>
      <c r="F2373" s="45" t="s">
        <v>380</v>
      </c>
      <c r="G2373" s="23" t="s">
        <v>809</v>
      </c>
      <c r="H2373" s="14">
        <f t="shared" si="1051"/>
        <v>2297.701</v>
      </c>
      <c r="I2373" s="14">
        <f t="shared" si="1051"/>
        <v>2297.701</v>
      </c>
      <c r="J2373" s="14">
        <f t="shared" si="1051"/>
        <v>2297.70064</v>
      </c>
      <c r="K2373" s="78">
        <f t="shared" si="1029"/>
        <v>99.999984332165056</v>
      </c>
      <c r="L2373" s="14">
        <f t="shared" si="1051"/>
        <v>0</v>
      </c>
      <c r="M2373" s="50"/>
      <c r="N2373" s="50"/>
    </row>
    <row r="2374" spans="1:14" ht="31.2" x14ac:dyDescent="0.3">
      <c r="A2374" s="8" t="s">
        <v>1427</v>
      </c>
      <c r="B2374" s="62" t="s">
        <v>939</v>
      </c>
      <c r="C2374" s="68" t="s">
        <v>1392</v>
      </c>
      <c r="D2374" s="68" t="s">
        <v>1391</v>
      </c>
      <c r="E2374" s="8" t="s">
        <v>70</v>
      </c>
      <c r="F2374" s="8" t="s">
        <v>247</v>
      </c>
      <c r="G2374" s="23" t="s">
        <v>810</v>
      </c>
      <c r="H2374" s="14">
        <f>2319.9-22.199</f>
        <v>2297.701</v>
      </c>
      <c r="I2374" s="14">
        <v>2297.701</v>
      </c>
      <c r="J2374" s="14">
        <v>2297.70064</v>
      </c>
      <c r="K2374" s="78">
        <f t="shared" si="1029"/>
        <v>99.999984332165056</v>
      </c>
      <c r="L2374" s="14"/>
      <c r="M2374" s="50"/>
      <c r="N2374" s="50"/>
    </row>
    <row r="2375" spans="1:14" ht="31.2" x14ac:dyDescent="0.3">
      <c r="A2375" s="8" t="s">
        <v>1427</v>
      </c>
      <c r="B2375" s="62" t="s">
        <v>939</v>
      </c>
      <c r="C2375" s="68" t="s">
        <v>1392</v>
      </c>
      <c r="D2375" s="68" t="s">
        <v>1391</v>
      </c>
      <c r="E2375" s="8" t="s">
        <v>369</v>
      </c>
      <c r="F2375" s="8"/>
      <c r="G2375" s="13" t="s">
        <v>1023</v>
      </c>
      <c r="H2375" s="14">
        <f>H2376</f>
        <v>0</v>
      </c>
      <c r="I2375" s="14">
        <f t="shared" ref="I2375:L2376" si="1052">I2376</f>
        <v>367.31700000000001</v>
      </c>
      <c r="J2375" s="14">
        <f t="shared" si="1052"/>
        <v>367.31700000000001</v>
      </c>
      <c r="K2375" s="78">
        <f t="shared" si="1029"/>
        <v>100</v>
      </c>
      <c r="L2375" s="14">
        <f t="shared" si="1052"/>
        <v>0</v>
      </c>
      <c r="M2375" s="50"/>
      <c r="N2375" s="50"/>
    </row>
    <row r="2376" spans="1:14" ht="46.8" x14ac:dyDescent="0.3">
      <c r="A2376" s="8" t="s">
        <v>1427</v>
      </c>
      <c r="B2376" s="62" t="s">
        <v>939</v>
      </c>
      <c r="C2376" s="68" t="s">
        <v>1392</v>
      </c>
      <c r="D2376" s="68" t="s">
        <v>1391</v>
      </c>
      <c r="E2376" s="8" t="s">
        <v>514</v>
      </c>
      <c r="F2376" s="8"/>
      <c r="G2376" s="13" t="s">
        <v>1024</v>
      </c>
      <c r="H2376" s="14">
        <f>H2377</f>
        <v>0</v>
      </c>
      <c r="I2376" s="14">
        <f t="shared" si="1052"/>
        <v>367.31700000000001</v>
      </c>
      <c r="J2376" s="14">
        <f t="shared" si="1052"/>
        <v>367.31700000000001</v>
      </c>
      <c r="K2376" s="78">
        <f t="shared" ref="K2376:K2439" si="1053">J2376/I2376*100</f>
        <v>100</v>
      </c>
      <c r="L2376" s="14">
        <f t="shared" si="1052"/>
        <v>0</v>
      </c>
      <c r="M2376" s="50"/>
      <c r="N2376" s="50"/>
    </row>
    <row r="2377" spans="1:14" ht="46.8" x14ac:dyDescent="0.3">
      <c r="A2377" s="8" t="s">
        <v>1427</v>
      </c>
      <c r="B2377" s="62" t="s">
        <v>939</v>
      </c>
      <c r="C2377" s="68" t="s">
        <v>1392</v>
      </c>
      <c r="D2377" s="68" t="s">
        <v>1391</v>
      </c>
      <c r="E2377" s="8" t="s">
        <v>69</v>
      </c>
      <c r="F2377" s="8"/>
      <c r="G2377" s="13" t="s">
        <v>1267</v>
      </c>
      <c r="H2377" s="14">
        <f>H2378+H2380</f>
        <v>0</v>
      </c>
      <c r="I2377" s="14">
        <f t="shared" ref="I2377:L2377" si="1054">I2378+I2380</f>
        <v>367.31700000000001</v>
      </c>
      <c r="J2377" s="14">
        <f t="shared" si="1054"/>
        <v>367.31700000000001</v>
      </c>
      <c r="K2377" s="78">
        <f t="shared" si="1053"/>
        <v>100</v>
      </c>
      <c r="L2377" s="14">
        <f t="shared" si="1054"/>
        <v>0</v>
      </c>
      <c r="M2377" s="50"/>
      <c r="N2377" s="50"/>
    </row>
    <row r="2378" spans="1:14" ht="31.2" x14ac:dyDescent="0.3">
      <c r="A2378" s="8" t="s">
        <v>1427</v>
      </c>
      <c r="B2378" s="62" t="s">
        <v>939</v>
      </c>
      <c r="C2378" s="68" t="s">
        <v>1392</v>
      </c>
      <c r="D2378" s="68" t="s">
        <v>1391</v>
      </c>
      <c r="E2378" s="8" t="s">
        <v>69</v>
      </c>
      <c r="F2378" s="8" t="s">
        <v>402</v>
      </c>
      <c r="G2378" s="23" t="s">
        <v>819</v>
      </c>
      <c r="H2378" s="14">
        <f>H2379</f>
        <v>0</v>
      </c>
      <c r="I2378" s="14">
        <f t="shared" ref="I2378:L2378" si="1055">I2379</f>
        <v>64.316999999999993</v>
      </c>
      <c r="J2378" s="14">
        <f t="shared" si="1055"/>
        <v>64.316999999999993</v>
      </c>
      <c r="K2378" s="78">
        <f t="shared" si="1053"/>
        <v>100</v>
      </c>
      <c r="L2378" s="14">
        <f t="shared" si="1055"/>
        <v>0</v>
      </c>
      <c r="M2378" s="50"/>
      <c r="N2378" s="50"/>
    </row>
    <row r="2379" spans="1:14" ht="46.8" x14ac:dyDescent="0.3">
      <c r="A2379" s="8" t="s">
        <v>1427</v>
      </c>
      <c r="B2379" s="62" t="s">
        <v>939</v>
      </c>
      <c r="C2379" s="68" t="s">
        <v>1392</v>
      </c>
      <c r="D2379" s="68" t="s">
        <v>1391</v>
      </c>
      <c r="E2379" s="8" t="s">
        <v>69</v>
      </c>
      <c r="F2379" s="8" t="s">
        <v>280</v>
      </c>
      <c r="G2379" s="23" t="s">
        <v>821</v>
      </c>
      <c r="H2379" s="19">
        <v>0</v>
      </c>
      <c r="I2379" s="14">
        <v>64.316999999999993</v>
      </c>
      <c r="J2379" s="20">
        <v>64.316999999999993</v>
      </c>
      <c r="K2379" s="77">
        <f t="shared" si="1053"/>
        <v>100</v>
      </c>
      <c r="L2379" s="14"/>
      <c r="M2379" s="50"/>
      <c r="N2379" s="50"/>
    </row>
    <row r="2380" spans="1:14" x14ac:dyDescent="0.3">
      <c r="A2380" s="8" t="s">
        <v>1427</v>
      </c>
      <c r="B2380" s="62" t="s">
        <v>939</v>
      </c>
      <c r="C2380" s="68" t="s">
        <v>1392</v>
      </c>
      <c r="D2380" s="68" t="s">
        <v>1391</v>
      </c>
      <c r="E2380" s="8" t="s">
        <v>69</v>
      </c>
      <c r="F2380" s="45" t="s">
        <v>464</v>
      </c>
      <c r="G2380" s="23" t="s">
        <v>822</v>
      </c>
      <c r="H2380" s="14">
        <f>H2381</f>
        <v>0</v>
      </c>
      <c r="I2380" s="14">
        <f t="shared" ref="I2380:L2380" si="1056">I2381</f>
        <v>303</v>
      </c>
      <c r="J2380" s="14">
        <f t="shared" si="1056"/>
        <v>303</v>
      </c>
      <c r="K2380" s="78">
        <f t="shared" si="1053"/>
        <v>100</v>
      </c>
      <c r="L2380" s="14">
        <f t="shared" si="1056"/>
        <v>0</v>
      </c>
      <c r="M2380" s="50"/>
      <c r="N2380" s="50"/>
    </row>
    <row r="2381" spans="1:14" ht="62.4" x14ac:dyDescent="0.3">
      <c r="A2381" s="8" t="s">
        <v>1427</v>
      </c>
      <c r="B2381" s="62" t="s">
        <v>939</v>
      </c>
      <c r="C2381" s="68" t="s">
        <v>1392</v>
      </c>
      <c r="D2381" s="68" t="s">
        <v>1391</v>
      </c>
      <c r="E2381" s="8" t="s">
        <v>69</v>
      </c>
      <c r="F2381" s="45" t="s">
        <v>727</v>
      </c>
      <c r="G2381" s="18" t="s">
        <v>830</v>
      </c>
      <c r="H2381" s="19">
        <v>0</v>
      </c>
      <c r="I2381" s="14">
        <v>303</v>
      </c>
      <c r="J2381" s="20">
        <v>303</v>
      </c>
      <c r="K2381" s="77">
        <f t="shared" si="1053"/>
        <v>100</v>
      </c>
      <c r="L2381" s="14"/>
      <c r="M2381" s="50"/>
      <c r="N2381" s="50"/>
    </row>
    <row r="2382" spans="1:14" ht="31.2" x14ac:dyDescent="0.3">
      <c r="A2382" s="8" t="s">
        <v>1427</v>
      </c>
      <c r="B2382" s="62" t="s">
        <v>939</v>
      </c>
      <c r="C2382" s="68" t="s">
        <v>1392</v>
      </c>
      <c r="D2382" s="68" t="s">
        <v>1391</v>
      </c>
      <c r="E2382" s="8" t="s">
        <v>1256</v>
      </c>
      <c r="F2382" s="8"/>
      <c r="G2382" s="23" t="s">
        <v>743</v>
      </c>
      <c r="H2382" s="19">
        <f>H2383</f>
        <v>0</v>
      </c>
      <c r="I2382" s="19">
        <f t="shared" ref="I2382:L2384" si="1057">I2383</f>
        <v>32723.367699999999</v>
      </c>
      <c r="J2382" s="19">
        <f t="shared" si="1057"/>
        <v>32637.27982</v>
      </c>
      <c r="K2382" s="75">
        <f t="shared" si="1053"/>
        <v>99.73692230949689</v>
      </c>
      <c r="L2382" s="19">
        <f t="shared" si="1057"/>
        <v>0</v>
      </c>
      <c r="M2382" s="50"/>
      <c r="N2382" s="50"/>
    </row>
    <row r="2383" spans="1:14" ht="46.8" x14ac:dyDescent="0.3">
      <c r="A2383" s="8" t="s">
        <v>1427</v>
      </c>
      <c r="B2383" s="62" t="s">
        <v>939</v>
      </c>
      <c r="C2383" s="68" t="s">
        <v>1392</v>
      </c>
      <c r="D2383" s="68" t="s">
        <v>1391</v>
      </c>
      <c r="E2383" s="8" t="s">
        <v>1260</v>
      </c>
      <c r="F2383" s="8"/>
      <c r="G2383" s="23" t="s">
        <v>744</v>
      </c>
      <c r="H2383" s="19">
        <f>H2384</f>
        <v>0</v>
      </c>
      <c r="I2383" s="19">
        <f t="shared" si="1057"/>
        <v>32723.367699999999</v>
      </c>
      <c r="J2383" s="19">
        <f t="shared" si="1057"/>
        <v>32637.27982</v>
      </c>
      <c r="K2383" s="75">
        <f t="shared" si="1053"/>
        <v>99.73692230949689</v>
      </c>
      <c r="L2383" s="19">
        <f t="shared" si="1057"/>
        <v>0</v>
      </c>
      <c r="M2383" s="50"/>
      <c r="N2383" s="50"/>
    </row>
    <row r="2384" spans="1:14" ht="31.2" x14ac:dyDescent="0.3">
      <c r="A2384" s="8" t="s">
        <v>1427</v>
      </c>
      <c r="B2384" s="62" t="s">
        <v>939</v>
      </c>
      <c r="C2384" s="68" t="s">
        <v>1392</v>
      </c>
      <c r="D2384" s="68" t="s">
        <v>1391</v>
      </c>
      <c r="E2384" s="8" t="s">
        <v>1261</v>
      </c>
      <c r="F2384" s="8"/>
      <c r="G2384" s="23" t="s">
        <v>745</v>
      </c>
      <c r="H2384" s="19">
        <f>H2385</f>
        <v>0</v>
      </c>
      <c r="I2384" s="19">
        <f t="shared" si="1057"/>
        <v>32723.367699999999</v>
      </c>
      <c r="J2384" s="19">
        <f t="shared" si="1057"/>
        <v>32637.27982</v>
      </c>
      <c r="K2384" s="75">
        <f t="shared" si="1053"/>
        <v>99.73692230949689</v>
      </c>
      <c r="L2384" s="19">
        <f t="shared" si="1057"/>
        <v>0</v>
      </c>
      <c r="M2384" s="50"/>
      <c r="N2384" s="50"/>
    </row>
    <row r="2385" spans="1:14" ht="31.2" x14ac:dyDescent="0.3">
      <c r="A2385" s="8" t="s">
        <v>1427</v>
      </c>
      <c r="B2385" s="62" t="s">
        <v>939</v>
      </c>
      <c r="C2385" s="68" t="s">
        <v>1392</v>
      </c>
      <c r="D2385" s="68" t="s">
        <v>1391</v>
      </c>
      <c r="E2385" s="8" t="s">
        <v>1262</v>
      </c>
      <c r="F2385" s="8"/>
      <c r="G2385" s="23" t="s">
        <v>691</v>
      </c>
      <c r="H2385" s="19">
        <f>H2386+H2388</f>
        <v>0</v>
      </c>
      <c r="I2385" s="19">
        <f t="shared" ref="I2385:L2385" si="1058">I2386+I2388</f>
        <v>32723.367699999999</v>
      </c>
      <c r="J2385" s="19">
        <f t="shared" si="1058"/>
        <v>32637.27982</v>
      </c>
      <c r="K2385" s="75">
        <f t="shared" si="1053"/>
        <v>99.73692230949689</v>
      </c>
      <c r="L2385" s="19">
        <f t="shared" si="1058"/>
        <v>0</v>
      </c>
      <c r="M2385" s="50"/>
      <c r="N2385" s="50"/>
    </row>
    <row r="2386" spans="1:14" ht="31.2" x14ac:dyDescent="0.3">
      <c r="A2386" s="8" t="s">
        <v>1427</v>
      </c>
      <c r="B2386" s="62" t="s">
        <v>939</v>
      </c>
      <c r="C2386" s="68" t="s">
        <v>1392</v>
      </c>
      <c r="D2386" s="68" t="s">
        <v>1391</v>
      </c>
      <c r="E2386" s="8" t="s">
        <v>1262</v>
      </c>
      <c r="F2386" s="45" t="s">
        <v>402</v>
      </c>
      <c r="G2386" s="23" t="s">
        <v>819</v>
      </c>
      <c r="H2386" s="19">
        <f>H2387</f>
        <v>0</v>
      </c>
      <c r="I2386" s="19">
        <f t="shared" ref="I2386:L2386" si="1059">I2387</f>
        <v>7181.4268499999998</v>
      </c>
      <c r="J2386" s="19">
        <f t="shared" si="1059"/>
        <v>7181.4268499999998</v>
      </c>
      <c r="K2386" s="75">
        <f t="shared" si="1053"/>
        <v>100</v>
      </c>
      <c r="L2386" s="19">
        <f t="shared" si="1059"/>
        <v>0</v>
      </c>
      <c r="M2386" s="50"/>
      <c r="N2386" s="50"/>
    </row>
    <row r="2387" spans="1:14" ht="46.8" x14ac:dyDescent="0.3">
      <c r="A2387" s="8" t="s">
        <v>1427</v>
      </c>
      <c r="B2387" s="62" t="s">
        <v>939</v>
      </c>
      <c r="C2387" s="68" t="s">
        <v>1392</v>
      </c>
      <c r="D2387" s="68" t="s">
        <v>1391</v>
      </c>
      <c r="E2387" s="8" t="s">
        <v>1262</v>
      </c>
      <c r="F2387" s="45" t="s">
        <v>280</v>
      </c>
      <c r="G2387" s="23" t="s">
        <v>821</v>
      </c>
      <c r="H2387" s="20">
        <v>0</v>
      </c>
      <c r="I2387" s="19">
        <v>7181.4268499999998</v>
      </c>
      <c r="J2387" s="19">
        <v>7181.4268499999998</v>
      </c>
      <c r="K2387" s="75">
        <f t="shared" si="1053"/>
        <v>100</v>
      </c>
      <c r="L2387" s="19"/>
      <c r="M2387" s="50"/>
      <c r="N2387" s="50"/>
    </row>
    <row r="2388" spans="1:14" x14ac:dyDescent="0.3">
      <c r="A2388" s="8" t="s">
        <v>1427</v>
      </c>
      <c r="B2388" s="62" t="s">
        <v>939</v>
      </c>
      <c r="C2388" s="68" t="s">
        <v>1392</v>
      </c>
      <c r="D2388" s="68" t="s">
        <v>1391</v>
      </c>
      <c r="E2388" s="8" t="s">
        <v>1262</v>
      </c>
      <c r="F2388" s="8" t="s">
        <v>464</v>
      </c>
      <c r="G2388" s="23" t="s">
        <v>822</v>
      </c>
      <c r="H2388" s="19">
        <f>H2389</f>
        <v>0</v>
      </c>
      <c r="I2388" s="19">
        <f t="shared" ref="I2388:L2388" si="1060">I2389</f>
        <v>25541.940849999999</v>
      </c>
      <c r="J2388" s="19">
        <f t="shared" si="1060"/>
        <v>25455.85297</v>
      </c>
      <c r="K2388" s="75">
        <f t="shared" si="1053"/>
        <v>99.662954822009937</v>
      </c>
      <c r="L2388" s="19">
        <f t="shared" si="1060"/>
        <v>0</v>
      </c>
      <c r="M2388" s="50"/>
      <c r="N2388" s="50"/>
    </row>
    <row r="2389" spans="1:14" ht="62.4" x14ac:dyDescent="0.3">
      <c r="A2389" s="8" t="s">
        <v>1427</v>
      </c>
      <c r="B2389" s="62" t="s">
        <v>939</v>
      </c>
      <c r="C2389" s="68" t="s">
        <v>1392</v>
      </c>
      <c r="D2389" s="68" t="s">
        <v>1391</v>
      </c>
      <c r="E2389" s="8" t="s">
        <v>1262</v>
      </c>
      <c r="F2389" s="8" t="s">
        <v>727</v>
      </c>
      <c r="G2389" s="23" t="s">
        <v>830</v>
      </c>
      <c r="H2389" s="20">
        <v>0</v>
      </c>
      <c r="I2389" s="14">
        <v>25541.940849999999</v>
      </c>
      <c r="J2389" s="20">
        <v>25455.85297</v>
      </c>
      <c r="K2389" s="77">
        <f t="shared" si="1053"/>
        <v>99.662954822009937</v>
      </c>
      <c r="L2389" s="14"/>
      <c r="M2389" s="50"/>
      <c r="N2389" s="50"/>
    </row>
    <row r="2390" spans="1:14" ht="31.2" x14ac:dyDescent="0.3">
      <c r="A2390" s="8" t="s">
        <v>1427</v>
      </c>
      <c r="B2390" s="62" t="s">
        <v>939</v>
      </c>
      <c r="C2390" s="68" t="s">
        <v>1392</v>
      </c>
      <c r="D2390" s="68" t="s">
        <v>1391</v>
      </c>
      <c r="E2390" s="8" t="s">
        <v>429</v>
      </c>
      <c r="F2390" s="8"/>
      <c r="G2390" s="23" t="s">
        <v>1140</v>
      </c>
      <c r="H2390" s="14">
        <f t="shared" ref="H2390:L2392" si="1061">H2391</f>
        <v>212.64400000000001</v>
      </c>
      <c r="I2390" s="14">
        <f t="shared" si="1061"/>
        <v>725.87705000000005</v>
      </c>
      <c r="J2390" s="14">
        <f t="shared" si="1061"/>
        <v>149.36519999999999</v>
      </c>
      <c r="K2390" s="78">
        <f t="shared" si="1053"/>
        <v>20.577203811582137</v>
      </c>
      <c r="L2390" s="14">
        <f t="shared" si="1061"/>
        <v>0</v>
      </c>
      <c r="M2390" s="50"/>
      <c r="N2390" s="50"/>
    </row>
    <row r="2391" spans="1:14" ht="46.8" x14ac:dyDescent="0.3">
      <c r="A2391" s="8" t="s">
        <v>1427</v>
      </c>
      <c r="B2391" s="62" t="s">
        <v>939</v>
      </c>
      <c r="C2391" s="68" t="s">
        <v>1392</v>
      </c>
      <c r="D2391" s="68" t="s">
        <v>1391</v>
      </c>
      <c r="E2391" s="8" t="s">
        <v>535</v>
      </c>
      <c r="F2391" s="8"/>
      <c r="G2391" s="31" t="s">
        <v>176</v>
      </c>
      <c r="H2391" s="14">
        <f t="shared" si="1061"/>
        <v>212.64400000000001</v>
      </c>
      <c r="I2391" s="14">
        <f>I2392+I2394</f>
        <v>725.87705000000005</v>
      </c>
      <c r="J2391" s="14">
        <f t="shared" ref="J2391:L2391" si="1062">J2392+J2394</f>
        <v>149.36519999999999</v>
      </c>
      <c r="K2391" s="78">
        <f t="shared" si="1053"/>
        <v>20.577203811582137</v>
      </c>
      <c r="L2391" s="14">
        <f t="shared" si="1062"/>
        <v>0</v>
      </c>
      <c r="M2391" s="50"/>
      <c r="N2391" s="50"/>
    </row>
    <row r="2392" spans="1:14" ht="31.2" x14ac:dyDescent="0.3">
      <c r="A2392" s="8" t="s">
        <v>1427</v>
      </c>
      <c r="B2392" s="62" t="s">
        <v>939</v>
      </c>
      <c r="C2392" s="68" t="s">
        <v>1392</v>
      </c>
      <c r="D2392" s="68" t="s">
        <v>1391</v>
      </c>
      <c r="E2392" s="8" t="s">
        <v>535</v>
      </c>
      <c r="F2392" s="45" t="s">
        <v>380</v>
      </c>
      <c r="G2392" s="23" t="s">
        <v>809</v>
      </c>
      <c r="H2392" s="14">
        <f t="shared" si="1061"/>
        <v>212.64400000000001</v>
      </c>
      <c r="I2392" s="14">
        <f t="shared" si="1061"/>
        <v>725.87705000000005</v>
      </c>
      <c r="J2392" s="14">
        <f t="shared" si="1061"/>
        <v>149.36519999999999</v>
      </c>
      <c r="K2392" s="78">
        <f t="shared" si="1053"/>
        <v>20.577203811582137</v>
      </c>
      <c r="L2392" s="14">
        <f t="shared" si="1061"/>
        <v>0</v>
      </c>
      <c r="M2392" s="50"/>
      <c r="N2392" s="50"/>
    </row>
    <row r="2393" spans="1:14" ht="31.2" x14ac:dyDescent="0.3">
      <c r="A2393" s="8" t="s">
        <v>1427</v>
      </c>
      <c r="B2393" s="62" t="s">
        <v>939</v>
      </c>
      <c r="C2393" s="68" t="s">
        <v>1392</v>
      </c>
      <c r="D2393" s="68" t="s">
        <v>1391</v>
      </c>
      <c r="E2393" s="8" t="s">
        <v>535</v>
      </c>
      <c r="F2393" s="8" t="s">
        <v>247</v>
      </c>
      <c r="G2393" s="23" t="s">
        <v>810</v>
      </c>
      <c r="H2393" s="14">
        <v>212.64400000000001</v>
      </c>
      <c r="I2393" s="14">
        <v>725.87705000000005</v>
      </c>
      <c r="J2393" s="14">
        <v>149.36519999999999</v>
      </c>
      <c r="K2393" s="78">
        <f t="shared" si="1053"/>
        <v>20.577203811582137</v>
      </c>
      <c r="L2393" s="14"/>
      <c r="M2393" s="50"/>
      <c r="N2393" s="50"/>
    </row>
    <row r="2394" spans="1:14" hidden="1" x14ac:dyDescent="0.3">
      <c r="A2394" s="8" t="s">
        <v>1427</v>
      </c>
      <c r="B2394" s="62" t="s">
        <v>939</v>
      </c>
      <c r="C2394" s="68" t="s">
        <v>1392</v>
      </c>
      <c r="D2394" s="68" t="s">
        <v>1391</v>
      </c>
      <c r="E2394" s="8" t="s">
        <v>535</v>
      </c>
      <c r="F2394" s="45" t="s">
        <v>464</v>
      </c>
      <c r="G2394" s="23" t="s">
        <v>822</v>
      </c>
      <c r="H2394" s="20">
        <v>0</v>
      </c>
      <c r="I2394" s="14">
        <f>I2395</f>
        <v>0</v>
      </c>
      <c r="J2394" s="14">
        <f t="shared" ref="J2394:L2394" si="1063">J2395</f>
        <v>0</v>
      </c>
      <c r="K2394" s="78" t="e">
        <f t="shared" si="1053"/>
        <v>#DIV/0!</v>
      </c>
      <c r="L2394" s="14">
        <f t="shared" si="1063"/>
        <v>0</v>
      </c>
      <c r="M2394" s="50">
        <v>111</v>
      </c>
      <c r="N2394" s="50"/>
    </row>
    <row r="2395" spans="1:14" ht="62.4" hidden="1" x14ac:dyDescent="0.3">
      <c r="A2395" s="8" t="s">
        <v>1427</v>
      </c>
      <c r="B2395" s="62" t="s">
        <v>939</v>
      </c>
      <c r="C2395" s="68" t="s">
        <v>1392</v>
      </c>
      <c r="D2395" s="68" t="s">
        <v>1391</v>
      </c>
      <c r="E2395" s="8" t="s">
        <v>535</v>
      </c>
      <c r="F2395" s="45" t="s">
        <v>727</v>
      </c>
      <c r="G2395" s="18" t="s">
        <v>830</v>
      </c>
      <c r="H2395" s="20">
        <v>0</v>
      </c>
      <c r="I2395" s="14">
        <v>0</v>
      </c>
      <c r="J2395" s="14">
        <v>0</v>
      </c>
      <c r="K2395" s="78" t="e">
        <f t="shared" si="1053"/>
        <v>#DIV/0!</v>
      </c>
      <c r="L2395" s="14"/>
      <c r="M2395" s="50">
        <v>111</v>
      </c>
      <c r="N2395" s="50"/>
    </row>
    <row r="2396" spans="1:14" s="9" customFormat="1" ht="31.2" x14ac:dyDescent="0.3">
      <c r="A2396" s="11" t="s">
        <v>1427</v>
      </c>
      <c r="B2396" s="48" t="s">
        <v>940</v>
      </c>
      <c r="C2396" s="48" t="s">
        <v>1392</v>
      </c>
      <c r="D2396" s="48" t="s">
        <v>1392</v>
      </c>
      <c r="E2396" s="11"/>
      <c r="F2396" s="11"/>
      <c r="G2396" s="7" t="s">
        <v>1424</v>
      </c>
      <c r="H2396" s="16">
        <f t="shared" ref="H2396:L2399" si="1064">H2397</f>
        <v>11629.9</v>
      </c>
      <c r="I2396" s="16">
        <f t="shared" si="1064"/>
        <v>12735.03939</v>
      </c>
      <c r="J2396" s="16">
        <f t="shared" si="1064"/>
        <v>11713.259480000001</v>
      </c>
      <c r="K2396" s="82">
        <f t="shared" si="1053"/>
        <v>91.976625444893898</v>
      </c>
      <c r="L2396" s="16">
        <f t="shared" si="1064"/>
        <v>0</v>
      </c>
      <c r="M2396" s="65"/>
      <c r="N2396" s="65"/>
    </row>
    <row r="2397" spans="1:14" ht="31.2" x14ac:dyDescent="0.3">
      <c r="A2397" s="8" t="s">
        <v>1427</v>
      </c>
      <c r="B2397" s="62" t="s">
        <v>940</v>
      </c>
      <c r="C2397" s="68" t="s">
        <v>1392</v>
      </c>
      <c r="D2397" s="68" t="s">
        <v>1392</v>
      </c>
      <c r="E2397" s="8" t="s">
        <v>355</v>
      </c>
      <c r="F2397" s="8"/>
      <c r="G2397" s="13" t="s">
        <v>893</v>
      </c>
      <c r="H2397" s="14">
        <f t="shared" si="1064"/>
        <v>11629.9</v>
      </c>
      <c r="I2397" s="14">
        <f t="shared" si="1064"/>
        <v>12735.03939</v>
      </c>
      <c r="J2397" s="14">
        <f t="shared" si="1064"/>
        <v>11713.259480000001</v>
      </c>
      <c r="K2397" s="78">
        <f t="shared" si="1053"/>
        <v>91.976625444893898</v>
      </c>
      <c r="L2397" s="14">
        <f t="shared" si="1064"/>
        <v>0</v>
      </c>
      <c r="M2397" s="50"/>
      <c r="N2397" s="50"/>
    </row>
    <row r="2398" spans="1:14" ht="31.2" x14ac:dyDescent="0.3">
      <c r="A2398" s="8" t="s">
        <v>1427</v>
      </c>
      <c r="B2398" s="62" t="s">
        <v>940</v>
      </c>
      <c r="C2398" s="68" t="s">
        <v>1392</v>
      </c>
      <c r="D2398" s="68" t="s">
        <v>1392</v>
      </c>
      <c r="E2398" s="8" t="s">
        <v>373</v>
      </c>
      <c r="F2398" s="8"/>
      <c r="G2398" s="13" t="s">
        <v>1038</v>
      </c>
      <c r="H2398" s="14">
        <f t="shared" si="1064"/>
        <v>11629.9</v>
      </c>
      <c r="I2398" s="14">
        <f t="shared" si="1064"/>
        <v>12735.03939</v>
      </c>
      <c r="J2398" s="14">
        <f t="shared" si="1064"/>
        <v>11713.259480000001</v>
      </c>
      <c r="K2398" s="78">
        <f t="shared" si="1053"/>
        <v>91.976625444893898</v>
      </c>
      <c r="L2398" s="14">
        <f t="shared" si="1064"/>
        <v>0</v>
      </c>
      <c r="M2398" s="50"/>
      <c r="N2398" s="50"/>
    </row>
    <row r="2399" spans="1:14" ht="31.2" x14ac:dyDescent="0.3">
      <c r="A2399" s="8" t="s">
        <v>1427</v>
      </c>
      <c r="B2399" s="62" t="s">
        <v>940</v>
      </c>
      <c r="C2399" s="68" t="s">
        <v>1392</v>
      </c>
      <c r="D2399" s="68" t="s">
        <v>1392</v>
      </c>
      <c r="E2399" s="8" t="s">
        <v>374</v>
      </c>
      <c r="F2399" s="8"/>
      <c r="G2399" s="13" t="s">
        <v>1039</v>
      </c>
      <c r="H2399" s="14">
        <f t="shared" si="1064"/>
        <v>11629.9</v>
      </c>
      <c r="I2399" s="14">
        <f t="shared" si="1064"/>
        <v>12735.03939</v>
      </c>
      <c r="J2399" s="14">
        <f t="shared" si="1064"/>
        <v>11713.259480000001</v>
      </c>
      <c r="K2399" s="78">
        <f t="shared" si="1053"/>
        <v>91.976625444893898</v>
      </c>
      <c r="L2399" s="14">
        <f t="shared" si="1064"/>
        <v>0</v>
      </c>
      <c r="M2399" s="50"/>
      <c r="N2399" s="50"/>
    </row>
    <row r="2400" spans="1:14" ht="62.4" x14ac:dyDescent="0.3">
      <c r="A2400" s="8" t="s">
        <v>1427</v>
      </c>
      <c r="B2400" s="62" t="s">
        <v>940</v>
      </c>
      <c r="C2400" s="68" t="s">
        <v>1392</v>
      </c>
      <c r="D2400" s="68" t="s">
        <v>1392</v>
      </c>
      <c r="E2400" s="8" t="s">
        <v>375</v>
      </c>
      <c r="F2400" s="8"/>
      <c r="G2400" s="23" t="s">
        <v>1291</v>
      </c>
      <c r="H2400" s="14">
        <f>H2401+H2403+H2405</f>
        <v>11629.9</v>
      </c>
      <c r="I2400" s="14">
        <f>I2401+I2403+I2405</f>
        <v>12735.03939</v>
      </c>
      <c r="J2400" s="14">
        <f t="shared" ref="J2400" si="1065">J2401+J2403+J2405</f>
        <v>11713.259480000001</v>
      </c>
      <c r="K2400" s="78">
        <f t="shared" si="1053"/>
        <v>91.976625444893898</v>
      </c>
      <c r="L2400" s="14">
        <f>L2401+L2403+L2405</f>
        <v>0</v>
      </c>
      <c r="M2400" s="50"/>
      <c r="N2400" s="50"/>
    </row>
    <row r="2401" spans="1:14" ht="78" x14ac:dyDescent="0.3">
      <c r="A2401" s="8" t="s">
        <v>1427</v>
      </c>
      <c r="B2401" s="62" t="s">
        <v>940</v>
      </c>
      <c r="C2401" s="68" t="s">
        <v>1392</v>
      </c>
      <c r="D2401" s="68" t="s">
        <v>1392</v>
      </c>
      <c r="E2401" s="8" t="s">
        <v>375</v>
      </c>
      <c r="F2401" s="45" t="s">
        <v>431</v>
      </c>
      <c r="G2401" s="23" t="s">
        <v>806</v>
      </c>
      <c r="H2401" s="14">
        <f t="shared" ref="H2401:L2401" si="1066">H2402</f>
        <v>8617.6</v>
      </c>
      <c r="I2401" s="14">
        <f t="shared" si="1066"/>
        <v>8893.7479999999996</v>
      </c>
      <c r="J2401" s="14">
        <f t="shared" si="1066"/>
        <v>8883.7986799999999</v>
      </c>
      <c r="K2401" s="78">
        <f t="shared" si="1053"/>
        <v>99.888131303023215</v>
      </c>
      <c r="L2401" s="14">
        <f t="shared" si="1066"/>
        <v>0</v>
      </c>
      <c r="M2401" s="50"/>
      <c r="N2401" s="50"/>
    </row>
    <row r="2402" spans="1:14" x14ac:dyDescent="0.3">
      <c r="A2402" s="8" t="s">
        <v>1427</v>
      </c>
      <c r="B2402" s="62" t="s">
        <v>940</v>
      </c>
      <c r="C2402" s="68" t="s">
        <v>1392</v>
      </c>
      <c r="D2402" s="68" t="s">
        <v>1392</v>
      </c>
      <c r="E2402" s="8" t="s">
        <v>375</v>
      </c>
      <c r="F2402" s="8" t="s">
        <v>719</v>
      </c>
      <c r="G2402" s="23" t="s">
        <v>807</v>
      </c>
      <c r="H2402" s="14">
        <v>8617.6</v>
      </c>
      <c r="I2402" s="14">
        <v>8893.7479999999996</v>
      </c>
      <c r="J2402" s="14">
        <v>8883.7986799999999</v>
      </c>
      <c r="K2402" s="78">
        <f t="shared" si="1053"/>
        <v>99.888131303023215</v>
      </c>
      <c r="L2402" s="14"/>
      <c r="M2402" s="50"/>
      <c r="N2402" s="50"/>
    </row>
    <row r="2403" spans="1:14" ht="31.2" x14ac:dyDescent="0.3">
      <c r="A2403" s="8" t="s">
        <v>1427</v>
      </c>
      <c r="B2403" s="62" t="s">
        <v>940</v>
      </c>
      <c r="C2403" s="68" t="s">
        <v>1392</v>
      </c>
      <c r="D2403" s="68" t="s">
        <v>1392</v>
      </c>
      <c r="E2403" s="8" t="s">
        <v>375</v>
      </c>
      <c r="F2403" s="45" t="s">
        <v>380</v>
      </c>
      <c r="G2403" s="23" t="s">
        <v>809</v>
      </c>
      <c r="H2403" s="14">
        <f t="shared" ref="H2403:L2403" si="1067">H2404</f>
        <v>3006.2</v>
      </c>
      <c r="I2403" s="14">
        <f t="shared" si="1067"/>
        <v>2730.2750000000001</v>
      </c>
      <c r="J2403" s="14">
        <f t="shared" si="1067"/>
        <v>2716.3957999999998</v>
      </c>
      <c r="K2403" s="78">
        <f t="shared" si="1053"/>
        <v>99.491655602457612</v>
      </c>
      <c r="L2403" s="14">
        <f t="shared" si="1067"/>
        <v>0</v>
      </c>
      <c r="M2403" s="50"/>
      <c r="N2403" s="50"/>
    </row>
    <row r="2404" spans="1:14" ht="31.2" x14ac:dyDescent="0.3">
      <c r="A2404" s="8" t="s">
        <v>1427</v>
      </c>
      <c r="B2404" s="62" t="s">
        <v>940</v>
      </c>
      <c r="C2404" s="68" t="s">
        <v>1392</v>
      </c>
      <c r="D2404" s="68" t="s">
        <v>1392</v>
      </c>
      <c r="E2404" s="8" t="s">
        <v>375</v>
      </c>
      <c r="F2404" s="8" t="s">
        <v>247</v>
      </c>
      <c r="G2404" s="23" t="s">
        <v>810</v>
      </c>
      <c r="H2404" s="14">
        <f>3062.5-21.3-3-32</f>
        <v>3006.2</v>
      </c>
      <c r="I2404" s="14">
        <v>2730.2750000000001</v>
      </c>
      <c r="J2404" s="14">
        <v>2716.3957999999998</v>
      </c>
      <c r="K2404" s="78">
        <f t="shared" si="1053"/>
        <v>99.491655602457612</v>
      </c>
      <c r="L2404" s="14"/>
      <c r="M2404" s="50"/>
      <c r="N2404" s="50"/>
    </row>
    <row r="2405" spans="1:14" x14ac:dyDescent="0.3">
      <c r="A2405" s="8" t="s">
        <v>1427</v>
      </c>
      <c r="B2405" s="62" t="s">
        <v>940</v>
      </c>
      <c r="C2405" s="68" t="s">
        <v>1392</v>
      </c>
      <c r="D2405" s="68" t="s">
        <v>1392</v>
      </c>
      <c r="E2405" s="8" t="s">
        <v>375</v>
      </c>
      <c r="F2405" s="45" t="s">
        <v>464</v>
      </c>
      <c r="G2405" s="23" t="s">
        <v>822</v>
      </c>
      <c r="H2405" s="14">
        <f>H2407</f>
        <v>6.1</v>
      </c>
      <c r="I2405" s="14">
        <f>I2407+I2406</f>
        <v>1111.01639</v>
      </c>
      <c r="J2405" s="14">
        <f t="shared" ref="J2405:L2405" si="1068">J2407+J2406</f>
        <v>113.065</v>
      </c>
      <c r="K2405" s="78">
        <f t="shared" si="1053"/>
        <v>10.176717554994845</v>
      </c>
      <c r="L2405" s="14">
        <f t="shared" si="1068"/>
        <v>0</v>
      </c>
      <c r="M2405" s="50"/>
      <c r="N2405" s="50"/>
    </row>
    <row r="2406" spans="1:14" x14ac:dyDescent="0.3">
      <c r="A2406" s="8" t="s">
        <v>1427</v>
      </c>
      <c r="B2406" s="62" t="s">
        <v>940</v>
      </c>
      <c r="C2406" s="68" t="s">
        <v>1392</v>
      </c>
      <c r="D2406" s="68" t="s">
        <v>1392</v>
      </c>
      <c r="E2406" s="8" t="s">
        <v>375</v>
      </c>
      <c r="F2406" s="45" t="s">
        <v>728</v>
      </c>
      <c r="G2406" s="23" t="s">
        <v>823</v>
      </c>
      <c r="H2406" s="19">
        <v>0</v>
      </c>
      <c r="I2406" s="14">
        <v>997.95138999999995</v>
      </c>
      <c r="J2406" s="20">
        <v>0</v>
      </c>
      <c r="K2406" s="77">
        <f t="shared" si="1053"/>
        <v>0</v>
      </c>
      <c r="L2406" s="14"/>
      <c r="M2406" s="50"/>
      <c r="N2406" s="50"/>
    </row>
    <row r="2407" spans="1:14" x14ac:dyDescent="0.3">
      <c r="A2407" s="8" t="s">
        <v>1427</v>
      </c>
      <c r="B2407" s="62" t="s">
        <v>940</v>
      </c>
      <c r="C2407" s="68" t="s">
        <v>1392</v>
      </c>
      <c r="D2407" s="68" t="s">
        <v>1392</v>
      </c>
      <c r="E2407" s="8" t="s">
        <v>375</v>
      </c>
      <c r="F2407" s="45" t="s">
        <v>729</v>
      </c>
      <c r="G2407" s="23" t="s">
        <v>824</v>
      </c>
      <c r="H2407" s="14">
        <v>6.1</v>
      </c>
      <c r="I2407" s="14">
        <v>113.065</v>
      </c>
      <c r="J2407" s="14">
        <v>113.065</v>
      </c>
      <c r="K2407" s="78">
        <f t="shared" si="1053"/>
        <v>100</v>
      </c>
      <c r="L2407" s="14"/>
      <c r="M2407" s="50"/>
      <c r="N2407" s="50"/>
    </row>
    <row r="2408" spans="1:14" s="3" customFormat="1" x14ac:dyDescent="0.3">
      <c r="A2408" s="10" t="s">
        <v>1427</v>
      </c>
      <c r="B2408" s="43" t="s">
        <v>1381</v>
      </c>
      <c r="C2408" s="43" t="s">
        <v>1381</v>
      </c>
      <c r="D2408" s="43" t="s">
        <v>915</v>
      </c>
      <c r="E2408" s="10"/>
      <c r="F2408" s="10"/>
      <c r="G2408" s="5" t="s">
        <v>1395</v>
      </c>
      <c r="H2408" s="15">
        <f t="shared" ref="H2408:L2411" si="1069">H2409</f>
        <v>896.21100000000001</v>
      </c>
      <c r="I2408" s="15">
        <f t="shared" si="1069"/>
        <v>896.21100000000001</v>
      </c>
      <c r="J2408" s="15">
        <f t="shared" si="1069"/>
        <v>896.20947999999999</v>
      </c>
      <c r="K2408" s="81">
        <f t="shared" si="1053"/>
        <v>99.999830397082818</v>
      </c>
      <c r="L2408" s="15">
        <f t="shared" si="1069"/>
        <v>0</v>
      </c>
      <c r="M2408" s="65"/>
      <c r="N2408" s="65"/>
    </row>
    <row r="2409" spans="1:14" s="9" customFormat="1" ht="31.2" x14ac:dyDescent="0.3">
      <c r="A2409" s="11" t="s">
        <v>1427</v>
      </c>
      <c r="B2409" s="48" t="s">
        <v>920</v>
      </c>
      <c r="C2409" s="48" t="s">
        <v>1381</v>
      </c>
      <c r="D2409" s="48" t="s">
        <v>1391</v>
      </c>
      <c r="E2409" s="11"/>
      <c r="F2409" s="11"/>
      <c r="G2409" s="7" t="s">
        <v>1396</v>
      </c>
      <c r="H2409" s="16">
        <f t="shared" si="1069"/>
        <v>896.21100000000001</v>
      </c>
      <c r="I2409" s="16">
        <f t="shared" si="1069"/>
        <v>896.21100000000001</v>
      </c>
      <c r="J2409" s="16">
        <f t="shared" si="1069"/>
        <v>896.20947999999999</v>
      </c>
      <c r="K2409" s="82">
        <f t="shared" si="1053"/>
        <v>99.999830397082818</v>
      </c>
      <c r="L2409" s="16">
        <f t="shared" si="1069"/>
        <v>0</v>
      </c>
      <c r="M2409" s="65"/>
      <c r="N2409" s="65"/>
    </row>
    <row r="2410" spans="1:14" ht="31.2" x14ac:dyDescent="0.3">
      <c r="A2410" s="8" t="s">
        <v>1427</v>
      </c>
      <c r="B2410" s="62" t="s">
        <v>920</v>
      </c>
      <c r="C2410" s="68" t="s">
        <v>1381</v>
      </c>
      <c r="D2410" s="68" t="s">
        <v>1391</v>
      </c>
      <c r="E2410" s="8" t="s">
        <v>376</v>
      </c>
      <c r="F2410" s="8"/>
      <c r="G2410" s="23" t="s">
        <v>1101</v>
      </c>
      <c r="H2410" s="14">
        <f t="shared" si="1069"/>
        <v>896.21100000000001</v>
      </c>
      <c r="I2410" s="14">
        <f t="shared" si="1069"/>
        <v>896.21100000000001</v>
      </c>
      <c r="J2410" s="14">
        <f t="shared" si="1069"/>
        <v>896.20947999999999</v>
      </c>
      <c r="K2410" s="78">
        <f t="shared" si="1053"/>
        <v>99.999830397082818</v>
      </c>
      <c r="L2410" s="14">
        <f t="shared" si="1069"/>
        <v>0</v>
      </c>
      <c r="M2410" s="50"/>
      <c r="N2410" s="50"/>
    </row>
    <row r="2411" spans="1:14" ht="31.2" x14ac:dyDescent="0.3">
      <c r="A2411" s="8" t="s">
        <v>1427</v>
      </c>
      <c r="B2411" s="62" t="s">
        <v>920</v>
      </c>
      <c r="C2411" s="68" t="s">
        <v>1381</v>
      </c>
      <c r="D2411" s="68" t="s">
        <v>1391</v>
      </c>
      <c r="E2411" s="8" t="s">
        <v>379</v>
      </c>
      <c r="F2411" s="8"/>
      <c r="G2411" s="23" t="s">
        <v>1200</v>
      </c>
      <c r="H2411" s="14">
        <f t="shared" si="1069"/>
        <v>896.21100000000001</v>
      </c>
      <c r="I2411" s="14">
        <f t="shared" si="1069"/>
        <v>896.21100000000001</v>
      </c>
      <c r="J2411" s="14">
        <f t="shared" si="1069"/>
        <v>896.20947999999999</v>
      </c>
      <c r="K2411" s="78">
        <f t="shared" si="1053"/>
        <v>99.999830397082818</v>
      </c>
      <c r="L2411" s="14">
        <f t="shared" si="1069"/>
        <v>0</v>
      </c>
      <c r="M2411" s="50"/>
      <c r="N2411" s="50"/>
    </row>
    <row r="2412" spans="1:14" ht="31.2" x14ac:dyDescent="0.3">
      <c r="A2412" s="8" t="s">
        <v>1427</v>
      </c>
      <c r="B2412" s="62" t="s">
        <v>920</v>
      </c>
      <c r="C2412" s="68" t="s">
        <v>1381</v>
      </c>
      <c r="D2412" s="68" t="s">
        <v>1391</v>
      </c>
      <c r="E2412" s="8" t="s">
        <v>1222</v>
      </c>
      <c r="F2412" s="8"/>
      <c r="G2412" s="23" t="s">
        <v>737</v>
      </c>
      <c r="H2412" s="14">
        <f t="shared" ref="H2412:L2414" si="1070">H2413</f>
        <v>896.21100000000001</v>
      </c>
      <c r="I2412" s="14">
        <f t="shared" si="1070"/>
        <v>896.21100000000001</v>
      </c>
      <c r="J2412" s="14">
        <f t="shared" si="1070"/>
        <v>896.20947999999999</v>
      </c>
      <c r="K2412" s="78">
        <f t="shared" si="1053"/>
        <v>99.999830397082818</v>
      </c>
      <c r="L2412" s="14">
        <f t="shared" si="1070"/>
        <v>0</v>
      </c>
      <c r="M2412" s="50"/>
      <c r="N2412" s="50"/>
    </row>
    <row r="2413" spans="1:14" x14ac:dyDescent="0.3">
      <c r="A2413" s="8" t="s">
        <v>1427</v>
      </c>
      <c r="B2413" s="62" t="s">
        <v>920</v>
      </c>
      <c r="C2413" s="68" t="s">
        <v>1381</v>
      </c>
      <c r="D2413" s="68" t="s">
        <v>1391</v>
      </c>
      <c r="E2413" s="8" t="s">
        <v>1223</v>
      </c>
      <c r="F2413" s="8"/>
      <c r="G2413" s="23" t="s">
        <v>1224</v>
      </c>
      <c r="H2413" s="14">
        <f t="shared" si="1070"/>
        <v>896.21100000000001</v>
      </c>
      <c r="I2413" s="14">
        <f t="shared" si="1070"/>
        <v>896.21100000000001</v>
      </c>
      <c r="J2413" s="14">
        <f t="shared" si="1070"/>
        <v>896.20947999999999</v>
      </c>
      <c r="K2413" s="78">
        <f t="shared" si="1053"/>
        <v>99.999830397082818</v>
      </c>
      <c r="L2413" s="14">
        <f t="shared" si="1070"/>
        <v>0</v>
      </c>
      <c r="M2413" s="50"/>
      <c r="N2413" s="50"/>
    </row>
    <row r="2414" spans="1:14" ht="31.2" x14ac:dyDescent="0.3">
      <c r="A2414" s="8" t="s">
        <v>1427</v>
      </c>
      <c r="B2414" s="62" t="s">
        <v>920</v>
      </c>
      <c r="C2414" s="68" t="s">
        <v>1381</v>
      </c>
      <c r="D2414" s="68" t="s">
        <v>1391</v>
      </c>
      <c r="E2414" s="8" t="s">
        <v>1223</v>
      </c>
      <c r="F2414" s="45" t="s">
        <v>380</v>
      </c>
      <c r="G2414" s="23" t="s">
        <v>809</v>
      </c>
      <c r="H2414" s="14">
        <f t="shared" si="1070"/>
        <v>896.21100000000001</v>
      </c>
      <c r="I2414" s="14">
        <f t="shared" si="1070"/>
        <v>896.21100000000001</v>
      </c>
      <c r="J2414" s="14">
        <f t="shared" si="1070"/>
        <v>896.20947999999999</v>
      </c>
      <c r="K2414" s="78">
        <f t="shared" si="1053"/>
        <v>99.999830397082818</v>
      </c>
      <c r="L2414" s="14">
        <f t="shared" si="1070"/>
        <v>0</v>
      </c>
      <c r="M2414" s="50"/>
      <c r="N2414" s="50"/>
    </row>
    <row r="2415" spans="1:14" ht="31.2" x14ac:dyDescent="0.3">
      <c r="A2415" s="8" t="s">
        <v>1427</v>
      </c>
      <c r="B2415" s="62" t="s">
        <v>920</v>
      </c>
      <c r="C2415" s="68" t="s">
        <v>1381</v>
      </c>
      <c r="D2415" s="68" t="s">
        <v>1391</v>
      </c>
      <c r="E2415" s="8" t="s">
        <v>1223</v>
      </c>
      <c r="F2415" s="8" t="s">
        <v>247</v>
      </c>
      <c r="G2415" s="23" t="s">
        <v>810</v>
      </c>
      <c r="H2415" s="14">
        <f>1519-622.789</f>
        <v>896.21100000000001</v>
      </c>
      <c r="I2415" s="14">
        <v>896.21100000000001</v>
      </c>
      <c r="J2415" s="14">
        <v>896.20947999999999</v>
      </c>
      <c r="K2415" s="78">
        <f t="shared" si="1053"/>
        <v>99.999830397082818</v>
      </c>
      <c r="L2415" s="14"/>
      <c r="M2415" s="50"/>
      <c r="N2415" s="50"/>
    </row>
    <row r="2416" spans="1:14" s="3" customFormat="1" x14ac:dyDescent="0.3">
      <c r="A2416" s="10" t="s">
        <v>1427</v>
      </c>
      <c r="B2416" s="43" t="s">
        <v>1374</v>
      </c>
      <c r="C2416" s="43" t="s">
        <v>1374</v>
      </c>
      <c r="D2416" s="43" t="s">
        <v>915</v>
      </c>
      <c r="E2416" s="10"/>
      <c r="F2416" s="10"/>
      <c r="G2416" s="5" t="s">
        <v>1378</v>
      </c>
      <c r="H2416" s="15">
        <f t="shared" ref="H2416:L2418" si="1071">H2417</f>
        <v>4451.2000000000007</v>
      </c>
      <c r="I2416" s="15">
        <f t="shared" si="1071"/>
        <v>4451.2</v>
      </c>
      <c r="J2416" s="15">
        <f t="shared" si="1071"/>
        <v>4451.2</v>
      </c>
      <c r="K2416" s="81">
        <f t="shared" si="1053"/>
        <v>100</v>
      </c>
      <c r="L2416" s="15">
        <f t="shared" si="1071"/>
        <v>0</v>
      </c>
      <c r="M2416" s="65"/>
      <c r="N2416" s="65"/>
    </row>
    <row r="2417" spans="1:14" s="9" customFormat="1" x14ac:dyDescent="0.3">
      <c r="A2417" s="11" t="s">
        <v>1427</v>
      </c>
      <c r="B2417" s="48" t="s">
        <v>924</v>
      </c>
      <c r="C2417" s="48" t="s">
        <v>1374</v>
      </c>
      <c r="D2417" s="48" t="s">
        <v>1374</v>
      </c>
      <c r="E2417" s="11"/>
      <c r="F2417" s="11"/>
      <c r="G2417" s="7" t="s">
        <v>1221</v>
      </c>
      <c r="H2417" s="16">
        <f t="shared" si="1071"/>
        <v>4451.2000000000007</v>
      </c>
      <c r="I2417" s="16">
        <f t="shared" si="1071"/>
        <v>4451.2</v>
      </c>
      <c r="J2417" s="16">
        <f t="shared" si="1071"/>
        <v>4451.2</v>
      </c>
      <c r="K2417" s="82">
        <f t="shared" si="1053"/>
        <v>100</v>
      </c>
      <c r="L2417" s="16">
        <f t="shared" si="1071"/>
        <v>0</v>
      </c>
      <c r="M2417" s="65"/>
      <c r="N2417" s="65"/>
    </row>
    <row r="2418" spans="1:14" x14ac:dyDescent="0.3">
      <c r="A2418" s="8" t="s">
        <v>1427</v>
      </c>
      <c r="B2418" s="62" t="s">
        <v>924</v>
      </c>
      <c r="C2418" s="68" t="s">
        <v>1374</v>
      </c>
      <c r="D2418" s="68" t="s">
        <v>1374</v>
      </c>
      <c r="E2418" s="8" t="s">
        <v>390</v>
      </c>
      <c r="F2418" s="8"/>
      <c r="G2418" s="13" t="s">
        <v>862</v>
      </c>
      <c r="H2418" s="14">
        <f t="shared" si="1071"/>
        <v>4451.2000000000007</v>
      </c>
      <c r="I2418" s="14">
        <f t="shared" si="1071"/>
        <v>4451.2</v>
      </c>
      <c r="J2418" s="14">
        <f t="shared" si="1071"/>
        <v>4451.2</v>
      </c>
      <c r="K2418" s="78">
        <f t="shared" si="1053"/>
        <v>100</v>
      </c>
      <c r="L2418" s="14">
        <f t="shared" si="1071"/>
        <v>0</v>
      </c>
      <c r="M2418" s="50"/>
      <c r="N2418" s="50"/>
    </row>
    <row r="2419" spans="1:14" ht="46.8" x14ac:dyDescent="0.3">
      <c r="A2419" s="8" t="s">
        <v>1427</v>
      </c>
      <c r="B2419" s="62" t="s">
        <v>924</v>
      </c>
      <c r="C2419" s="68" t="s">
        <v>1374</v>
      </c>
      <c r="D2419" s="68" t="s">
        <v>1374</v>
      </c>
      <c r="E2419" s="8" t="s">
        <v>59</v>
      </c>
      <c r="F2419" s="8"/>
      <c r="G2419" s="23" t="s">
        <v>1295</v>
      </c>
      <c r="H2419" s="14">
        <f t="shared" ref="H2419:L2422" si="1072">H2420</f>
        <v>4451.2000000000007</v>
      </c>
      <c r="I2419" s="14">
        <f t="shared" si="1072"/>
        <v>4451.2</v>
      </c>
      <c r="J2419" s="14">
        <f t="shared" si="1072"/>
        <v>4451.2</v>
      </c>
      <c r="K2419" s="78">
        <f t="shared" si="1053"/>
        <v>100</v>
      </c>
      <c r="L2419" s="14">
        <f t="shared" si="1072"/>
        <v>0</v>
      </c>
      <c r="M2419" s="50"/>
      <c r="N2419" s="50"/>
    </row>
    <row r="2420" spans="1:14" ht="31.2" x14ac:dyDescent="0.3">
      <c r="A2420" s="8" t="s">
        <v>1427</v>
      </c>
      <c r="B2420" s="62" t="s">
        <v>924</v>
      </c>
      <c r="C2420" s="68" t="s">
        <v>1374</v>
      </c>
      <c r="D2420" s="68" t="s">
        <v>1374</v>
      </c>
      <c r="E2420" s="8" t="s">
        <v>60</v>
      </c>
      <c r="F2420" s="8"/>
      <c r="G2420" s="23" t="s">
        <v>1296</v>
      </c>
      <c r="H2420" s="14">
        <f t="shared" si="1072"/>
        <v>4451.2000000000007</v>
      </c>
      <c r="I2420" s="14">
        <f t="shared" si="1072"/>
        <v>4451.2</v>
      </c>
      <c r="J2420" s="14">
        <f t="shared" si="1072"/>
        <v>4451.2</v>
      </c>
      <c r="K2420" s="78">
        <f t="shared" si="1053"/>
        <v>100</v>
      </c>
      <c r="L2420" s="14">
        <f t="shared" si="1072"/>
        <v>0</v>
      </c>
      <c r="M2420" s="50"/>
      <c r="N2420" s="50"/>
    </row>
    <row r="2421" spans="1:14" ht="62.4" x14ac:dyDescent="0.3">
      <c r="A2421" s="8" t="s">
        <v>1427</v>
      </c>
      <c r="B2421" s="62" t="s">
        <v>924</v>
      </c>
      <c r="C2421" s="68" t="s">
        <v>1374</v>
      </c>
      <c r="D2421" s="68" t="s">
        <v>1374</v>
      </c>
      <c r="E2421" s="8" t="s">
        <v>62</v>
      </c>
      <c r="F2421" s="8"/>
      <c r="G2421" s="18" t="s">
        <v>298</v>
      </c>
      <c r="H2421" s="14">
        <f t="shared" si="1072"/>
        <v>4451.2000000000007</v>
      </c>
      <c r="I2421" s="14">
        <f t="shared" si="1072"/>
        <v>4451.2</v>
      </c>
      <c r="J2421" s="14">
        <f t="shared" si="1072"/>
        <v>4451.2</v>
      </c>
      <c r="K2421" s="78">
        <f t="shared" si="1053"/>
        <v>100</v>
      </c>
      <c r="L2421" s="14">
        <f t="shared" si="1072"/>
        <v>0</v>
      </c>
      <c r="M2421" s="50"/>
      <c r="N2421" s="50"/>
    </row>
    <row r="2422" spans="1:14" ht="31.2" x14ac:dyDescent="0.3">
      <c r="A2422" s="8" t="s">
        <v>1427</v>
      </c>
      <c r="B2422" s="62" t="s">
        <v>924</v>
      </c>
      <c r="C2422" s="68" t="s">
        <v>1374</v>
      </c>
      <c r="D2422" s="68" t="s">
        <v>1374</v>
      </c>
      <c r="E2422" s="8" t="s">
        <v>62</v>
      </c>
      <c r="F2422" s="45" t="s">
        <v>402</v>
      </c>
      <c r="G2422" s="23" t="s">
        <v>819</v>
      </c>
      <c r="H2422" s="14">
        <f t="shared" si="1072"/>
        <v>4451.2000000000007</v>
      </c>
      <c r="I2422" s="14">
        <f t="shared" si="1072"/>
        <v>4451.2</v>
      </c>
      <c r="J2422" s="14">
        <f t="shared" si="1072"/>
        <v>4451.2</v>
      </c>
      <c r="K2422" s="78">
        <f t="shared" si="1053"/>
        <v>100</v>
      </c>
      <c r="L2422" s="14">
        <f t="shared" si="1072"/>
        <v>0</v>
      </c>
      <c r="M2422" s="50"/>
      <c r="N2422" s="50"/>
    </row>
    <row r="2423" spans="1:14" ht="46.8" x14ac:dyDescent="0.3">
      <c r="A2423" s="8" t="s">
        <v>1427</v>
      </c>
      <c r="B2423" s="62" t="s">
        <v>924</v>
      </c>
      <c r="C2423" s="68" t="s">
        <v>1374</v>
      </c>
      <c r="D2423" s="68" t="s">
        <v>1374</v>
      </c>
      <c r="E2423" s="8" t="s">
        <v>62</v>
      </c>
      <c r="F2423" s="45" t="s">
        <v>280</v>
      </c>
      <c r="G2423" s="23" t="s">
        <v>821</v>
      </c>
      <c r="H2423" s="14">
        <f>3221.3+1229.9</f>
        <v>4451.2000000000007</v>
      </c>
      <c r="I2423" s="14">
        <v>4451.2</v>
      </c>
      <c r="J2423" s="14">
        <v>4451.2</v>
      </c>
      <c r="K2423" s="78">
        <f t="shared" si="1053"/>
        <v>100</v>
      </c>
      <c r="L2423" s="14"/>
      <c r="M2423" s="50"/>
      <c r="N2423" s="50"/>
    </row>
    <row r="2424" spans="1:14" s="3" customFormat="1" x14ac:dyDescent="0.3">
      <c r="A2424" s="10" t="s">
        <v>1427</v>
      </c>
      <c r="B2424" s="43" t="s">
        <v>1402</v>
      </c>
      <c r="C2424" s="43" t="s">
        <v>1402</v>
      </c>
      <c r="D2424" s="43" t="s">
        <v>915</v>
      </c>
      <c r="E2424" s="10"/>
      <c r="F2424" s="10"/>
      <c r="G2424" s="5" t="s">
        <v>1405</v>
      </c>
      <c r="H2424" s="15">
        <f t="shared" ref="H2424:L2424" si="1073">H2425</f>
        <v>593.01199999999994</v>
      </c>
      <c r="I2424" s="15">
        <f t="shared" si="1073"/>
        <v>2865.65</v>
      </c>
      <c r="J2424" s="15">
        <f t="shared" si="1073"/>
        <v>2678.8572400000003</v>
      </c>
      <c r="K2424" s="81">
        <f t="shared" si="1053"/>
        <v>93.481661752133022</v>
      </c>
      <c r="L2424" s="15">
        <f t="shared" si="1073"/>
        <v>0</v>
      </c>
      <c r="M2424" s="65"/>
      <c r="N2424" s="65"/>
    </row>
    <row r="2425" spans="1:14" s="9" customFormat="1" x14ac:dyDescent="0.3">
      <c r="A2425" s="11" t="s">
        <v>1427</v>
      </c>
      <c r="B2425" s="48" t="s">
        <v>926</v>
      </c>
      <c r="C2425" s="48" t="s">
        <v>1402</v>
      </c>
      <c r="D2425" s="48" t="s">
        <v>1372</v>
      </c>
      <c r="E2425" s="11"/>
      <c r="F2425" s="11"/>
      <c r="G2425" s="7" t="s">
        <v>1406</v>
      </c>
      <c r="H2425" s="16">
        <f t="shared" ref="H2425:L2425" si="1074">H2426+H2432</f>
        <v>593.01199999999994</v>
      </c>
      <c r="I2425" s="16">
        <f t="shared" si="1074"/>
        <v>2865.65</v>
      </c>
      <c r="J2425" s="16">
        <f t="shared" si="1074"/>
        <v>2678.8572400000003</v>
      </c>
      <c r="K2425" s="82">
        <f t="shared" si="1053"/>
        <v>93.481661752133022</v>
      </c>
      <c r="L2425" s="16">
        <f t="shared" si="1074"/>
        <v>0</v>
      </c>
      <c r="M2425" s="65"/>
      <c r="N2425" s="65"/>
    </row>
    <row r="2426" spans="1:14" x14ac:dyDescent="0.3">
      <c r="A2426" s="8" t="s">
        <v>1427</v>
      </c>
      <c r="B2426" s="62" t="s">
        <v>926</v>
      </c>
      <c r="C2426" s="68" t="s">
        <v>1402</v>
      </c>
      <c r="D2426" s="68" t="s">
        <v>1372</v>
      </c>
      <c r="E2426" s="8" t="s">
        <v>387</v>
      </c>
      <c r="F2426" s="8"/>
      <c r="G2426" s="18" t="s">
        <v>851</v>
      </c>
      <c r="H2426" s="14">
        <f>H2427</f>
        <v>560.9</v>
      </c>
      <c r="I2426" s="14">
        <f t="shared" ref="I2426:L2426" si="1075">I2427</f>
        <v>560.9</v>
      </c>
      <c r="J2426" s="14">
        <f t="shared" si="1075"/>
        <v>560.9</v>
      </c>
      <c r="K2426" s="78">
        <f t="shared" si="1053"/>
        <v>100</v>
      </c>
      <c r="L2426" s="14">
        <f t="shared" si="1075"/>
        <v>0</v>
      </c>
      <c r="M2426" s="50"/>
      <c r="N2426" s="50"/>
    </row>
    <row r="2427" spans="1:14" ht="31.2" x14ac:dyDescent="0.3">
      <c r="A2427" s="8" t="s">
        <v>1427</v>
      </c>
      <c r="B2427" s="62" t="s">
        <v>926</v>
      </c>
      <c r="C2427" s="68" t="s">
        <v>1402</v>
      </c>
      <c r="D2427" s="68" t="s">
        <v>1372</v>
      </c>
      <c r="E2427" s="8" t="s">
        <v>410</v>
      </c>
      <c r="F2427" s="8"/>
      <c r="G2427" s="13" t="s">
        <v>852</v>
      </c>
      <c r="H2427" s="14">
        <f t="shared" ref="H2427:L2430" si="1076">H2428</f>
        <v>560.9</v>
      </c>
      <c r="I2427" s="14">
        <f t="shared" si="1076"/>
        <v>560.9</v>
      </c>
      <c r="J2427" s="14">
        <f t="shared" si="1076"/>
        <v>560.9</v>
      </c>
      <c r="K2427" s="78">
        <f t="shared" si="1053"/>
        <v>100</v>
      </c>
      <c r="L2427" s="14">
        <f t="shared" si="1076"/>
        <v>0</v>
      </c>
      <c r="M2427" s="50"/>
      <c r="N2427" s="50"/>
    </row>
    <row r="2428" spans="1:14" ht="31.2" x14ac:dyDescent="0.3">
      <c r="A2428" s="8" t="s">
        <v>1427</v>
      </c>
      <c r="B2428" s="62" t="s">
        <v>926</v>
      </c>
      <c r="C2428" s="68" t="s">
        <v>1402</v>
      </c>
      <c r="D2428" s="68" t="s">
        <v>1372</v>
      </c>
      <c r="E2428" s="8" t="s">
        <v>411</v>
      </c>
      <c r="F2428" s="8"/>
      <c r="G2428" s="13" t="s">
        <v>853</v>
      </c>
      <c r="H2428" s="14">
        <f t="shared" si="1076"/>
        <v>560.9</v>
      </c>
      <c r="I2428" s="14">
        <f t="shared" si="1076"/>
        <v>560.9</v>
      </c>
      <c r="J2428" s="14">
        <f t="shared" si="1076"/>
        <v>560.9</v>
      </c>
      <c r="K2428" s="78">
        <f t="shared" si="1053"/>
        <v>100</v>
      </c>
      <c r="L2428" s="14">
        <f t="shared" si="1076"/>
        <v>0</v>
      </c>
      <c r="M2428" s="50"/>
      <c r="N2428" s="50"/>
    </row>
    <row r="2429" spans="1:14" ht="31.2" x14ac:dyDescent="0.3">
      <c r="A2429" s="8" t="s">
        <v>1427</v>
      </c>
      <c r="B2429" s="62" t="s">
        <v>926</v>
      </c>
      <c r="C2429" s="68" t="s">
        <v>1402</v>
      </c>
      <c r="D2429" s="68" t="s">
        <v>1372</v>
      </c>
      <c r="E2429" s="8" t="s">
        <v>413</v>
      </c>
      <c r="F2429" s="8"/>
      <c r="G2429" s="13" t="s">
        <v>855</v>
      </c>
      <c r="H2429" s="14">
        <f t="shared" si="1076"/>
        <v>560.9</v>
      </c>
      <c r="I2429" s="14">
        <f t="shared" si="1076"/>
        <v>560.9</v>
      </c>
      <c r="J2429" s="14">
        <f t="shared" si="1076"/>
        <v>560.9</v>
      </c>
      <c r="K2429" s="78">
        <f t="shared" si="1053"/>
        <v>100</v>
      </c>
      <c r="L2429" s="14">
        <f t="shared" si="1076"/>
        <v>0</v>
      </c>
      <c r="M2429" s="50"/>
      <c r="N2429" s="50"/>
    </row>
    <row r="2430" spans="1:14" ht="31.2" x14ac:dyDescent="0.3">
      <c r="A2430" s="8" t="s">
        <v>1427</v>
      </c>
      <c r="B2430" s="62" t="s">
        <v>926</v>
      </c>
      <c r="C2430" s="68" t="s">
        <v>1402</v>
      </c>
      <c r="D2430" s="68" t="s">
        <v>1372</v>
      </c>
      <c r="E2430" s="8" t="s">
        <v>413</v>
      </c>
      <c r="F2430" s="45" t="s">
        <v>380</v>
      </c>
      <c r="G2430" s="23" t="s">
        <v>809</v>
      </c>
      <c r="H2430" s="14">
        <f t="shared" si="1076"/>
        <v>560.9</v>
      </c>
      <c r="I2430" s="14">
        <f t="shared" si="1076"/>
        <v>560.9</v>
      </c>
      <c r="J2430" s="14">
        <f t="shared" si="1076"/>
        <v>560.9</v>
      </c>
      <c r="K2430" s="78">
        <f t="shared" si="1053"/>
        <v>100</v>
      </c>
      <c r="L2430" s="14">
        <f t="shared" si="1076"/>
        <v>0</v>
      </c>
      <c r="M2430" s="50"/>
      <c r="N2430" s="50"/>
    </row>
    <row r="2431" spans="1:14" ht="31.2" x14ac:dyDescent="0.3">
      <c r="A2431" s="8" t="s">
        <v>1427</v>
      </c>
      <c r="B2431" s="62" t="s">
        <v>926</v>
      </c>
      <c r="C2431" s="68" t="s">
        <v>1402</v>
      </c>
      <c r="D2431" s="68" t="s">
        <v>1372</v>
      </c>
      <c r="E2431" s="8" t="s">
        <v>413</v>
      </c>
      <c r="F2431" s="8" t="s">
        <v>247</v>
      </c>
      <c r="G2431" s="23" t="s">
        <v>810</v>
      </c>
      <c r="H2431" s="14">
        <v>560.9</v>
      </c>
      <c r="I2431" s="14">
        <v>560.9</v>
      </c>
      <c r="J2431" s="14">
        <v>560.9</v>
      </c>
      <c r="K2431" s="78">
        <f t="shared" si="1053"/>
        <v>100</v>
      </c>
      <c r="L2431" s="14"/>
      <c r="M2431" s="50"/>
      <c r="N2431" s="50"/>
    </row>
    <row r="2432" spans="1:14" ht="31.2" x14ac:dyDescent="0.3">
      <c r="A2432" s="8" t="s">
        <v>1427</v>
      </c>
      <c r="B2432" s="62" t="s">
        <v>926</v>
      </c>
      <c r="C2432" s="68" t="s">
        <v>1402</v>
      </c>
      <c r="D2432" s="68" t="s">
        <v>1372</v>
      </c>
      <c r="E2432" s="8" t="s">
        <v>429</v>
      </c>
      <c r="F2432" s="8"/>
      <c r="G2432" s="23" t="s">
        <v>1140</v>
      </c>
      <c r="H2432" s="14">
        <f t="shared" ref="H2432:L2434" si="1077">H2433</f>
        <v>32.112000000000002</v>
      </c>
      <c r="I2432" s="14">
        <f t="shared" si="1077"/>
        <v>2304.75</v>
      </c>
      <c r="J2432" s="14">
        <f t="shared" si="1077"/>
        <v>2117.9572400000002</v>
      </c>
      <c r="K2432" s="78">
        <f t="shared" si="1053"/>
        <v>91.895313591495835</v>
      </c>
      <c r="L2432" s="14">
        <f t="shared" si="1077"/>
        <v>0</v>
      </c>
      <c r="M2432" s="50"/>
      <c r="N2432" s="50"/>
    </row>
    <row r="2433" spans="1:14" ht="46.8" x14ac:dyDescent="0.3">
      <c r="A2433" s="8" t="s">
        <v>1427</v>
      </c>
      <c r="B2433" s="62" t="s">
        <v>926</v>
      </c>
      <c r="C2433" s="68" t="s">
        <v>1402</v>
      </c>
      <c r="D2433" s="68" t="s">
        <v>1372</v>
      </c>
      <c r="E2433" s="8" t="s">
        <v>535</v>
      </c>
      <c r="F2433" s="8"/>
      <c r="G2433" s="31" t="s">
        <v>176</v>
      </c>
      <c r="H2433" s="14">
        <f t="shared" si="1077"/>
        <v>32.112000000000002</v>
      </c>
      <c r="I2433" s="14">
        <f t="shared" si="1077"/>
        <v>2304.75</v>
      </c>
      <c r="J2433" s="14">
        <f t="shared" si="1077"/>
        <v>2117.9572400000002</v>
      </c>
      <c r="K2433" s="78">
        <f t="shared" si="1053"/>
        <v>91.895313591495835</v>
      </c>
      <c r="L2433" s="14">
        <f t="shared" si="1077"/>
        <v>0</v>
      </c>
      <c r="M2433" s="50"/>
      <c r="N2433" s="50"/>
    </row>
    <row r="2434" spans="1:14" ht="31.2" x14ac:dyDescent="0.3">
      <c r="A2434" s="8" t="s">
        <v>1427</v>
      </c>
      <c r="B2434" s="62" t="s">
        <v>926</v>
      </c>
      <c r="C2434" s="68" t="s">
        <v>1402</v>
      </c>
      <c r="D2434" s="68" t="s">
        <v>1372</v>
      </c>
      <c r="E2434" s="8" t="s">
        <v>535</v>
      </c>
      <c r="F2434" s="45" t="s">
        <v>380</v>
      </c>
      <c r="G2434" s="23" t="s">
        <v>809</v>
      </c>
      <c r="H2434" s="14">
        <f t="shared" si="1077"/>
        <v>32.112000000000002</v>
      </c>
      <c r="I2434" s="14">
        <f t="shared" si="1077"/>
        <v>2304.75</v>
      </c>
      <c r="J2434" s="14">
        <f t="shared" si="1077"/>
        <v>2117.9572400000002</v>
      </c>
      <c r="K2434" s="78">
        <f t="shared" si="1053"/>
        <v>91.895313591495835</v>
      </c>
      <c r="L2434" s="14">
        <f t="shared" si="1077"/>
        <v>0</v>
      </c>
      <c r="M2434" s="50"/>
      <c r="N2434" s="50"/>
    </row>
    <row r="2435" spans="1:14" ht="31.2" x14ac:dyDescent="0.3">
      <c r="A2435" s="8" t="s">
        <v>1427</v>
      </c>
      <c r="B2435" s="62" t="s">
        <v>926</v>
      </c>
      <c r="C2435" s="68" t="s">
        <v>1402</v>
      </c>
      <c r="D2435" s="68" t="s">
        <v>1372</v>
      </c>
      <c r="E2435" s="8" t="s">
        <v>535</v>
      </c>
      <c r="F2435" s="8" t="s">
        <v>247</v>
      </c>
      <c r="G2435" s="23" t="s">
        <v>810</v>
      </c>
      <c r="H2435" s="14">
        <v>32.112000000000002</v>
      </c>
      <c r="I2435" s="14">
        <v>2304.75</v>
      </c>
      <c r="J2435" s="14">
        <v>2117.9572400000002</v>
      </c>
      <c r="K2435" s="78">
        <f t="shared" si="1053"/>
        <v>91.895313591495835</v>
      </c>
      <c r="L2435" s="14"/>
      <c r="M2435" s="50"/>
      <c r="N2435" s="50"/>
    </row>
    <row r="2436" spans="1:14" s="3" customFormat="1" x14ac:dyDescent="0.3">
      <c r="A2436" s="10" t="s">
        <v>1427</v>
      </c>
      <c r="B2436" s="43" t="s">
        <v>1382</v>
      </c>
      <c r="C2436" s="43" t="s">
        <v>1382</v>
      </c>
      <c r="D2436" s="43" t="s">
        <v>915</v>
      </c>
      <c r="E2436" s="10"/>
      <c r="F2436" s="10"/>
      <c r="G2436" s="5" t="s">
        <v>1417</v>
      </c>
      <c r="H2436" s="15">
        <f t="shared" ref="H2436:L2441" si="1078">H2437</f>
        <v>1479.35</v>
      </c>
      <c r="I2436" s="15">
        <f t="shared" si="1078"/>
        <v>1479.35</v>
      </c>
      <c r="J2436" s="15">
        <f t="shared" si="1078"/>
        <v>1479.35</v>
      </c>
      <c r="K2436" s="81">
        <f t="shared" si="1053"/>
        <v>100</v>
      </c>
      <c r="L2436" s="15">
        <f t="shared" si="1078"/>
        <v>0</v>
      </c>
      <c r="M2436" s="65"/>
      <c r="N2436" s="65"/>
    </row>
    <row r="2437" spans="1:14" s="9" customFormat="1" x14ac:dyDescent="0.3">
      <c r="A2437" s="11" t="s">
        <v>1427</v>
      </c>
      <c r="B2437" s="48" t="s">
        <v>914</v>
      </c>
      <c r="C2437" s="48" t="s">
        <v>1382</v>
      </c>
      <c r="D2437" s="48" t="s">
        <v>1478</v>
      </c>
      <c r="E2437" s="11"/>
      <c r="F2437" s="11"/>
      <c r="G2437" s="7" t="s">
        <v>1425</v>
      </c>
      <c r="H2437" s="16">
        <f t="shared" si="1078"/>
        <v>1479.35</v>
      </c>
      <c r="I2437" s="16">
        <f t="shared" si="1078"/>
        <v>1479.35</v>
      </c>
      <c r="J2437" s="16">
        <f t="shared" si="1078"/>
        <v>1479.35</v>
      </c>
      <c r="K2437" s="82">
        <f t="shared" si="1053"/>
        <v>100</v>
      </c>
      <c r="L2437" s="16">
        <f t="shared" si="1078"/>
        <v>0</v>
      </c>
      <c r="M2437" s="65"/>
      <c r="N2437" s="65"/>
    </row>
    <row r="2438" spans="1:14" ht="31.2" x14ac:dyDescent="0.3">
      <c r="A2438" s="8" t="s">
        <v>1427</v>
      </c>
      <c r="B2438" s="62" t="s">
        <v>914</v>
      </c>
      <c r="C2438" s="68" t="s">
        <v>1382</v>
      </c>
      <c r="D2438" s="68" t="s">
        <v>1478</v>
      </c>
      <c r="E2438" s="8" t="s">
        <v>446</v>
      </c>
      <c r="F2438" s="8"/>
      <c r="G2438" s="23" t="s">
        <v>864</v>
      </c>
      <c r="H2438" s="14">
        <f t="shared" si="1078"/>
        <v>1479.35</v>
      </c>
      <c r="I2438" s="14">
        <f t="shared" si="1078"/>
        <v>1479.35</v>
      </c>
      <c r="J2438" s="14">
        <f t="shared" si="1078"/>
        <v>1479.35</v>
      </c>
      <c r="K2438" s="78">
        <f t="shared" si="1053"/>
        <v>100</v>
      </c>
      <c r="L2438" s="14">
        <f t="shared" si="1078"/>
        <v>0</v>
      </c>
      <c r="M2438" s="50"/>
      <c r="N2438" s="50"/>
    </row>
    <row r="2439" spans="1:14" ht="31.2" x14ac:dyDescent="0.3">
      <c r="A2439" s="8" t="s">
        <v>1427</v>
      </c>
      <c r="B2439" s="62" t="s">
        <v>914</v>
      </c>
      <c r="C2439" s="68" t="s">
        <v>1382</v>
      </c>
      <c r="D2439" s="68" t="s">
        <v>1478</v>
      </c>
      <c r="E2439" s="8" t="s">
        <v>666</v>
      </c>
      <c r="F2439" s="8"/>
      <c r="G2439" s="13" t="s">
        <v>1167</v>
      </c>
      <c r="H2439" s="14">
        <f t="shared" si="1078"/>
        <v>1479.35</v>
      </c>
      <c r="I2439" s="14">
        <f t="shared" si="1078"/>
        <v>1479.35</v>
      </c>
      <c r="J2439" s="14">
        <f t="shared" si="1078"/>
        <v>1479.35</v>
      </c>
      <c r="K2439" s="78">
        <f t="shared" si="1053"/>
        <v>100</v>
      </c>
      <c r="L2439" s="14">
        <f t="shared" si="1078"/>
        <v>0</v>
      </c>
      <c r="M2439" s="50"/>
      <c r="N2439" s="50"/>
    </row>
    <row r="2440" spans="1:14" ht="62.4" x14ac:dyDescent="0.3">
      <c r="A2440" s="8" t="s">
        <v>1427</v>
      </c>
      <c r="B2440" s="62" t="s">
        <v>914</v>
      </c>
      <c r="C2440" s="68" t="s">
        <v>1382</v>
      </c>
      <c r="D2440" s="68" t="s">
        <v>1478</v>
      </c>
      <c r="E2440" s="8" t="s">
        <v>674</v>
      </c>
      <c r="F2440" s="8"/>
      <c r="G2440" s="18" t="s">
        <v>1184</v>
      </c>
      <c r="H2440" s="14">
        <f t="shared" si="1078"/>
        <v>1479.35</v>
      </c>
      <c r="I2440" s="14">
        <f t="shared" si="1078"/>
        <v>1479.35</v>
      </c>
      <c r="J2440" s="14">
        <f t="shared" si="1078"/>
        <v>1479.35</v>
      </c>
      <c r="K2440" s="78">
        <f t="shared" ref="K2440:K2503" si="1079">J2440/I2440*100</f>
        <v>100</v>
      </c>
      <c r="L2440" s="14">
        <f t="shared" si="1078"/>
        <v>0</v>
      </c>
      <c r="M2440" s="50"/>
      <c r="N2440" s="50"/>
    </row>
    <row r="2441" spans="1:14" ht="31.2" x14ac:dyDescent="0.3">
      <c r="A2441" s="8" t="s">
        <v>1427</v>
      </c>
      <c r="B2441" s="62" t="s">
        <v>914</v>
      </c>
      <c r="C2441" s="68" t="s">
        <v>1382</v>
      </c>
      <c r="D2441" s="68" t="s">
        <v>1478</v>
      </c>
      <c r="E2441" s="8" t="s">
        <v>674</v>
      </c>
      <c r="F2441" s="45" t="s">
        <v>380</v>
      </c>
      <c r="G2441" s="23" t="s">
        <v>809</v>
      </c>
      <c r="H2441" s="14">
        <f t="shared" si="1078"/>
        <v>1479.35</v>
      </c>
      <c r="I2441" s="14">
        <f t="shared" si="1078"/>
        <v>1479.35</v>
      </c>
      <c r="J2441" s="14">
        <f t="shared" si="1078"/>
        <v>1479.35</v>
      </c>
      <c r="K2441" s="78">
        <f t="shared" si="1079"/>
        <v>100</v>
      </c>
      <c r="L2441" s="14">
        <f t="shared" si="1078"/>
        <v>0</v>
      </c>
      <c r="M2441" s="50"/>
      <c r="N2441" s="50"/>
    </row>
    <row r="2442" spans="1:14" ht="31.2" x14ac:dyDescent="0.3">
      <c r="A2442" s="8" t="s">
        <v>1427</v>
      </c>
      <c r="B2442" s="62" t="s">
        <v>914</v>
      </c>
      <c r="C2442" s="68" t="s">
        <v>1382</v>
      </c>
      <c r="D2442" s="68" t="s">
        <v>1478</v>
      </c>
      <c r="E2442" s="8" t="s">
        <v>674</v>
      </c>
      <c r="F2442" s="8" t="s">
        <v>247</v>
      </c>
      <c r="G2442" s="23" t="s">
        <v>810</v>
      </c>
      <c r="H2442" s="14">
        <f>1517-37.65</f>
        <v>1479.35</v>
      </c>
      <c r="I2442" s="14">
        <v>1479.35</v>
      </c>
      <c r="J2442" s="14">
        <v>1479.35</v>
      </c>
      <c r="K2442" s="78">
        <f t="shared" si="1079"/>
        <v>100</v>
      </c>
      <c r="L2442" s="14"/>
      <c r="M2442" s="50"/>
      <c r="N2442" s="50"/>
    </row>
    <row r="2443" spans="1:14" ht="18.75" customHeight="1" x14ac:dyDescent="0.3">
      <c r="A2443" s="10" t="s">
        <v>1430</v>
      </c>
      <c r="B2443" s="43" t="s">
        <v>915</v>
      </c>
      <c r="C2443" s="43" t="s">
        <v>915</v>
      </c>
      <c r="D2443" s="43" t="s">
        <v>915</v>
      </c>
      <c r="E2443" s="10"/>
      <c r="F2443" s="10"/>
      <c r="G2443" s="5" t="s">
        <v>1429</v>
      </c>
      <c r="H2443" s="15">
        <f t="shared" ref="H2443:L2443" si="1080">H2444+H2526+H2588+H2647+H2496+H2659+H2667+H2681</f>
        <v>270387.75199999998</v>
      </c>
      <c r="I2443" s="15">
        <f t="shared" si="1080"/>
        <v>325529.15948999999</v>
      </c>
      <c r="J2443" s="15">
        <f t="shared" si="1080"/>
        <v>323619.20963999996</v>
      </c>
      <c r="K2443" s="81">
        <f t="shared" si="1079"/>
        <v>99.413278413217327</v>
      </c>
      <c r="L2443" s="15">
        <f t="shared" si="1080"/>
        <v>0</v>
      </c>
      <c r="M2443" s="65"/>
      <c r="N2443" s="65"/>
    </row>
    <row r="2444" spans="1:14" s="3" customFormat="1" x14ac:dyDescent="0.3">
      <c r="A2444" s="10" t="s">
        <v>1430</v>
      </c>
      <c r="B2444" s="43" t="s">
        <v>1372</v>
      </c>
      <c r="C2444" s="43" t="s">
        <v>1372</v>
      </c>
      <c r="D2444" s="43" t="s">
        <v>915</v>
      </c>
      <c r="E2444" s="10"/>
      <c r="F2444" s="10"/>
      <c r="G2444" s="5" t="s">
        <v>1376</v>
      </c>
      <c r="H2444" s="15">
        <f>H2445+H2466</f>
        <v>48127.853999999999</v>
      </c>
      <c r="I2444" s="15">
        <f>I2445+I2466</f>
        <v>48176.929000000004</v>
      </c>
      <c r="J2444" s="15">
        <f t="shared" ref="J2444" si="1081">J2445+J2466</f>
        <v>48087.838629999998</v>
      </c>
      <c r="K2444" s="81">
        <f t="shared" si="1079"/>
        <v>99.815076693659734</v>
      </c>
      <c r="L2444" s="15">
        <f>L2445+L2466</f>
        <v>0</v>
      </c>
      <c r="M2444" s="65"/>
      <c r="N2444" s="65"/>
    </row>
    <row r="2445" spans="1:14" s="9" customFormat="1" ht="62.4" x14ac:dyDescent="0.3">
      <c r="A2445" s="11" t="s">
        <v>1430</v>
      </c>
      <c r="B2445" s="48" t="s">
        <v>934</v>
      </c>
      <c r="C2445" s="48" t="s">
        <v>1372</v>
      </c>
      <c r="D2445" s="48" t="s">
        <v>1386</v>
      </c>
      <c r="E2445" s="11"/>
      <c r="F2445" s="11"/>
      <c r="G2445" s="7" t="s">
        <v>1418</v>
      </c>
      <c r="H2445" s="16">
        <f>H2454+H2446</f>
        <v>42153.9</v>
      </c>
      <c r="I2445" s="16">
        <f>I2454+I2446</f>
        <v>42204.200000000004</v>
      </c>
      <c r="J2445" s="16">
        <f t="shared" ref="J2445" si="1082">J2454+J2446</f>
        <v>42174.714019999999</v>
      </c>
      <c r="K2445" s="82">
        <f t="shared" si="1079"/>
        <v>99.93013496287098</v>
      </c>
      <c r="L2445" s="16">
        <f>L2454+L2446</f>
        <v>0</v>
      </c>
      <c r="M2445" s="65"/>
      <c r="N2445" s="65"/>
    </row>
    <row r="2446" spans="1:14" ht="31.2" x14ac:dyDescent="0.3">
      <c r="A2446" s="8" t="s">
        <v>1430</v>
      </c>
      <c r="B2446" s="62" t="s">
        <v>934</v>
      </c>
      <c r="C2446" s="68" t="s">
        <v>1372</v>
      </c>
      <c r="D2446" s="68" t="s">
        <v>1386</v>
      </c>
      <c r="E2446" s="8" t="s">
        <v>396</v>
      </c>
      <c r="F2446" s="8"/>
      <c r="G2446" s="13" t="s">
        <v>876</v>
      </c>
      <c r="H2446" s="14">
        <f t="shared" ref="H2446:L2448" si="1083">H2447</f>
        <v>4251.3999999999996</v>
      </c>
      <c r="I2446" s="14">
        <f t="shared" si="1083"/>
        <v>4251.4000000000005</v>
      </c>
      <c r="J2446" s="14">
        <f t="shared" si="1083"/>
        <v>4251.4000000000005</v>
      </c>
      <c r="K2446" s="78">
        <f t="shared" si="1079"/>
        <v>100</v>
      </c>
      <c r="L2446" s="14">
        <f t="shared" si="1083"/>
        <v>0</v>
      </c>
      <c r="M2446" s="50"/>
      <c r="N2446" s="50"/>
    </row>
    <row r="2447" spans="1:14" ht="31.2" x14ac:dyDescent="0.3">
      <c r="A2447" s="8" t="s">
        <v>1430</v>
      </c>
      <c r="B2447" s="62" t="s">
        <v>934</v>
      </c>
      <c r="C2447" s="68" t="s">
        <v>1372</v>
      </c>
      <c r="D2447" s="68" t="s">
        <v>1386</v>
      </c>
      <c r="E2447" s="8" t="s">
        <v>485</v>
      </c>
      <c r="F2447" s="8"/>
      <c r="G2447" s="13" t="s">
        <v>877</v>
      </c>
      <c r="H2447" s="14">
        <f t="shared" si="1083"/>
        <v>4251.3999999999996</v>
      </c>
      <c r="I2447" s="14">
        <f t="shared" si="1083"/>
        <v>4251.4000000000005</v>
      </c>
      <c r="J2447" s="14">
        <f t="shared" si="1083"/>
        <v>4251.4000000000005</v>
      </c>
      <c r="K2447" s="78">
        <f t="shared" si="1079"/>
        <v>100</v>
      </c>
      <c r="L2447" s="14">
        <f t="shared" si="1083"/>
        <v>0</v>
      </c>
      <c r="M2447" s="50"/>
      <c r="N2447" s="50"/>
    </row>
    <row r="2448" spans="1:14" ht="62.4" x14ac:dyDescent="0.3">
      <c r="A2448" s="8" t="s">
        <v>1430</v>
      </c>
      <c r="B2448" s="62" t="s">
        <v>934</v>
      </c>
      <c r="C2448" s="68" t="s">
        <v>1372</v>
      </c>
      <c r="D2448" s="68" t="s">
        <v>1386</v>
      </c>
      <c r="E2448" s="8" t="s">
        <v>518</v>
      </c>
      <c r="F2448" s="8"/>
      <c r="G2448" s="18" t="s">
        <v>878</v>
      </c>
      <c r="H2448" s="14">
        <f t="shared" si="1083"/>
        <v>4251.3999999999996</v>
      </c>
      <c r="I2448" s="14">
        <f t="shared" si="1083"/>
        <v>4251.4000000000005</v>
      </c>
      <c r="J2448" s="14">
        <f t="shared" si="1083"/>
        <v>4251.4000000000005</v>
      </c>
      <c r="K2448" s="78">
        <f t="shared" si="1079"/>
        <v>100</v>
      </c>
      <c r="L2448" s="14">
        <f t="shared" si="1083"/>
        <v>0</v>
      </c>
      <c r="M2448" s="50"/>
      <c r="N2448" s="50"/>
    </row>
    <row r="2449" spans="1:14" ht="31.2" x14ac:dyDescent="0.3">
      <c r="A2449" s="8" t="s">
        <v>1430</v>
      </c>
      <c r="B2449" s="62" t="s">
        <v>934</v>
      </c>
      <c r="C2449" s="68" t="s">
        <v>1372</v>
      </c>
      <c r="D2449" s="68" t="s">
        <v>1386</v>
      </c>
      <c r="E2449" s="8" t="s">
        <v>244</v>
      </c>
      <c r="F2449" s="8"/>
      <c r="G2449" s="18" t="s">
        <v>879</v>
      </c>
      <c r="H2449" s="14">
        <f>H2450+H2452</f>
        <v>4251.3999999999996</v>
      </c>
      <c r="I2449" s="14">
        <f>I2450+I2452</f>
        <v>4251.4000000000005</v>
      </c>
      <c r="J2449" s="14">
        <f t="shared" ref="J2449" si="1084">J2450+J2452</f>
        <v>4251.4000000000005</v>
      </c>
      <c r="K2449" s="78">
        <f t="shared" si="1079"/>
        <v>100</v>
      </c>
      <c r="L2449" s="14">
        <f>L2450+L2452</f>
        <v>0</v>
      </c>
      <c r="M2449" s="50"/>
      <c r="N2449" s="50"/>
    </row>
    <row r="2450" spans="1:14" ht="78" x14ac:dyDescent="0.3">
      <c r="A2450" s="8" t="s">
        <v>1430</v>
      </c>
      <c r="B2450" s="62" t="s">
        <v>934</v>
      </c>
      <c r="C2450" s="68" t="s">
        <v>1372</v>
      </c>
      <c r="D2450" s="68" t="s">
        <v>1386</v>
      </c>
      <c r="E2450" s="8" t="s">
        <v>244</v>
      </c>
      <c r="F2450" s="45" t="s">
        <v>431</v>
      </c>
      <c r="G2450" s="23" t="s">
        <v>806</v>
      </c>
      <c r="H2450" s="14">
        <f t="shared" ref="H2450:L2450" si="1085">H2451</f>
        <v>4046</v>
      </c>
      <c r="I2450" s="14">
        <f t="shared" si="1085"/>
        <v>4046.4375300000002</v>
      </c>
      <c r="J2450" s="14">
        <f t="shared" si="1085"/>
        <v>4046.4375300000002</v>
      </c>
      <c r="K2450" s="78">
        <f t="shared" si="1079"/>
        <v>100</v>
      </c>
      <c r="L2450" s="14">
        <f t="shared" si="1085"/>
        <v>0</v>
      </c>
      <c r="M2450" s="50"/>
      <c r="N2450" s="50"/>
    </row>
    <row r="2451" spans="1:14" ht="31.2" x14ac:dyDescent="0.3">
      <c r="A2451" s="8" t="s">
        <v>1430</v>
      </c>
      <c r="B2451" s="62" t="s">
        <v>934</v>
      </c>
      <c r="C2451" s="68" t="s">
        <v>1372</v>
      </c>
      <c r="D2451" s="68" t="s">
        <v>1386</v>
      </c>
      <c r="E2451" s="8" t="s">
        <v>244</v>
      </c>
      <c r="F2451" s="45" t="s">
        <v>233</v>
      </c>
      <c r="G2451" s="23" t="s">
        <v>808</v>
      </c>
      <c r="H2451" s="14">
        <v>4046</v>
      </c>
      <c r="I2451" s="14">
        <v>4046.4375300000002</v>
      </c>
      <c r="J2451" s="14">
        <v>4046.4375300000002</v>
      </c>
      <c r="K2451" s="78">
        <f t="shared" si="1079"/>
        <v>100</v>
      </c>
      <c r="L2451" s="14"/>
      <c r="M2451" s="50"/>
      <c r="N2451" s="50"/>
    </row>
    <row r="2452" spans="1:14" ht="31.2" x14ac:dyDescent="0.3">
      <c r="A2452" s="8" t="s">
        <v>1430</v>
      </c>
      <c r="B2452" s="62" t="s">
        <v>934</v>
      </c>
      <c r="C2452" s="68" t="s">
        <v>1372</v>
      </c>
      <c r="D2452" s="68" t="s">
        <v>1386</v>
      </c>
      <c r="E2452" s="8" t="s">
        <v>244</v>
      </c>
      <c r="F2452" s="45" t="s">
        <v>380</v>
      </c>
      <c r="G2452" s="23" t="s">
        <v>809</v>
      </c>
      <c r="H2452" s="14">
        <f t="shared" ref="H2452:L2452" si="1086">H2453</f>
        <v>205.4</v>
      </c>
      <c r="I2452" s="14">
        <f t="shared" si="1086"/>
        <v>204.96247</v>
      </c>
      <c r="J2452" s="14">
        <f t="shared" si="1086"/>
        <v>204.96247</v>
      </c>
      <c r="K2452" s="78">
        <f t="shared" si="1079"/>
        <v>100</v>
      </c>
      <c r="L2452" s="14">
        <f t="shared" si="1086"/>
        <v>0</v>
      </c>
      <c r="M2452" s="50"/>
      <c r="N2452" s="50"/>
    </row>
    <row r="2453" spans="1:14" ht="31.2" x14ac:dyDescent="0.3">
      <c r="A2453" s="8" t="s">
        <v>1430</v>
      </c>
      <c r="B2453" s="62" t="s">
        <v>934</v>
      </c>
      <c r="C2453" s="68" t="s">
        <v>1372</v>
      </c>
      <c r="D2453" s="68" t="s">
        <v>1386</v>
      </c>
      <c r="E2453" s="8" t="s">
        <v>244</v>
      </c>
      <c r="F2453" s="8" t="s">
        <v>247</v>
      </c>
      <c r="G2453" s="23" t="s">
        <v>810</v>
      </c>
      <c r="H2453" s="14">
        <v>205.4</v>
      </c>
      <c r="I2453" s="14">
        <v>204.96247</v>
      </c>
      <c r="J2453" s="14">
        <v>204.96247</v>
      </c>
      <c r="K2453" s="78">
        <f t="shared" si="1079"/>
        <v>100</v>
      </c>
      <c r="L2453" s="14"/>
      <c r="M2453" s="50"/>
      <c r="N2453" s="50"/>
    </row>
    <row r="2454" spans="1:14" ht="31.2" x14ac:dyDescent="0.3">
      <c r="A2454" s="8" t="s">
        <v>1430</v>
      </c>
      <c r="B2454" s="62" t="s">
        <v>934</v>
      </c>
      <c r="C2454" s="68" t="s">
        <v>1372</v>
      </c>
      <c r="D2454" s="68" t="s">
        <v>1386</v>
      </c>
      <c r="E2454" s="8" t="s">
        <v>343</v>
      </c>
      <c r="F2454" s="8"/>
      <c r="G2454" s="23" t="s">
        <v>1157</v>
      </c>
      <c r="H2454" s="14">
        <f t="shared" ref="H2454:L2454" si="1087">H2455</f>
        <v>37902.5</v>
      </c>
      <c r="I2454" s="14">
        <f t="shared" si="1087"/>
        <v>37952.800000000003</v>
      </c>
      <c r="J2454" s="14">
        <f t="shared" si="1087"/>
        <v>37923.314019999998</v>
      </c>
      <c r="K2454" s="78">
        <f t="shared" si="1079"/>
        <v>99.922308815159866</v>
      </c>
      <c r="L2454" s="14">
        <f t="shared" si="1087"/>
        <v>0</v>
      </c>
      <c r="M2454" s="50"/>
      <c r="N2454" s="50"/>
    </row>
    <row r="2455" spans="1:14" x14ac:dyDescent="0.3">
      <c r="A2455" s="8" t="s">
        <v>1430</v>
      </c>
      <c r="B2455" s="62" t="s">
        <v>934</v>
      </c>
      <c r="C2455" s="68" t="s">
        <v>1372</v>
      </c>
      <c r="D2455" s="68" t="s">
        <v>1386</v>
      </c>
      <c r="E2455" s="8" t="s">
        <v>351</v>
      </c>
      <c r="F2455" s="8"/>
      <c r="G2455" s="13" t="s">
        <v>1158</v>
      </c>
      <c r="H2455" s="14">
        <f>H2456+H2459</f>
        <v>37902.5</v>
      </c>
      <c r="I2455" s="14">
        <f>I2456+I2459</f>
        <v>37952.800000000003</v>
      </c>
      <c r="J2455" s="14">
        <f t="shared" ref="J2455" si="1088">J2456+J2459</f>
        <v>37923.314019999998</v>
      </c>
      <c r="K2455" s="78">
        <f t="shared" si="1079"/>
        <v>99.922308815159866</v>
      </c>
      <c r="L2455" s="14">
        <f>L2456+L2459</f>
        <v>0</v>
      </c>
      <c r="M2455" s="50"/>
      <c r="N2455" s="50"/>
    </row>
    <row r="2456" spans="1:14" ht="31.2" x14ac:dyDescent="0.3">
      <c r="A2456" s="8" t="s">
        <v>1430</v>
      </c>
      <c r="B2456" s="62" t="s">
        <v>934</v>
      </c>
      <c r="C2456" s="68" t="s">
        <v>1372</v>
      </c>
      <c r="D2456" s="68" t="s">
        <v>1386</v>
      </c>
      <c r="E2456" s="8" t="s">
        <v>352</v>
      </c>
      <c r="F2456" s="8"/>
      <c r="G2456" s="13" t="s">
        <v>1152</v>
      </c>
      <c r="H2456" s="14">
        <f t="shared" ref="H2456:L2457" si="1089">H2457</f>
        <v>34501.800000000003</v>
      </c>
      <c r="I2456" s="14">
        <f t="shared" si="1089"/>
        <v>34656</v>
      </c>
      <c r="J2456" s="14">
        <f t="shared" si="1089"/>
        <v>34655.892</v>
      </c>
      <c r="K2456" s="78">
        <f t="shared" si="1079"/>
        <v>99.999688365650968</v>
      </c>
      <c r="L2456" s="14">
        <f t="shared" si="1089"/>
        <v>0</v>
      </c>
      <c r="M2456" s="50"/>
      <c r="N2456" s="50"/>
    </row>
    <row r="2457" spans="1:14" ht="78" x14ac:dyDescent="0.3">
      <c r="A2457" s="8" t="s">
        <v>1430</v>
      </c>
      <c r="B2457" s="62" t="s">
        <v>934</v>
      </c>
      <c r="C2457" s="68" t="s">
        <v>1372</v>
      </c>
      <c r="D2457" s="68" t="s">
        <v>1386</v>
      </c>
      <c r="E2457" s="8" t="s">
        <v>352</v>
      </c>
      <c r="F2457" s="45" t="s">
        <v>431</v>
      </c>
      <c r="G2457" s="23" t="s">
        <v>806</v>
      </c>
      <c r="H2457" s="14">
        <f t="shared" si="1089"/>
        <v>34501.800000000003</v>
      </c>
      <c r="I2457" s="14">
        <f t="shared" si="1089"/>
        <v>34656</v>
      </c>
      <c r="J2457" s="14">
        <f t="shared" si="1089"/>
        <v>34655.892</v>
      </c>
      <c r="K2457" s="78">
        <f t="shared" si="1079"/>
        <v>99.999688365650968</v>
      </c>
      <c r="L2457" s="14">
        <f t="shared" si="1089"/>
        <v>0</v>
      </c>
      <c r="M2457" s="50"/>
      <c r="N2457" s="50"/>
    </row>
    <row r="2458" spans="1:14" ht="31.2" x14ac:dyDescent="0.3">
      <c r="A2458" s="8" t="s">
        <v>1430</v>
      </c>
      <c r="B2458" s="62" t="s">
        <v>934</v>
      </c>
      <c r="C2458" s="68" t="s">
        <v>1372</v>
      </c>
      <c r="D2458" s="68" t="s">
        <v>1386</v>
      </c>
      <c r="E2458" s="8" t="s">
        <v>352</v>
      </c>
      <c r="F2458" s="45" t="s">
        <v>233</v>
      </c>
      <c r="G2458" s="23" t="s">
        <v>808</v>
      </c>
      <c r="H2458" s="14">
        <v>34501.800000000003</v>
      </c>
      <c r="I2458" s="14">
        <v>34656</v>
      </c>
      <c r="J2458" s="14">
        <v>34655.892</v>
      </c>
      <c r="K2458" s="78">
        <f t="shared" si="1079"/>
        <v>99.999688365650968</v>
      </c>
      <c r="L2458" s="14"/>
      <c r="M2458" s="50"/>
      <c r="N2458" s="50"/>
    </row>
    <row r="2459" spans="1:14" ht="31.2" x14ac:dyDescent="0.3">
      <c r="A2459" s="8" t="s">
        <v>1430</v>
      </c>
      <c r="B2459" s="62" t="s">
        <v>934</v>
      </c>
      <c r="C2459" s="68" t="s">
        <v>1372</v>
      </c>
      <c r="D2459" s="68" t="s">
        <v>1386</v>
      </c>
      <c r="E2459" s="8" t="s">
        <v>353</v>
      </c>
      <c r="F2459" s="8"/>
      <c r="G2459" s="13" t="s">
        <v>1154</v>
      </c>
      <c r="H2459" s="14">
        <f>H2462+H2464</f>
        <v>3400.7</v>
      </c>
      <c r="I2459" s="14">
        <f>I2462+I2464+I2460</f>
        <v>3296.7999999999997</v>
      </c>
      <c r="J2459" s="14">
        <f t="shared" ref="J2459:L2459" si="1090">J2462+J2464+J2460</f>
        <v>3267.42202</v>
      </c>
      <c r="K2459" s="78">
        <f t="shared" si="1079"/>
        <v>99.108894079107017</v>
      </c>
      <c r="L2459" s="14">
        <f t="shared" si="1090"/>
        <v>0</v>
      </c>
      <c r="M2459" s="50"/>
      <c r="N2459" s="50"/>
    </row>
    <row r="2460" spans="1:14" ht="78" x14ac:dyDescent="0.3">
      <c r="A2460" s="8" t="s">
        <v>1430</v>
      </c>
      <c r="B2460" s="62" t="s">
        <v>934</v>
      </c>
      <c r="C2460" s="68" t="s">
        <v>1372</v>
      </c>
      <c r="D2460" s="68" t="s">
        <v>1386</v>
      </c>
      <c r="E2460" s="8" t="s">
        <v>353</v>
      </c>
      <c r="F2460" s="45" t="s">
        <v>431</v>
      </c>
      <c r="G2460" s="23" t="s">
        <v>806</v>
      </c>
      <c r="H2460" s="20">
        <v>0</v>
      </c>
      <c r="I2460" s="14">
        <f>I2461</f>
        <v>3.16</v>
      </c>
      <c r="J2460" s="14">
        <f t="shared" ref="J2460:L2460" si="1091">J2461</f>
        <v>3.1577799999999998</v>
      </c>
      <c r="K2460" s="78">
        <f t="shared" si="1079"/>
        <v>99.929746835443026</v>
      </c>
      <c r="L2460" s="14">
        <f t="shared" si="1091"/>
        <v>0</v>
      </c>
      <c r="M2460" s="50"/>
      <c r="N2460" s="50"/>
    </row>
    <row r="2461" spans="1:14" ht="31.2" x14ac:dyDescent="0.3">
      <c r="A2461" s="8" t="s">
        <v>1430</v>
      </c>
      <c r="B2461" s="62" t="s">
        <v>934</v>
      </c>
      <c r="C2461" s="68" t="s">
        <v>1372</v>
      </c>
      <c r="D2461" s="68" t="s">
        <v>1386</v>
      </c>
      <c r="E2461" s="8" t="s">
        <v>353</v>
      </c>
      <c r="F2461" s="45" t="s">
        <v>233</v>
      </c>
      <c r="G2461" s="23" t="s">
        <v>808</v>
      </c>
      <c r="H2461" s="20">
        <v>0</v>
      </c>
      <c r="I2461" s="14">
        <v>3.16</v>
      </c>
      <c r="J2461" s="14">
        <v>3.1577799999999998</v>
      </c>
      <c r="K2461" s="78">
        <f t="shared" si="1079"/>
        <v>99.929746835443026</v>
      </c>
      <c r="L2461" s="14"/>
      <c r="M2461" s="50"/>
      <c r="N2461" s="50"/>
    </row>
    <row r="2462" spans="1:14" ht="31.2" x14ac:dyDescent="0.3">
      <c r="A2462" s="8" t="s">
        <v>1430</v>
      </c>
      <c r="B2462" s="62" t="s">
        <v>934</v>
      </c>
      <c r="C2462" s="68" t="s">
        <v>1372</v>
      </c>
      <c r="D2462" s="68" t="s">
        <v>1386</v>
      </c>
      <c r="E2462" s="8" t="s">
        <v>353</v>
      </c>
      <c r="F2462" s="45" t="s">
        <v>380</v>
      </c>
      <c r="G2462" s="23" t="s">
        <v>809</v>
      </c>
      <c r="H2462" s="14">
        <f t="shared" ref="H2462:L2462" si="1092">H2463</f>
        <v>3396</v>
      </c>
      <c r="I2462" s="14">
        <f t="shared" si="1092"/>
        <v>3141.54</v>
      </c>
      <c r="J2462" s="14">
        <f t="shared" si="1092"/>
        <v>3112.1802400000001</v>
      </c>
      <c r="K2462" s="78">
        <f t="shared" si="1079"/>
        <v>99.065434150130187</v>
      </c>
      <c r="L2462" s="14">
        <f t="shared" si="1092"/>
        <v>0</v>
      </c>
      <c r="M2462" s="50"/>
      <c r="N2462" s="50"/>
    </row>
    <row r="2463" spans="1:14" ht="31.2" x14ac:dyDescent="0.3">
      <c r="A2463" s="8" t="s">
        <v>1430</v>
      </c>
      <c r="B2463" s="62" t="s">
        <v>934</v>
      </c>
      <c r="C2463" s="68" t="s">
        <v>1372</v>
      </c>
      <c r="D2463" s="68" t="s">
        <v>1386</v>
      </c>
      <c r="E2463" s="8" t="s">
        <v>353</v>
      </c>
      <c r="F2463" s="8" t="s">
        <v>247</v>
      </c>
      <c r="G2463" s="23" t="s">
        <v>810</v>
      </c>
      <c r="H2463" s="14">
        <v>3396</v>
      </c>
      <c r="I2463" s="14">
        <v>3141.54</v>
      </c>
      <c r="J2463" s="14">
        <v>3112.1802400000001</v>
      </c>
      <c r="K2463" s="78">
        <f t="shared" si="1079"/>
        <v>99.065434150130187</v>
      </c>
      <c r="L2463" s="14"/>
      <c r="M2463" s="50"/>
      <c r="N2463" s="50"/>
    </row>
    <row r="2464" spans="1:14" x14ac:dyDescent="0.3">
      <c r="A2464" s="8" t="s">
        <v>1430</v>
      </c>
      <c r="B2464" s="62" t="s">
        <v>934</v>
      </c>
      <c r="C2464" s="68" t="s">
        <v>1372</v>
      </c>
      <c r="D2464" s="68" t="s">
        <v>1386</v>
      </c>
      <c r="E2464" s="8" t="s">
        <v>353</v>
      </c>
      <c r="F2464" s="45" t="s">
        <v>464</v>
      </c>
      <c r="G2464" s="23" t="s">
        <v>822</v>
      </c>
      <c r="H2464" s="14">
        <f t="shared" ref="H2464:L2464" si="1093">H2465</f>
        <v>4.7</v>
      </c>
      <c r="I2464" s="14">
        <f t="shared" si="1093"/>
        <v>152.1</v>
      </c>
      <c r="J2464" s="14">
        <f t="shared" si="1093"/>
        <v>152.084</v>
      </c>
      <c r="K2464" s="78">
        <f t="shared" si="1079"/>
        <v>99.989480604865221</v>
      </c>
      <c r="L2464" s="14">
        <f t="shared" si="1093"/>
        <v>0</v>
      </c>
      <c r="M2464" s="50"/>
      <c r="N2464" s="50"/>
    </row>
    <row r="2465" spans="1:14" x14ac:dyDescent="0.3">
      <c r="A2465" s="8" t="s">
        <v>1430</v>
      </c>
      <c r="B2465" s="62" t="s">
        <v>934</v>
      </c>
      <c r="C2465" s="68" t="s">
        <v>1372</v>
      </c>
      <c r="D2465" s="68" t="s">
        <v>1386</v>
      </c>
      <c r="E2465" s="8" t="s">
        <v>353</v>
      </c>
      <c r="F2465" s="45" t="s">
        <v>729</v>
      </c>
      <c r="G2465" s="23" t="s">
        <v>824</v>
      </c>
      <c r="H2465" s="14">
        <v>4.7</v>
      </c>
      <c r="I2465" s="14">
        <v>152.1</v>
      </c>
      <c r="J2465" s="14">
        <v>152.084</v>
      </c>
      <c r="K2465" s="78">
        <f t="shared" si="1079"/>
        <v>99.989480604865221</v>
      </c>
      <c r="L2465" s="14"/>
      <c r="M2465" s="50"/>
      <c r="N2465" s="50"/>
    </row>
    <row r="2466" spans="1:14" s="9" customFormat="1" x14ac:dyDescent="0.3">
      <c r="A2466" s="11" t="s">
        <v>1430</v>
      </c>
      <c r="B2466" s="48" t="s">
        <v>912</v>
      </c>
      <c r="C2466" s="48" t="s">
        <v>1372</v>
      </c>
      <c r="D2466" s="48" t="s">
        <v>1477</v>
      </c>
      <c r="E2466" s="11"/>
      <c r="F2466" s="11"/>
      <c r="G2466" s="7" t="s">
        <v>1377</v>
      </c>
      <c r="H2466" s="16">
        <f>H2467+H2476</f>
        <v>5973.9540000000006</v>
      </c>
      <c r="I2466" s="16">
        <f>I2467+I2476</f>
        <v>5972.7290000000003</v>
      </c>
      <c r="J2466" s="16">
        <f t="shared" ref="J2466" si="1094">J2467+J2476</f>
        <v>5913.1246100000008</v>
      </c>
      <c r="K2466" s="82">
        <f t="shared" si="1079"/>
        <v>99.002057685858517</v>
      </c>
      <c r="L2466" s="16">
        <f>L2467+L2476</f>
        <v>0</v>
      </c>
      <c r="M2466" s="65"/>
      <c r="N2466" s="65"/>
    </row>
    <row r="2467" spans="1:14" ht="46.8" x14ac:dyDescent="0.3">
      <c r="A2467" s="8" t="s">
        <v>1430</v>
      </c>
      <c r="B2467" s="62" t="s">
        <v>912</v>
      </c>
      <c r="C2467" s="68" t="s">
        <v>1372</v>
      </c>
      <c r="D2467" s="68" t="s">
        <v>1477</v>
      </c>
      <c r="E2467" s="8" t="s">
        <v>338</v>
      </c>
      <c r="F2467" s="8"/>
      <c r="G2467" s="13" t="s">
        <v>843</v>
      </c>
      <c r="H2467" s="14">
        <f>H2468+H2472</f>
        <v>120</v>
      </c>
      <c r="I2467" s="14">
        <f>I2468+I2472</f>
        <v>120</v>
      </c>
      <c r="J2467" s="14">
        <f t="shared" ref="J2467" si="1095">J2468+J2472</f>
        <v>120</v>
      </c>
      <c r="K2467" s="78">
        <f t="shared" si="1079"/>
        <v>100</v>
      </c>
      <c r="L2467" s="14">
        <f>L2468+L2472</f>
        <v>0</v>
      </c>
      <c r="M2467" s="50"/>
      <c r="N2467" s="50"/>
    </row>
    <row r="2468" spans="1:14" ht="46.8" x14ac:dyDescent="0.3">
      <c r="A2468" s="8" t="s">
        <v>1430</v>
      </c>
      <c r="B2468" s="62" t="s">
        <v>912</v>
      </c>
      <c r="C2468" s="68" t="s">
        <v>1372</v>
      </c>
      <c r="D2468" s="68" t="s">
        <v>1477</v>
      </c>
      <c r="E2468" s="8" t="s">
        <v>339</v>
      </c>
      <c r="F2468" s="8"/>
      <c r="G2468" s="13" t="s">
        <v>844</v>
      </c>
      <c r="H2468" s="14">
        <f t="shared" ref="H2468:L2470" si="1096">H2469</f>
        <v>95</v>
      </c>
      <c r="I2468" s="14">
        <f t="shared" si="1096"/>
        <v>95</v>
      </c>
      <c r="J2468" s="14">
        <f t="shared" si="1096"/>
        <v>95</v>
      </c>
      <c r="K2468" s="78">
        <f t="shared" si="1079"/>
        <v>100</v>
      </c>
      <c r="L2468" s="14">
        <f t="shared" si="1096"/>
        <v>0</v>
      </c>
      <c r="M2468" s="50"/>
      <c r="N2468" s="50"/>
    </row>
    <row r="2469" spans="1:14" ht="62.4" x14ac:dyDescent="0.3">
      <c r="A2469" s="8" t="s">
        <v>1430</v>
      </c>
      <c r="B2469" s="62" t="s">
        <v>912</v>
      </c>
      <c r="C2469" s="68" t="s">
        <v>1372</v>
      </c>
      <c r="D2469" s="68" t="s">
        <v>1477</v>
      </c>
      <c r="E2469" s="8" t="s">
        <v>340</v>
      </c>
      <c r="F2469" s="8"/>
      <c r="G2469" s="13" t="s">
        <v>845</v>
      </c>
      <c r="H2469" s="14">
        <f t="shared" si="1096"/>
        <v>95</v>
      </c>
      <c r="I2469" s="14">
        <f t="shared" si="1096"/>
        <v>95</v>
      </c>
      <c r="J2469" s="14">
        <f t="shared" si="1096"/>
        <v>95</v>
      </c>
      <c r="K2469" s="78">
        <f t="shared" si="1079"/>
        <v>100</v>
      </c>
      <c r="L2469" s="14">
        <f t="shared" si="1096"/>
        <v>0</v>
      </c>
      <c r="M2469" s="50"/>
      <c r="N2469" s="50"/>
    </row>
    <row r="2470" spans="1:14" ht="31.2" x14ac:dyDescent="0.3">
      <c r="A2470" s="8" t="s">
        <v>1430</v>
      </c>
      <c r="B2470" s="62" t="s">
        <v>912</v>
      </c>
      <c r="C2470" s="68" t="s">
        <v>1372</v>
      </c>
      <c r="D2470" s="68" t="s">
        <v>1477</v>
      </c>
      <c r="E2470" s="8" t="s">
        <v>340</v>
      </c>
      <c r="F2470" s="45" t="s">
        <v>402</v>
      </c>
      <c r="G2470" s="23" t="s">
        <v>819</v>
      </c>
      <c r="H2470" s="14">
        <f t="shared" si="1096"/>
        <v>95</v>
      </c>
      <c r="I2470" s="14">
        <f t="shared" si="1096"/>
        <v>95</v>
      </c>
      <c r="J2470" s="14">
        <f t="shared" si="1096"/>
        <v>95</v>
      </c>
      <c r="K2470" s="78">
        <f t="shared" si="1079"/>
        <v>100</v>
      </c>
      <c r="L2470" s="14">
        <f t="shared" si="1096"/>
        <v>0</v>
      </c>
      <c r="M2470" s="50"/>
      <c r="N2470" s="50"/>
    </row>
    <row r="2471" spans="1:14" ht="46.8" x14ac:dyDescent="0.3">
      <c r="A2471" s="8" t="s">
        <v>1430</v>
      </c>
      <c r="B2471" s="62" t="s">
        <v>912</v>
      </c>
      <c r="C2471" s="68" t="s">
        <v>1372</v>
      </c>
      <c r="D2471" s="68" t="s">
        <v>1477</v>
      </c>
      <c r="E2471" s="8" t="s">
        <v>340</v>
      </c>
      <c r="F2471" s="45" t="s">
        <v>280</v>
      </c>
      <c r="G2471" s="23" t="s">
        <v>821</v>
      </c>
      <c r="H2471" s="14">
        <v>95</v>
      </c>
      <c r="I2471" s="14">
        <v>95</v>
      </c>
      <c r="J2471" s="14">
        <v>95</v>
      </c>
      <c r="K2471" s="78">
        <f t="shared" si="1079"/>
        <v>100</v>
      </c>
      <c r="L2471" s="14"/>
      <c r="M2471" s="50"/>
      <c r="N2471" s="50"/>
    </row>
    <row r="2472" spans="1:14" ht="46.8" x14ac:dyDescent="0.3">
      <c r="A2472" s="8" t="s">
        <v>1430</v>
      </c>
      <c r="B2472" s="62" t="s">
        <v>912</v>
      </c>
      <c r="C2472" s="68" t="s">
        <v>1372</v>
      </c>
      <c r="D2472" s="68" t="s">
        <v>1477</v>
      </c>
      <c r="E2472" s="8" t="s">
        <v>341</v>
      </c>
      <c r="F2472" s="8"/>
      <c r="G2472" s="13" t="s">
        <v>846</v>
      </c>
      <c r="H2472" s="14">
        <f t="shared" ref="H2472:L2474" si="1097">H2473</f>
        <v>25</v>
      </c>
      <c r="I2472" s="14">
        <f t="shared" si="1097"/>
        <v>25</v>
      </c>
      <c r="J2472" s="14">
        <f t="shared" si="1097"/>
        <v>25</v>
      </c>
      <c r="K2472" s="78">
        <f t="shared" si="1079"/>
        <v>100</v>
      </c>
      <c r="L2472" s="14">
        <f t="shared" si="1097"/>
        <v>0</v>
      </c>
      <c r="M2472" s="50"/>
      <c r="N2472" s="50"/>
    </row>
    <row r="2473" spans="1:14" ht="62.4" x14ac:dyDescent="0.3">
      <c r="A2473" s="8" t="s">
        <v>1430</v>
      </c>
      <c r="B2473" s="62" t="s">
        <v>912</v>
      </c>
      <c r="C2473" s="68" t="s">
        <v>1372</v>
      </c>
      <c r="D2473" s="68" t="s">
        <v>1477</v>
      </c>
      <c r="E2473" s="8" t="s">
        <v>342</v>
      </c>
      <c r="F2473" s="8"/>
      <c r="G2473" s="13" t="s">
        <v>847</v>
      </c>
      <c r="H2473" s="14">
        <f t="shared" si="1097"/>
        <v>25</v>
      </c>
      <c r="I2473" s="14">
        <f t="shared" si="1097"/>
        <v>25</v>
      </c>
      <c r="J2473" s="14">
        <f t="shared" si="1097"/>
        <v>25</v>
      </c>
      <c r="K2473" s="78">
        <f t="shared" si="1079"/>
        <v>100</v>
      </c>
      <c r="L2473" s="14">
        <f t="shared" si="1097"/>
        <v>0</v>
      </c>
      <c r="M2473" s="50"/>
      <c r="N2473" s="50"/>
    </row>
    <row r="2474" spans="1:14" ht="31.2" x14ac:dyDescent="0.3">
      <c r="A2474" s="8" t="s">
        <v>1430</v>
      </c>
      <c r="B2474" s="62" t="s">
        <v>912</v>
      </c>
      <c r="C2474" s="68" t="s">
        <v>1372</v>
      </c>
      <c r="D2474" s="68" t="s">
        <v>1477</v>
      </c>
      <c r="E2474" s="8" t="s">
        <v>342</v>
      </c>
      <c r="F2474" s="45" t="s">
        <v>402</v>
      </c>
      <c r="G2474" s="23" t="s">
        <v>819</v>
      </c>
      <c r="H2474" s="14">
        <f t="shared" si="1097"/>
        <v>25</v>
      </c>
      <c r="I2474" s="14">
        <f t="shared" si="1097"/>
        <v>25</v>
      </c>
      <c r="J2474" s="14">
        <f t="shared" si="1097"/>
        <v>25</v>
      </c>
      <c r="K2474" s="78">
        <f t="shared" si="1079"/>
        <v>100</v>
      </c>
      <c r="L2474" s="14">
        <f t="shared" si="1097"/>
        <v>0</v>
      </c>
      <c r="M2474" s="50"/>
      <c r="N2474" s="50"/>
    </row>
    <row r="2475" spans="1:14" ht="46.8" x14ac:dyDescent="0.3">
      <c r="A2475" s="8" t="s">
        <v>1430</v>
      </c>
      <c r="B2475" s="62" t="s">
        <v>912</v>
      </c>
      <c r="C2475" s="68" t="s">
        <v>1372</v>
      </c>
      <c r="D2475" s="68" t="s">
        <v>1477</v>
      </c>
      <c r="E2475" s="8" t="s">
        <v>342</v>
      </c>
      <c r="F2475" s="45" t="s">
        <v>280</v>
      </c>
      <c r="G2475" s="23" t="s">
        <v>821</v>
      </c>
      <c r="H2475" s="14">
        <v>25</v>
      </c>
      <c r="I2475" s="14">
        <v>25</v>
      </c>
      <c r="J2475" s="14">
        <v>25</v>
      </c>
      <c r="K2475" s="78">
        <f t="shared" si="1079"/>
        <v>100</v>
      </c>
      <c r="L2475" s="14"/>
      <c r="M2475" s="50"/>
      <c r="N2475" s="50"/>
    </row>
    <row r="2476" spans="1:14" x14ac:dyDescent="0.3">
      <c r="A2476" s="8" t="s">
        <v>1430</v>
      </c>
      <c r="B2476" s="62" t="s">
        <v>912</v>
      </c>
      <c r="C2476" s="68" t="s">
        <v>1372</v>
      </c>
      <c r="D2476" s="68" t="s">
        <v>1477</v>
      </c>
      <c r="E2476" s="8" t="s">
        <v>354</v>
      </c>
      <c r="F2476" s="8"/>
      <c r="G2476" s="13" t="s">
        <v>869</v>
      </c>
      <c r="H2476" s="14">
        <f>H2477+H2488</f>
        <v>5853.9540000000006</v>
      </c>
      <c r="I2476" s="14">
        <f>I2477+I2488</f>
        <v>5852.7290000000003</v>
      </c>
      <c r="J2476" s="14">
        <f t="shared" ref="J2476" si="1098">J2477+J2488</f>
        <v>5793.1246100000008</v>
      </c>
      <c r="K2476" s="78">
        <f t="shared" si="1079"/>
        <v>98.981596619286492</v>
      </c>
      <c r="L2476" s="14">
        <f>L2477+L2488</f>
        <v>0</v>
      </c>
      <c r="M2476" s="50"/>
      <c r="N2476" s="50"/>
    </row>
    <row r="2477" spans="1:14" ht="46.8" x14ac:dyDescent="0.3">
      <c r="A2477" s="8" t="s">
        <v>1430</v>
      </c>
      <c r="B2477" s="62" t="s">
        <v>912</v>
      </c>
      <c r="C2477" s="68" t="s">
        <v>1372</v>
      </c>
      <c r="D2477" s="68" t="s">
        <v>1477</v>
      </c>
      <c r="E2477" s="8" t="s">
        <v>648</v>
      </c>
      <c r="F2477" s="8"/>
      <c r="G2477" s="13" t="s">
        <v>870</v>
      </c>
      <c r="H2477" s="14">
        <f t="shared" ref="H2477:L2477" si="1099">H2478</f>
        <v>4294.1000000000004</v>
      </c>
      <c r="I2477" s="14">
        <f t="shared" si="1099"/>
        <v>4294.1000000000004</v>
      </c>
      <c r="J2477" s="14">
        <f t="shared" si="1099"/>
        <v>4294.1000000000004</v>
      </c>
      <c r="K2477" s="78">
        <f t="shared" si="1079"/>
        <v>100</v>
      </c>
      <c r="L2477" s="14">
        <f t="shared" si="1099"/>
        <v>0</v>
      </c>
      <c r="M2477" s="50"/>
      <c r="N2477" s="50"/>
    </row>
    <row r="2478" spans="1:14" ht="46.8" x14ac:dyDescent="0.3">
      <c r="A2478" s="8" t="s">
        <v>1430</v>
      </c>
      <c r="B2478" s="62" t="s">
        <v>912</v>
      </c>
      <c r="C2478" s="68" t="s">
        <v>1372</v>
      </c>
      <c r="D2478" s="68" t="s">
        <v>1477</v>
      </c>
      <c r="E2478" s="8" t="s">
        <v>1305</v>
      </c>
      <c r="F2478" s="8"/>
      <c r="G2478" s="18" t="s">
        <v>115</v>
      </c>
      <c r="H2478" s="14">
        <f>H2479+H2482+H2485</f>
        <v>4294.1000000000004</v>
      </c>
      <c r="I2478" s="14">
        <f>I2479+I2482+I2485</f>
        <v>4294.1000000000004</v>
      </c>
      <c r="J2478" s="14">
        <f t="shared" ref="J2478" si="1100">J2479+J2482+J2485</f>
        <v>4294.1000000000004</v>
      </c>
      <c r="K2478" s="78">
        <f t="shared" si="1079"/>
        <v>100</v>
      </c>
      <c r="L2478" s="14">
        <f>L2479+L2482+L2485</f>
        <v>0</v>
      </c>
      <c r="M2478" s="50"/>
      <c r="N2478" s="50"/>
    </row>
    <row r="2479" spans="1:14" ht="31.2" x14ac:dyDescent="0.3">
      <c r="A2479" s="8" t="s">
        <v>1430</v>
      </c>
      <c r="B2479" s="62" t="s">
        <v>912</v>
      </c>
      <c r="C2479" s="68" t="s">
        <v>1372</v>
      </c>
      <c r="D2479" s="68" t="s">
        <v>1477</v>
      </c>
      <c r="E2479" s="8" t="s">
        <v>1306</v>
      </c>
      <c r="F2479" s="8"/>
      <c r="G2479" s="13" t="s">
        <v>872</v>
      </c>
      <c r="H2479" s="14">
        <f t="shared" ref="H2479:L2480" si="1101">H2480</f>
        <v>3564.4</v>
      </c>
      <c r="I2479" s="14">
        <f t="shared" si="1101"/>
        <v>3564.4</v>
      </c>
      <c r="J2479" s="14">
        <f t="shared" si="1101"/>
        <v>3564.4</v>
      </c>
      <c r="K2479" s="78">
        <f t="shared" si="1079"/>
        <v>100</v>
      </c>
      <c r="L2479" s="14">
        <f t="shared" si="1101"/>
        <v>0</v>
      </c>
      <c r="M2479" s="50"/>
      <c r="N2479" s="50"/>
    </row>
    <row r="2480" spans="1:14" ht="31.2" x14ac:dyDescent="0.3">
      <c r="A2480" s="8" t="s">
        <v>1430</v>
      </c>
      <c r="B2480" s="62" t="s">
        <v>912</v>
      </c>
      <c r="C2480" s="68" t="s">
        <v>1372</v>
      </c>
      <c r="D2480" s="68" t="s">
        <v>1477</v>
      </c>
      <c r="E2480" s="8" t="s">
        <v>1306</v>
      </c>
      <c r="F2480" s="45" t="s">
        <v>402</v>
      </c>
      <c r="G2480" s="23" t="s">
        <v>819</v>
      </c>
      <c r="H2480" s="14">
        <f t="shared" si="1101"/>
        <v>3564.4</v>
      </c>
      <c r="I2480" s="14">
        <f t="shared" si="1101"/>
        <v>3564.4</v>
      </c>
      <c r="J2480" s="14">
        <f t="shared" si="1101"/>
        <v>3564.4</v>
      </c>
      <c r="K2480" s="78">
        <f t="shared" si="1079"/>
        <v>100</v>
      </c>
      <c r="L2480" s="14">
        <f t="shared" si="1101"/>
        <v>0</v>
      </c>
      <c r="M2480" s="50"/>
      <c r="N2480" s="50"/>
    </row>
    <row r="2481" spans="1:14" ht="46.8" x14ac:dyDescent="0.3">
      <c r="A2481" s="8" t="s">
        <v>1430</v>
      </c>
      <c r="B2481" s="62" t="s">
        <v>912</v>
      </c>
      <c r="C2481" s="68" t="s">
        <v>1372</v>
      </c>
      <c r="D2481" s="68" t="s">
        <v>1477</v>
      </c>
      <c r="E2481" s="8" t="s">
        <v>1306</v>
      </c>
      <c r="F2481" s="45" t="s">
        <v>280</v>
      </c>
      <c r="G2481" s="23" t="s">
        <v>821</v>
      </c>
      <c r="H2481" s="14">
        <v>3564.4</v>
      </c>
      <c r="I2481" s="14">
        <v>3564.4</v>
      </c>
      <c r="J2481" s="14">
        <v>3564.4</v>
      </c>
      <c r="K2481" s="78">
        <f t="shared" si="1079"/>
        <v>100</v>
      </c>
      <c r="L2481" s="14"/>
      <c r="M2481" s="50"/>
      <c r="N2481" s="50"/>
    </row>
    <row r="2482" spans="1:14" ht="31.2" x14ac:dyDescent="0.3">
      <c r="A2482" s="8" t="s">
        <v>1430</v>
      </c>
      <c r="B2482" s="62" t="s">
        <v>912</v>
      </c>
      <c r="C2482" s="68" t="s">
        <v>1372</v>
      </c>
      <c r="D2482" s="68" t="s">
        <v>1477</v>
      </c>
      <c r="E2482" s="8" t="s">
        <v>1307</v>
      </c>
      <c r="F2482" s="8"/>
      <c r="G2482" s="18" t="s">
        <v>758</v>
      </c>
      <c r="H2482" s="14">
        <f t="shared" ref="H2482:L2483" si="1102">H2483</f>
        <v>439.7</v>
      </c>
      <c r="I2482" s="14">
        <f t="shared" si="1102"/>
        <v>439.7</v>
      </c>
      <c r="J2482" s="14">
        <f t="shared" si="1102"/>
        <v>439.7</v>
      </c>
      <c r="K2482" s="78">
        <f t="shared" si="1079"/>
        <v>100</v>
      </c>
      <c r="L2482" s="14">
        <f t="shared" si="1102"/>
        <v>0</v>
      </c>
      <c r="M2482" s="50"/>
      <c r="N2482" s="50"/>
    </row>
    <row r="2483" spans="1:14" ht="31.2" x14ac:dyDescent="0.3">
      <c r="A2483" s="8" t="s">
        <v>1430</v>
      </c>
      <c r="B2483" s="62" t="s">
        <v>912</v>
      </c>
      <c r="C2483" s="68" t="s">
        <v>1372</v>
      </c>
      <c r="D2483" s="68" t="s">
        <v>1477</v>
      </c>
      <c r="E2483" s="8" t="s">
        <v>1307</v>
      </c>
      <c r="F2483" s="45" t="s">
        <v>402</v>
      </c>
      <c r="G2483" s="23" t="s">
        <v>819</v>
      </c>
      <c r="H2483" s="14">
        <f t="shared" si="1102"/>
        <v>439.7</v>
      </c>
      <c r="I2483" s="14">
        <f t="shared" si="1102"/>
        <v>439.7</v>
      </c>
      <c r="J2483" s="14">
        <f t="shared" si="1102"/>
        <v>439.7</v>
      </c>
      <c r="K2483" s="78">
        <f t="shared" si="1079"/>
        <v>100</v>
      </c>
      <c r="L2483" s="14">
        <f t="shared" si="1102"/>
        <v>0</v>
      </c>
      <c r="M2483" s="50"/>
      <c r="N2483" s="50"/>
    </row>
    <row r="2484" spans="1:14" ht="46.8" x14ac:dyDescent="0.3">
      <c r="A2484" s="8" t="s">
        <v>1430</v>
      </c>
      <c r="B2484" s="62" t="s">
        <v>912</v>
      </c>
      <c r="C2484" s="68" t="s">
        <v>1372</v>
      </c>
      <c r="D2484" s="68" t="s">
        <v>1477</v>
      </c>
      <c r="E2484" s="8" t="s">
        <v>1307</v>
      </c>
      <c r="F2484" s="45" t="s">
        <v>280</v>
      </c>
      <c r="G2484" s="23" t="s">
        <v>821</v>
      </c>
      <c r="H2484" s="14">
        <v>439.7</v>
      </c>
      <c r="I2484" s="14">
        <v>439.7</v>
      </c>
      <c r="J2484" s="14">
        <v>439.7</v>
      </c>
      <c r="K2484" s="78">
        <f t="shared" si="1079"/>
        <v>100</v>
      </c>
      <c r="L2484" s="14"/>
      <c r="M2484" s="50"/>
      <c r="N2484" s="50"/>
    </row>
    <row r="2485" spans="1:14" ht="62.4" x14ac:dyDescent="0.3">
      <c r="A2485" s="8" t="s">
        <v>1430</v>
      </c>
      <c r="B2485" s="62" t="s">
        <v>912</v>
      </c>
      <c r="C2485" s="68" t="s">
        <v>1372</v>
      </c>
      <c r="D2485" s="68" t="s">
        <v>1477</v>
      </c>
      <c r="E2485" s="8" t="s">
        <v>1308</v>
      </c>
      <c r="F2485" s="8"/>
      <c r="G2485" s="13" t="s">
        <v>301</v>
      </c>
      <c r="H2485" s="14">
        <f t="shared" ref="H2485:L2486" si="1103">H2486</f>
        <v>290</v>
      </c>
      <c r="I2485" s="14">
        <f t="shared" si="1103"/>
        <v>290</v>
      </c>
      <c r="J2485" s="14">
        <f t="shared" si="1103"/>
        <v>290</v>
      </c>
      <c r="K2485" s="78">
        <f t="shared" si="1079"/>
        <v>100</v>
      </c>
      <c r="L2485" s="14">
        <f t="shared" si="1103"/>
        <v>0</v>
      </c>
      <c r="M2485" s="50"/>
      <c r="N2485" s="50"/>
    </row>
    <row r="2486" spans="1:14" ht="31.2" x14ac:dyDescent="0.3">
      <c r="A2486" s="8" t="s">
        <v>1430</v>
      </c>
      <c r="B2486" s="62" t="s">
        <v>912</v>
      </c>
      <c r="C2486" s="68" t="s">
        <v>1372</v>
      </c>
      <c r="D2486" s="68" t="s">
        <v>1477</v>
      </c>
      <c r="E2486" s="8" t="s">
        <v>1308</v>
      </c>
      <c r="F2486" s="45" t="s">
        <v>402</v>
      </c>
      <c r="G2486" s="23" t="s">
        <v>819</v>
      </c>
      <c r="H2486" s="14">
        <f t="shared" si="1103"/>
        <v>290</v>
      </c>
      <c r="I2486" s="14">
        <f t="shared" si="1103"/>
        <v>290</v>
      </c>
      <c r="J2486" s="14">
        <f t="shared" si="1103"/>
        <v>290</v>
      </c>
      <c r="K2486" s="78">
        <f t="shared" si="1079"/>
        <v>100</v>
      </c>
      <c r="L2486" s="14">
        <f t="shared" si="1103"/>
        <v>0</v>
      </c>
      <c r="M2486" s="50"/>
      <c r="N2486" s="50"/>
    </row>
    <row r="2487" spans="1:14" ht="46.8" x14ac:dyDescent="0.3">
      <c r="A2487" s="8" t="s">
        <v>1430</v>
      </c>
      <c r="B2487" s="62" t="s">
        <v>912</v>
      </c>
      <c r="C2487" s="68" t="s">
        <v>1372</v>
      </c>
      <c r="D2487" s="68" t="s">
        <v>1477</v>
      </c>
      <c r="E2487" s="8" t="s">
        <v>1308</v>
      </c>
      <c r="F2487" s="45" t="s">
        <v>280</v>
      </c>
      <c r="G2487" s="23" t="s">
        <v>821</v>
      </c>
      <c r="H2487" s="14">
        <v>290</v>
      </c>
      <c r="I2487" s="14">
        <v>290</v>
      </c>
      <c r="J2487" s="14">
        <v>290</v>
      </c>
      <c r="K2487" s="78">
        <f t="shared" si="1079"/>
        <v>100</v>
      </c>
      <c r="L2487" s="14"/>
      <c r="M2487" s="50"/>
      <c r="N2487" s="50"/>
    </row>
    <row r="2488" spans="1:14" ht="31.2" x14ac:dyDescent="0.3">
      <c r="A2488" s="8" t="s">
        <v>1430</v>
      </c>
      <c r="B2488" s="62" t="s">
        <v>912</v>
      </c>
      <c r="C2488" s="68" t="s">
        <v>1372</v>
      </c>
      <c r="D2488" s="68" t="s">
        <v>1477</v>
      </c>
      <c r="E2488" s="8" t="s">
        <v>1310</v>
      </c>
      <c r="F2488" s="8"/>
      <c r="G2488" s="18" t="s">
        <v>116</v>
      </c>
      <c r="H2488" s="14">
        <f t="shared" ref="H2488:L2488" si="1104">H2489</f>
        <v>1559.854</v>
      </c>
      <c r="I2488" s="14">
        <f t="shared" si="1104"/>
        <v>1558.6289999999999</v>
      </c>
      <c r="J2488" s="14">
        <f t="shared" si="1104"/>
        <v>1499.0246099999999</v>
      </c>
      <c r="K2488" s="78">
        <f t="shared" si="1079"/>
        <v>96.175844925251624</v>
      </c>
      <c r="L2488" s="14">
        <f t="shared" si="1104"/>
        <v>0</v>
      </c>
      <c r="M2488" s="50"/>
      <c r="N2488" s="50"/>
    </row>
    <row r="2489" spans="1:14" ht="78" x14ac:dyDescent="0.3">
      <c r="A2489" s="8" t="s">
        <v>1430</v>
      </c>
      <c r="B2489" s="62" t="s">
        <v>912</v>
      </c>
      <c r="C2489" s="68" t="s">
        <v>1372</v>
      </c>
      <c r="D2489" s="68" t="s">
        <v>1477</v>
      </c>
      <c r="E2489" s="8" t="s">
        <v>1311</v>
      </c>
      <c r="F2489" s="8"/>
      <c r="G2489" s="13" t="s">
        <v>873</v>
      </c>
      <c r="H2489" s="14">
        <f>H2490+H2493</f>
        <v>1559.854</v>
      </c>
      <c r="I2489" s="14">
        <f>I2490+I2493</f>
        <v>1558.6289999999999</v>
      </c>
      <c r="J2489" s="14">
        <f t="shared" ref="J2489" si="1105">J2490+J2493</f>
        <v>1499.0246099999999</v>
      </c>
      <c r="K2489" s="78">
        <f t="shared" si="1079"/>
        <v>96.175844925251624</v>
      </c>
      <c r="L2489" s="14">
        <f>L2490+L2493</f>
        <v>0</v>
      </c>
      <c r="M2489" s="50"/>
      <c r="N2489" s="50"/>
    </row>
    <row r="2490" spans="1:14" ht="31.2" x14ac:dyDescent="0.3">
      <c r="A2490" s="8" t="s">
        <v>1430</v>
      </c>
      <c r="B2490" s="62" t="s">
        <v>912</v>
      </c>
      <c r="C2490" s="68" t="s">
        <v>1372</v>
      </c>
      <c r="D2490" s="68" t="s">
        <v>1477</v>
      </c>
      <c r="E2490" s="8" t="s">
        <v>1312</v>
      </c>
      <c r="F2490" s="8"/>
      <c r="G2490" s="13" t="s">
        <v>874</v>
      </c>
      <c r="H2490" s="14">
        <f t="shared" ref="H2490:L2490" si="1106">H2491</f>
        <v>1339.8790000000001</v>
      </c>
      <c r="I2490" s="14">
        <f t="shared" si="1106"/>
        <v>1339.8789999999999</v>
      </c>
      <c r="J2490" s="14">
        <f t="shared" si="1106"/>
        <v>1280.2746099999999</v>
      </c>
      <c r="K2490" s="78">
        <f t="shared" si="1079"/>
        <v>95.551509501977421</v>
      </c>
      <c r="L2490" s="14">
        <f t="shared" si="1106"/>
        <v>0</v>
      </c>
      <c r="M2490" s="50"/>
      <c r="N2490" s="50"/>
    </row>
    <row r="2491" spans="1:14" ht="31.2" x14ac:dyDescent="0.3">
      <c r="A2491" s="8" t="s">
        <v>1430</v>
      </c>
      <c r="B2491" s="62" t="s">
        <v>912</v>
      </c>
      <c r="C2491" s="68" t="s">
        <v>1372</v>
      </c>
      <c r="D2491" s="68" t="s">
        <v>1477</v>
      </c>
      <c r="E2491" s="8" t="s">
        <v>1312</v>
      </c>
      <c r="F2491" s="45" t="s">
        <v>380</v>
      </c>
      <c r="G2491" s="23" t="s">
        <v>809</v>
      </c>
      <c r="H2491" s="14">
        <f t="shared" ref="H2491:L2491" si="1107">H2492</f>
        <v>1339.8790000000001</v>
      </c>
      <c r="I2491" s="14">
        <f t="shared" si="1107"/>
        <v>1339.8789999999999</v>
      </c>
      <c r="J2491" s="14">
        <f t="shared" si="1107"/>
        <v>1280.2746099999999</v>
      </c>
      <c r="K2491" s="78">
        <f t="shared" si="1079"/>
        <v>95.551509501977421</v>
      </c>
      <c r="L2491" s="14">
        <f t="shared" si="1107"/>
        <v>0</v>
      </c>
      <c r="M2491" s="50"/>
      <c r="N2491" s="50"/>
    </row>
    <row r="2492" spans="1:14" ht="31.2" x14ac:dyDescent="0.3">
      <c r="A2492" s="8" t="s">
        <v>1430</v>
      </c>
      <c r="B2492" s="62" t="s">
        <v>912</v>
      </c>
      <c r="C2492" s="68" t="s">
        <v>1372</v>
      </c>
      <c r="D2492" s="68" t="s">
        <v>1477</v>
      </c>
      <c r="E2492" s="8" t="s">
        <v>1312</v>
      </c>
      <c r="F2492" s="8" t="s">
        <v>247</v>
      </c>
      <c r="G2492" s="23" t="s">
        <v>810</v>
      </c>
      <c r="H2492" s="14">
        <f>1340.4-0.521</f>
        <v>1339.8790000000001</v>
      </c>
      <c r="I2492" s="14">
        <v>1339.8789999999999</v>
      </c>
      <c r="J2492" s="14">
        <v>1280.2746099999999</v>
      </c>
      <c r="K2492" s="78">
        <f t="shared" si="1079"/>
        <v>95.551509501977421</v>
      </c>
      <c r="L2492" s="14"/>
      <c r="M2492" s="50"/>
      <c r="N2492" s="50"/>
    </row>
    <row r="2493" spans="1:14" ht="78" x14ac:dyDescent="0.3">
      <c r="A2493" s="8" t="s">
        <v>1430</v>
      </c>
      <c r="B2493" s="62" t="s">
        <v>912</v>
      </c>
      <c r="C2493" s="68" t="s">
        <v>1372</v>
      </c>
      <c r="D2493" s="68" t="s">
        <v>1477</v>
      </c>
      <c r="E2493" s="8" t="s">
        <v>1313</v>
      </c>
      <c r="F2493" s="8"/>
      <c r="G2493" s="13" t="s">
        <v>875</v>
      </c>
      <c r="H2493" s="14">
        <f t="shared" ref="H2493:L2494" si="1108">H2494</f>
        <v>219.97499999999999</v>
      </c>
      <c r="I2493" s="14">
        <f t="shared" si="1108"/>
        <v>218.75</v>
      </c>
      <c r="J2493" s="14">
        <f t="shared" si="1108"/>
        <v>218.75</v>
      </c>
      <c r="K2493" s="78">
        <f t="shared" si="1079"/>
        <v>100</v>
      </c>
      <c r="L2493" s="14">
        <f t="shared" si="1108"/>
        <v>0</v>
      </c>
      <c r="M2493" s="50"/>
      <c r="N2493" s="50"/>
    </row>
    <row r="2494" spans="1:14" ht="31.2" x14ac:dyDescent="0.3">
      <c r="A2494" s="8" t="s">
        <v>1430</v>
      </c>
      <c r="B2494" s="62" t="s">
        <v>912</v>
      </c>
      <c r="C2494" s="68" t="s">
        <v>1372</v>
      </c>
      <c r="D2494" s="68" t="s">
        <v>1477</v>
      </c>
      <c r="E2494" s="8" t="s">
        <v>1313</v>
      </c>
      <c r="F2494" s="45" t="s">
        <v>380</v>
      </c>
      <c r="G2494" s="23" t="s">
        <v>809</v>
      </c>
      <c r="H2494" s="14">
        <f t="shared" si="1108"/>
        <v>219.97499999999999</v>
      </c>
      <c r="I2494" s="14">
        <f t="shared" si="1108"/>
        <v>218.75</v>
      </c>
      <c r="J2494" s="14">
        <f t="shared" si="1108"/>
        <v>218.75</v>
      </c>
      <c r="K2494" s="78">
        <f t="shared" si="1079"/>
        <v>100</v>
      </c>
      <c r="L2494" s="14">
        <f t="shared" si="1108"/>
        <v>0</v>
      </c>
      <c r="M2494" s="50"/>
      <c r="N2494" s="50"/>
    </row>
    <row r="2495" spans="1:14" ht="31.2" x14ac:dyDescent="0.3">
      <c r="A2495" s="8" t="s">
        <v>1430</v>
      </c>
      <c r="B2495" s="62" t="s">
        <v>912</v>
      </c>
      <c r="C2495" s="68" t="s">
        <v>1372</v>
      </c>
      <c r="D2495" s="68" t="s">
        <v>1477</v>
      </c>
      <c r="E2495" s="8" t="s">
        <v>1313</v>
      </c>
      <c r="F2495" s="8" t="s">
        <v>247</v>
      </c>
      <c r="G2495" s="23" t="s">
        <v>810</v>
      </c>
      <c r="H2495" s="14">
        <f>221.5-1.525</f>
        <v>219.97499999999999</v>
      </c>
      <c r="I2495" s="14">
        <v>218.75</v>
      </c>
      <c r="J2495" s="14">
        <v>218.75</v>
      </c>
      <c r="K2495" s="78">
        <f t="shared" si="1079"/>
        <v>100</v>
      </c>
      <c r="L2495" s="14"/>
      <c r="M2495" s="50"/>
      <c r="N2495" s="50"/>
    </row>
    <row r="2496" spans="1:14" s="3" customFormat="1" ht="31.2" x14ac:dyDescent="0.3">
      <c r="A2496" s="10" t="s">
        <v>1430</v>
      </c>
      <c r="B2496" s="43" t="s">
        <v>1391</v>
      </c>
      <c r="C2496" s="43" t="s">
        <v>1391</v>
      </c>
      <c r="D2496" s="43" t="s">
        <v>915</v>
      </c>
      <c r="E2496" s="10"/>
      <c r="F2496" s="10"/>
      <c r="G2496" s="5" t="s">
        <v>1415</v>
      </c>
      <c r="H2496" s="15">
        <f t="shared" ref="H2496:L2496" si="1109">H2503+H2497</f>
        <v>2104.982</v>
      </c>
      <c r="I2496" s="15">
        <f t="shared" si="1109"/>
        <v>2428.9929999999999</v>
      </c>
      <c r="J2496" s="15">
        <f t="shared" si="1109"/>
        <v>1321.04008</v>
      </c>
      <c r="K2496" s="81">
        <f t="shared" si="1079"/>
        <v>54.386327173441842</v>
      </c>
      <c r="L2496" s="15">
        <f t="shared" si="1109"/>
        <v>0</v>
      </c>
      <c r="M2496" s="65"/>
      <c r="N2496" s="65"/>
    </row>
    <row r="2497" spans="1:14" s="9" customFormat="1" ht="46.8" x14ac:dyDescent="0.3">
      <c r="A2497" s="11" t="s">
        <v>1430</v>
      </c>
      <c r="B2497" s="48" t="s">
        <v>935</v>
      </c>
      <c r="C2497" s="48" t="s">
        <v>1391</v>
      </c>
      <c r="D2497" s="48" t="s">
        <v>1398</v>
      </c>
      <c r="E2497" s="11"/>
      <c r="F2497" s="11"/>
      <c r="G2497" s="7" t="s">
        <v>1420</v>
      </c>
      <c r="H2497" s="16">
        <f>H2498</f>
        <v>530.20000000000005</v>
      </c>
      <c r="I2497" s="16">
        <f t="shared" ref="I2497:L2497" si="1110">I2498</f>
        <v>530.20000000000005</v>
      </c>
      <c r="J2497" s="16">
        <f t="shared" si="1110"/>
        <v>382.79422</v>
      </c>
      <c r="K2497" s="82">
        <f t="shared" si="1079"/>
        <v>72.1980799698227</v>
      </c>
      <c r="L2497" s="16">
        <f t="shared" si="1110"/>
        <v>0</v>
      </c>
      <c r="M2497" s="65"/>
      <c r="N2497" s="65"/>
    </row>
    <row r="2498" spans="1:14" ht="31.2" x14ac:dyDescent="0.3">
      <c r="A2498" s="8" t="s">
        <v>1430</v>
      </c>
      <c r="B2498" s="62" t="s">
        <v>935</v>
      </c>
      <c r="C2498" s="68" t="s">
        <v>1391</v>
      </c>
      <c r="D2498" s="68" t="s">
        <v>1398</v>
      </c>
      <c r="E2498" s="8" t="s">
        <v>429</v>
      </c>
      <c r="F2498" s="8"/>
      <c r="G2498" s="23" t="s">
        <v>1140</v>
      </c>
      <c r="H2498" s="14">
        <f t="shared" ref="H2498:L2501" si="1111">H2499</f>
        <v>530.20000000000005</v>
      </c>
      <c r="I2498" s="14">
        <f t="shared" si="1111"/>
        <v>530.20000000000005</v>
      </c>
      <c r="J2498" s="14">
        <f t="shared" si="1111"/>
        <v>382.79422</v>
      </c>
      <c r="K2498" s="78">
        <f t="shared" si="1079"/>
        <v>72.1980799698227</v>
      </c>
      <c r="L2498" s="14">
        <f t="shared" si="1111"/>
        <v>0</v>
      </c>
      <c r="M2498" s="50"/>
      <c r="N2498" s="50"/>
    </row>
    <row r="2499" spans="1:14" x14ac:dyDescent="0.3">
      <c r="A2499" s="8" t="s">
        <v>1430</v>
      </c>
      <c r="B2499" s="62" t="s">
        <v>935</v>
      </c>
      <c r="C2499" s="68" t="s">
        <v>1391</v>
      </c>
      <c r="D2499" s="68" t="s">
        <v>1398</v>
      </c>
      <c r="E2499" s="8" t="s">
        <v>430</v>
      </c>
      <c r="F2499" s="8"/>
      <c r="G2499" s="23" t="s">
        <v>1141</v>
      </c>
      <c r="H2499" s="14">
        <f t="shared" si="1111"/>
        <v>530.20000000000005</v>
      </c>
      <c r="I2499" s="14">
        <f t="shared" si="1111"/>
        <v>530.20000000000005</v>
      </c>
      <c r="J2499" s="14">
        <f t="shared" si="1111"/>
        <v>382.79422</v>
      </c>
      <c r="K2499" s="78">
        <f t="shared" si="1079"/>
        <v>72.1980799698227</v>
      </c>
      <c r="L2499" s="14">
        <f t="shared" si="1111"/>
        <v>0</v>
      </c>
      <c r="M2499" s="50"/>
      <c r="N2499" s="50"/>
    </row>
    <row r="2500" spans="1:14" ht="46.8" x14ac:dyDescent="0.3">
      <c r="A2500" s="8" t="s">
        <v>1430</v>
      </c>
      <c r="B2500" s="62" t="s">
        <v>935</v>
      </c>
      <c r="C2500" s="68" t="s">
        <v>1391</v>
      </c>
      <c r="D2500" s="68" t="s">
        <v>1398</v>
      </c>
      <c r="E2500" s="8" t="s">
        <v>444</v>
      </c>
      <c r="F2500" s="8"/>
      <c r="G2500" s="18" t="s">
        <v>1143</v>
      </c>
      <c r="H2500" s="14">
        <f t="shared" si="1111"/>
        <v>530.20000000000005</v>
      </c>
      <c r="I2500" s="14">
        <f t="shared" si="1111"/>
        <v>530.20000000000005</v>
      </c>
      <c r="J2500" s="14">
        <f t="shared" si="1111"/>
        <v>382.79422</v>
      </c>
      <c r="K2500" s="78">
        <f t="shared" si="1079"/>
        <v>72.1980799698227</v>
      </c>
      <c r="L2500" s="14">
        <f t="shared" si="1111"/>
        <v>0</v>
      </c>
      <c r="M2500" s="50"/>
      <c r="N2500" s="50"/>
    </row>
    <row r="2501" spans="1:14" ht="31.2" x14ac:dyDescent="0.3">
      <c r="A2501" s="8" t="s">
        <v>1430</v>
      </c>
      <c r="B2501" s="62" t="s">
        <v>935</v>
      </c>
      <c r="C2501" s="68" t="s">
        <v>1391</v>
      </c>
      <c r="D2501" s="68" t="s">
        <v>1398</v>
      </c>
      <c r="E2501" s="8" t="s">
        <v>444</v>
      </c>
      <c r="F2501" s="45" t="s">
        <v>380</v>
      </c>
      <c r="G2501" s="23" t="s">
        <v>809</v>
      </c>
      <c r="H2501" s="14">
        <f t="shared" si="1111"/>
        <v>530.20000000000005</v>
      </c>
      <c r="I2501" s="14">
        <f t="shared" si="1111"/>
        <v>530.20000000000005</v>
      </c>
      <c r="J2501" s="14">
        <f t="shared" si="1111"/>
        <v>382.79422</v>
      </c>
      <c r="K2501" s="78">
        <f t="shared" si="1079"/>
        <v>72.1980799698227</v>
      </c>
      <c r="L2501" s="14">
        <f t="shared" si="1111"/>
        <v>0</v>
      </c>
      <c r="M2501" s="50"/>
      <c r="N2501" s="50"/>
    </row>
    <row r="2502" spans="1:14" ht="31.2" x14ac:dyDescent="0.3">
      <c r="A2502" s="8" t="s">
        <v>1430</v>
      </c>
      <c r="B2502" s="62" t="s">
        <v>935</v>
      </c>
      <c r="C2502" s="68" t="s">
        <v>1391</v>
      </c>
      <c r="D2502" s="68" t="s">
        <v>1398</v>
      </c>
      <c r="E2502" s="8" t="s">
        <v>444</v>
      </c>
      <c r="F2502" s="8" t="s">
        <v>247</v>
      </c>
      <c r="G2502" s="23" t="s">
        <v>810</v>
      </c>
      <c r="H2502" s="14">
        <v>530.20000000000005</v>
      </c>
      <c r="I2502" s="14">
        <v>530.20000000000005</v>
      </c>
      <c r="J2502" s="14">
        <v>382.79422</v>
      </c>
      <c r="K2502" s="78">
        <f t="shared" si="1079"/>
        <v>72.1980799698227</v>
      </c>
      <c r="L2502" s="14"/>
      <c r="M2502" s="50"/>
      <c r="N2502" s="50"/>
    </row>
    <row r="2503" spans="1:14" s="9" customFormat="1" ht="31.2" x14ac:dyDescent="0.3">
      <c r="A2503" s="11" t="s">
        <v>1430</v>
      </c>
      <c r="B2503" s="48" t="s">
        <v>936</v>
      </c>
      <c r="C2503" s="48" t="s">
        <v>1391</v>
      </c>
      <c r="D2503" s="48" t="s">
        <v>1480</v>
      </c>
      <c r="E2503" s="11"/>
      <c r="F2503" s="11"/>
      <c r="G2503" s="7" t="s">
        <v>1421</v>
      </c>
      <c r="H2503" s="16">
        <f>H2504+H2510</f>
        <v>1574.7819999999999</v>
      </c>
      <c r="I2503" s="16">
        <f>I2504+I2510+I2516</f>
        <v>1898.7929999999999</v>
      </c>
      <c r="J2503" s="16">
        <f t="shared" ref="J2503:L2503" si="1112">J2504+J2510+J2516</f>
        <v>938.24585999999999</v>
      </c>
      <c r="K2503" s="82">
        <f t="shared" si="1079"/>
        <v>49.412751152969278</v>
      </c>
      <c r="L2503" s="16">
        <f t="shared" si="1112"/>
        <v>0</v>
      </c>
      <c r="M2503" s="65"/>
      <c r="N2503" s="65"/>
    </row>
    <row r="2504" spans="1:14" ht="31.2" x14ac:dyDescent="0.3">
      <c r="A2504" s="8" t="s">
        <v>1430</v>
      </c>
      <c r="B2504" s="62" t="s">
        <v>936</v>
      </c>
      <c r="C2504" s="68" t="s">
        <v>1391</v>
      </c>
      <c r="D2504" s="68" t="s">
        <v>1480</v>
      </c>
      <c r="E2504" s="8" t="s">
        <v>383</v>
      </c>
      <c r="F2504" s="8"/>
      <c r="G2504" s="13" t="s">
        <v>1055</v>
      </c>
      <c r="H2504" s="14">
        <f t="shared" ref="H2504:L2508" si="1113">H2505</f>
        <v>200</v>
      </c>
      <c r="I2504" s="14">
        <f t="shared" si="1113"/>
        <v>200</v>
      </c>
      <c r="J2504" s="14">
        <f t="shared" si="1113"/>
        <v>200</v>
      </c>
      <c r="K2504" s="78">
        <f t="shared" ref="K2504:K2567" si="1114">J2504/I2504*100</f>
        <v>100</v>
      </c>
      <c r="L2504" s="14">
        <f t="shared" si="1113"/>
        <v>0</v>
      </c>
      <c r="M2504" s="50"/>
      <c r="N2504" s="50"/>
    </row>
    <row r="2505" spans="1:14" ht="46.8" x14ac:dyDescent="0.3">
      <c r="A2505" s="8" t="s">
        <v>1430</v>
      </c>
      <c r="B2505" s="62" t="s">
        <v>936</v>
      </c>
      <c r="C2505" s="68" t="s">
        <v>1391</v>
      </c>
      <c r="D2505" s="68" t="s">
        <v>1480</v>
      </c>
      <c r="E2505" s="8" t="s">
        <v>432</v>
      </c>
      <c r="F2505" s="8"/>
      <c r="G2505" s="13" t="s">
        <v>1056</v>
      </c>
      <c r="H2505" s="14">
        <f t="shared" si="1113"/>
        <v>200</v>
      </c>
      <c r="I2505" s="14">
        <f t="shared" si="1113"/>
        <v>200</v>
      </c>
      <c r="J2505" s="14">
        <f t="shared" si="1113"/>
        <v>200</v>
      </c>
      <c r="K2505" s="78">
        <f t="shared" si="1114"/>
        <v>100</v>
      </c>
      <c r="L2505" s="14">
        <f t="shared" si="1113"/>
        <v>0</v>
      </c>
      <c r="M2505" s="50"/>
      <c r="N2505" s="50"/>
    </row>
    <row r="2506" spans="1:14" ht="46.8" x14ac:dyDescent="0.3">
      <c r="A2506" s="8" t="s">
        <v>1430</v>
      </c>
      <c r="B2506" s="62" t="s">
        <v>936</v>
      </c>
      <c r="C2506" s="68" t="s">
        <v>1391</v>
      </c>
      <c r="D2506" s="68" t="s">
        <v>1480</v>
      </c>
      <c r="E2506" s="8" t="s">
        <v>433</v>
      </c>
      <c r="F2506" s="8"/>
      <c r="G2506" s="18" t="s">
        <v>132</v>
      </c>
      <c r="H2506" s="14">
        <f t="shared" si="1113"/>
        <v>200</v>
      </c>
      <c r="I2506" s="14">
        <f t="shared" si="1113"/>
        <v>200</v>
      </c>
      <c r="J2506" s="14">
        <f t="shared" si="1113"/>
        <v>200</v>
      </c>
      <c r="K2506" s="78">
        <f t="shared" si="1114"/>
        <v>100</v>
      </c>
      <c r="L2506" s="14">
        <f t="shared" si="1113"/>
        <v>0</v>
      </c>
      <c r="M2506" s="50"/>
      <c r="N2506" s="50"/>
    </row>
    <row r="2507" spans="1:14" ht="31.2" x14ac:dyDescent="0.3">
      <c r="A2507" s="8" t="s">
        <v>1430</v>
      </c>
      <c r="B2507" s="62" t="s">
        <v>936</v>
      </c>
      <c r="C2507" s="68" t="s">
        <v>1391</v>
      </c>
      <c r="D2507" s="68" t="s">
        <v>1480</v>
      </c>
      <c r="E2507" s="8" t="s">
        <v>434</v>
      </c>
      <c r="F2507" s="8"/>
      <c r="G2507" s="13" t="s">
        <v>1058</v>
      </c>
      <c r="H2507" s="14">
        <f t="shared" si="1113"/>
        <v>200</v>
      </c>
      <c r="I2507" s="14">
        <f t="shared" si="1113"/>
        <v>200</v>
      </c>
      <c r="J2507" s="14">
        <f t="shared" si="1113"/>
        <v>200</v>
      </c>
      <c r="K2507" s="78">
        <f t="shared" si="1114"/>
        <v>100</v>
      </c>
      <c r="L2507" s="14">
        <f t="shared" si="1113"/>
        <v>0</v>
      </c>
      <c r="M2507" s="50"/>
      <c r="N2507" s="50"/>
    </row>
    <row r="2508" spans="1:14" ht="31.2" x14ac:dyDescent="0.3">
      <c r="A2508" s="8" t="s">
        <v>1430</v>
      </c>
      <c r="B2508" s="62" t="s">
        <v>936</v>
      </c>
      <c r="C2508" s="68" t="s">
        <v>1391</v>
      </c>
      <c r="D2508" s="68" t="s">
        <v>1480</v>
      </c>
      <c r="E2508" s="8" t="s">
        <v>434</v>
      </c>
      <c r="F2508" s="45" t="s">
        <v>380</v>
      </c>
      <c r="G2508" s="23" t="s">
        <v>809</v>
      </c>
      <c r="H2508" s="14">
        <f t="shared" si="1113"/>
        <v>200</v>
      </c>
      <c r="I2508" s="14">
        <f t="shared" si="1113"/>
        <v>200</v>
      </c>
      <c r="J2508" s="14">
        <f t="shared" si="1113"/>
        <v>200</v>
      </c>
      <c r="K2508" s="78">
        <f t="shared" si="1114"/>
        <v>100</v>
      </c>
      <c r="L2508" s="14">
        <f t="shared" si="1113"/>
        <v>0</v>
      </c>
      <c r="M2508" s="50"/>
      <c r="N2508" s="50"/>
    </row>
    <row r="2509" spans="1:14" ht="31.2" x14ac:dyDescent="0.3">
      <c r="A2509" s="8" t="s">
        <v>1430</v>
      </c>
      <c r="B2509" s="62" t="s">
        <v>936</v>
      </c>
      <c r="C2509" s="68" t="s">
        <v>1391</v>
      </c>
      <c r="D2509" s="68" t="s">
        <v>1480</v>
      </c>
      <c r="E2509" s="8" t="s">
        <v>434</v>
      </c>
      <c r="F2509" s="8" t="s">
        <v>247</v>
      </c>
      <c r="G2509" s="23" t="s">
        <v>810</v>
      </c>
      <c r="H2509" s="14">
        <v>200</v>
      </c>
      <c r="I2509" s="14">
        <v>200</v>
      </c>
      <c r="J2509" s="14">
        <v>200</v>
      </c>
      <c r="K2509" s="78">
        <f t="shared" si="1114"/>
        <v>100</v>
      </c>
      <c r="L2509" s="14"/>
      <c r="M2509" s="50"/>
      <c r="N2509" s="50"/>
    </row>
    <row r="2510" spans="1:14" ht="46.8" x14ac:dyDescent="0.3">
      <c r="A2510" s="8" t="s">
        <v>1430</v>
      </c>
      <c r="B2510" s="62" t="s">
        <v>936</v>
      </c>
      <c r="C2510" s="68" t="s">
        <v>1391</v>
      </c>
      <c r="D2510" s="68" t="s">
        <v>1480</v>
      </c>
      <c r="E2510" s="8" t="s">
        <v>381</v>
      </c>
      <c r="F2510" s="8"/>
      <c r="G2510" s="18" t="s">
        <v>1061</v>
      </c>
      <c r="H2510" s="14">
        <f t="shared" ref="H2510:L2514" si="1115">H2511</f>
        <v>1374.7819999999999</v>
      </c>
      <c r="I2510" s="14">
        <f t="shared" si="1115"/>
        <v>1374.7819999999999</v>
      </c>
      <c r="J2510" s="14">
        <f t="shared" si="1115"/>
        <v>414.23486000000003</v>
      </c>
      <c r="K2510" s="78">
        <f t="shared" si="1114"/>
        <v>30.130948761330888</v>
      </c>
      <c r="L2510" s="14">
        <f t="shared" si="1115"/>
        <v>0</v>
      </c>
      <c r="M2510" s="50"/>
      <c r="N2510" s="50"/>
    </row>
    <row r="2511" spans="1:14" ht="31.2" x14ac:dyDescent="0.3">
      <c r="A2511" s="8" t="s">
        <v>1430</v>
      </c>
      <c r="B2511" s="62" t="s">
        <v>936</v>
      </c>
      <c r="C2511" s="68" t="s">
        <v>1391</v>
      </c>
      <c r="D2511" s="68" t="s">
        <v>1480</v>
      </c>
      <c r="E2511" s="8" t="s">
        <v>435</v>
      </c>
      <c r="F2511" s="8"/>
      <c r="G2511" s="13" t="s">
        <v>1064</v>
      </c>
      <c r="H2511" s="14">
        <f t="shared" si="1115"/>
        <v>1374.7819999999999</v>
      </c>
      <c r="I2511" s="14">
        <f t="shared" si="1115"/>
        <v>1374.7819999999999</v>
      </c>
      <c r="J2511" s="14">
        <f t="shared" si="1115"/>
        <v>414.23486000000003</v>
      </c>
      <c r="K2511" s="78">
        <f t="shared" si="1114"/>
        <v>30.130948761330888</v>
      </c>
      <c r="L2511" s="14">
        <f t="shared" si="1115"/>
        <v>0</v>
      </c>
      <c r="M2511" s="50"/>
      <c r="N2511" s="50"/>
    </row>
    <row r="2512" spans="1:14" ht="46.8" x14ac:dyDescent="0.3">
      <c r="A2512" s="8" t="s">
        <v>1430</v>
      </c>
      <c r="B2512" s="62" t="s">
        <v>936</v>
      </c>
      <c r="C2512" s="68" t="s">
        <v>1391</v>
      </c>
      <c r="D2512" s="68" t="s">
        <v>1480</v>
      </c>
      <c r="E2512" s="8" t="s">
        <v>436</v>
      </c>
      <c r="F2512" s="8"/>
      <c r="G2512" s="13" t="s">
        <v>1211</v>
      </c>
      <c r="H2512" s="14">
        <f t="shared" si="1115"/>
        <v>1374.7819999999999</v>
      </c>
      <c r="I2512" s="14">
        <f t="shared" si="1115"/>
        <v>1374.7819999999999</v>
      </c>
      <c r="J2512" s="14">
        <f t="shared" si="1115"/>
        <v>414.23486000000003</v>
      </c>
      <c r="K2512" s="78">
        <f t="shared" si="1114"/>
        <v>30.130948761330888</v>
      </c>
      <c r="L2512" s="14">
        <f t="shared" si="1115"/>
        <v>0</v>
      </c>
      <c r="M2512" s="50"/>
      <c r="N2512" s="50"/>
    </row>
    <row r="2513" spans="1:14" ht="46.8" x14ac:dyDescent="0.3">
      <c r="A2513" s="8" t="s">
        <v>1430</v>
      </c>
      <c r="B2513" s="62" t="s">
        <v>936</v>
      </c>
      <c r="C2513" s="68" t="s">
        <v>1391</v>
      </c>
      <c r="D2513" s="68" t="s">
        <v>1480</v>
      </c>
      <c r="E2513" s="8" t="s">
        <v>437</v>
      </c>
      <c r="F2513" s="8"/>
      <c r="G2513" s="18" t="s">
        <v>19</v>
      </c>
      <c r="H2513" s="14">
        <f t="shared" si="1115"/>
        <v>1374.7819999999999</v>
      </c>
      <c r="I2513" s="14">
        <f t="shared" si="1115"/>
        <v>1374.7819999999999</v>
      </c>
      <c r="J2513" s="14">
        <f t="shared" si="1115"/>
        <v>414.23486000000003</v>
      </c>
      <c r="K2513" s="78">
        <f t="shared" si="1114"/>
        <v>30.130948761330888</v>
      </c>
      <c r="L2513" s="14">
        <f t="shared" si="1115"/>
        <v>0</v>
      </c>
      <c r="M2513" s="50"/>
      <c r="N2513" s="50"/>
    </row>
    <row r="2514" spans="1:14" ht="31.2" x14ac:dyDescent="0.3">
      <c r="A2514" s="8" t="s">
        <v>1430</v>
      </c>
      <c r="B2514" s="62" t="s">
        <v>936</v>
      </c>
      <c r="C2514" s="68" t="s">
        <v>1391</v>
      </c>
      <c r="D2514" s="68" t="s">
        <v>1480</v>
      </c>
      <c r="E2514" s="8" t="s">
        <v>437</v>
      </c>
      <c r="F2514" s="45" t="s">
        <v>380</v>
      </c>
      <c r="G2514" s="23" t="s">
        <v>809</v>
      </c>
      <c r="H2514" s="14">
        <f t="shared" si="1115"/>
        <v>1374.7819999999999</v>
      </c>
      <c r="I2514" s="14">
        <f t="shared" si="1115"/>
        <v>1374.7819999999999</v>
      </c>
      <c r="J2514" s="14">
        <f t="shared" si="1115"/>
        <v>414.23486000000003</v>
      </c>
      <c r="K2514" s="78">
        <f t="shared" si="1114"/>
        <v>30.130948761330888</v>
      </c>
      <c r="L2514" s="14">
        <f t="shared" si="1115"/>
        <v>0</v>
      </c>
      <c r="M2514" s="50"/>
      <c r="N2514" s="50"/>
    </row>
    <row r="2515" spans="1:14" ht="31.2" x14ac:dyDescent="0.3">
      <c r="A2515" s="8" t="s">
        <v>1430</v>
      </c>
      <c r="B2515" s="62" t="s">
        <v>936</v>
      </c>
      <c r="C2515" s="68" t="s">
        <v>1391</v>
      </c>
      <c r="D2515" s="68" t="s">
        <v>1480</v>
      </c>
      <c r="E2515" s="8" t="s">
        <v>437</v>
      </c>
      <c r="F2515" s="8" t="s">
        <v>247</v>
      </c>
      <c r="G2515" s="23" t="s">
        <v>810</v>
      </c>
      <c r="H2515" s="14">
        <f>1439.2+222-76.228-210.19</f>
        <v>1374.7819999999999</v>
      </c>
      <c r="I2515" s="14">
        <v>1374.7819999999999</v>
      </c>
      <c r="J2515" s="14">
        <v>414.23486000000003</v>
      </c>
      <c r="K2515" s="78">
        <f t="shared" si="1114"/>
        <v>30.130948761330888</v>
      </c>
      <c r="L2515" s="14"/>
      <c r="M2515" s="50"/>
      <c r="N2515" s="50"/>
    </row>
    <row r="2516" spans="1:14" ht="31.2" x14ac:dyDescent="0.3">
      <c r="A2516" s="8" t="s">
        <v>1430</v>
      </c>
      <c r="B2516" s="62" t="s">
        <v>936</v>
      </c>
      <c r="C2516" s="68" t="s">
        <v>1391</v>
      </c>
      <c r="D2516" s="68" t="s">
        <v>1480</v>
      </c>
      <c r="E2516" s="8" t="s">
        <v>429</v>
      </c>
      <c r="F2516" s="8"/>
      <c r="G2516" s="13" t="s">
        <v>1140</v>
      </c>
      <c r="H2516" s="20">
        <v>0</v>
      </c>
      <c r="I2516" s="14">
        <f>I2517</f>
        <v>324.01100000000002</v>
      </c>
      <c r="J2516" s="14">
        <f t="shared" ref="J2516:L2516" si="1116">J2517</f>
        <v>324.01100000000002</v>
      </c>
      <c r="K2516" s="78">
        <f t="shared" si="1114"/>
        <v>100</v>
      </c>
      <c r="L2516" s="14">
        <f t="shared" si="1116"/>
        <v>0</v>
      </c>
      <c r="M2516" s="50"/>
      <c r="N2516" s="50"/>
    </row>
    <row r="2517" spans="1:14" x14ac:dyDescent="0.3">
      <c r="A2517" s="8" t="s">
        <v>1430</v>
      </c>
      <c r="B2517" s="62" t="s">
        <v>936</v>
      </c>
      <c r="C2517" s="68" t="s">
        <v>1391</v>
      </c>
      <c r="D2517" s="68" t="s">
        <v>1480</v>
      </c>
      <c r="E2517" s="8" t="s">
        <v>430</v>
      </c>
      <c r="F2517" s="8"/>
      <c r="G2517" s="13" t="s">
        <v>1141</v>
      </c>
      <c r="H2517" s="20">
        <v>0</v>
      </c>
      <c r="I2517" s="14">
        <f>I2518+I2521</f>
        <v>324.01100000000002</v>
      </c>
      <c r="J2517" s="14">
        <f t="shared" ref="J2517:L2517" si="1117">J2518+J2521</f>
        <v>324.01100000000002</v>
      </c>
      <c r="K2517" s="78">
        <f t="shared" si="1114"/>
        <v>100</v>
      </c>
      <c r="L2517" s="14">
        <f t="shared" si="1117"/>
        <v>0</v>
      </c>
      <c r="M2517" s="50"/>
      <c r="N2517" s="50"/>
    </row>
    <row r="2518" spans="1:14" ht="31.2" x14ac:dyDescent="0.3">
      <c r="A2518" s="8" t="s">
        <v>1430</v>
      </c>
      <c r="B2518" s="62" t="s">
        <v>936</v>
      </c>
      <c r="C2518" s="68" t="s">
        <v>1391</v>
      </c>
      <c r="D2518" s="68" t="s">
        <v>1480</v>
      </c>
      <c r="E2518" s="8" t="s">
        <v>209</v>
      </c>
      <c r="F2518" s="8"/>
      <c r="G2518" s="13" t="s">
        <v>1147</v>
      </c>
      <c r="H2518" s="20">
        <v>0</v>
      </c>
      <c r="I2518" s="14">
        <f>I2519</f>
        <v>71.783000000000001</v>
      </c>
      <c r="J2518" s="14">
        <f t="shared" ref="J2518:L2519" si="1118">J2519</f>
        <v>71.783000000000001</v>
      </c>
      <c r="K2518" s="78">
        <f t="shared" si="1114"/>
        <v>100</v>
      </c>
      <c r="L2518" s="14">
        <f t="shared" si="1118"/>
        <v>0</v>
      </c>
      <c r="M2518" s="50"/>
      <c r="N2518" s="50"/>
    </row>
    <row r="2519" spans="1:14" ht="31.2" x14ac:dyDescent="0.3">
      <c r="A2519" s="8" t="s">
        <v>1430</v>
      </c>
      <c r="B2519" s="62" t="s">
        <v>936</v>
      </c>
      <c r="C2519" s="68" t="s">
        <v>1391</v>
      </c>
      <c r="D2519" s="68" t="s">
        <v>1480</v>
      </c>
      <c r="E2519" s="8" t="s">
        <v>209</v>
      </c>
      <c r="F2519" s="45" t="s">
        <v>380</v>
      </c>
      <c r="G2519" s="23" t="s">
        <v>809</v>
      </c>
      <c r="H2519" s="20">
        <v>0</v>
      </c>
      <c r="I2519" s="14">
        <f>I2520</f>
        <v>71.783000000000001</v>
      </c>
      <c r="J2519" s="14">
        <f t="shared" si="1118"/>
        <v>71.783000000000001</v>
      </c>
      <c r="K2519" s="78">
        <f t="shared" si="1114"/>
        <v>100</v>
      </c>
      <c r="L2519" s="14">
        <f t="shared" si="1118"/>
        <v>0</v>
      </c>
      <c r="M2519" s="50"/>
      <c r="N2519" s="50"/>
    </row>
    <row r="2520" spans="1:14" ht="31.2" x14ac:dyDescent="0.3">
      <c r="A2520" s="8" t="s">
        <v>1430</v>
      </c>
      <c r="B2520" s="62" t="s">
        <v>936</v>
      </c>
      <c r="C2520" s="68" t="s">
        <v>1391</v>
      </c>
      <c r="D2520" s="68" t="s">
        <v>1480</v>
      </c>
      <c r="E2520" s="8" t="s">
        <v>209</v>
      </c>
      <c r="F2520" s="8" t="s">
        <v>247</v>
      </c>
      <c r="G2520" s="23" t="s">
        <v>810</v>
      </c>
      <c r="H2520" s="20">
        <v>0</v>
      </c>
      <c r="I2520" s="14">
        <v>71.783000000000001</v>
      </c>
      <c r="J2520" s="14">
        <v>71.783000000000001</v>
      </c>
      <c r="K2520" s="78">
        <f t="shared" si="1114"/>
        <v>100</v>
      </c>
      <c r="L2520" s="14"/>
      <c r="M2520" s="50"/>
      <c r="N2520" s="50"/>
    </row>
    <row r="2521" spans="1:14" ht="31.2" x14ac:dyDescent="0.3">
      <c r="A2521" s="8" t="s">
        <v>1430</v>
      </c>
      <c r="B2521" s="62" t="s">
        <v>936</v>
      </c>
      <c r="C2521" s="68" t="s">
        <v>1391</v>
      </c>
      <c r="D2521" s="68" t="s">
        <v>1480</v>
      </c>
      <c r="E2521" s="8" t="s">
        <v>210</v>
      </c>
      <c r="F2521" s="8"/>
      <c r="G2521" s="13" t="s">
        <v>1183</v>
      </c>
      <c r="H2521" s="20">
        <v>0</v>
      </c>
      <c r="I2521" s="14">
        <f>I2522+I2524</f>
        <v>252.22800000000001</v>
      </c>
      <c r="J2521" s="14">
        <f t="shared" ref="J2521:L2521" si="1119">J2522+J2524</f>
        <v>252.22800000000001</v>
      </c>
      <c r="K2521" s="78">
        <f t="shared" si="1114"/>
        <v>100</v>
      </c>
      <c r="L2521" s="14">
        <f t="shared" si="1119"/>
        <v>0</v>
      </c>
      <c r="M2521" s="50"/>
      <c r="N2521" s="50"/>
    </row>
    <row r="2522" spans="1:14" ht="78" x14ac:dyDescent="0.3">
      <c r="A2522" s="8" t="s">
        <v>1430</v>
      </c>
      <c r="B2522" s="62" t="s">
        <v>936</v>
      </c>
      <c r="C2522" s="68" t="s">
        <v>1391</v>
      </c>
      <c r="D2522" s="68" t="s">
        <v>1480</v>
      </c>
      <c r="E2522" s="8" t="s">
        <v>210</v>
      </c>
      <c r="F2522" s="45" t="s">
        <v>431</v>
      </c>
      <c r="G2522" s="23" t="s">
        <v>806</v>
      </c>
      <c r="H2522" s="20">
        <v>0</v>
      </c>
      <c r="I2522" s="14">
        <f>I2523</f>
        <v>105.21599999999999</v>
      </c>
      <c r="J2522" s="14">
        <f t="shared" ref="J2522:L2522" si="1120">J2523</f>
        <v>105.21599999999999</v>
      </c>
      <c r="K2522" s="78">
        <f t="shared" si="1114"/>
        <v>100</v>
      </c>
      <c r="L2522" s="14">
        <f t="shared" si="1120"/>
        <v>0</v>
      </c>
      <c r="M2522" s="50"/>
      <c r="N2522" s="50"/>
    </row>
    <row r="2523" spans="1:14" ht="31.2" x14ac:dyDescent="0.3">
      <c r="A2523" s="8" t="s">
        <v>1430</v>
      </c>
      <c r="B2523" s="62" t="s">
        <v>936</v>
      </c>
      <c r="C2523" s="68" t="s">
        <v>1391</v>
      </c>
      <c r="D2523" s="68" t="s">
        <v>1480</v>
      </c>
      <c r="E2523" s="8" t="s">
        <v>210</v>
      </c>
      <c r="F2523" s="45" t="s">
        <v>233</v>
      </c>
      <c r="G2523" s="23" t="s">
        <v>808</v>
      </c>
      <c r="H2523" s="20">
        <v>0</v>
      </c>
      <c r="I2523" s="14">
        <v>105.21599999999999</v>
      </c>
      <c r="J2523" s="14">
        <v>105.21599999999999</v>
      </c>
      <c r="K2523" s="78">
        <f t="shared" si="1114"/>
        <v>100</v>
      </c>
      <c r="L2523" s="14"/>
      <c r="M2523" s="50"/>
      <c r="N2523" s="50"/>
    </row>
    <row r="2524" spans="1:14" ht="31.2" x14ac:dyDescent="0.3">
      <c r="A2524" s="8" t="s">
        <v>1430</v>
      </c>
      <c r="B2524" s="62" t="s">
        <v>936</v>
      </c>
      <c r="C2524" s="68" t="s">
        <v>1391</v>
      </c>
      <c r="D2524" s="68" t="s">
        <v>1480</v>
      </c>
      <c r="E2524" s="8" t="s">
        <v>210</v>
      </c>
      <c r="F2524" s="45" t="s">
        <v>380</v>
      </c>
      <c r="G2524" s="23" t="s">
        <v>809</v>
      </c>
      <c r="H2524" s="20">
        <v>0</v>
      </c>
      <c r="I2524" s="14">
        <f>I2525</f>
        <v>147.012</v>
      </c>
      <c r="J2524" s="14">
        <f t="shared" ref="J2524:L2524" si="1121">J2525</f>
        <v>147.012</v>
      </c>
      <c r="K2524" s="78">
        <f t="shared" si="1114"/>
        <v>100</v>
      </c>
      <c r="L2524" s="14">
        <f t="shared" si="1121"/>
        <v>0</v>
      </c>
      <c r="M2524" s="50"/>
      <c r="N2524" s="50"/>
    </row>
    <row r="2525" spans="1:14" ht="31.2" x14ac:dyDescent="0.3">
      <c r="A2525" s="8" t="s">
        <v>1430</v>
      </c>
      <c r="B2525" s="62" t="s">
        <v>936</v>
      </c>
      <c r="C2525" s="68" t="s">
        <v>1391</v>
      </c>
      <c r="D2525" s="68" t="s">
        <v>1480</v>
      </c>
      <c r="E2525" s="8" t="s">
        <v>210</v>
      </c>
      <c r="F2525" s="8" t="s">
        <v>247</v>
      </c>
      <c r="G2525" s="23" t="s">
        <v>810</v>
      </c>
      <c r="H2525" s="20">
        <v>0</v>
      </c>
      <c r="I2525" s="14">
        <v>147.012</v>
      </c>
      <c r="J2525" s="14">
        <v>147.012</v>
      </c>
      <c r="K2525" s="78">
        <f t="shared" si="1114"/>
        <v>100</v>
      </c>
      <c r="L2525" s="14"/>
      <c r="M2525" s="50"/>
      <c r="N2525" s="50"/>
    </row>
    <row r="2526" spans="1:14" s="3" customFormat="1" x14ac:dyDescent="0.3">
      <c r="A2526" s="10" t="s">
        <v>1430</v>
      </c>
      <c r="B2526" s="43" t="s">
        <v>1386</v>
      </c>
      <c r="C2526" s="43" t="s">
        <v>1386</v>
      </c>
      <c r="D2526" s="43" t="s">
        <v>915</v>
      </c>
      <c r="E2526" s="10"/>
      <c r="F2526" s="10"/>
      <c r="G2526" s="5" t="s">
        <v>1388</v>
      </c>
      <c r="H2526" s="15">
        <f>H2527+H2563</f>
        <v>172469.11899999998</v>
      </c>
      <c r="I2526" s="15">
        <f>I2527+I2563</f>
        <v>198961.40285999997</v>
      </c>
      <c r="J2526" s="15">
        <f t="shared" ref="J2526" si="1122">J2527+J2563</f>
        <v>198288.13666999998</v>
      </c>
      <c r="K2526" s="81">
        <f t="shared" si="1114"/>
        <v>99.661609648744914</v>
      </c>
      <c r="L2526" s="15">
        <f>L2527+L2563</f>
        <v>0</v>
      </c>
      <c r="M2526" s="65"/>
      <c r="N2526" s="65"/>
    </row>
    <row r="2527" spans="1:14" s="9" customFormat="1" x14ac:dyDescent="0.3">
      <c r="A2527" s="11" t="s">
        <v>1430</v>
      </c>
      <c r="B2527" s="48" t="s">
        <v>937</v>
      </c>
      <c r="C2527" s="48" t="s">
        <v>1386</v>
      </c>
      <c r="D2527" s="48" t="s">
        <v>1398</v>
      </c>
      <c r="E2527" s="11"/>
      <c r="F2527" s="11"/>
      <c r="G2527" s="7" t="s">
        <v>1419</v>
      </c>
      <c r="H2527" s="16">
        <f>H2528+H2540+H2545+H2551+H2559</f>
        <v>171204.53899999999</v>
      </c>
      <c r="I2527" s="16">
        <f>I2528+I2540+I2545+I2551+I2559</f>
        <v>197676.82285999999</v>
      </c>
      <c r="J2527" s="16">
        <f t="shared" ref="J2527" si="1123">J2528+J2540+J2545+J2551+J2559</f>
        <v>197661.83716999998</v>
      </c>
      <c r="K2527" s="82">
        <f t="shared" si="1114"/>
        <v>99.992419096086635</v>
      </c>
      <c r="L2527" s="16">
        <f>L2528+L2540+L2545+L2551+L2559</f>
        <v>0</v>
      </c>
      <c r="M2527" s="65"/>
      <c r="N2527" s="65"/>
    </row>
    <row r="2528" spans="1:14" ht="31.2" x14ac:dyDescent="0.3">
      <c r="A2528" s="8" t="s">
        <v>1430</v>
      </c>
      <c r="B2528" s="62" t="s">
        <v>937</v>
      </c>
      <c r="C2528" s="68" t="s">
        <v>1386</v>
      </c>
      <c r="D2528" s="68" t="s">
        <v>1398</v>
      </c>
      <c r="E2528" s="8" t="s">
        <v>355</v>
      </c>
      <c r="F2528" s="8"/>
      <c r="G2528" s="13" t="s">
        <v>893</v>
      </c>
      <c r="H2528" s="14">
        <f t="shared" ref="H2528:L2529" si="1124">H2529</f>
        <v>157954.348</v>
      </c>
      <c r="I2528" s="14">
        <f t="shared" si="1124"/>
        <v>180071.08085999999</v>
      </c>
      <c r="J2528" s="14">
        <f t="shared" si="1124"/>
        <v>180070.89028999998</v>
      </c>
      <c r="K2528" s="78">
        <f t="shared" si="1114"/>
        <v>99.999894169569529</v>
      </c>
      <c r="L2528" s="14">
        <f t="shared" si="1124"/>
        <v>0</v>
      </c>
      <c r="M2528" s="50"/>
      <c r="N2528" s="50"/>
    </row>
    <row r="2529" spans="1:14" ht="31.2" x14ac:dyDescent="0.3">
      <c r="A2529" s="8" t="s">
        <v>1430</v>
      </c>
      <c r="B2529" s="62" t="s">
        <v>937</v>
      </c>
      <c r="C2529" s="68" t="s">
        <v>1386</v>
      </c>
      <c r="D2529" s="68" t="s">
        <v>1398</v>
      </c>
      <c r="E2529" s="8" t="s">
        <v>356</v>
      </c>
      <c r="F2529" s="8"/>
      <c r="G2529" s="13" t="s">
        <v>894</v>
      </c>
      <c r="H2529" s="14">
        <f t="shared" si="1124"/>
        <v>157954.348</v>
      </c>
      <c r="I2529" s="14">
        <f t="shared" si="1124"/>
        <v>180071.08085999999</v>
      </c>
      <c r="J2529" s="14">
        <f t="shared" si="1124"/>
        <v>180070.89028999998</v>
      </c>
      <c r="K2529" s="78">
        <f t="shared" si="1114"/>
        <v>99.999894169569529</v>
      </c>
      <c r="L2529" s="14">
        <f t="shared" si="1124"/>
        <v>0</v>
      </c>
      <c r="M2529" s="50"/>
      <c r="N2529" s="50"/>
    </row>
    <row r="2530" spans="1:14" ht="46.8" x14ac:dyDescent="0.3">
      <c r="A2530" s="8" t="s">
        <v>1430</v>
      </c>
      <c r="B2530" s="62" t="s">
        <v>937</v>
      </c>
      <c r="C2530" s="68" t="s">
        <v>1386</v>
      </c>
      <c r="D2530" s="68" t="s">
        <v>1398</v>
      </c>
      <c r="E2530" s="8" t="s">
        <v>357</v>
      </c>
      <c r="F2530" s="8"/>
      <c r="G2530" s="18" t="s">
        <v>121</v>
      </c>
      <c r="H2530" s="14">
        <f>H2531+H2534</f>
        <v>157954.348</v>
      </c>
      <c r="I2530" s="14">
        <f>I2531+I2534+I2537</f>
        <v>180071.08085999999</v>
      </c>
      <c r="J2530" s="14">
        <f t="shared" ref="J2530:L2530" si="1125">J2531+J2534+J2537</f>
        <v>180070.89028999998</v>
      </c>
      <c r="K2530" s="78">
        <f t="shared" si="1114"/>
        <v>99.999894169569529</v>
      </c>
      <c r="L2530" s="14">
        <f t="shared" si="1125"/>
        <v>0</v>
      </c>
      <c r="M2530" s="50"/>
      <c r="N2530" s="50"/>
    </row>
    <row r="2531" spans="1:14" x14ac:dyDescent="0.3">
      <c r="A2531" s="8" t="s">
        <v>1430</v>
      </c>
      <c r="B2531" s="62" t="s">
        <v>937</v>
      </c>
      <c r="C2531" s="68" t="s">
        <v>1386</v>
      </c>
      <c r="D2531" s="68" t="s">
        <v>1398</v>
      </c>
      <c r="E2531" s="8" t="s">
        <v>67</v>
      </c>
      <c r="F2531" s="8"/>
      <c r="G2531" s="23" t="s">
        <v>155</v>
      </c>
      <c r="H2531" s="14">
        <f t="shared" ref="H2531:L2532" si="1126">H2532</f>
        <v>155318.23800000001</v>
      </c>
      <c r="I2531" s="14">
        <f t="shared" si="1126"/>
        <v>155318.23800000001</v>
      </c>
      <c r="J2531" s="14">
        <f t="shared" si="1126"/>
        <v>155318.05512</v>
      </c>
      <c r="K2531" s="78">
        <f t="shared" si="1114"/>
        <v>99.999882254651894</v>
      </c>
      <c r="L2531" s="14">
        <f t="shared" si="1126"/>
        <v>0</v>
      </c>
      <c r="M2531" s="50"/>
      <c r="N2531" s="50"/>
    </row>
    <row r="2532" spans="1:14" ht="31.2" x14ac:dyDescent="0.3">
      <c r="A2532" s="8" t="s">
        <v>1430</v>
      </c>
      <c r="B2532" s="62" t="s">
        <v>937</v>
      </c>
      <c r="C2532" s="68" t="s">
        <v>1386</v>
      </c>
      <c r="D2532" s="68" t="s">
        <v>1398</v>
      </c>
      <c r="E2532" s="8" t="s">
        <v>67</v>
      </c>
      <c r="F2532" s="45" t="s">
        <v>380</v>
      </c>
      <c r="G2532" s="23" t="s">
        <v>809</v>
      </c>
      <c r="H2532" s="14">
        <f t="shared" si="1126"/>
        <v>155318.23800000001</v>
      </c>
      <c r="I2532" s="14">
        <f t="shared" si="1126"/>
        <v>155318.23800000001</v>
      </c>
      <c r="J2532" s="14">
        <f t="shared" si="1126"/>
        <v>155318.05512</v>
      </c>
      <c r="K2532" s="78">
        <f t="shared" si="1114"/>
        <v>99.999882254651894</v>
      </c>
      <c r="L2532" s="14">
        <f t="shared" si="1126"/>
        <v>0</v>
      </c>
      <c r="M2532" s="50"/>
      <c r="N2532" s="50"/>
    </row>
    <row r="2533" spans="1:14" ht="31.2" x14ac:dyDescent="0.3">
      <c r="A2533" s="8" t="s">
        <v>1430</v>
      </c>
      <c r="B2533" s="62" t="s">
        <v>937</v>
      </c>
      <c r="C2533" s="68" t="s">
        <v>1386</v>
      </c>
      <c r="D2533" s="68" t="s">
        <v>1398</v>
      </c>
      <c r="E2533" s="8" t="s">
        <v>67</v>
      </c>
      <c r="F2533" s="8" t="s">
        <v>247</v>
      </c>
      <c r="G2533" s="23" t="s">
        <v>810</v>
      </c>
      <c r="H2533" s="14">
        <f>157191.2-0.18-530.501-997.885-344.396</f>
        <v>155318.23800000001</v>
      </c>
      <c r="I2533" s="14">
        <v>155318.23800000001</v>
      </c>
      <c r="J2533" s="14">
        <v>155318.05512</v>
      </c>
      <c r="K2533" s="78">
        <f t="shared" si="1114"/>
        <v>99.999882254651894</v>
      </c>
      <c r="L2533" s="14"/>
      <c r="M2533" s="50"/>
      <c r="N2533" s="50"/>
    </row>
    <row r="2534" spans="1:14" ht="31.2" x14ac:dyDescent="0.3">
      <c r="A2534" s="8" t="s">
        <v>1430</v>
      </c>
      <c r="B2534" s="62" t="s">
        <v>937</v>
      </c>
      <c r="C2534" s="68" t="s">
        <v>1386</v>
      </c>
      <c r="D2534" s="68" t="s">
        <v>1398</v>
      </c>
      <c r="E2534" s="8" t="s">
        <v>68</v>
      </c>
      <c r="F2534" s="8"/>
      <c r="G2534" s="23" t="s">
        <v>182</v>
      </c>
      <c r="H2534" s="14">
        <f t="shared" ref="H2534:L2535" si="1127">H2535</f>
        <v>2636.11</v>
      </c>
      <c r="I2534" s="14">
        <f t="shared" si="1127"/>
        <v>2636.11</v>
      </c>
      <c r="J2534" s="14">
        <f t="shared" si="1127"/>
        <v>2636.1023100000002</v>
      </c>
      <c r="K2534" s="78">
        <f t="shared" si="1114"/>
        <v>99.99970828227957</v>
      </c>
      <c r="L2534" s="14">
        <f t="shared" si="1127"/>
        <v>0</v>
      </c>
      <c r="M2534" s="50"/>
      <c r="N2534" s="50"/>
    </row>
    <row r="2535" spans="1:14" ht="31.2" x14ac:dyDescent="0.3">
      <c r="A2535" s="8" t="s">
        <v>1430</v>
      </c>
      <c r="B2535" s="62" t="s">
        <v>937</v>
      </c>
      <c r="C2535" s="68" t="s">
        <v>1386</v>
      </c>
      <c r="D2535" s="68" t="s">
        <v>1398</v>
      </c>
      <c r="E2535" s="8" t="s">
        <v>68</v>
      </c>
      <c r="F2535" s="45" t="s">
        <v>380</v>
      </c>
      <c r="G2535" s="23" t="s">
        <v>809</v>
      </c>
      <c r="H2535" s="14">
        <f t="shared" si="1127"/>
        <v>2636.11</v>
      </c>
      <c r="I2535" s="14">
        <f t="shared" si="1127"/>
        <v>2636.11</v>
      </c>
      <c r="J2535" s="14">
        <f t="shared" si="1127"/>
        <v>2636.1023100000002</v>
      </c>
      <c r="K2535" s="78">
        <f t="shared" si="1114"/>
        <v>99.99970828227957</v>
      </c>
      <c r="L2535" s="14">
        <f t="shared" si="1127"/>
        <v>0</v>
      </c>
      <c r="M2535" s="50"/>
      <c r="N2535" s="50"/>
    </row>
    <row r="2536" spans="1:14" ht="31.2" x14ac:dyDescent="0.3">
      <c r="A2536" s="8" t="s">
        <v>1430</v>
      </c>
      <c r="B2536" s="62" t="s">
        <v>937</v>
      </c>
      <c r="C2536" s="68" t="s">
        <v>1386</v>
      </c>
      <c r="D2536" s="68" t="s">
        <v>1398</v>
      </c>
      <c r="E2536" s="8" t="s">
        <v>68</v>
      </c>
      <c r="F2536" s="8" t="s">
        <v>247</v>
      </c>
      <c r="G2536" s="23" t="s">
        <v>810</v>
      </c>
      <c r="H2536" s="14">
        <f>4059.4-1420.79-2.5</f>
        <v>2636.11</v>
      </c>
      <c r="I2536" s="14">
        <v>2636.11</v>
      </c>
      <c r="J2536" s="14">
        <v>2636.1023100000002</v>
      </c>
      <c r="K2536" s="78">
        <f t="shared" si="1114"/>
        <v>99.99970828227957</v>
      </c>
      <c r="L2536" s="14"/>
      <c r="M2536" s="50"/>
      <c r="N2536" s="50"/>
    </row>
    <row r="2537" spans="1:14" ht="62.4" x14ac:dyDescent="0.3">
      <c r="A2537" s="8" t="s">
        <v>1430</v>
      </c>
      <c r="B2537" s="62" t="s">
        <v>937</v>
      </c>
      <c r="C2537" s="68" t="s">
        <v>1386</v>
      </c>
      <c r="D2537" s="68" t="s">
        <v>1398</v>
      </c>
      <c r="E2537" s="8" t="s">
        <v>963</v>
      </c>
      <c r="F2537" s="8"/>
      <c r="G2537" s="13" t="s">
        <v>964</v>
      </c>
      <c r="H2537" s="20">
        <v>0</v>
      </c>
      <c r="I2537" s="14">
        <f>I2538</f>
        <v>22116.73286</v>
      </c>
      <c r="J2537" s="14">
        <f t="shared" ref="J2537:L2538" si="1128">J2538</f>
        <v>22116.73286</v>
      </c>
      <c r="K2537" s="78">
        <f t="shared" si="1114"/>
        <v>100</v>
      </c>
      <c r="L2537" s="14">
        <f t="shared" si="1128"/>
        <v>0</v>
      </c>
      <c r="M2537" s="50"/>
      <c r="N2537" s="50"/>
    </row>
    <row r="2538" spans="1:14" ht="31.2" x14ac:dyDescent="0.3">
      <c r="A2538" s="8" t="s">
        <v>1430</v>
      </c>
      <c r="B2538" s="62" t="s">
        <v>937</v>
      </c>
      <c r="C2538" s="68" t="s">
        <v>1386</v>
      </c>
      <c r="D2538" s="68" t="s">
        <v>1398</v>
      </c>
      <c r="E2538" s="8" t="s">
        <v>963</v>
      </c>
      <c r="F2538" s="45" t="s">
        <v>380</v>
      </c>
      <c r="G2538" s="23" t="s">
        <v>809</v>
      </c>
      <c r="H2538" s="20">
        <v>0</v>
      </c>
      <c r="I2538" s="14">
        <f>I2539</f>
        <v>22116.73286</v>
      </c>
      <c r="J2538" s="14">
        <f t="shared" si="1128"/>
        <v>22116.73286</v>
      </c>
      <c r="K2538" s="78">
        <f t="shared" si="1114"/>
        <v>100</v>
      </c>
      <c r="L2538" s="14">
        <f t="shared" si="1128"/>
        <v>0</v>
      </c>
      <c r="M2538" s="50"/>
      <c r="N2538" s="50"/>
    </row>
    <row r="2539" spans="1:14" ht="31.2" x14ac:dyDescent="0.3">
      <c r="A2539" s="8" t="s">
        <v>1430</v>
      </c>
      <c r="B2539" s="62" t="s">
        <v>937</v>
      </c>
      <c r="C2539" s="68" t="s">
        <v>1386</v>
      </c>
      <c r="D2539" s="68" t="s">
        <v>1398</v>
      </c>
      <c r="E2539" s="8" t="s">
        <v>963</v>
      </c>
      <c r="F2539" s="8" t="s">
        <v>247</v>
      </c>
      <c r="G2539" s="23" t="s">
        <v>810</v>
      </c>
      <c r="H2539" s="20">
        <v>0</v>
      </c>
      <c r="I2539" s="14">
        <v>22116.73286</v>
      </c>
      <c r="J2539" s="14">
        <v>22116.73286</v>
      </c>
      <c r="K2539" s="78">
        <f t="shared" si="1114"/>
        <v>100</v>
      </c>
      <c r="L2539" s="14"/>
      <c r="M2539" s="50"/>
      <c r="N2539" s="50"/>
    </row>
    <row r="2540" spans="1:14" ht="62.4" x14ac:dyDescent="0.3">
      <c r="A2540" s="8" t="s">
        <v>1430</v>
      </c>
      <c r="B2540" s="62" t="s">
        <v>937</v>
      </c>
      <c r="C2540" s="68" t="s">
        <v>1386</v>
      </c>
      <c r="D2540" s="68" t="s">
        <v>1398</v>
      </c>
      <c r="E2540" s="8" t="s">
        <v>358</v>
      </c>
      <c r="F2540" s="8"/>
      <c r="G2540" s="13" t="s">
        <v>1040</v>
      </c>
      <c r="H2540" s="14">
        <f t="shared" ref="H2540:L2543" si="1129">H2541</f>
        <v>760.3420000000001</v>
      </c>
      <c r="I2540" s="14">
        <f t="shared" si="1129"/>
        <v>760.34199999999998</v>
      </c>
      <c r="J2540" s="14">
        <f t="shared" si="1129"/>
        <v>760.22577999999999</v>
      </c>
      <c r="K2540" s="78">
        <f t="shared" si="1114"/>
        <v>99.984714773088953</v>
      </c>
      <c r="L2540" s="14">
        <f t="shared" si="1129"/>
        <v>0</v>
      </c>
      <c r="M2540" s="50"/>
      <c r="N2540" s="50"/>
    </row>
    <row r="2541" spans="1:14" ht="31.2" x14ac:dyDescent="0.3">
      <c r="A2541" s="8" t="s">
        <v>1430</v>
      </c>
      <c r="B2541" s="62" t="s">
        <v>937</v>
      </c>
      <c r="C2541" s="68" t="s">
        <v>1386</v>
      </c>
      <c r="D2541" s="68" t="s">
        <v>1398</v>
      </c>
      <c r="E2541" s="8" t="s">
        <v>359</v>
      </c>
      <c r="F2541" s="8"/>
      <c r="G2541" s="13" t="s">
        <v>1041</v>
      </c>
      <c r="H2541" s="14">
        <f t="shared" si="1129"/>
        <v>760.3420000000001</v>
      </c>
      <c r="I2541" s="14">
        <f t="shared" si="1129"/>
        <v>760.34199999999998</v>
      </c>
      <c r="J2541" s="14">
        <f t="shared" si="1129"/>
        <v>760.22577999999999</v>
      </c>
      <c r="K2541" s="78">
        <f t="shared" si="1114"/>
        <v>99.984714773088953</v>
      </c>
      <c r="L2541" s="14">
        <f t="shared" si="1129"/>
        <v>0</v>
      </c>
      <c r="M2541" s="50"/>
      <c r="N2541" s="50"/>
    </row>
    <row r="2542" spans="1:14" ht="46.8" x14ac:dyDescent="0.3">
      <c r="A2542" s="8" t="s">
        <v>1430</v>
      </c>
      <c r="B2542" s="62" t="s">
        <v>937</v>
      </c>
      <c r="C2542" s="68" t="s">
        <v>1386</v>
      </c>
      <c r="D2542" s="68" t="s">
        <v>1398</v>
      </c>
      <c r="E2542" s="8" t="s">
        <v>360</v>
      </c>
      <c r="F2542" s="8"/>
      <c r="G2542" s="18" t="s">
        <v>313</v>
      </c>
      <c r="H2542" s="14">
        <f t="shared" si="1129"/>
        <v>760.3420000000001</v>
      </c>
      <c r="I2542" s="14">
        <f t="shared" si="1129"/>
        <v>760.34199999999998</v>
      </c>
      <c r="J2542" s="14">
        <f t="shared" si="1129"/>
        <v>760.22577999999999</v>
      </c>
      <c r="K2542" s="78">
        <f t="shared" si="1114"/>
        <v>99.984714773088953</v>
      </c>
      <c r="L2542" s="14">
        <f t="shared" si="1129"/>
        <v>0</v>
      </c>
      <c r="M2542" s="50"/>
      <c r="N2542" s="50"/>
    </row>
    <row r="2543" spans="1:14" ht="31.2" x14ac:dyDescent="0.3">
      <c r="A2543" s="8" t="s">
        <v>1430</v>
      </c>
      <c r="B2543" s="62" t="s">
        <v>937</v>
      </c>
      <c r="C2543" s="68" t="s">
        <v>1386</v>
      </c>
      <c r="D2543" s="68" t="s">
        <v>1398</v>
      </c>
      <c r="E2543" s="8" t="s">
        <v>360</v>
      </c>
      <c r="F2543" s="45" t="s">
        <v>380</v>
      </c>
      <c r="G2543" s="23" t="s">
        <v>809</v>
      </c>
      <c r="H2543" s="14">
        <f t="shared" si="1129"/>
        <v>760.3420000000001</v>
      </c>
      <c r="I2543" s="14">
        <f t="shared" si="1129"/>
        <v>760.34199999999998</v>
      </c>
      <c r="J2543" s="14">
        <f t="shared" si="1129"/>
        <v>760.22577999999999</v>
      </c>
      <c r="K2543" s="78">
        <f t="shared" si="1114"/>
        <v>99.984714773088953</v>
      </c>
      <c r="L2543" s="14">
        <f t="shared" si="1129"/>
        <v>0</v>
      </c>
      <c r="M2543" s="50"/>
      <c r="N2543" s="50"/>
    </row>
    <row r="2544" spans="1:14" ht="31.2" x14ac:dyDescent="0.3">
      <c r="A2544" s="8" t="s">
        <v>1430</v>
      </c>
      <c r="B2544" s="62" t="s">
        <v>937</v>
      </c>
      <c r="C2544" s="68" t="s">
        <v>1386</v>
      </c>
      <c r="D2544" s="68" t="s">
        <v>1398</v>
      </c>
      <c r="E2544" s="8" t="s">
        <v>360</v>
      </c>
      <c r="F2544" s="8" t="s">
        <v>247</v>
      </c>
      <c r="G2544" s="23" t="s">
        <v>810</v>
      </c>
      <c r="H2544" s="14">
        <f>1801.7-1040.955-0.403</f>
        <v>760.3420000000001</v>
      </c>
      <c r="I2544" s="14">
        <v>760.34199999999998</v>
      </c>
      <c r="J2544" s="14">
        <v>760.22577999999999</v>
      </c>
      <c r="K2544" s="78">
        <f t="shared" si="1114"/>
        <v>99.984714773088953</v>
      </c>
      <c r="L2544" s="14"/>
      <c r="M2544" s="50"/>
      <c r="N2544" s="50"/>
    </row>
    <row r="2545" spans="1:14" ht="62.4" x14ac:dyDescent="0.3">
      <c r="A2545" s="8" t="s">
        <v>1430</v>
      </c>
      <c r="B2545" s="62" t="s">
        <v>937</v>
      </c>
      <c r="C2545" s="68" t="s">
        <v>1386</v>
      </c>
      <c r="D2545" s="68" t="s">
        <v>1398</v>
      </c>
      <c r="E2545" s="8" t="s">
        <v>361</v>
      </c>
      <c r="F2545" s="8"/>
      <c r="G2545" s="18" t="s">
        <v>1191</v>
      </c>
      <c r="H2545" s="14">
        <f t="shared" ref="H2545:L2549" si="1130">H2546</f>
        <v>2238.1</v>
      </c>
      <c r="I2545" s="14">
        <f t="shared" si="1130"/>
        <v>2238.1</v>
      </c>
      <c r="J2545" s="14">
        <f t="shared" si="1130"/>
        <v>2236.7682599999998</v>
      </c>
      <c r="K2545" s="78">
        <f t="shared" si="1114"/>
        <v>99.940496850006696</v>
      </c>
      <c r="L2545" s="14">
        <f t="shared" si="1130"/>
        <v>0</v>
      </c>
      <c r="M2545" s="50"/>
      <c r="N2545" s="50"/>
    </row>
    <row r="2546" spans="1:14" ht="46.8" x14ac:dyDescent="0.3">
      <c r="A2546" s="8" t="s">
        <v>1430</v>
      </c>
      <c r="B2546" s="62" t="s">
        <v>937</v>
      </c>
      <c r="C2546" s="68" t="s">
        <v>1386</v>
      </c>
      <c r="D2546" s="68" t="s">
        <v>1398</v>
      </c>
      <c r="E2546" s="8" t="s">
        <v>362</v>
      </c>
      <c r="F2546" s="8"/>
      <c r="G2546" s="18" t="s">
        <v>1209</v>
      </c>
      <c r="H2546" s="14">
        <f t="shared" si="1130"/>
        <v>2238.1</v>
      </c>
      <c r="I2546" s="14">
        <f t="shared" si="1130"/>
        <v>2238.1</v>
      </c>
      <c r="J2546" s="14">
        <f t="shared" si="1130"/>
        <v>2236.7682599999998</v>
      </c>
      <c r="K2546" s="78">
        <f t="shared" si="1114"/>
        <v>99.940496850006696</v>
      </c>
      <c r="L2546" s="14">
        <f t="shared" si="1130"/>
        <v>0</v>
      </c>
      <c r="M2546" s="50"/>
      <c r="N2546" s="50"/>
    </row>
    <row r="2547" spans="1:14" ht="62.4" x14ac:dyDescent="0.3">
      <c r="A2547" s="8" t="s">
        <v>1430</v>
      </c>
      <c r="B2547" s="62" t="s">
        <v>937</v>
      </c>
      <c r="C2547" s="68" t="s">
        <v>1386</v>
      </c>
      <c r="D2547" s="68" t="s">
        <v>1398</v>
      </c>
      <c r="E2547" s="8" t="s">
        <v>363</v>
      </c>
      <c r="F2547" s="8"/>
      <c r="G2547" s="13" t="s">
        <v>1053</v>
      </c>
      <c r="H2547" s="14">
        <f t="shared" si="1130"/>
        <v>2238.1</v>
      </c>
      <c r="I2547" s="14">
        <f t="shared" si="1130"/>
        <v>2238.1</v>
      </c>
      <c r="J2547" s="14">
        <f t="shared" si="1130"/>
        <v>2236.7682599999998</v>
      </c>
      <c r="K2547" s="78">
        <f t="shared" si="1114"/>
        <v>99.940496850006696</v>
      </c>
      <c r="L2547" s="14">
        <f t="shared" si="1130"/>
        <v>0</v>
      </c>
      <c r="M2547" s="50"/>
      <c r="N2547" s="50"/>
    </row>
    <row r="2548" spans="1:14" x14ac:dyDescent="0.3">
      <c r="A2548" s="8" t="s">
        <v>1430</v>
      </c>
      <c r="B2548" s="62" t="s">
        <v>937</v>
      </c>
      <c r="C2548" s="68" t="s">
        <v>1386</v>
      </c>
      <c r="D2548" s="68" t="s">
        <v>1398</v>
      </c>
      <c r="E2548" s="8" t="s">
        <v>364</v>
      </c>
      <c r="F2548" s="8"/>
      <c r="G2548" s="13" t="s">
        <v>1054</v>
      </c>
      <c r="H2548" s="14">
        <f t="shared" si="1130"/>
        <v>2238.1</v>
      </c>
      <c r="I2548" s="14">
        <f t="shared" si="1130"/>
        <v>2238.1</v>
      </c>
      <c r="J2548" s="14">
        <f t="shared" si="1130"/>
        <v>2236.7682599999998</v>
      </c>
      <c r="K2548" s="78">
        <f t="shared" si="1114"/>
        <v>99.940496850006696</v>
      </c>
      <c r="L2548" s="14">
        <f t="shared" si="1130"/>
        <v>0</v>
      </c>
      <c r="M2548" s="50"/>
      <c r="N2548" s="50"/>
    </row>
    <row r="2549" spans="1:14" ht="31.2" x14ac:dyDescent="0.3">
      <c r="A2549" s="8" t="s">
        <v>1430</v>
      </c>
      <c r="B2549" s="62" t="s">
        <v>937</v>
      </c>
      <c r="C2549" s="68" t="s">
        <v>1386</v>
      </c>
      <c r="D2549" s="68" t="s">
        <v>1398</v>
      </c>
      <c r="E2549" s="8" t="s">
        <v>364</v>
      </c>
      <c r="F2549" s="45" t="s">
        <v>380</v>
      </c>
      <c r="G2549" s="23" t="s">
        <v>809</v>
      </c>
      <c r="H2549" s="14">
        <f t="shared" si="1130"/>
        <v>2238.1</v>
      </c>
      <c r="I2549" s="14">
        <f t="shared" si="1130"/>
        <v>2238.1</v>
      </c>
      <c r="J2549" s="14">
        <f t="shared" si="1130"/>
        <v>2236.7682599999998</v>
      </c>
      <c r="K2549" s="78">
        <f t="shared" si="1114"/>
        <v>99.940496850006696</v>
      </c>
      <c r="L2549" s="14">
        <f t="shared" si="1130"/>
        <v>0</v>
      </c>
      <c r="M2549" s="50"/>
      <c r="N2549" s="50"/>
    </row>
    <row r="2550" spans="1:14" ht="31.2" x14ac:dyDescent="0.3">
      <c r="A2550" s="8" t="s">
        <v>1430</v>
      </c>
      <c r="B2550" s="62" t="s">
        <v>937</v>
      </c>
      <c r="C2550" s="68" t="s">
        <v>1386</v>
      </c>
      <c r="D2550" s="68" t="s">
        <v>1398</v>
      </c>
      <c r="E2550" s="8" t="s">
        <v>364</v>
      </c>
      <c r="F2550" s="8" t="s">
        <v>247</v>
      </c>
      <c r="G2550" s="23" t="s">
        <v>810</v>
      </c>
      <c r="H2550" s="14">
        <f>2256-17.9</f>
        <v>2238.1</v>
      </c>
      <c r="I2550" s="14">
        <v>2238.1</v>
      </c>
      <c r="J2550" s="14">
        <v>2236.7682599999998</v>
      </c>
      <c r="K2550" s="78">
        <f t="shared" si="1114"/>
        <v>99.940496850006696</v>
      </c>
      <c r="L2550" s="14"/>
      <c r="M2550" s="50"/>
      <c r="N2550" s="50"/>
    </row>
    <row r="2551" spans="1:14" ht="31.2" x14ac:dyDescent="0.3">
      <c r="A2551" s="8" t="s">
        <v>1430</v>
      </c>
      <c r="B2551" s="62" t="s">
        <v>937</v>
      </c>
      <c r="C2551" s="68" t="s">
        <v>1386</v>
      </c>
      <c r="D2551" s="68" t="s">
        <v>1398</v>
      </c>
      <c r="E2551" s="8" t="s">
        <v>368</v>
      </c>
      <c r="F2551" s="8"/>
      <c r="G2551" s="13" t="s">
        <v>1079</v>
      </c>
      <c r="H2551" s="14">
        <f t="shared" ref="H2551:L2557" si="1131">H2552</f>
        <v>10227.299999999999</v>
      </c>
      <c r="I2551" s="14">
        <f t="shared" si="1131"/>
        <v>10077.299999999999</v>
      </c>
      <c r="J2551" s="14">
        <f t="shared" si="1131"/>
        <v>10077.299999999999</v>
      </c>
      <c r="K2551" s="78">
        <f t="shared" si="1114"/>
        <v>100</v>
      </c>
      <c r="L2551" s="14">
        <f t="shared" si="1131"/>
        <v>0</v>
      </c>
      <c r="M2551" s="50"/>
      <c r="N2551" s="50"/>
    </row>
    <row r="2552" spans="1:14" ht="31.2" x14ac:dyDescent="0.3">
      <c r="A2552" s="8" t="s">
        <v>1430</v>
      </c>
      <c r="B2552" s="62" t="s">
        <v>937</v>
      </c>
      <c r="C2552" s="68" t="s">
        <v>1386</v>
      </c>
      <c r="D2552" s="68" t="s">
        <v>1398</v>
      </c>
      <c r="E2552" s="8" t="s">
        <v>369</v>
      </c>
      <c r="F2552" s="8"/>
      <c r="G2552" s="13" t="s">
        <v>1088</v>
      </c>
      <c r="H2552" s="14">
        <f t="shared" si="1131"/>
        <v>10227.299999999999</v>
      </c>
      <c r="I2552" s="14">
        <f t="shared" si="1131"/>
        <v>10077.299999999999</v>
      </c>
      <c r="J2552" s="14">
        <f t="shared" si="1131"/>
        <v>10077.299999999999</v>
      </c>
      <c r="K2552" s="78">
        <f t="shared" si="1114"/>
        <v>100</v>
      </c>
      <c r="L2552" s="14">
        <f t="shared" si="1131"/>
        <v>0</v>
      </c>
      <c r="M2552" s="50"/>
      <c r="N2552" s="50"/>
    </row>
    <row r="2553" spans="1:14" ht="46.8" x14ac:dyDescent="0.3">
      <c r="A2553" s="8" t="s">
        <v>1430</v>
      </c>
      <c r="B2553" s="62" t="s">
        <v>937</v>
      </c>
      <c r="C2553" s="68" t="s">
        <v>1386</v>
      </c>
      <c r="D2553" s="68" t="s">
        <v>1398</v>
      </c>
      <c r="E2553" s="8" t="s">
        <v>514</v>
      </c>
      <c r="F2553" s="8"/>
      <c r="G2553" s="18" t="s">
        <v>1090</v>
      </c>
      <c r="H2553" s="14">
        <f t="shared" si="1131"/>
        <v>10227.299999999999</v>
      </c>
      <c r="I2553" s="14">
        <f t="shared" si="1131"/>
        <v>10077.299999999999</v>
      </c>
      <c r="J2553" s="14">
        <f t="shared" si="1131"/>
        <v>10077.299999999999</v>
      </c>
      <c r="K2553" s="78">
        <f t="shared" si="1114"/>
        <v>100</v>
      </c>
      <c r="L2553" s="14">
        <f t="shared" si="1131"/>
        <v>0</v>
      </c>
      <c r="M2553" s="50"/>
      <c r="N2553" s="50"/>
    </row>
    <row r="2554" spans="1:14" ht="46.8" x14ac:dyDescent="0.3">
      <c r="A2554" s="8" t="s">
        <v>1430</v>
      </c>
      <c r="B2554" s="62" t="s">
        <v>937</v>
      </c>
      <c r="C2554" s="68" t="s">
        <v>1386</v>
      </c>
      <c r="D2554" s="68" t="s">
        <v>1398</v>
      </c>
      <c r="E2554" s="8" t="s">
        <v>69</v>
      </c>
      <c r="F2554" s="8"/>
      <c r="G2554" s="23" t="s">
        <v>1267</v>
      </c>
      <c r="H2554" s="14">
        <f>H2557+H2555</f>
        <v>10227.299999999999</v>
      </c>
      <c r="I2554" s="14">
        <f t="shared" ref="I2554:L2554" si="1132">I2557+I2555</f>
        <v>10077.299999999999</v>
      </c>
      <c r="J2554" s="14">
        <f t="shared" si="1132"/>
        <v>10077.299999999999</v>
      </c>
      <c r="K2554" s="78">
        <f t="shared" si="1114"/>
        <v>100</v>
      </c>
      <c r="L2554" s="14">
        <f t="shared" si="1132"/>
        <v>0</v>
      </c>
      <c r="M2554" s="50"/>
      <c r="N2554" s="50"/>
    </row>
    <row r="2555" spans="1:14" ht="31.2" x14ac:dyDescent="0.3">
      <c r="A2555" s="8" t="s">
        <v>1430</v>
      </c>
      <c r="B2555" s="62" t="s">
        <v>937</v>
      </c>
      <c r="C2555" s="68" t="s">
        <v>1386</v>
      </c>
      <c r="D2555" s="68" t="s">
        <v>1398</v>
      </c>
      <c r="E2555" s="8" t="s">
        <v>69</v>
      </c>
      <c r="F2555" s="8" t="s">
        <v>402</v>
      </c>
      <c r="G2555" s="23" t="s">
        <v>819</v>
      </c>
      <c r="H2555" s="14">
        <f>H2556</f>
        <v>0</v>
      </c>
      <c r="I2555" s="14">
        <f t="shared" ref="I2555:L2555" si="1133">I2556</f>
        <v>2134.4789500000002</v>
      </c>
      <c r="J2555" s="14">
        <f t="shared" si="1133"/>
        <v>2134.4789500000002</v>
      </c>
      <c r="K2555" s="78">
        <f t="shared" si="1114"/>
        <v>100</v>
      </c>
      <c r="L2555" s="14">
        <f t="shared" si="1133"/>
        <v>0</v>
      </c>
      <c r="M2555" s="50"/>
      <c r="N2555" s="50"/>
    </row>
    <row r="2556" spans="1:14" ht="46.8" x14ac:dyDescent="0.3">
      <c r="A2556" s="8" t="s">
        <v>1430</v>
      </c>
      <c r="B2556" s="62" t="s">
        <v>937</v>
      </c>
      <c r="C2556" s="68" t="s">
        <v>1386</v>
      </c>
      <c r="D2556" s="68" t="s">
        <v>1398</v>
      </c>
      <c r="E2556" s="8" t="s">
        <v>69</v>
      </c>
      <c r="F2556" s="8" t="s">
        <v>280</v>
      </c>
      <c r="G2556" s="23" t="s">
        <v>821</v>
      </c>
      <c r="H2556" s="19">
        <v>0</v>
      </c>
      <c r="I2556" s="14">
        <v>2134.4789500000002</v>
      </c>
      <c r="J2556" s="20">
        <v>2134.4789500000002</v>
      </c>
      <c r="K2556" s="77">
        <f t="shared" si="1114"/>
        <v>100</v>
      </c>
      <c r="L2556" s="14"/>
      <c r="M2556" s="50"/>
      <c r="N2556" s="50"/>
    </row>
    <row r="2557" spans="1:14" x14ac:dyDescent="0.3">
      <c r="A2557" s="8" t="s">
        <v>1430</v>
      </c>
      <c r="B2557" s="62" t="s">
        <v>937</v>
      </c>
      <c r="C2557" s="68" t="s">
        <v>1386</v>
      </c>
      <c r="D2557" s="68" t="s">
        <v>1398</v>
      </c>
      <c r="E2557" s="8" t="s">
        <v>69</v>
      </c>
      <c r="F2557" s="45" t="s">
        <v>464</v>
      </c>
      <c r="G2557" s="23" t="s">
        <v>822</v>
      </c>
      <c r="H2557" s="14">
        <f t="shared" si="1131"/>
        <v>10227.299999999999</v>
      </c>
      <c r="I2557" s="14">
        <f t="shared" si="1131"/>
        <v>7942.8210499999996</v>
      </c>
      <c r="J2557" s="14">
        <f t="shared" si="1131"/>
        <v>7942.8210499999996</v>
      </c>
      <c r="K2557" s="78">
        <f t="shared" si="1114"/>
        <v>100</v>
      </c>
      <c r="L2557" s="14">
        <f t="shared" si="1131"/>
        <v>0</v>
      </c>
      <c r="M2557" s="50"/>
      <c r="N2557" s="50"/>
    </row>
    <row r="2558" spans="1:14" ht="62.4" x14ac:dyDescent="0.3">
      <c r="A2558" s="8" t="s">
        <v>1430</v>
      </c>
      <c r="B2558" s="62" t="s">
        <v>937</v>
      </c>
      <c r="C2558" s="68" t="s">
        <v>1386</v>
      </c>
      <c r="D2558" s="68" t="s">
        <v>1398</v>
      </c>
      <c r="E2558" s="8" t="s">
        <v>69</v>
      </c>
      <c r="F2558" s="45" t="s">
        <v>727</v>
      </c>
      <c r="G2558" s="18" t="s">
        <v>830</v>
      </c>
      <c r="H2558" s="14">
        <v>10227.299999999999</v>
      </c>
      <c r="I2558" s="14">
        <v>7942.8210499999996</v>
      </c>
      <c r="J2558" s="14">
        <v>7942.8210499999996</v>
      </c>
      <c r="K2558" s="78">
        <f t="shared" si="1114"/>
        <v>100</v>
      </c>
      <c r="L2558" s="14"/>
      <c r="M2558" s="50"/>
      <c r="N2558" s="50"/>
    </row>
    <row r="2559" spans="1:14" ht="31.2" x14ac:dyDescent="0.3">
      <c r="A2559" s="8" t="s">
        <v>1430</v>
      </c>
      <c r="B2559" s="62" t="s">
        <v>937</v>
      </c>
      <c r="C2559" s="68" t="s">
        <v>1386</v>
      </c>
      <c r="D2559" s="68" t="s">
        <v>1398</v>
      </c>
      <c r="E2559" s="8" t="s">
        <v>429</v>
      </c>
      <c r="F2559" s="45"/>
      <c r="G2559" s="23" t="s">
        <v>1140</v>
      </c>
      <c r="H2559" s="14">
        <f t="shared" ref="H2559:L2561" si="1134">H2560</f>
        <v>24.449000000000002</v>
      </c>
      <c r="I2559" s="14">
        <f t="shared" si="1134"/>
        <v>4530</v>
      </c>
      <c r="J2559" s="14">
        <f t="shared" si="1134"/>
        <v>4516.6528399999997</v>
      </c>
      <c r="K2559" s="78">
        <f t="shared" si="1114"/>
        <v>99.705360706401763</v>
      </c>
      <c r="L2559" s="14">
        <f t="shared" si="1134"/>
        <v>0</v>
      </c>
      <c r="M2559" s="50"/>
      <c r="N2559" s="50"/>
    </row>
    <row r="2560" spans="1:14" ht="46.8" x14ac:dyDescent="0.3">
      <c r="A2560" s="8" t="s">
        <v>1430</v>
      </c>
      <c r="B2560" s="62" t="s">
        <v>937</v>
      </c>
      <c r="C2560" s="68" t="s">
        <v>1386</v>
      </c>
      <c r="D2560" s="68" t="s">
        <v>1398</v>
      </c>
      <c r="E2560" s="8" t="s">
        <v>535</v>
      </c>
      <c r="F2560" s="45"/>
      <c r="G2560" s="31" t="s">
        <v>176</v>
      </c>
      <c r="H2560" s="14">
        <f t="shared" si="1134"/>
        <v>24.449000000000002</v>
      </c>
      <c r="I2560" s="14">
        <f t="shared" si="1134"/>
        <v>4530</v>
      </c>
      <c r="J2560" s="14">
        <f t="shared" si="1134"/>
        <v>4516.6528399999997</v>
      </c>
      <c r="K2560" s="78">
        <f t="shared" si="1114"/>
        <v>99.705360706401763</v>
      </c>
      <c r="L2560" s="14">
        <f t="shared" si="1134"/>
        <v>0</v>
      </c>
      <c r="M2560" s="50"/>
      <c r="N2560" s="50"/>
    </row>
    <row r="2561" spans="1:14" ht="31.2" x14ac:dyDescent="0.3">
      <c r="A2561" s="8" t="s">
        <v>1430</v>
      </c>
      <c r="B2561" s="62" t="s">
        <v>937</v>
      </c>
      <c r="C2561" s="68" t="s">
        <v>1386</v>
      </c>
      <c r="D2561" s="68" t="s">
        <v>1398</v>
      </c>
      <c r="E2561" s="8" t="s">
        <v>535</v>
      </c>
      <c r="F2561" s="45" t="s">
        <v>380</v>
      </c>
      <c r="G2561" s="23" t="s">
        <v>809</v>
      </c>
      <c r="H2561" s="14">
        <f t="shared" si="1134"/>
        <v>24.449000000000002</v>
      </c>
      <c r="I2561" s="14">
        <f t="shared" si="1134"/>
        <v>4530</v>
      </c>
      <c r="J2561" s="14">
        <f t="shared" si="1134"/>
        <v>4516.6528399999997</v>
      </c>
      <c r="K2561" s="78">
        <f t="shared" si="1114"/>
        <v>99.705360706401763</v>
      </c>
      <c r="L2561" s="14">
        <f t="shared" si="1134"/>
        <v>0</v>
      </c>
      <c r="M2561" s="50"/>
      <c r="N2561" s="50"/>
    </row>
    <row r="2562" spans="1:14" ht="31.2" x14ac:dyDescent="0.3">
      <c r="A2562" s="8" t="s">
        <v>1430</v>
      </c>
      <c r="B2562" s="62" t="s">
        <v>937</v>
      </c>
      <c r="C2562" s="68" t="s">
        <v>1386</v>
      </c>
      <c r="D2562" s="68" t="s">
        <v>1398</v>
      </c>
      <c r="E2562" s="8" t="s">
        <v>535</v>
      </c>
      <c r="F2562" s="8" t="s">
        <v>247</v>
      </c>
      <c r="G2562" s="23" t="s">
        <v>810</v>
      </c>
      <c r="H2562" s="14">
        <v>24.449000000000002</v>
      </c>
      <c r="I2562" s="14">
        <v>4530</v>
      </c>
      <c r="J2562" s="14">
        <v>4516.6528399999997</v>
      </c>
      <c r="K2562" s="78">
        <f t="shared" si="1114"/>
        <v>99.705360706401763</v>
      </c>
      <c r="L2562" s="14"/>
      <c r="M2562" s="50"/>
      <c r="N2562" s="50"/>
    </row>
    <row r="2563" spans="1:14" s="9" customFormat="1" x14ac:dyDescent="0.3">
      <c r="A2563" s="11" t="s">
        <v>1430</v>
      </c>
      <c r="B2563" s="48" t="s">
        <v>918</v>
      </c>
      <c r="C2563" s="48" t="s">
        <v>1386</v>
      </c>
      <c r="D2563" s="48" t="s">
        <v>1479</v>
      </c>
      <c r="E2563" s="11"/>
      <c r="F2563" s="11"/>
      <c r="G2563" s="7" t="s">
        <v>1389</v>
      </c>
      <c r="H2563" s="16">
        <f>H2578+H2564+H2573+H2583</f>
        <v>1264.58</v>
      </c>
      <c r="I2563" s="16">
        <f t="shared" ref="I2563:L2563" si="1135">I2578+I2564+I2573+I2583</f>
        <v>1284.58</v>
      </c>
      <c r="J2563" s="16">
        <f t="shared" si="1135"/>
        <v>626.29950000000008</v>
      </c>
      <c r="K2563" s="82">
        <f t="shared" si="1114"/>
        <v>48.755196250914707</v>
      </c>
      <c r="L2563" s="16">
        <f t="shared" si="1135"/>
        <v>0</v>
      </c>
      <c r="M2563" s="65"/>
      <c r="N2563" s="65"/>
    </row>
    <row r="2564" spans="1:14" ht="31.2" x14ac:dyDescent="0.3">
      <c r="A2564" s="8" t="s">
        <v>1430</v>
      </c>
      <c r="B2564" s="62" t="s">
        <v>918</v>
      </c>
      <c r="C2564" s="68" t="s">
        <v>1386</v>
      </c>
      <c r="D2564" s="68" t="s">
        <v>1479</v>
      </c>
      <c r="E2564" s="8" t="s">
        <v>438</v>
      </c>
      <c r="F2564" s="8"/>
      <c r="G2564" s="18" t="s">
        <v>891</v>
      </c>
      <c r="H2564" s="14">
        <f t="shared" ref="H2564:L2568" si="1136">H2565</f>
        <v>344.09999999999997</v>
      </c>
      <c r="I2564" s="14">
        <f t="shared" si="1136"/>
        <v>344.1</v>
      </c>
      <c r="J2564" s="14">
        <f t="shared" si="1136"/>
        <v>163.4195</v>
      </c>
      <c r="K2564" s="78">
        <f t="shared" si="1114"/>
        <v>47.491862830572508</v>
      </c>
      <c r="L2564" s="14">
        <f t="shared" si="1136"/>
        <v>0</v>
      </c>
      <c r="M2564" s="50"/>
      <c r="N2564" s="50"/>
    </row>
    <row r="2565" spans="1:14" ht="46.8" x14ac:dyDescent="0.3">
      <c r="A2565" s="8" t="s">
        <v>1430</v>
      </c>
      <c r="B2565" s="62" t="s">
        <v>918</v>
      </c>
      <c r="C2565" s="68" t="s">
        <v>1386</v>
      </c>
      <c r="D2565" s="68" t="s">
        <v>1479</v>
      </c>
      <c r="E2565" s="8" t="s">
        <v>439</v>
      </c>
      <c r="F2565" s="8"/>
      <c r="G2565" s="18" t="s">
        <v>119</v>
      </c>
      <c r="H2565" s="14">
        <f t="shared" si="1136"/>
        <v>344.09999999999997</v>
      </c>
      <c r="I2565" s="14">
        <f t="shared" si="1136"/>
        <v>344.1</v>
      </c>
      <c r="J2565" s="14">
        <f t="shared" si="1136"/>
        <v>163.4195</v>
      </c>
      <c r="K2565" s="78">
        <f t="shared" si="1114"/>
        <v>47.491862830572508</v>
      </c>
      <c r="L2565" s="14">
        <f t="shared" si="1136"/>
        <v>0</v>
      </c>
      <c r="M2565" s="50"/>
      <c r="N2565" s="50"/>
    </row>
    <row r="2566" spans="1:14" ht="46.8" x14ac:dyDescent="0.3">
      <c r="A2566" s="8" t="s">
        <v>1430</v>
      </c>
      <c r="B2566" s="62" t="s">
        <v>918</v>
      </c>
      <c r="C2566" s="68" t="s">
        <v>1386</v>
      </c>
      <c r="D2566" s="68" t="s">
        <v>1479</v>
      </c>
      <c r="E2566" s="8" t="s">
        <v>440</v>
      </c>
      <c r="F2566" s="8"/>
      <c r="G2566" s="18" t="s">
        <v>120</v>
      </c>
      <c r="H2566" s="14">
        <f>H2567+H2570</f>
        <v>344.09999999999997</v>
      </c>
      <c r="I2566" s="14">
        <f>I2567+I2570</f>
        <v>344.1</v>
      </c>
      <c r="J2566" s="14">
        <f t="shared" ref="J2566" si="1137">J2567+J2570</f>
        <v>163.4195</v>
      </c>
      <c r="K2566" s="78">
        <f t="shared" si="1114"/>
        <v>47.491862830572508</v>
      </c>
      <c r="L2566" s="14">
        <f>L2567+L2570</f>
        <v>0</v>
      </c>
      <c r="M2566" s="50"/>
      <c r="N2566" s="50"/>
    </row>
    <row r="2567" spans="1:14" ht="46.8" x14ac:dyDescent="0.3">
      <c r="A2567" s="8" t="s">
        <v>1430</v>
      </c>
      <c r="B2567" s="62" t="s">
        <v>918</v>
      </c>
      <c r="C2567" s="68" t="s">
        <v>1386</v>
      </c>
      <c r="D2567" s="68" t="s">
        <v>1479</v>
      </c>
      <c r="E2567" s="8" t="s">
        <v>441</v>
      </c>
      <c r="F2567" s="8"/>
      <c r="G2567" s="18" t="s">
        <v>761</v>
      </c>
      <c r="H2567" s="14">
        <f t="shared" si="1136"/>
        <v>250.7</v>
      </c>
      <c r="I2567" s="14">
        <f t="shared" si="1136"/>
        <v>250.7</v>
      </c>
      <c r="J2567" s="14">
        <f t="shared" si="1136"/>
        <v>109.8275</v>
      </c>
      <c r="K2567" s="78">
        <f t="shared" si="1114"/>
        <v>43.808336657359398</v>
      </c>
      <c r="L2567" s="14">
        <f t="shared" si="1136"/>
        <v>0</v>
      </c>
      <c r="M2567" s="50"/>
      <c r="N2567" s="50"/>
    </row>
    <row r="2568" spans="1:14" ht="31.2" x14ac:dyDescent="0.3">
      <c r="A2568" s="8" t="s">
        <v>1430</v>
      </c>
      <c r="B2568" s="62" t="s">
        <v>918</v>
      </c>
      <c r="C2568" s="68" t="s">
        <v>1386</v>
      </c>
      <c r="D2568" s="68" t="s">
        <v>1479</v>
      </c>
      <c r="E2568" s="8" t="s">
        <v>441</v>
      </c>
      <c r="F2568" s="45" t="s">
        <v>380</v>
      </c>
      <c r="G2568" s="23" t="s">
        <v>809</v>
      </c>
      <c r="H2568" s="14">
        <f t="shared" si="1136"/>
        <v>250.7</v>
      </c>
      <c r="I2568" s="14">
        <f t="shared" si="1136"/>
        <v>250.7</v>
      </c>
      <c r="J2568" s="14">
        <f t="shared" si="1136"/>
        <v>109.8275</v>
      </c>
      <c r="K2568" s="78">
        <f t="shared" ref="K2568:K2631" si="1138">J2568/I2568*100</f>
        <v>43.808336657359398</v>
      </c>
      <c r="L2568" s="14">
        <f t="shared" si="1136"/>
        <v>0</v>
      </c>
      <c r="M2568" s="50"/>
      <c r="N2568" s="50"/>
    </row>
    <row r="2569" spans="1:14" ht="31.2" x14ac:dyDescent="0.3">
      <c r="A2569" s="8" t="s">
        <v>1430</v>
      </c>
      <c r="B2569" s="62" t="s">
        <v>918</v>
      </c>
      <c r="C2569" s="68" t="s">
        <v>1386</v>
      </c>
      <c r="D2569" s="68" t="s">
        <v>1479</v>
      </c>
      <c r="E2569" s="8" t="s">
        <v>441</v>
      </c>
      <c r="F2569" s="8" t="s">
        <v>247</v>
      </c>
      <c r="G2569" s="23" t="s">
        <v>810</v>
      </c>
      <c r="H2569" s="14">
        <f>334.5-83.8</f>
        <v>250.7</v>
      </c>
      <c r="I2569" s="14">
        <v>250.7</v>
      </c>
      <c r="J2569" s="14">
        <v>109.8275</v>
      </c>
      <c r="K2569" s="78">
        <f t="shared" si="1138"/>
        <v>43.808336657359398</v>
      </c>
      <c r="L2569" s="14"/>
      <c r="M2569" s="50"/>
      <c r="N2569" s="50"/>
    </row>
    <row r="2570" spans="1:14" ht="31.2" x14ac:dyDescent="0.3">
      <c r="A2570" s="8" t="s">
        <v>1430</v>
      </c>
      <c r="B2570" s="62" t="s">
        <v>918</v>
      </c>
      <c r="C2570" s="68" t="s">
        <v>1386</v>
      </c>
      <c r="D2570" s="68" t="s">
        <v>1479</v>
      </c>
      <c r="E2570" s="8" t="s">
        <v>246</v>
      </c>
      <c r="F2570" s="8"/>
      <c r="G2570" s="23" t="s">
        <v>305</v>
      </c>
      <c r="H2570" s="14">
        <f t="shared" ref="H2570:L2571" si="1139">H2571</f>
        <v>93.399999999999991</v>
      </c>
      <c r="I2570" s="14">
        <f t="shared" si="1139"/>
        <v>93.4</v>
      </c>
      <c r="J2570" s="14">
        <f t="shared" si="1139"/>
        <v>53.591999999999999</v>
      </c>
      <c r="K2570" s="78">
        <f t="shared" si="1138"/>
        <v>57.379014989293353</v>
      </c>
      <c r="L2570" s="14">
        <f t="shared" si="1139"/>
        <v>0</v>
      </c>
      <c r="M2570" s="50"/>
      <c r="N2570" s="50"/>
    </row>
    <row r="2571" spans="1:14" ht="31.2" x14ac:dyDescent="0.3">
      <c r="A2571" s="8" t="s">
        <v>1430</v>
      </c>
      <c r="B2571" s="62" t="s">
        <v>918</v>
      </c>
      <c r="C2571" s="68" t="s">
        <v>1386</v>
      </c>
      <c r="D2571" s="68" t="s">
        <v>1479</v>
      </c>
      <c r="E2571" s="8" t="s">
        <v>246</v>
      </c>
      <c r="F2571" s="45" t="s">
        <v>380</v>
      </c>
      <c r="G2571" s="23" t="s">
        <v>809</v>
      </c>
      <c r="H2571" s="14">
        <f t="shared" si="1139"/>
        <v>93.399999999999991</v>
      </c>
      <c r="I2571" s="14">
        <f t="shared" si="1139"/>
        <v>93.4</v>
      </c>
      <c r="J2571" s="14">
        <f t="shared" si="1139"/>
        <v>53.591999999999999</v>
      </c>
      <c r="K2571" s="78">
        <f t="shared" si="1138"/>
        <v>57.379014989293353</v>
      </c>
      <c r="L2571" s="14">
        <f t="shared" si="1139"/>
        <v>0</v>
      </c>
      <c r="M2571" s="50"/>
      <c r="N2571" s="50"/>
    </row>
    <row r="2572" spans="1:14" ht="31.2" x14ac:dyDescent="0.3">
      <c r="A2572" s="8" t="s">
        <v>1430</v>
      </c>
      <c r="B2572" s="62" t="s">
        <v>918</v>
      </c>
      <c r="C2572" s="68" t="s">
        <v>1386</v>
      </c>
      <c r="D2572" s="68" t="s">
        <v>1479</v>
      </c>
      <c r="E2572" s="8" t="s">
        <v>246</v>
      </c>
      <c r="F2572" s="8" t="s">
        <v>247</v>
      </c>
      <c r="G2572" s="23" t="s">
        <v>810</v>
      </c>
      <c r="H2572" s="14">
        <f>9.6+83.8</f>
        <v>93.399999999999991</v>
      </c>
      <c r="I2572" s="14">
        <v>93.4</v>
      </c>
      <c r="J2572" s="14">
        <v>53.591999999999999</v>
      </c>
      <c r="K2572" s="78">
        <f t="shared" si="1138"/>
        <v>57.379014989293353</v>
      </c>
      <c r="L2572" s="14"/>
      <c r="M2572" s="50"/>
      <c r="N2572" s="50"/>
    </row>
    <row r="2573" spans="1:14" ht="62.4" x14ac:dyDescent="0.3">
      <c r="A2573" s="8" t="s">
        <v>1430</v>
      </c>
      <c r="B2573" s="62" t="s">
        <v>918</v>
      </c>
      <c r="C2573" s="68" t="s">
        <v>1386</v>
      </c>
      <c r="D2573" s="68" t="s">
        <v>1479</v>
      </c>
      <c r="E2573" s="8" t="s">
        <v>358</v>
      </c>
      <c r="F2573" s="8"/>
      <c r="G2573" s="13" t="s">
        <v>1040</v>
      </c>
      <c r="H2573" s="14">
        <f t="shared" ref="H2573:L2576" si="1140">H2574</f>
        <v>300.08</v>
      </c>
      <c r="I2573" s="14">
        <f t="shared" si="1140"/>
        <v>300.08</v>
      </c>
      <c r="J2573" s="14">
        <f t="shared" si="1140"/>
        <v>300.08</v>
      </c>
      <c r="K2573" s="78">
        <f t="shared" si="1138"/>
        <v>100</v>
      </c>
      <c r="L2573" s="14">
        <f t="shared" si="1140"/>
        <v>0</v>
      </c>
      <c r="M2573" s="50"/>
      <c r="N2573" s="50"/>
    </row>
    <row r="2574" spans="1:14" ht="31.2" x14ac:dyDescent="0.3">
      <c r="A2574" s="8" t="s">
        <v>1430</v>
      </c>
      <c r="B2574" s="62" t="s">
        <v>918</v>
      </c>
      <c r="C2574" s="68" t="s">
        <v>1386</v>
      </c>
      <c r="D2574" s="68" t="s">
        <v>1479</v>
      </c>
      <c r="E2574" s="8" t="s">
        <v>359</v>
      </c>
      <c r="F2574" s="8"/>
      <c r="G2574" s="13" t="s">
        <v>1041</v>
      </c>
      <c r="H2574" s="14">
        <f t="shared" si="1140"/>
        <v>300.08</v>
      </c>
      <c r="I2574" s="14">
        <f t="shared" si="1140"/>
        <v>300.08</v>
      </c>
      <c r="J2574" s="14">
        <f t="shared" si="1140"/>
        <v>300.08</v>
      </c>
      <c r="K2574" s="78">
        <f t="shared" si="1138"/>
        <v>100</v>
      </c>
      <c r="L2574" s="14">
        <f t="shared" si="1140"/>
        <v>0</v>
      </c>
      <c r="M2574" s="50"/>
      <c r="N2574" s="50"/>
    </row>
    <row r="2575" spans="1:14" ht="46.8" x14ac:dyDescent="0.3">
      <c r="A2575" s="8" t="s">
        <v>1430</v>
      </c>
      <c r="B2575" s="62" t="s">
        <v>918</v>
      </c>
      <c r="C2575" s="68" t="s">
        <v>1386</v>
      </c>
      <c r="D2575" s="68" t="s">
        <v>1479</v>
      </c>
      <c r="E2575" s="8" t="s">
        <v>1237</v>
      </c>
      <c r="F2575" s="8"/>
      <c r="G2575" s="18" t="s">
        <v>316</v>
      </c>
      <c r="H2575" s="14">
        <f t="shared" si="1140"/>
        <v>300.08</v>
      </c>
      <c r="I2575" s="14">
        <f t="shared" si="1140"/>
        <v>300.08</v>
      </c>
      <c r="J2575" s="14">
        <f t="shared" si="1140"/>
        <v>300.08</v>
      </c>
      <c r="K2575" s="78">
        <f t="shared" si="1138"/>
        <v>100</v>
      </c>
      <c r="L2575" s="14">
        <f t="shared" si="1140"/>
        <v>0</v>
      </c>
      <c r="M2575" s="50"/>
      <c r="N2575" s="50"/>
    </row>
    <row r="2576" spans="1:14" ht="31.2" x14ac:dyDescent="0.3">
      <c r="A2576" s="8" t="s">
        <v>1430</v>
      </c>
      <c r="B2576" s="62" t="s">
        <v>918</v>
      </c>
      <c r="C2576" s="68" t="s">
        <v>1386</v>
      </c>
      <c r="D2576" s="68" t="s">
        <v>1479</v>
      </c>
      <c r="E2576" s="8" t="s">
        <v>1237</v>
      </c>
      <c r="F2576" s="45" t="s">
        <v>380</v>
      </c>
      <c r="G2576" s="23" t="s">
        <v>809</v>
      </c>
      <c r="H2576" s="14">
        <f t="shared" si="1140"/>
        <v>300.08</v>
      </c>
      <c r="I2576" s="14">
        <f t="shared" si="1140"/>
        <v>300.08</v>
      </c>
      <c r="J2576" s="14">
        <f t="shared" si="1140"/>
        <v>300.08</v>
      </c>
      <c r="K2576" s="78">
        <f t="shared" si="1138"/>
        <v>100</v>
      </c>
      <c r="L2576" s="14">
        <f t="shared" si="1140"/>
        <v>0</v>
      </c>
      <c r="M2576" s="50"/>
      <c r="N2576" s="50"/>
    </row>
    <row r="2577" spans="1:14" ht="31.2" x14ac:dyDescent="0.3">
      <c r="A2577" s="8" t="s">
        <v>1430</v>
      </c>
      <c r="B2577" s="62" t="s">
        <v>918</v>
      </c>
      <c r="C2577" s="68" t="s">
        <v>1386</v>
      </c>
      <c r="D2577" s="68" t="s">
        <v>1479</v>
      </c>
      <c r="E2577" s="8" t="s">
        <v>1237</v>
      </c>
      <c r="F2577" s="8" t="s">
        <v>247</v>
      </c>
      <c r="G2577" s="23" t="s">
        <v>810</v>
      </c>
      <c r="H2577" s="14">
        <f>301.5-1.42</f>
        <v>300.08</v>
      </c>
      <c r="I2577" s="14">
        <v>300.08</v>
      </c>
      <c r="J2577" s="14">
        <v>300.08</v>
      </c>
      <c r="K2577" s="78">
        <f t="shared" si="1138"/>
        <v>100</v>
      </c>
      <c r="L2577" s="14"/>
      <c r="M2577" s="50"/>
      <c r="N2577" s="50"/>
    </row>
    <row r="2578" spans="1:14" ht="31.2" x14ac:dyDescent="0.3">
      <c r="A2578" s="8" t="s">
        <v>1430</v>
      </c>
      <c r="B2578" s="62" t="s">
        <v>918</v>
      </c>
      <c r="C2578" s="68" t="s">
        <v>1386</v>
      </c>
      <c r="D2578" s="68" t="s">
        <v>1479</v>
      </c>
      <c r="E2578" s="8" t="s">
        <v>365</v>
      </c>
      <c r="F2578" s="8"/>
      <c r="G2578" s="13" t="s">
        <v>831</v>
      </c>
      <c r="H2578" s="14">
        <f t="shared" ref="H2578:L2581" si="1141">H2579</f>
        <v>620.4</v>
      </c>
      <c r="I2578" s="14">
        <f t="shared" si="1141"/>
        <v>620.4</v>
      </c>
      <c r="J2578" s="14">
        <f t="shared" si="1141"/>
        <v>142.80000000000001</v>
      </c>
      <c r="K2578" s="78">
        <f t="shared" si="1138"/>
        <v>23.017408123791107</v>
      </c>
      <c r="L2578" s="14">
        <f t="shared" si="1141"/>
        <v>0</v>
      </c>
      <c r="M2578" s="50"/>
      <c r="N2578" s="50"/>
    </row>
    <row r="2579" spans="1:14" ht="31.2" x14ac:dyDescent="0.3">
      <c r="A2579" s="8" t="s">
        <v>1430</v>
      </c>
      <c r="B2579" s="62" t="s">
        <v>918</v>
      </c>
      <c r="C2579" s="68" t="s">
        <v>1386</v>
      </c>
      <c r="D2579" s="68" t="s">
        <v>1479</v>
      </c>
      <c r="E2579" s="8" t="s">
        <v>366</v>
      </c>
      <c r="F2579" s="8"/>
      <c r="G2579" s="13" t="s">
        <v>834</v>
      </c>
      <c r="H2579" s="14">
        <f t="shared" si="1141"/>
        <v>620.4</v>
      </c>
      <c r="I2579" s="14">
        <f t="shared" si="1141"/>
        <v>620.4</v>
      </c>
      <c r="J2579" s="14">
        <f t="shared" si="1141"/>
        <v>142.80000000000001</v>
      </c>
      <c r="K2579" s="78">
        <f t="shared" si="1138"/>
        <v>23.017408123791107</v>
      </c>
      <c r="L2579" s="14">
        <f t="shared" si="1141"/>
        <v>0</v>
      </c>
      <c r="M2579" s="50"/>
      <c r="N2579" s="50"/>
    </row>
    <row r="2580" spans="1:14" ht="62.4" x14ac:dyDescent="0.3">
      <c r="A2580" s="8" t="s">
        <v>1430</v>
      </c>
      <c r="B2580" s="62" t="s">
        <v>918</v>
      </c>
      <c r="C2580" s="68" t="s">
        <v>1386</v>
      </c>
      <c r="D2580" s="68" t="s">
        <v>1479</v>
      </c>
      <c r="E2580" s="8" t="s">
        <v>367</v>
      </c>
      <c r="F2580" s="8"/>
      <c r="G2580" s="13" t="s">
        <v>139</v>
      </c>
      <c r="H2580" s="14">
        <f t="shared" si="1141"/>
        <v>620.4</v>
      </c>
      <c r="I2580" s="14">
        <f t="shared" si="1141"/>
        <v>620.4</v>
      </c>
      <c r="J2580" s="14">
        <f t="shared" si="1141"/>
        <v>142.80000000000001</v>
      </c>
      <c r="K2580" s="78">
        <f t="shared" si="1138"/>
        <v>23.017408123791107</v>
      </c>
      <c r="L2580" s="14">
        <f t="shared" si="1141"/>
        <v>0</v>
      </c>
      <c r="M2580" s="50"/>
      <c r="N2580" s="50"/>
    </row>
    <row r="2581" spans="1:14" ht="31.2" x14ac:dyDescent="0.3">
      <c r="A2581" s="8" t="s">
        <v>1430</v>
      </c>
      <c r="B2581" s="62" t="s">
        <v>918</v>
      </c>
      <c r="C2581" s="68" t="s">
        <v>1386</v>
      </c>
      <c r="D2581" s="68" t="s">
        <v>1479</v>
      </c>
      <c r="E2581" s="8" t="s">
        <v>367</v>
      </c>
      <c r="F2581" s="45" t="s">
        <v>380</v>
      </c>
      <c r="G2581" s="23" t="s">
        <v>809</v>
      </c>
      <c r="H2581" s="14">
        <f t="shared" si="1141"/>
        <v>620.4</v>
      </c>
      <c r="I2581" s="14">
        <f t="shared" si="1141"/>
        <v>620.4</v>
      </c>
      <c r="J2581" s="14">
        <f t="shared" si="1141"/>
        <v>142.80000000000001</v>
      </c>
      <c r="K2581" s="78">
        <f t="shared" si="1138"/>
        <v>23.017408123791107</v>
      </c>
      <c r="L2581" s="14">
        <f t="shared" si="1141"/>
        <v>0</v>
      </c>
      <c r="M2581" s="50"/>
      <c r="N2581" s="50"/>
    </row>
    <row r="2582" spans="1:14" ht="31.2" x14ac:dyDescent="0.3">
      <c r="A2582" s="8" t="s">
        <v>1430</v>
      </c>
      <c r="B2582" s="62" t="s">
        <v>918</v>
      </c>
      <c r="C2582" s="68" t="s">
        <v>1386</v>
      </c>
      <c r="D2582" s="68" t="s">
        <v>1479</v>
      </c>
      <c r="E2582" s="8" t="s">
        <v>367</v>
      </c>
      <c r="F2582" s="8" t="s">
        <v>247</v>
      </c>
      <c r="G2582" s="23" t="s">
        <v>810</v>
      </c>
      <c r="H2582" s="14">
        <f>730.8-2.4-108</f>
        <v>620.4</v>
      </c>
      <c r="I2582" s="14">
        <v>620.4</v>
      </c>
      <c r="J2582" s="14">
        <v>142.80000000000001</v>
      </c>
      <c r="K2582" s="78">
        <f t="shared" si="1138"/>
        <v>23.017408123791107</v>
      </c>
      <c r="L2582" s="14"/>
      <c r="M2582" s="50"/>
      <c r="N2582" s="50"/>
    </row>
    <row r="2583" spans="1:14" ht="46.8" x14ac:dyDescent="0.3">
      <c r="A2583" s="8" t="s">
        <v>1430</v>
      </c>
      <c r="B2583" s="62" t="s">
        <v>918</v>
      </c>
      <c r="C2583" s="68" t="s">
        <v>1386</v>
      </c>
      <c r="D2583" s="68" t="s">
        <v>1479</v>
      </c>
      <c r="E2583" s="8" t="s">
        <v>493</v>
      </c>
      <c r="F2583" s="8"/>
      <c r="G2583" s="13" t="s">
        <v>1160</v>
      </c>
      <c r="H2583" s="14">
        <f>H2584</f>
        <v>0</v>
      </c>
      <c r="I2583" s="14">
        <f t="shared" ref="I2583:L2586" si="1142">I2584</f>
        <v>20</v>
      </c>
      <c r="J2583" s="14">
        <f t="shared" si="1142"/>
        <v>20</v>
      </c>
      <c r="K2583" s="78">
        <f t="shared" si="1138"/>
        <v>100</v>
      </c>
      <c r="L2583" s="14">
        <f t="shared" si="1142"/>
        <v>0</v>
      </c>
      <c r="M2583" s="50"/>
      <c r="N2583" s="50"/>
    </row>
    <row r="2584" spans="1:14" ht="31.2" x14ac:dyDescent="0.3">
      <c r="A2584" s="8" t="s">
        <v>1430</v>
      </c>
      <c r="B2584" s="62" t="s">
        <v>918</v>
      </c>
      <c r="C2584" s="68" t="s">
        <v>1386</v>
      </c>
      <c r="D2584" s="68" t="s">
        <v>1479</v>
      </c>
      <c r="E2584" s="8" t="s">
        <v>494</v>
      </c>
      <c r="F2584" s="8"/>
      <c r="G2584" s="13" t="s">
        <v>1161</v>
      </c>
      <c r="H2584" s="14">
        <f>H2585</f>
        <v>0</v>
      </c>
      <c r="I2584" s="14">
        <f t="shared" si="1142"/>
        <v>20</v>
      </c>
      <c r="J2584" s="14">
        <f t="shared" si="1142"/>
        <v>20</v>
      </c>
      <c r="K2584" s="78">
        <f t="shared" si="1138"/>
        <v>100</v>
      </c>
      <c r="L2584" s="14">
        <f t="shared" si="1142"/>
        <v>0</v>
      </c>
      <c r="M2584" s="50"/>
      <c r="N2584" s="50"/>
    </row>
    <row r="2585" spans="1:14" ht="31.2" x14ac:dyDescent="0.3">
      <c r="A2585" s="8" t="s">
        <v>1430</v>
      </c>
      <c r="B2585" s="62" t="s">
        <v>918</v>
      </c>
      <c r="C2585" s="68" t="s">
        <v>1386</v>
      </c>
      <c r="D2585" s="68" t="s">
        <v>1479</v>
      </c>
      <c r="E2585" s="8" t="s">
        <v>495</v>
      </c>
      <c r="F2585" s="8"/>
      <c r="G2585" s="13" t="s">
        <v>687</v>
      </c>
      <c r="H2585" s="14">
        <f>H2586</f>
        <v>0</v>
      </c>
      <c r="I2585" s="14">
        <f t="shared" si="1142"/>
        <v>20</v>
      </c>
      <c r="J2585" s="14">
        <f t="shared" si="1142"/>
        <v>20</v>
      </c>
      <c r="K2585" s="78">
        <f t="shared" si="1138"/>
        <v>100</v>
      </c>
      <c r="L2585" s="14">
        <f t="shared" si="1142"/>
        <v>0</v>
      </c>
      <c r="M2585" s="50"/>
      <c r="N2585" s="50"/>
    </row>
    <row r="2586" spans="1:14" x14ac:dyDescent="0.3">
      <c r="A2586" s="8" t="s">
        <v>1430</v>
      </c>
      <c r="B2586" s="62" t="s">
        <v>918</v>
      </c>
      <c r="C2586" s="68" t="s">
        <v>1386</v>
      </c>
      <c r="D2586" s="68" t="s">
        <v>1479</v>
      </c>
      <c r="E2586" s="8" t="s">
        <v>495</v>
      </c>
      <c r="F2586" s="45" t="s">
        <v>464</v>
      </c>
      <c r="G2586" s="23" t="s">
        <v>822</v>
      </c>
      <c r="H2586" s="14">
        <f>H2587</f>
        <v>0</v>
      </c>
      <c r="I2586" s="14">
        <f t="shared" si="1142"/>
        <v>20</v>
      </c>
      <c r="J2586" s="14">
        <f t="shared" si="1142"/>
        <v>20</v>
      </c>
      <c r="K2586" s="78">
        <f t="shared" si="1138"/>
        <v>100</v>
      </c>
      <c r="L2586" s="14">
        <f t="shared" si="1142"/>
        <v>0</v>
      </c>
      <c r="M2586" s="50"/>
      <c r="N2586" s="50"/>
    </row>
    <row r="2587" spans="1:14" x14ac:dyDescent="0.3">
      <c r="A2587" s="8" t="s">
        <v>1430</v>
      </c>
      <c r="B2587" s="62" t="s">
        <v>918</v>
      </c>
      <c r="C2587" s="68" t="s">
        <v>1386</v>
      </c>
      <c r="D2587" s="68" t="s">
        <v>1479</v>
      </c>
      <c r="E2587" s="8" t="s">
        <v>495</v>
      </c>
      <c r="F2587" s="45" t="s">
        <v>728</v>
      </c>
      <c r="G2587" s="23" t="s">
        <v>823</v>
      </c>
      <c r="H2587" s="20">
        <v>0</v>
      </c>
      <c r="I2587" s="14">
        <v>20</v>
      </c>
      <c r="J2587" s="14">
        <v>20</v>
      </c>
      <c r="K2587" s="78">
        <f t="shared" si="1138"/>
        <v>100</v>
      </c>
      <c r="L2587" s="14"/>
      <c r="M2587" s="50"/>
      <c r="N2587" s="50"/>
    </row>
    <row r="2588" spans="1:14" s="3" customFormat="1" x14ac:dyDescent="0.3">
      <c r="A2588" s="10" t="s">
        <v>1430</v>
      </c>
      <c r="B2588" s="43" t="s">
        <v>1392</v>
      </c>
      <c r="C2588" s="43" t="s">
        <v>1392</v>
      </c>
      <c r="D2588" s="43" t="s">
        <v>915</v>
      </c>
      <c r="E2588" s="10"/>
      <c r="F2588" s="10"/>
      <c r="G2588" s="5" t="s">
        <v>1416</v>
      </c>
      <c r="H2588" s="15">
        <f>H2596+H2636+H2589</f>
        <v>39411.542000000001</v>
      </c>
      <c r="I2588" s="15">
        <f>I2596+I2636+I2589</f>
        <v>64908.656349999997</v>
      </c>
      <c r="J2588" s="15">
        <f t="shared" ref="J2588" si="1143">J2596+J2636+J2589</f>
        <v>64876.451909999996</v>
      </c>
      <c r="K2588" s="81">
        <f t="shared" si="1138"/>
        <v>99.950384984359644</v>
      </c>
      <c r="L2588" s="15">
        <f>L2596+L2636+L2589</f>
        <v>0</v>
      </c>
      <c r="M2588" s="65"/>
      <c r="N2588" s="65"/>
    </row>
    <row r="2589" spans="1:14" s="9" customFormat="1" x14ac:dyDescent="0.3">
      <c r="A2589" s="11" t="s">
        <v>1430</v>
      </c>
      <c r="B2589" s="48" t="s">
        <v>938</v>
      </c>
      <c r="C2589" s="48" t="s">
        <v>1392</v>
      </c>
      <c r="D2589" s="48" t="s">
        <v>1478</v>
      </c>
      <c r="E2589" s="11"/>
      <c r="F2589" s="11"/>
      <c r="G2589" s="7" t="s">
        <v>1451</v>
      </c>
      <c r="H2589" s="16">
        <f t="shared" ref="H2589:L2594" si="1144">H2590</f>
        <v>445.48500000000001</v>
      </c>
      <c r="I2589" s="16">
        <f t="shared" si="1144"/>
        <v>424.98500000000001</v>
      </c>
      <c r="J2589" s="16">
        <f t="shared" si="1144"/>
        <v>424.98451999999997</v>
      </c>
      <c r="K2589" s="82">
        <f t="shared" si="1138"/>
        <v>99.999887054837217</v>
      </c>
      <c r="L2589" s="16">
        <f t="shared" si="1144"/>
        <v>0</v>
      </c>
      <c r="M2589" s="65"/>
      <c r="N2589" s="65"/>
    </row>
    <row r="2590" spans="1:14" ht="31.2" x14ac:dyDescent="0.3">
      <c r="A2590" s="8" t="s">
        <v>1430</v>
      </c>
      <c r="B2590" s="62" t="s">
        <v>938</v>
      </c>
      <c r="C2590" s="68" t="s">
        <v>1392</v>
      </c>
      <c r="D2590" s="68" t="s">
        <v>1478</v>
      </c>
      <c r="E2590" s="8" t="s">
        <v>368</v>
      </c>
      <c r="F2590" s="8"/>
      <c r="G2590" s="13" t="s">
        <v>1079</v>
      </c>
      <c r="H2590" s="14">
        <f t="shared" si="1144"/>
        <v>445.48500000000001</v>
      </c>
      <c r="I2590" s="14">
        <f t="shared" si="1144"/>
        <v>424.98500000000001</v>
      </c>
      <c r="J2590" s="14">
        <f t="shared" si="1144"/>
        <v>424.98451999999997</v>
      </c>
      <c r="K2590" s="78">
        <f t="shared" si="1138"/>
        <v>99.999887054837217</v>
      </c>
      <c r="L2590" s="14">
        <f t="shared" si="1144"/>
        <v>0</v>
      </c>
      <c r="M2590" s="50"/>
      <c r="N2590" s="50"/>
    </row>
    <row r="2591" spans="1:14" ht="31.2" x14ac:dyDescent="0.3">
      <c r="A2591" s="8" t="s">
        <v>1430</v>
      </c>
      <c r="B2591" s="62" t="s">
        <v>938</v>
      </c>
      <c r="C2591" s="68" t="s">
        <v>1392</v>
      </c>
      <c r="D2591" s="68" t="s">
        <v>1478</v>
      </c>
      <c r="E2591" s="8" t="s">
        <v>515</v>
      </c>
      <c r="F2591" s="8"/>
      <c r="G2591" s="23" t="s">
        <v>1091</v>
      </c>
      <c r="H2591" s="14">
        <f t="shared" si="1144"/>
        <v>445.48500000000001</v>
      </c>
      <c r="I2591" s="14">
        <f t="shared" si="1144"/>
        <v>424.98500000000001</v>
      </c>
      <c r="J2591" s="14">
        <f t="shared" si="1144"/>
        <v>424.98451999999997</v>
      </c>
      <c r="K2591" s="78">
        <f t="shared" si="1138"/>
        <v>99.999887054837217</v>
      </c>
      <c r="L2591" s="14">
        <f t="shared" si="1144"/>
        <v>0</v>
      </c>
      <c r="M2591" s="50"/>
      <c r="N2591" s="50"/>
    </row>
    <row r="2592" spans="1:14" ht="62.4" x14ac:dyDescent="0.3">
      <c r="A2592" s="8" t="s">
        <v>1430</v>
      </c>
      <c r="B2592" s="62" t="s">
        <v>938</v>
      </c>
      <c r="C2592" s="68" t="s">
        <v>1392</v>
      </c>
      <c r="D2592" s="68" t="s">
        <v>1478</v>
      </c>
      <c r="E2592" s="8" t="s">
        <v>516</v>
      </c>
      <c r="F2592" s="8"/>
      <c r="G2592" s="23" t="s">
        <v>1169</v>
      </c>
      <c r="H2592" s="14">
        <f t="shared" si="1144"/>
        <v>445.48500000000001</v>
      </c>
      <c r="I2592" s="14">
        <f t="shared" si="1144"/>
        <v>424.98500000000001</v>
      </c>
      <c r="J2592" s="14">
        <f t="shared" si="1144"/>
        <v>424.98451999999997</v>
      </c>
      <c r="K2592" s="78">
        <f t="shared" si="1138"/>
        <v>99.999887054837217</v>
      </c>
      <c r="L2592" s="14">
        <f t="shared" si="1144"/>
        <v>0</v>
      </c>
      <c r="M2592" s="50"/>
      <c r="N2592" s="50"/>
    </row>
    <row r="2593" spans="1:14" ht="31.2" x14ac:dyDescent="0.3">
      <c r="A2593" s="8" t="s">
        <v>1430</v>
      </c>
      <c r="B2593" s="62" t="s">
        <v>938</v>
      </c>
      <c r="C2593" s="68" t="s">
        <v>1392</v>
      </c>
      <c r="D2593" s="68" t="s">
        <v>1478</v>
      </c>
      <c r="E2593" s="8" t="s">
        <v>1245</v>
      </c>
      <c r="F2593" s="8"/>
      <c r="G2593" s="18" t="s">
        <v>1248</v>
      </c>
      <c r="H2593" s="14">
        <f t="shared" si="1144"/>
        <v>445.48500000000001</v>
      </c>
      <c r="I2593" s="14">
        <f t="shared" si="1144"/>
        <v>424.98500000000001</v>
      </c>
      <c r="J2593" s="14">
        <f t="shared" si="1144"/>
        <v>424.98451999999997</v>
      </c>
      <c r="K2593" s="78">
        <f t="shared" si="1138"/>
        <v>99.999887054837217</v>
      </c>
      <c r="L2593" s="14">
        <f t="shared" si="1144"/>
        <v>0</v>
      </c>
      <c r="M2593" s="50"/>
      <c r="N2593" s="50"/>
    </row>
    <row r="2594" spans="1:14" ht="31.2" x14ac:dyDescent="0.3">
      <c r="A2594" s="8" t="s">
        <v>1430</v>
      </c>
      <c r="B2594" s="62" t="s">
        <v>938</v>
      </c>
      <c r="C2594" s="68" t="s">
        <v>1392</v>
      </c>
      <c r="D2594" s="68" t="s">
        <v>1478</v>
      </c>
      <c r="E2594" s="8" t="s">
        <v>1245</v>
      </c>
      <c r="F2594" s="45" t="s">
        <v>380</v>
      </c>
      <c r="G2594" s="23" t="s">
        <v>809</v>
      </c>
      <c r="H2594" s="14">
        <f t="shared" si="1144"/>
        <v>445.48500000000001</v>
      </c>
      <c r="I2594" s="14">
        <f t="shared" si="1144"/>
        <v>424.98500000000001</v>
      </c>
      <c r="J2594" s="14">
        <f t="shared" si="1144"/>
        <v>424.98451999999997</v>
      </c>
      <c r="K2594" s="78">
        <f t="shared" si="1138"/>
        <v>99.999887054837217</v>
      </c>
      <c r="L2594" s="14">
        <f t="shared" si="1144"/>
        <v>0</v>
      </c>
      <c r="M2594" s="50"/>
      <c r="N2594" s="50"/>
    </row>
    <row r="2595" spans="1:14" ht="31.2" x14ac:dyDescent="0.3">
      <c r="A2595" s="8" t="s">
        <v>1430</v>
      </c>
      <c r="B2595" s="62" t="s">
        <v>938</v>
      </c>
      <c r="C2595" s="68" t="s">
        <v>1392</v>
      </c>
      <c r="D2595" s="68" t="s">
        <v>1478</v>
      </c>
      <c r="E2595" s="8" t="s">
        <v>1245</v>
      </c>
      <c r="F2595" s="8" t="s">
        <v>247</v>
      </c>
      <c r="G2595" s="23" t="s">
        <v>810</v>
      </c>
      <c r="H2595" s="14">
        <f>1070.5-6.626-618.389</f>
        <v>445.48500000000001</v>
      </c>
      <c r="I2595" s="14">
        <v>424.98500000000001</v>
      </c>
      <c r="J2595" s="14">
        <v>424.98451999999997</v>
      </c>
      <c r="K2595" s="78">
        <f t="shared" si="1138"/>
        <v>99.999887054837217</v>
      </c>
      <c r="L2595" s="14"/>
      <c r="M2595" s="50"/>
      <c r="N2595" s="50"/>
    </row>
    <row r="2596" spans="1:14" s="9" customFormat="1" ht="16.5" customHeight="1" x14ac:dyDescent="0.3">
      <c r="A2596" s="11" t="s">
        <v>1430</v>
      </c>
      <c r="B2596" s="48" t="s">
        <v>939</v>
      </c>
      <c r="C2596" s="48" t="s">
        <v>1392</v>
      </c>
      <c r="D2596" s="48" t="s">
        <v>1391</v>
      </c>
      <c r="E2596" s="11"/>
      <c r="F2596" s="11"/>
      <c r="G2596" s="7" t="s">
        <v>1423</v>
      </c>
      <c r="H2596" s="16">
        <f>H2609+H2617+H2597+H2603+H2628</f>
        <v>27602.656999999999</v>
      </c>
      <c r="I2596" s="16">
        <f t="shared" ref="I2596:L2596" si="1145">I2609+I2617+I2597+I2603+I2628</f>
        <v>53120.271349999995</v>
      </c>
      <c r="J2596" s="16">
        <f t="shared" si="1145"/>
        <v>53090.53254</v>
      </c>
      <c r="K2596" s="82">
        <f t="shared" si="1138"/>
        <v>99.944016080407323</v>
      </c>
      <c r="L2596" s="16">
        <f t="shared" si="1145"/>
        <v>0</v>
      </c>
      <c r="M2596" s="65"/>
      <c r="N2596" s="65"/>
    </row>
    <row r="2597" spans="1:14" ht="31.2" x14ac:dyDescent="0.3">
      <c r="A2597" s="8" t="s">
        <v>1430</v>
      </c>
      <c r="B2597" s="62" t="s">
        <v>939</v>
      </c>
      <c r="C2597" s="68" t="s">
        <v>1392</v>
      </c>
      <c r="D2597" s="68" t="s">
        <v>1391</v>
      </c>
      <c r="E2597" s="8" t="s">
        <v>438</v>
      </c>
      <c r="F2597" s="8"/>
      <c r="G2597" s="18" t="s">
        <v>891</v>
      </c>
      <c r="H2597" s="14">
        <f t="shared" ref="H2597:L2601" si="1146">H2598</f>
        <v>518.73399999999992</v>
      </c>
      <c r="I2597" s="14">
        <f t="shared" si="1146"/>
        <v>518.73400000000004</v>
      </c>
      <c r="J2597" s="14">
        <f t="shared" si="1146"/>
        <v>491.18590999999998</v>
      </c>
      <c r="K2597" s="78">
        <f t="shared" si="1138"/>
        <v>94.689361021255579</v>
      </c>
      <c r="L2597" s="14">
        <f t="shared" si="1146"/>
        <v>0</v>
      </c>
      <c r="M2597" s="50"/>
      <c r="N2597" s="50"/>
    </row>
    <row r="2598" spans="1:14" ht="46.8" x14ac:dyDescent="0.3">
      <c r="A2598" s="8" t="s">
        <v>1430</v>
      </c>
      <c r="B2598" s="62" t="s">
        <v>939</v>
      </c>
      <c r="C2598" s="68" t="s">
        <v>1392</v>
      </c>
      <c r="D2598" s="68" t="s">
        <v>1391</v>
      </c>
      <c r="E2598" s="8" t="s">
        <v>439</v>
      </c>
      <c r="F2598" s="8"/>
      <c r="G2598" s="18" t="s">
        <v>119</v>
      </c>
      <c r="H2598" s="14">
        <f t="shared" si="1146"/>
        <v>518.73399999999992</v>
      </c>
      <c r="I2598" s="14">
        <f t="shared" si="1146"/>
        <v>518.73400000000004</v>
      </c>
      <c r="J2598" s="14">
        <f t="shared" si="1146"/>
        <v>491.18590999999998</v>
      </c>
      <c r="K2598" s="78">
        <f t="shared" si="1138"/>
        <v>94.689361021255579</v>
      </c>
      <c r="L2598" s="14">
        <f t="shared" si="1146"/>
        <v>0</v>
      </c>
      <c r="M2598" s="50"/>
      <c r="N2598" s="50"/>
    </row>
    <row r="2599" spans="1:14" ht="46.8" x14ac:dyDescent="0.3">
      <c r="A2599" s="8" t="s">
        <v>1430</v>
      </c>
      <c r="B2599" s="62" t="s">
        <v>939</v>
      </c>
      <c r="C2599" s="68" t="s">
        <v>1392</v>
      </c>
      <c r="D2599" s="68" t="s">
        <v>1391</v>
      </c>
      <c r="E2599" s="8" t="s">
        <v>442</v>
      </c>
      <c r="F2599" s="8"/>
      <c r="G2599" s="18" t="s">
        <v>1207</v>
      </c>
      <c r="H2599" s="14">
        <f t="shared" si="1146"/>
        <v>518.73399999999992</v>
      </c>
      <c r="I2599" s="14">
        <f t="shared" si="1146"/>
        <v>518.73400000000004</v>
      </c>
      <c r="J2599" s="14">
        <f t="shared" si="1146"/>
        <v>491.18590999999998</v>
      </c>
      <c r="K2599" s="78">
        <f t="shared" si="1138"/>
        <v>94.689361021255579</v>
      </c>
      <c r="L2599" s="14">
        <f t="shared" si="1146"/>
        <v>0</v>
      </c>
      <c r="M2599" s="50"/>
      <c r="N2599" s="50"/>
    </row>
    <row r="2600" spans="1:14" ht="31.2" x14ac:dyDescent="0.3">
      <c r="A2600" s="8" t="s">
        <v>1430</v>
      </c>
      <c r="B2600" s="62" t="s">
        <v>939</v>
      </c>
      <c r="C2600" s="68" t="s">
        <v>1392</v>
      </c>
      <c r="D2600" s="68" t="s">
        <v>1391</v>
      </c>
      <c r="E2600" s="8" t="s">
        <v>443</v>
      </c>
      <c r="F2600" s="8"/>
      <c r="G2600" s="18" t="s">
        <v>181</v>
      </c>
      <c r="H2600" s="14">
        <f t="shared" si="1146"/>
        <v>518.73399999999992</v>
      </c>
      <c r="I2600" s="14">
        <f t="shared" si="1146"/>
        <v>518.73400000000004</v>
      </c>
      <c r="J2600" s="14">
        <f t="shared" si="1146"/>
        <v>491.18590999999998</v>
      </c>
      <c r="K2600" s="78">
        <f t="shared" si="1138"/>
        <v>94.689361021255579</v>
      </c>
      <c r="L2600" s="14">
        <f t="shared" si="1146"/>
        <v>0</v>
      </c>
      <c r="M2600" s="50"/>
      <c r="N2600" s="50"/>
    </row>
    <row r="2601" spans="1:14" ht="31.2" x14ac:dyDescent="0.3">
      <c r="A2601" s="8" t="s">
        <v>1430</v>
      </c>
      <c r="B2601" s="62" t="s">
        <v>939</v>
      </c>
      <c r="C2601" s="68" t="s">
        <v>1392</v>
      </c>
      <c r="D2601" s="68" t="s">
        <v>1391</v>
      </c>
      <c r="E2601" s="8" t="s">
        <v>443</v>
      </c>
      <c r="F2601" s="45" t="s">
        <v>380</v>
      </c>
      <c r="G2601" s="23" t="s">
        <v>809</v>
      </c>
      <c r="H2601" s="14">
        <f t="shared" si="1146"/>
        <v>518.73399999999992</v>
      </c>
      <c r="I2601" s="14">
        <f t="shared" si="1146"/>
        <v>518.73400000000004</v>
      </c>
      <c r="J2601" s="14">
        <f t="shared" si="1146"/>
        <v>491.18590999999998</v>
      </c>
      <c r="K2601" s="78">
        <f t="shared" si="1138"/>
        <v>94.689361021255579</v>
      </c>
      <c r="L2601" s="14">
        <f t="shared" si="1146"/>
        <v>0</v>
      </c>
      <c r="M2601" s="50"/>
      <c r="N2601" s="50"/>
    </row>
    <row r="2602" spans="1:14" ht="31.2" x14ac:dyDescent="0.3">
      <c r="A2602" s="8" t="s">
        <v>1430</v>
      </c>
      <c r="B2602" s="62" t="s">
        <v>939</v>
      </c>
      <c r="C2602" s="68" t="s">
        <v>1392</v>
      </c>
      <c r="D2602" s="68" t="s">
        <v>1391</v>
      </c>
      <c r="E2602" s="8" t="s">
        <v>443</v>
      </c>
      <c r="F2602" s="8" t="s">
        <v>247</v>
      </c>
      <c r="G2602" s="23" t="s">
        <v>810</v>
      </c>
      <c r="H2602" s="14">
        <f>665.4-146.666</f>
        <v>518.73399999999992</v>
      </c>
      <c r="I2602" s="14">
        <v>518.73400000000004</v>
      </c>
      <c r="J2602" s="14">
        <v>491.18590999999998</v>
      </c>
      <c r="K2602" s="78">
        <f t="shared" si="1138"/>
        <v>94.689361021255579</v>
      </c>
      <c r="L2602" s="14"/>
      <c r="M2602" s="50"/>
      <c r="N2602" s="50"/>
    </row>
    <row r="2603" spans="1:14" ht="31.2" x14ac:dyDescent="0.3">
      <c r="A2603" s="8" t="s">
        <v>1430</v>
      </c>
      <c r="B2603" s="62" t="s">
        <v>939</v>
      </c>
      <c r="C2603" s="68" t="s">
        <v>1392</v>
      </c>
      <c r="D2603" s="68" t="s">
        <v>1391</v>
      </c>
      <c r="E2603" s="8" t="s">
        <v>355</v>
      </c>
      <c r="F2603" s="8"/>
      <c r="G2603" s="13" t="s">
        <v>893</v>
      </c>
      <c r="H2603" s="14">
        <f>H2604</f>
        <v>52.58</v>
      </c>
      <c r="I2603" s="14">
        <f t="shared" ref="I2603:L2607" si="1147">I2604</f>
        <v>52.58</v>
      </c>
      <c r="J2603" s="14">
        <f t="shared" si="1147"/>
        <v>51.002600000000001</v>
      </c>
      <c r="K2603" s="78">
        <f t="shared" si="1138"/>
        <v>97.000000000000014</v>
      </c>
      <c r="L2603" s="14">
        <f t="shared" si="1147"/>
        <v>0</v>
      </c>
      <c r="M2603" s="50"/>
      <c r="N2603" s="50"/>
    </row>
    <row r="2604" spans="1:14" ht="31.2" x14ac:dyDescent="0.3">
      <c r="A2604" s="8" t="s">
        <v>1430</v>
      </c>
      <c r="B2604" s="62" t="s">
        <v>939</v>
      </c>
      <c r="C2604" s="68" t="s">
        <v>1392</v>
      </c>
      <c r="D2604" s="68" t="s">
        <v>1391</v>
      </c>
      <c r="E2604" s="8" t="s">
        <v>356</v>
      </c>
      <c r="F2604" s="8"/>
      <c r="G2604" s="13" t="s">
        <v>894</v>
      </c>
      <c r="H2604" s="14">
        <f>H2605</f>
        <v>52.58</v>
      </c>
      <c r="I2604" s="14">
        <f t="shared" si="1147"/>
        <v>52.58</v>
      </c>
      <c r="J2604" s="14">
        <f t="shared" si="1147"/>
        <v>51.002600000000001</v>
      </c>
      <c r="K2604" s="78">
        <f t="shared" si="1138"/>
        <v>97.000000000000014</v>
      </c>
      <c r="L2604" s="14">
        <f t="shared" si="1147"/>
        <v>0</v>
      </c>
      <c r="M2604" s="50"/>
      <c r="N2604" s="50"/>
    </row>
    <row r="2605" spans="1:14" ht="62.4" x14ac:dyDescent="0.3">
      <c r="A2605" s="8" t="s">
        <v>1430</v>
      </c>
      <c r="B2605" s="62" t="s">
        <v>939</v>
      </c>
      <c r="C2605" s="68" t="s">
        <v>1392</v>
      </c>
      <c r="D2605" s="68" t="s">
        <v>1391</v>
      </c>
      <c r="E2605" s="8" t="s">
        <v>593</v>
      </c>
      <c r="F2605" s="8"/>
      <c r="G2605" s="18" t="s">
        <v>1035</v>
      </c>
      <c r="H2605" s="14">
        <f>H2606</f>
        <v>52.58</v>
      </c>
      <c r="I2605" s="14">
        <f t="shared" si="1147"/>
        <v>52.58</v>
      </c>
      <c r="J2605" s="14">
        <f t="shared" si="1147"/>
        <v>51.002600000000001</v>
      </c>
      <c r="K2605" s="78">
        <f t="shared" si="1138"/>
        <v>97.000000000000014</v>
      </c>
      <c r="L2605" s="14">
        <f t="shared" si="1147"/>
        <v>0</v>
      </c>
      <c r="M2605" s="50"/>
      <c r="N2605" s="50"/>
    </row>
    <row r="2606" spans="1:14" ht="31.2" x14ac:dyDescent="0.3">
      <c r="A2606" s="8" t="s">
        <v>1430</v>
      </c>
      <c r="B2606" s="62" t="s">
        <v>939</v>
      </c>
      <c r="C2606" s="68" t="s">
        <v>1392</v>
      </c>
      <c r="D2606" s="68" t="s">
        <v>1391</v>
      </c>
      <c r="E2606" s="8" t="s">
        <v>1003</v>
      </c>
      <c r="F2606" s="8"/>
      <c r="G2606" s="23" t="s">
        <v>1004</v>
      </c>
      <c r="H2606" s="14">
        <f>H2607</f>
        <v>52.58</v>
      </c>
      <c r="I2606" s="14">
        <f t="shared" si="1147"/>
        <v>52.58</v>
      </c>
      <c r="J2606" s="14">
        <f t="shared" si="1147"/>
        <v>51.002600000000001</v>
      </c>
      <c r="K2606" s="78">
        <f t="shared" si="1138"/>
        <v>97.000000000000014</v>
      </c>
      <c r="L2606" s="14">
        <f t="shared" si="1147"/>
        <v>0</v>
      </c>
      <c r="M2606" s="50"/>
      <c r="N2606" s="50"/>
    </row>
    <row r="2607" spans="1:14" ht="31.2" x14ac:dyDescent="0.3">
      <c r="A2607" s="8" t="s">
        <v>1430</v>
      </c>
      <c r="B2607" s="62" t="s">
        <v>939</v>
      </c>
      <c r="C2607" s="68" t="s">
        <v>1392</v>
      </c>
      <c r="D2607" s="68" t="s">
        <v>1391</v>
      </c>
      <c r="E2607" s="8" t="s">
        <v>1003</v>
      </c>
      <c r="F2607" s="45" t="s">
        <v>380</v>
      </c>
      <c r="G2607" s="23" t="s">
        <v>809</v>
      </c>
      <c r="H2607" s="14">
        <f>H2608</f>
        <v>52.58</v>
      </c>
      <c r="I2607" s="14">
        <f t="shared" si="1147"/>
        <v>52.58</v>
      </c>
      <c r="J2607" s="14">
        <f t="shared" si="1147"/>
        <v>51.002600000000001</v>
      </c>
      <c r="K2607" s="78">
        <f t="shared" si="1138"/>
        <v>97.000000000000014</v>
      </c>
      <c r="L2607" s="14">
        <f t="shared" si="1147"/>
        <v>0</v>
      </c>
      <c r="M2607" s="50"/>
      <c r="N2607" s="50"/>
    </row>
    <row r="2608" spans="1:14" ht="31.2" x14ac:dyDescent="0.3">
      <c r="A2608" s="8" t="s">
        <v>1430</v>
      </c>
      <c r="B2608" s="62" t="s">
        <v>939</v>
      </c>
      <c r="C2608" s="68" t="s">
        <v>1392</v>
      </c>
      <c r="D2608" s="68" t="s">
        <v>1391</v>
      </c>
      <c r="E2608" s="8" t="s">
        <v>1003</v>
      </c>
      <c r="F2608" s="8" t="s">
        <v>247</v>
      </c>
      <c r="G2608" s="23" t="s">
        <v>810</v>
      </c>
      <c r="H2608" s="14">
        <v>52.58</v>
      </c>
      <c r="I2608" s="14">
        <v>52.58</v>
      </c>
      <c r="J2608" s="20">
        <v>51.002600000000001</v>
      </c>
      <c r="K2608" s="77">
        <f t="shared" si="1138"/>
        <v>97.000000000000014</v>
      </c>
      <c r="L2608" s="14"/>
      <c r="M2608" s="50"/>
      <c r="N2608" s="50"/>
    </row>
    <row r="2609" spans="1:14" ht="62.4" x14ac:dyDescent="0.3">
      <c r="A2609" s="8" t="s">
        <v>1430</v>
      </c>
      <c r="B2609" s="62" t="s">
        <v>939</v>
      </c>
      <c r="C2609" s="68" t="s">
        <v>1392</v>
      </c>
      <c r="D2609" s="68" t="s">
        <v>1391</v>
      </c>
      <c r="E2609" s="8" t="s">
        <v>358</v>
      </c>
      <c r="F2609" s="8"/>
      <c r="G2609" s="13" t="s">
        <v>1040</v>
      </c>
      <c r="H2609" s="14">
        <f t="shared" ref="H2609:L2609" si="1148">H2610</f>
        <v>24455.956999999999</v>
      </c>
      <c r="I2609" s="14">
        <f t="shared" si="1148"/>
        <v>24455.956999999999</v>
      </c>
      <c r="J2609" s="14">
        <f t="shared" si="1148"/>
        <v>24455.343679999998</v>
      </c>
      <c r="K2609" s="78">
        <f t="shared" si="1138"/>
        <v>99.997492144756379</v>
      </c>
      <c r="L2609" s="14">
        <f t="shared" si="1148"/>
        <v>0</v>
      </c>
      <c r="M2609" s="50"/>
      <c r="N2609" s="50"/>
    </row>
    <row r="2610" spans="1:14" ht="31.2" x14ac:dyDescent="0.3">
      <c r="A2610" s="8" t="s">
        <v>1430</v>
      </c>
      <c r="B2610" s="62" t="s">
        <v>939</v>
      </c>
      <c r="C2610" s="68" t="s">
        <v>1392</v>
      </c>
      <c r="D2610" s="68" t="s">
        <v>1391</v>
      </c>
      <c r="E2610" s="8" t="s">
        <v>359</v>
      </c>
      <c r="F2610" s="8"/>
      <c r="G2610" s="13" t="s">
        <v>1041</v>
      </c>
      <c r="H2610" s="14">
        <f>H2611+H2614</f>
        <v>24455.956999999999</v>
      </c>
      <c r="I2610" s="14">
        <f>I2611+I2614</f>
        <v>24455.956999999999</v>
      </c>
      <c r="J2610" s="14">
        <f t="shared" ref="J2610" si="1149">J2611+J2614</f>
        <v>24455.343679999998</v>
      </c>
      <c r="K2610" s="78">
        <f t="shared" si="1138"/>
        <v>99.997492144756379</v>
      </c>
      <c r="L2610" s="14">
        <f>L2611+L2614</f>
        <v>0</v>
      </c>
      <c r="M2610" s="50"/>
      <c r="N2610" s="50"/>
    </row>
    <row r="2611" spans="1:14" ht="31.2" x14ac:dyDescent="0.3">
      <c r="A2611" s="8" t="s">
        <v>1430</v>
      </c>
      <c r="B2611" s="62" t="s">
        <v>939</v>
      </c>
      <c r="C2611" s="68" t="s">
        <v>1392</v>
      </c>
      <c r="D2611" s="68" t="s">
        <v>1391</v>
      </c>
      <c r="E2611" s="8" t="s">
        <v>370</v>
      </c>
      <c r="F2611" s="8"/>
      <c r="G2611" s="18" t="s">
        <v>125</v>
      </c>
      <c r="H2611" s="14">
        <f t="shared" ref="H2611:L2612" si="1150">H2612</f>
        <v>22755.713</v>
      </c>
      <c r="I2611" s="14">
        <f t="shared" si="1150"/>
        <v>22755.713</v>
      </c>
      <c r="J2611" s="14">
        <f t="shared" si="1150"/>
        <v>22755.100859999999</v>
      </c>
      <c r="K2611" s="78">
        <f t="shared" si="1138"/>
        <v>99.997309950252927</v>
      </c>
      <c r="L2611" s="14">
        <f t="shared" si="1150"/>
        <v>0</v>
      </c>
      <c r="M2611" s="50"/>
      <c r="N2611" s="50"/>
    </row>
    <row r="2612" spans="1:14" ht="31.2" x14ac:dyDescent="0.3">
      <c r="A2612" s="8" t="s">
        <v>1430</v>
      </c>
      <c r="B2612" s="62" t="s">
        <v>939</v>
      </c>
      <c r="C2612" s="68" t="s">
        <v>1392</v>
      </c>
      <c r="D2612" s="68" t="s">
        <v>1391</v>
      </c>
      <c r="E2612" s="8" t="s">
        <v>370</v>
      </c>
      <c r="F2612" s="45" t="s">
        <v>380</v>
      </c>
      <c r="G2612" s="23" t="s">
        <v>809</v>
      </c>
      <c r="H2612" s="14">
        <f t="shared" si="1150"/>
        <v>22755.713</v>
      </c>
      <c r="I2612" s="14">
        <f t="shared" si="1150"/>
        <v>22755.713</v>
      </c>
      <c r="J2612" s="14">
        <f t="shared" si="1150"/>
        <v>22755.100859999999</v>
      </c>
      <c r="K2612" s="78">
        <f t="shared" si="1138"/>
        <v>99.997309950252927</v>
      </c>
      <c r="L2612" s="14">
        <f t="shared" si="1150"/>
        <v>0</v>
      </c>
      <c r="M2612" s="50"/>
      <c r="N2612" s="50"/>
    </row>
    <row r="2613" spans="1:14" ht="31.2" x14ac:dyDescent="0.3">
      <c r="A2613" s="8" t="s">
        <v>1430</v>
      </c>
      <c r="B2613" s="62" t="s">
        <v>939</v>
      </c>
      <c r="C2613" s="68" t="s">
        <v>1392</v>
      </c>
      <c r="D2613" s="68" t="s">
        <v>1391</v>
      </c>
      <c r="E2613" s="8" t="s">
        <v>370</v>
      </c>
      <c r="F2613" s="8" t="s">
        <v>247</v>
      </c>
      <c r="G2613" s="23" t="s">
        <v>810</v>
      </c>
      <c r="H2613" s="14">
        <f>23941-990.906-1.681-192.7</f>
        <v>22755.713</v>
      </c>
      <c r="I2613" s="14">
        <v>22755.713</v>
      </c>
      <c r="J2613" s="14">
        <v>22755.100859999999</v>
      </c>
      <c r="K2613" s="78">
        <f t="shared" si="1138"/>
        <v>99.997309950252927</v>
      </c>
      <c r="L2613" s="14"/>
      <c r="M2613" s="50"/>
      <c r="N2613" s="50"/>
    </row>
    <row r="2614" spans="1:14" ht="31.2" x14ac:dyDescent="0.3">
      <c r="A2614" s="8" t="s">
        <v>1430</v>
      </c>
      <c r="B2614" s="62" t="s">
        <v>939</v>
      </c>
      <c r="C2614" s="68" t="s">
        <v>1392</v>
      </c>
      <c r="D2614" s="68" t="s">
        <v>1391</v>
      </c>
      <c r="E2614" s="8" t="s">
        <v>371</v>
      </c>
      <c r="F2614" s="8"/>
      <c r="G2614" s="18" t="s">
        <v>126</v>
      </c>
      <c r="H2614" s="14">
        <f t="shared" ref="H2614:L2615" si="1151">H2615</f>
        <v>1700.2439999999999</v>
      </c>
      <c r="I2614" s="14">
        <f t="shared" si="1151"/>
        <v>1700.2439999999999</v>
      </c>
      <c r="J2614" s="14">
        <f t="shared" si="1151"/>
        <v>1700.2428199999999</v>
      </c>
      <c r="K2614" s="78">
        <f t="shared" si="1138"/>
        <v>99.999930598196499</v>
      </c>
      <c r="L2614" s="14">
        <f t="shared" si="1151"/>
        <v>0</v>
      </c>
      <c r="M2614" s="50"/>
      <c r="N2614" s="50"/>
    </row>
    <row r="2615" spans="1:14" ht="31.2" x14ac:dyDescent="0.3">
      <c r="A2615" s="8" t="s">
        <v>1430</v>
      </c>
      <c r="B2615" s="62" t="s">
        <v>939</v>
      </c>
      <c r="C2615" s="68" t="s">
        <v>1392</v>
      </c>
      <c r="D2615" s="68" t="s">
        <v>1391</v>
      </c>
      <c r="E2615" s="8" t="s">
        <v>371</v>
      </c>
      <c r="F2615" s="45" t="s">
        <v>380</v>
      </c>
      <c r="G2615" s="23" t="s">
        <v>809</v>
      </c>
      <c r="H2615" s="14">
        <f t="shared" si="1151"/>
        <v>1700.2439999999999</v>
      </c>
      <c r="I2615" s="14">
        <f t="shared" si="1151"/>
        <v>1700.2439999999999</v>
      </c>
      <c r="J2615" s="14">
        <f t="shared" si="1151"/>
        <v>1700.2428199999999</v>
      </c>
      <c r="K2615" s="78">
        <f t="shared" si="1138"/>
        <v>99.999930598196499</v>
      </c>
      <c r="L2615" s="14">
        <f t="shared" si="1151"/>
        <v>0</v>
      </c>
      <c r="M2615" s="50"/>
      <c r="N2615" s="50"/>
    </row>
    <row r="2616" spans="1:14" ht="31.2" x14ac:dyDescent="0.3">
      <c r="A2616" s="8" t="s">
        <v>1430</v>
      </c>
      <c r="B2616" s="62" t="s">
        <v>939</v>
      </c>
      <c r="C2616" s="68" t="s">
        <v>1392</v>
      </c>
      <c r="D2616" s="68" t="s">
        <v>1391</v>
      </c>
      <c r="E2616" s="8" t="s">
        <v>371</v>
      </c>
      <c r="F2616" s="8" t="s">
        <v>247</v>
      </c>
      <c r="G2616" s="23" t="s">
        <v>810</v>
      </c>
      <c r="H2616" s="14">
        <f>1738.6-16.621-21.735</f>
        <v>1700.2439999999999</v>
      </c>
      <c r="I2616" s="14">
        <v>1700.2439999999999</v>
      </c>
      <c r="J2616" s="14">
        <v>1700.2428199999999</v>
      </c>
      <c r="K2616" s="78">
        <f t="shared" si="1138"/>
        <v>99.999930598196499</v>
      </c>
      <c r="L2616" s="14"/>
      <c r="M2616" s="50"/>
      <c r="N2616" s="50"/>
    </row>
    <row r="2617" spans="1:14" ht="31.2" x14ac:dyDescent="0.3">
      <c r="A2617" s="8" t="s">
        <v>1430</v>
      </c>
      <c r="B2617" s="62" t="s">
        <v>939</v>
      </c>
      <c r="C2617" s="68" t="s">
        <v>1392</v>
      </c>
      <c r="D2617" s="68" t="s">
        <v>1391</v>
      </c>
      <c r="E2617" s="8" t="s">
        <v>368</v>
      </c>
      <c r="F2617" s="8"/>
      <c r="G2617" s="13" t="s">
        <v>1079</v>
      </c>
      <c r="H2617" s="14">
        <f>H2618+H2623</f>
        <v>2575.386</v>
      </c>
      <c r="I2617" s="14">
        <f t="shared" ref="I2617:L2617" si="1152">I2618+I2623</f>
        <v>2725.386</v>
      </c>
      <c r="J2617" s="14">
        <f t="shared" si="1152"/>
        <v>2725.386</v>
      </c>
      <c r="K2617" s="78">
        <f t="shared" si="1138"/>
        <v>100</v>
      </c>
      <c r="L2617" s="14">
        <f t="shared" si="1152"/>
        <v>0</v>
      </c>
      <c r="M2617" s="50"/>
      <c r="N2617" s="50"/>
    </row>
    <row r="2618" spans="1:14" ht="31.2" x14ac:dyDescent="0.3">
      <c r="A2618" s="8" t="s">
        <v>1430</v>
      </c>
      <c r="B2618" s="62" t="s">
        <v>939</v>
      </c>
      <c r="C2618" s="68" t="s">
        <v>1392</v>
      </c>
      <c r="D2618" s="68" t="s">
        <v>1391</v>
      </c>
      <c r="E2618" s="8" t="s">
        <v>372</v>
      </c>
      <c r="F2618" s="8"/>
      <c r="G2618" s="13" t="s">
        <v>193</v>
      </c>
      <c r="H2618" s="14">
        <f t="shared" ref="H2618:L2621" si="1153">H2619</f>
        <v>2575.386</v>
      </c>
      <c r="I2618" s="14">
        <f t="shared" si="1153"/>
        <v>2575.386</v>
      </c>
      <c r="J2618" s="14">
        <f t="shared" si="1153"/>
        <v>2575.386</v>
      </c>
      <c r="K2618" s="78">
        <f t="shared" si="1138"/>
        <v>100</v>
      </c>
      <c r="L2618" s="14">
        <f t="shared" si="1153"/>
        <v>0</v>
      </c>
      <c r="M2618" s="50"/>
      <c r="N2618" s="50"/>
    </row>
    <row r="2619" spans="1:14" ht="46.8" x14ac:dyDescent="0.3">
      <c r="A2619" s="8" t="s">
        <v>1430</v>
      </c>
      <c r="B2619" s="62" t="s">
        <v>939</v>
      </c>
      <c r="C2619" s="68" t="s">
        <v>1392</v>
      </c>
      <c r="D2619" s="68" t="s">
        <v>1391</v>
      </c>
      <c r="E2619" s="8" t="s">
        <v>511</v>
      </c>
      <c r="F2619" s="8"/>
      <c r="G2619" s="18" t="s">
        <v>1192</v>
      </c>
      <c r="H2619" s="14">
        <f t="shared" si="1153"/>
        <v>2575.386</v>
      </c>
      <c r="I2619" s="14">
        <f t="shared" si="1153"/>
        <v>2575.386</v>
      </c>
      <c r="J2619" s="14">
        <f t="shared" si="1153"/>
        <v>2575.386</v>
      </c>
      <c r="K2619" s="78">
        <f t="shared" si="1138"/>
        <v>100</v>
      </c>
      <c r="L2619" s="14">
        <f t="shared" si="1153"/>
        <v>0</v>
      </c>
      <c r="M2619" s="50"/>
      <c r="N2619" s="50"/>
    </row>
    <row r="2620" spans="1:14" ht="31.2" x14ac:dyDescent="0.3">
      <c r="A2620" s="8" t="s">
        <v>1430</v>
      </c>
      <c r="B2620" s="62" t="s">
        <v>939</v>
      </c>
      <c r="C2620" s="68" t="s">
        <v>1392</v>
      </c>
      <c r="D2620" s="68" t="s">
        <v>1391</v>
      </c>
      <c r="E2620" s="8" t="s">
        <v>70</v>
      </c>
      <c r="F2620" s="8"/>
      <c r="G2620" s="13" t="s">
        <v>164</v>
      </c>
      <c r="H2620" s="14">
        <f t="shared" si="1153"/>
        <v>2575.386</v>
      </c>
      <c r="I2620" s="14">
        <f t="shared" si="1153"/>
        <v>2575.386</v>
      </c>
      <c r="J2620" s="14">
        <f t="shared" si="1153"/>
        <v>2575.386</v>
      </c>
      <c r="K2620" s="78">
        <f t="shared" si="1138"/>
        <v>100</v>
      </c>
      <c r="L2620" s="14">
        <f t="shared" si="1153"/>
        <v>0</v>
      </c>
      <c r="M2620" s="50"/>
      <c r="N2620" s="50"/>
    </row>
    <row r="2621" spans="1:14" ht="31.2" x14ac:dyDescent="0.3">
      <c r="A2621" s="8" t="s">
        <v>1430</v>
      </c>
      <c r="B2621" s="62" t="s">
        <v>939</v>
      </c>
      <c r="C2621" s="68" t="s">
        <v>1392</v>
      </c>
      <c r="D2621" s="68" t="s">
        <v>1391</v>
      </c>
      <c r="E2621" s="8" t="s">
        <v>70</v>
      </c>
      <c r="F2621" s="45" t="s">
        <v>380</v>
      </c>
      <c r="G2621" s="23" t="s">
        <v>809</v>
      </c>
      <c r="H2621" s="14">
        <f t="shared" si="1153"/>
        <v>2575.386</v>
      </c>
      <c r="I2621" s="14">
        <f t="shared" si="1153"/>
        <v>2575.386</v>
      </c>
      <c r="J2621" s="14">
        <f t="shared" si="1153"/>
        <v>2575.386</v>
      </c>
      <c r="K2621" s="78">
        <f t="shared" si="1138"/>
        <v>100</v>
      </c>
      <c r="L2621" s="14">
        <f t="shared" si="1153"/>
        <v>0</v>
      </c>
      <c r="M2621" s="50"/>
      <c r="N2621" s="50"/>
    </row>
    <row r="2622" spans="1:14" ht="31.2" x14ac:dyDescent="0.3">
      <c r="A2622" s="8" t="s">
        <v>1430</v>
      </c>
      <c r="B2622" s="62" t="s">
        <v>939</v>
      </c>
      <c r="C2622" s="68" t="s">
        <v>1392</v>
      </c>
      <c r="D2622" s="68" t="s">
        <v>1391</v>
      </c>
      <c r="E2622" s="8" t="s">
        <v>70</v>
      </c>
      <c r="F2622" s="8" t="s">
        <v>247</v>
      </c>
      <c r="G2622" s="23" t="s">
        <v>810</v>
      </c>
      <c r="H2622" s="14">
        <f>2601.4-26.014</f>
        <v>2575.386</v>
      </c>
      <c r="I2622" s="14">
        <v>2575.386</v>
      </c>
      <c r="J2622" s="14">
        <v>2575.386</v>
      </c>
      <c r="K2622" s="78">
        <f t="shared" si="1138"/>
        <v>100</v>
      </c>
      <c r="L2622" s="14"/>
      <c r="M2622" s="50"/>
      <c r="N2622" s="50"/>
    </row>
    <row r="2623" spans="1:14" ht="31.2" x14ac:dyDescent="0.3">
      <c r="A2623" s="8" t="s">
        <v>1430</v>
      </c>
      <c r="B2623" s="62" t="s">
        <v>939</v>
      </c>
      <c r="C2623" s="68" t="s">
        <v>1392</v>
      </c>
      <c r="D2623" s="68" t="s">
        <v>1391</v>
      </c>
      <c r="E2623" s="8" t="s">
        <v>369</v>
      </c>
      <c r="F2623" s="8"/>
      <c r="G2623" s="13" t="s">
        <v>1023</v>
      </c>
      <c r="H2623" s="14">
        <f>H2624</f>
        <v>0</v>
      </c>
      <c r="I2623" s="14">
        <f t="shared" ref="I2623:L2626" si="1154">I2624</f>
        <v>150</v>
      </c>
      <c r="J2623" s="14">
        <f t="shared" si="1154"/>
        <v>150</v>
      </c>
      <c r="K2623" s="78">
        <f t="shared" si="1138"/>
        <v>100</v>
      </c>
      <c r="L2623" s="14">
        <f t="shared" si="1154"/>
        <v>0</v>
      </c>
      <c r="M2623" s="50"/>
      <c r="N2623" s="50"/>
    </row>
    <row r="2624" spans="1:14" ht="46.8" x14ac:dyDescent="0.3">
      <c r="A2624" s="8" t="s">
        <v>1430</v>
      </c>
      <c r="B2624" s="62" t="s">
        <v>939</v>
      </c>
      <c r="C2624" s="68" t="s">
        <v>1392</v>
      </c>
      <c r="D2624" s="68" t="s">
        <v>1391</v>
      </c>
      <c r="E2624" s="8" t="s">
        <v>514</v>
      </c>
      <c r="F2624" s="8"/>
      <c r="G2624" s="13" t="s">
        <v>1024</v>
      </c>
      <c r="H2624" s="14">
        <f>H2625</f>
        <v>0</v>
      </c>
      <c r="I2624" s="14">
        <f t="shared" si="1154"/>
        <v>150</v>
      </c>
      <c r="J2624" s="14">
        <f t="shared" si="1154"/>
        <v>150</v>
      </c>
      <c r="K2624" s="78">
        <f t="shared" si="1138"/>
        <v>100</v>
      </c>
      <c r="L2624" s="14">
        <f t="shared" si="1154"/>
        <v>0</v>
      </c>
      <c r="M2624" s="50"/>
      <c r="N2624" s="50"/>
    </row>
    <row r="2625" spans="1:14" ht="46.8" x14ac:dyDescent="0.3">
      <c r="A2625" s="8" t="s">
        <v>1430</v>
      </c>
      <c r="B2625" s="62" t="s">
        <v>939</v>
      </c>
      <c r="C2625" s="68" t="s">
        <v>1392</v>
      </c>
      <c r="D2625" s="68" t="s">
        <v>1391</v>
      </c>
      <c r="E2625" s="8" t="s">
        <v>69</v>
      </c>
      <c r="F2625" s="8"/>
      <c r="G2625" s="13" t="s">
        <v>1267</v>
      </c>
      <c r="H2625" s="14">
        <f>H2626</f>
        <v>0</v>
      </c>
      <c r="I2625" s="14">
        <f t="shared" si="1154"/>
        <v>150</v>
      </c>
      <c r="J2625" s="14">
        <f t="shared" si="1154"/>
        <v>150</v>
      </c>
      <c r="K2625" s="78">
        <f t="shared" si="1138"/>
        <v>100</v>
      </c>
      <c r="L2625" s="14">
        <f t="shared" si="1154"/>
        <v>0</v>
      </c>
      <c r="M2625" s="50"/>
      <c r="N2625" s="50"/>
    </row>
    <row r="2626" spans="1:14" ht="31.2" x14ac:dyDescent="0.3">
      <c r="A2626" s="8" t="s">
        <v>1430</v>
      </c>
      <c r="B2626" s="62" t="s">
        <v>939</v>
      </c>
      <c r="C2626" s="68" t="s">
        <v>1392</v>
      </c>
      <c r="D2626" s="68" t="s">
        <v>1391</v>
      </c>
      <c r="E2626" s="8" t="s">
        <v>69</v>
      </c>
      <c r="F2626" s="8" t="s">
        <v>402</v>
      </c>
      <c r="G2626" s="23" t="s">
        <v>819</v>
      </c>
      <c r="H2626" s="14">
        <f>H2627</f>
        <v>0</v>
      </c>
      <c r="I2626" s="14">
        <f t="shared" si="1154"/>
        <v>150</v>
      </c>
      <c r="J2626" s="14">
        <f t="shared" si="1154"/>
        <v>150</v>
      </c>
      <c r="K2626" s="78">
        <f t="shared" si="1138"/>
        <v>100</v>
      </c>
      <c r="L2626" s="14">
        <f t="shared" si="1154"/>
        <v>0</v>
      </c>
      <c r="M2626" s="50"/>
      <c r="N2626" s="50"/>
    </row>
    <row r="2627" spans="1:14" ht="46.8" x14ac:dyDescent="0.3">
      <c r="A2627" s="8" t="s">
        <v>1430</v>
      </c>
      <c r="B2627" s="62" t="s">
        <v>939</v>
      </c>
      <c r="C2627" s="68" t="s">
        <v>1392</v>
      </c>
      <c r="D2627" s="68" t="s">
        <v>1391</v>
      </c>
      <c r="E2627" s="8" t="s">
        <v>69</v>
      </c>
      <c r="F2627" s="8" t="s">
        <v>280</v>
      </c>
      <c r="G2627" s="23" t="s">
        <v>821</v>
      </c>
      <c r="H2627" s="19">
        <v>0</v>
      </c>
      <c r="I2627" s="14">
        <v>150</v>
      </c>
      <c r="J2627" s="20">
        <v>150</v>
      </c>
      <c r="K2627" s="77">
        <f t="shared" si="1138"/>
        <v>100</v>
      </c>
      <c r="L2627" s="14"/>
      <c r="M2627" s="50"/>
      <c r="N2627" s="50"/>
    </row>
    <row r="2628" spans="1:14" ht="31.2" x14ac:dyDescent="0.3">
      <c r="A2628" s="8" t="s">
        <v>1430</v>
      </c>
      <c r="B2628" s="62" t="s">
        <v>939</v>
      </c>
      <c r="C2628" s="68" t="s">
        <v>1392</v>
      </c>
      <c r="D2628" s="68" t="s">
        <v>1391</v>
      </c>
      <c r="E2628" s="8" t="s">
        <v>1256</v>
      </c>
      <c r="F2628" s="8"/>
      <c r="G2628" s="23" t="s">
        <v>743</v>
      </c>
      <c r="H2628" s="19">
        <f>H2629</f>
        <v>0</v>
      </c>
      <c r="I2628" s="19">
        <f t="shared" ref="I2628:L2630" si="1155">I2629</f>
        <v>25367.61435</v>
      </c>
      <c r="J2628" s="19">
        <f t="shared" si="1155"/>
        <v>25367.61435</v>
      </c>
      <c r="K2628" s="75">
        <f t="shared" si="1138"/>
        <v>100</v>
      </c>
      <c r="L2628" s="19">
        <f t="shared" si="1155"/>
        <v>0</v>
      </c>
      <c r="M2628" s="50"/>
      <c r="N2628" s="50"/>
    </row>
    <row r="2629" spans="1:14" ht="46.8" x14ac:dyDescent="0.3">
      <c r="A2629" s="8" t="s">
        <v>1430</v>
      </c>
      <c r="B2629" s="62" t="s">
        <v>939</v>
      </c>
      <c r="C2629" s="68" t="s">
        <v>1392</v>
      </c>
      <c r="D2629" s="68" t="s">
        <v>1391</v>
      </c>
      <c r="E2629" s="8" t="s">
        <v>1260</v>
      </c>
      <c r="F2629" s="8"/>
      <c r="G2629" s="23" t="s">
        <v>744</v>
      </c>
      <c r="H2629" s="19">
        <f>H2630</f>
        <v>0</v>
      </c>
      <c r="I2629" s="19">
        <f t="shared" si="1155"/>
        <v>25367.61435</v>
      </c>
      <c r="J2629" s="19">
        <f t="shared" si="1155"/>
        <v>25367.61435</v>
      </c>
      <c r="K2629" s="75">
        <f t="shared" si="1138"/>
        <v>100</v>
      </c>
      <c r="L2629" s="19">
        <f t="shared" si="1155"/>
        <v>0</v>
      </c>
      <c r="M2629" s="50"/>
      <c r="N2629" s="50"/>
    </row>
    <row r="2630" spans="1:14" ht="31.2" x14ac:dyDescent="0.3">
      <c r="A2630" s="8" t="s">
        <v>1430</v>
      </c>
      <c r="B2630" s="62" t="s">
        <v>939</v>
      </c>
      <c r="C2630" s="68" t="s">
        <v>1392</v>
      </c>
      <c r="D2630" s="68" t="s">
        <v>1391</v>
      </c>
      <c r="E2630" s="8" t="s">
        <v>1261</v>
      </c>
      <c r="F2630" s="8"/>
      <c r="G2630" s="23" t="s">
        <v>745</v>
      </c>
      <c r="H2630" s="19">
        <f>H2631</f>
        <v>0</v>
      </c>
      <c r="I2630" s="19">
        <f t="shared" si="1155"/>
        <v>25367.61435</v>
      </c>
      <c r="J2630" s="19">
        <f t="shared" si="1155"/>
        <v>25367.61435</v>
      </c>
      <c r="K2630" s="75">
        <f t="shared" si="1138"/>
        <v>100</v>
      </c>
      <c r="L2630" s="19">
        <f t="shared" si="1155"/>
        <v>0</v>
      </c>
      <c r="M2630" s="50"/>
      <c r="N2630" s="50"/>
    </row>
    <row r="2631" spans="1:14" ht="31.2" x14ac:dyDescent="0.3">
      <c r="A2631" s="8" t="s">
        <v>1430</v>
      </c>
      <c r="B2631" s="62" t="s">
        <v>939</v>
      </c>
      <c r="C2631" s="68" t="s">
        <v>1392</v>
      </c>
      <c r="D2631" s="68" t="s">
        <v>1391</v>
      </c>
      <c r="E2631" s="8" t="s">
        <v>1262</v>
      </c>
      <c r="F2631" s="8"/>
      <c r="G2631" s="23" t="s">
        <v>691</v>
      </c>
      <c r="H2631" s="19">
        <f>H2632+H2634</f>
        <v>0</v>
      </c>
      <c r="I2631" s="19">
        <f t="shared" ref="I2631:L2631" si="1156">I2632+I2634</f>
        <v>25367.61435</v>
      </c>
      <c r="J2631" s="19">
        <f t="shared" si="1156"/>
        <v>25367.61435</v>
      </c>
      <c r="K2631" s="75">
        <f t="shared" si="1138"/>
        <v>100</v>
      </c>
      <c r="L2631" s="19">
        <f t="shared" si="1156"/>
        <v>0</v>
      </c>
      <c r="M2631" s="50"/>
      <c r="N2631" s="50"/>
    </row>
    <row r="2632" spans="1:14" ht="31.2" x14ac:dyDescent="0.3">
      <c r="A2632" s="8" t="s">
        <v>1430</v>
      </c>
      <c r="B2632" s="62" t="s">
        <v>939</v>
      </c>
      <c r="C2632" s="68" t="s">
        <v>1392</v>
      </c>
      <c r="D2632" s="68" t="s">
        <v>1391</v>
      </c>
      <c r="E2632" s="8" t="s">
        <v>1262</v>
      </c>
      <c r="F2632" s="45" t="s">
        <v>402</v>
      </c>
      <c r="G2632" s="23" t="s">
        <v>819</v>
      </c>
      <c r="H2632" s="19">
        <f>H2633</f>
        <v>0</v>
      </c>
      <c r="I2632" s="19">
        <f t="shared" ref="I2632:L2632" si="1157">I2633</f>
        <v>12660.296780000001</v>
      </c>
      <c r="J2632" s="19">
        <f t="shared" si="1157"/>
        <v>12660.296780000001</v>
      </c>
      <c r="K2632" s="75">
        <f t="shared" ref="K2632:K2695" si="1158">J2632/I2632*100</f>
        <v>100</v>
      </c>
      <c r="L2632" s="19">
        <f t="shared" si="1157"/>
        <v>0</v>
      </c>
      <c r="M2632" s="50"/>
      <c r="N2632" s="50"/>
    </row>
    <row r="2633" spans="1:14" ht="46.8" x14ac:dyDescent="0.3">
      <c r="A2633" s="8" t="s">
        <v>1430</v>
      </c>
      <c r="B2633" s="62" t="s">
        <v>939</v>
      </c>
      <c r="C2633" s="68" t="s">
        <v>1392</v>
      </c>
      <c r="D2633" s="68" t="s">
        <v>1391</v>
      </c>
      <c r="E2633" s="8" t="s">
        <v>1262</v>
      </c>
      <c r="F2633" s="45" t="s">
        <v>280</v>
      </c>
      <c r="G2633" s="23" t="s">
        <v>821</v>
      </c>
      <c r="H2633" s="20">
        <v>0</v>
      </c>
      <c r="I2633" s="19">
        <v>12660.296780000001</v>
      </c>
      <c r="J2633" s="19">
        <v>12660.296780000001</v>
      </c>
      <c r="K2633" s="75">
        <f t="shared" si="1158"/>
        <v>100</v>
      </c>
      <c r="L2633" s="19"/>
      <c r="M2633" s="50"/>
      <c r="N2633" s="50"/>
    </row>
    <row r="2634" spans="1:14" x14ac:dyDescent="0.3">
      <c r="A2634" s="8" t="s">
        <v>1430</v>
      </c>
      <c r="B2634" s="62" t="s">
        <v>939</v>
      </c>
      <c r="C2634" s="68" t="s">
        <v>1392</v>
      </c>
      <c r="D2634" s="68" t="s">
        <v>1391</v>
      </c>
      <c r="E2634" s="8" t="s">
        <v>1262</v>
      </c>
      <c r="F2634" s="8" t="s">
        <v>464</v>
      </c>
      <c r="G2634" s="23" t="s">
        <v>822</v>
      </c>
      <c r="H2634" s="19">
        <f>H2635</f>
        <v>0</v>
      </c>
      <c r="I2634" s="19">
        <f t="shared" ref="I2634:L2634" si="1159">I2635</f>
        <v>12707.317569999999</v>
      </c>
      <c r="J2634" s="19">
        <f t="shared" si="1159"/>
        <v>12707.317569999999</v>
      </c>
      <c r="K2634" s="75">
        <f t="shared" si="1158"/>
        <v>100</v>
      </c>
      <c r="L2634" s="19">
        <f t="shared" si="1159"/>
        <v>0</v>
      </c>
      <c r="M2634" s="50"/>
      <c r="N2634" s="50"/>
    </row>
    <row r="2635" spans="1:14" ht="62.4" x14ac:dyDescent="0.3">
      <c r="A2635" s="8" t="s">
        <v>1430</v>
      </c>
      <c r="B2635" s="62" t="s">
        <v>939</v>
      </c>
      <c r="C2635" s="68" t="s">
        <v>1392</v>
      </c>
      <c r="D2635" s="68" t="s">
        <v>1391</v>
      </c>
      <c r="E2635" s="8" t="s">
        <v>1262</v>
      </c>
      <c r="F2635" s="8" t="s">
        <v>727</v>
      </c>
      <c r="G2635" s="23" t="s">
        <v>830</v>
      </c>
      <c r="H2635" s="20">
        <v>0</v>
      </c>
      <c r="I2635" s="14">
        <v>12707.317569999999</v>
      </c>
      <c r="J2635" s="20">
        <v>12707.317569999999</v>
      </c>
      <c r="K2635" s="77">
        <f t="shared" si="1158"/>
        <v>100</v>
      </c>
      <c r="L2635" s="14"/>
      <c r="M2635" s="50"/>
      <c r="N2635" s="50"/>
    </row>
    <row r="2636" spans="1:14" s="9" customFormat="1" ht="31.2" x14ac:dyDescent="0.3">
      <c r="A2636" s="11" t="s">
        <v>1430</v>
      </c>
      <c r="B2636" s="48" t="s">
        <v>940</v>
      </c>
      <c r="C2636" s="48" t="s">
        <v>1392</v>
      </c>
      <c r="D2636" s="48" t="s">
        <v>1392</v>
      </c>
      <c r="E2636" s="11"/>
      <c r="F2636" s="11"/>
      <c r="G2636" s="7" t="s">
        <v>1424</v>
      </c>
      <c r="H2636" s="16">
        <f t="shared" ref="H2636:L2639" si="1160">H2637</f>
        <v>11363.4</v>
      </c>
      <c r="I2636" s="16">
        <f t="shared" si="1160"/>
        <v>11363.4</v>
      </c>
      <c r="J2636" s="16">
        <f t="shared" si="1160"/>
        <v>11360.93485</v>
      </c>
      <c r="K2636" s="82">
        <f t="shared" si="1158"/>
        <v>99.978306228769554</v>
      </c>
      <c r="L2636" s="16">
        <f t="shared" si="1160"/>
        <v>0</v>
      </c>
      <c r="M2636" s="65"/>
      <c r="N2636" s="65"/>
    </row>
    <row r="2637" spans="1:14" ht="31.2" x14ac:dyDescent="0.3">
      <c r="A2637" s="8" t="s">
        <v>1430</v>
      </c>
      <c r="B2637" s="62" t="s">
        <v>940</v>
      </c>
      <c r="C2637" s="68" t="s">
        <v>1392</v>
      </c>
      <c r="D2637" s="68" t="s">
        <v>1392</v>
      </c>
      <c r="E2637" s="8" t="s">
        <v>355</v>
      </c>
      <c r="F2637" s="8"/>
      <c r="G2637" s="13" t="s">
        <v>893</v>
      </c>
      <c r="H2637" s="14">
        <f t="shared" si="1160"/>
        <v>11363.4</v>
      </c>
      <c r="I2637" s="14">
        <f t="shared" si="1160"/>
        <v>11363.4</v>
      </c>
      <c r="J2637" s="14">
        <f t="shared" si="1160"/>
        <v>11360.93485</v>
      </c>
      <c r="K2637" s="78">
        <f t="shared" si="1158"/>
        <v>99.978306228769554</v>
      </c>
      <c r="L2637" s="14">
        <f t="shared" si="1160"/>
        <v>0</v>
      </c>
      <c r="M2637" s="50"/>
      <c r="N2637" s="50"/>
    </row>
    <row r="2638" spans="1:14" ht="31.2" x14ac:dyDescent="0.3">
      <c r="A2638" s="8" t="s">
        <v>1430</v>
      </c>
      <c r="B2638" s="62" t="s">
        <v>940</v>
      </c>
      <c r="C2638" s="68" t="s">
        <v>1392</v>
      </c>
      <c r="D2638" s="68" t="s">
        <v>1392</v>
      </c>
      <c r="E2638" s="8" t="s">
        <v>373</v>
      </c>
      <c r="F2638" s="8"/>
      <c r="G2638" s="13" t="s">
        <v>1038</v>
      </c>
      <c r="H2638" s="14">
        <f t="shared" si="1160"/>
        <v>11363.4</v>
      </c>
      <c r="I2638" s="14">
        <f t="shared" si="1160"/>
        <v>11363.4</v>
      </c>
      <c r="J2638" s="14">
        <f t="shared" si="1160"/>
        <v>11360.93485</v>
      </c>
      <c r="K2638" s="78">
        <f t="shared" si="1158"/>
        <v>99.978306228769554</v>
      </c>
      <c r="L2638" s="14">
        <f t="shared" si="1160"/>
        <v>0</v>
      </c>
      <c r="M2638" s="50"/>
      <c r="N2638" s="50"/>
    </row>
    <row r="2639" spans="1:14" ht="31.2" x14ac:dyDescent="0.3">
      <c r="A2639" s="8" t="s">
        <v>1430</v>
      </c>
      <c r="B2639" s="62" t="s">
        <v>940</v>
      </c>
      <c r="C2639" s="68" t="s">
        <v>1392</v>
      </c>
      <c r="D2639" s="68" t="s">
        <v>1392</v>
      </c>
      <c r="E2639" s="8" t="s">
        <v>374</v>
      </c>
      <c r="F2639" s="8"/>
      <c r="G2639" s="13" t="s">
        <v>1039</v>
      </c>
      <c r="H2639" s="14">
        <f t="shared" si="1160"/>
        <v>11363.4</v>
      </c>
      <c r="I2639" s="14">
        <f t="shared" si="1160"/>
        <v>11363.4</v>
      </c>
      <c r="J2639" s="14">
        <f t="shared" si="1160"/>
        <v>11360.93485</v>
      </c>
      <c r="K2639" s="78">
        <f t="shared" si="1158"/>
        <v>99.978306228769554</v>
      </c>
      <c r="L2639" s="14">
        <f t="shared" si="1160"/>
        <v>0</v>
      </c>
      <c r="M2639" s="50"/>
      <c r="N2639" s="50"/>
    </row>
    <row r="2640" spans="1:14" ht="62.4" x14ac:dyDescent="0.3">
      <c r="A2640" s="8" t="s">
        <v>1430</v>
      </c>
      <c r="B2640" s="62" t="s">
        <v>940</v>
      </c>
      <c r="C2640" s="68" t="s">
        <v>1392</v>
      </c>
      <c r="D2640" s="68" t="s">
        <v>1392</v>
      </c>
      <c r="E2640" s="8" t="s">
        <v>375</v>
      </c>
      <c r="F2640" s="8"/>
      <c r="G2640" s="23" t="s">
        <v>1291</v>
      </c>
      <c r="H2640" s="14">
        <f>H2641+H2643+H2645</f>
        <v>11363.4</v>
      </c>
      <c r="I2640" s="14">
        <f>I2641+I2643+I2645</f>
        <v>11363.4</v>
      </c>
      <c r="J2640" s="14">
        <f t="shared" ref="J2640" si="1161">J2641+J2643+J2645</f>
        <v>11360.93485</v>
      </c>
      <c r="K2640" s="78">
        <f t="shared" si="1158"/>
        <v>99.978306228769554</v>
      </c>
      <c r="L2640" s="14">
        <f>L2641+L2643+L2645</f>
        <v>0</v>
      </c>
      <c r="M2640" s="50"/>
      <c r="N2640" s="50"/>
    </row>
    <row r="2641" spans="1:14" ht="78" x14ac:dyDescent="0.3">
      <c r="A2641" s="8" t="s">
        <v>1430</v>
      </c>
      <c r="B2641" s="62" t="s">
        <v>940</v>
      </c>
      <c r="C2641" s="68" t="s">
        <v>1392</v>
      </c>
      <c r="D2641" s="68" t="s">
        <v>1392</v>
      </c>
      <c r="E2641" s="8" t="s">
        <v>375</v>
      </c>
      <c r="F2641" s="45" t="s">
        <v>431</v>
      </c>
      <c r="G2641" s="23" t="s">
        <v>806</v>
      </c>
      <c r="H2641" s="14">
        <f t="shared" ref="H2641:L2641" si="1162">H2642</f>
        <v>8839.5</v>
      </c>
      <c r="I2641" s="14">
        <f t="shared" si="1162"/>
        <v>8839.5</v>
      </c>
      <c r="J2641" s="14">
        <f t="shared" si="1162"/>
        <v>8837.3117399999992</v>
      </c>
      <c r="K2641" s="78">
        <f t="shared" si="1158"/>
        <v>99.97524452740538</v>
      </c>
      <c r="L2641" s="14">
        <f t="shared" si="1162"/>
        <v>0</v>
      </c>
      <c r="M2641" s="50"/>
      <c r="N2641" s="50"/>
    </row>
    <row r="2642" spans="1:14" x14ac:dyDescent="0.3">
      <c r="A2642" s="8" t="s">
        <v>1430</v>
      </c>
      <c r="B2642" s="62" t="s">
        <v>940</v>
      </c>
      <c r="C2642" s="68" t="s">
        <v>1392</v>
      </c>
      <c r="D2642" s="68" t="s">
        <v>1392</v>
      </c>
      <c r="E2642" s="8" t="s">
        <v>375</v>
      </c>
      <c r="F2642" s="8" t="s">
        <v>719</v>
      </c>
      <c r="G2642" s="23" t="s">
        <v>807</v>
      </c>
      <c r="H2642" s="14">
        <v>8839.5</v>
      </c>
      <c r="I2642" s="14">
        <v>8839.5</v>
      </c>
      <c r="J2642" s="14">
        <v>8837.3117399999992</v>
      </c>
      <c r="K2642" s="78">
        <f t="shared" si="1158"/>
        <v>99.97524452740538</v>
      </c>
      <c r="L2642" s="14"/>
      <c r="M2642" s="50"/>
      <c r="N2642" s="50"/>
    </row>
    <row r="2643" spans="1:14" ht="31.2" x14ac:dyDescent="0.3">
      <c r="A2643" s="8" t="s">
        <v>1430</v>
      </c>
      <c r="B2643" s="62" t="s">
        <v>940</v>
      </c>
      <c r="C2643" s="68" t="s">
        <v>1392</v>
      </c>
      <c r="D2643" s="68" t="s">
        <v>1392</v>
      </c>
      <c r="E2643" s="8" t="s">
        <v>375</v>
      </c>
      <c r="F2643" s="45" t="s">
        <v>380</v>
      </c>
      <c r="G2643" s="23" t="s">
        <v>809</v>
      </c>
      <c r="H2643" s="14">
        <f t="shared" ref="H2643:L2643" si="1163">H2644</f>
        <v>2517</v>
      </c>
      <c r="I2643" s="14">
        <f t="shared" si="1163"/>
        <v>2515.819</v>
      </c>
      <c r="J2643" s="14">
        <f t="shared" si="1163"/>
        <v>2515.5421099999999</v>
      </c>
      <c r="K2643" s="78">
        <f t="shared" si="1158"/>
        <v>99.988994041304238</v>
      </c>
      <c r="L2643" s="14">
        <f t="shared" si="1163"/>
        <v>0</v>
      </c>
      <c r="M2643" s="50"/>
      <c r="N2643" s="50"/>
    </row>
    <row r="2644" spans="1:14" ht="31.2" x14ac:dyDescent="0.3">
      <c r="A2644" s="8" t="s">
        <v>1430</v>
      </c>
      <c r="B2644" s="62" t="s">
        <v>940</v>
      </c>
      <c r="C2644" s="68" t="s">
        <v>1392</v>
      </c>
      <c r="D2644" s="68" t="s">
        <v>1392</v>
      </c>
      <c r="E2644" s="8" t="s">
        <v>375</v>
      </c>
      <c r="F2644" s="8" t="s">
        <v>247</v>
      </c>
      <c r="G2644" s="23" t="s">
        <v>810</v>
      </c>
      <c r="H2644" s="14">
        <v>2517</v>
      </c>
      <c r="I2644" s="14">
        <v>2515.819</v>
      </c>
      <c r="J2644" s="14">
        <v>2515.5421099999999</v>
      </c>
      <c r="K2644" s="78">
        <f t="shared" si="1158"/>
        <v>99.988994041304238</v>
      </c>
      <c r="L2644" s="14"/>
      <c r="M2644" s="50"/>
      <c r="N2644" s="50"/>
    </row>
    <row r="2645" spans="1:14" x14ac:dyDescent="0.3">
      <c r="A2645" s="8" t="s">
        <v>1430</v>
      </c>
      <c r="B2645" s="62" t="s">
        <v>940</v>
      </c>
      <c r="C2645" s="68" t="s">
        <v>1392</v>
      </c>
      <c r="D2645" s="68" t="s">
        <v>1392</v>
      </c>
      <c r="E2645" s="8" t="s">
        <v>375</v>
      </c>
      <c r="F2645" s="45" t="s">
        <v>464</v>
      </c>
      <c r="G2645" s="23" t="s">
        <v>822</v>
      </c>
      <c r="H2645" s="14">
        <f t="shared" ref="H2645:L2645" si="1164">H2646</f>
        <v>6.9</v>
      </c>
      <c r="I2645" s="14">
        <f t="shared" si="1164"/>
        <v>8.0809999999999995</v>
      </c>
      <c r="J2645" s="14">
        <f t="shared" si="1164"/>
        <v>8.0809999999999995</v>
      </c>
      <c r="K2645" s="78">
        <f t="shared" si="1158"/>
        <v>100</v>
      </c>
      <c r="L2645" s="14">
        <f t="shared" si="1164"/>
        <v>0</v>
      </c>
      <c r="M2645" s="50"/>
      <c r="N2645" s="50"/>
    </row>
    <row r="2646" spans="1:14" x14ac:dyDescent="0.3">
      <c r="A2646" s="8" t="s">
        <v>1430</v>
      </c>
      <c r="B2646" s="62" t="s">
        <v>940</v>
      </c>
      <c r="C2646" s="68" t="s">
        <v>1392</v>
      </c>
      <c r="D2646" s="68" t="s">
        <v>1392</v>
      </c>
      <c r="E2646" s="8" t="s">
        <v>375</v>
      </c>
      <c r="F2646" s="45" t="s">
        <v>729</v>
      </c>
      <c r="G2646" s="23" t="s">
        <v>824</v>
      </c>
      <c r="H2646" s="14">
        <v>6.9</v>
      </c>
      <c r="I2646" s="14">
        <v>8.0809999999999995</v>
      </c>
      <c r="J2646" s="14">
        <v>8.0809999999999995</v>
      </c>
      <c r="K2646" s="78">
        <f t="shared" si="1158"/>
        <v>100</v>
      </c>
      <c r="L2646" s="14"/>
      <c r="M2646" s="50"/>
      <c r="N2646" s="50"/>
    </row>
    <row r="2647" spans="1:14" s="3" customFormat="1" x14ac:dyDescent="0.3">
      <c r="A2647" s="10" t="s">
        <v>1430</v>
      </c>
      <c r="B2647" s="43" t="s">
        <v>1381</v>
      </c>
      <c r="C2647" s="43" t="s">
        <v>1381</v>
      </c>
      <c r="D2647" s="43" t="s">
        <v>915</v>
      </c>
      <c r="E2647" s="10"/>
      <c r="F2647" s="10"/>
      <c r="G2647" s="5" t="s">
        <v>1395</v>
      </c>
      <c r="H2647" s="15">
        <f t="shared" ref="H2647:L2653" si="1165">H2648</f>
        <v>3433.223</v>
      </c>
      <c r="I2647" s="15">
        <f t="shared" si="1165"/>
        <v>2068.2020000000002</v>
      </c>
      <c r="J2647" s="15">
        <f t="shared" si="1165"/>
        <v>2068.2004500000003</v>
      </c>
      <c r="K2647" s="81">
        <f t="shared" si="1158"/>
        <v>99.999925055676385</v>
      </c>
      <c r="L2647" s="15">
        <f t="shared" si="1165"/>
        <v>0</v>
      </c>
      <c r="M2647" s="65"/>
      <c r="N2647" s="65"/>
    </row>
    <row r="2648" spans="1:14" s="9" customFormat="1" ht="31.2" x14ac:dyDescent="0.3">
      <c r="A2648" s="11" t="s">
        <v>1430</v>
      </c>
      <c r="B2648" s="48" t="s">
        <v>920</v>
      </c>
      <c r="C2648" s="48" t="s">
        <v>1381</v>
      </c>
      <c r="D2648" s="48" t="s">
        <v>1391</v>
      </c>
      <c r="E2648" s="11"/>
      <c r="F2648" s="11"/>
      <c r="G2648" s="7" t="s">
        <v>1396</v>
      </c>
      <c r="H2648" s="16">
        <f t="shared" si="1165"/>
        <v>3433.223</v>
      </c>
      <c r="I2648" s="16">
        <f t="shared" si="1165"/>
        <v>2068.2020000000002</v>
      </c>
      <c r="J2648" s="16">
        <f t="shared" si="1165"/>
        <v>2068.2004500000003</v>
      </c>
      <c r="K2648" s="82">
        <f t="shared" si="1158"/>
        <v>99.999925055676385</v>
      </c>
      <c r="L2648" s="16">
        <f t="shared" si="1165"/>
        <v>0</v>
      </c>
      <c r="M2648" s="65"/>
      <c r="N2648" s="65"/>
    </row>
    <row r="2649" spans="1:14" ht="31.2" x14ac:dyDescent="0.3">
      <c r="A2649" s="8" t="s">
        <v>1430</v>
      </c>
      <c r="B2649" s="62" t="s">
        <v>920</v>
      </c>
      <c r="C2649" s="68" t="s">
        <v>1381</v>
      </c>
      <c r="D2649" s="68" t="s">
        <v>1391</v>
      </c>
      <c r="E2649" s="8" t="s">
        <v>376</v>
      </c>
      <c r="F2649" s="8"/>
      <c r="G2649" s="23" t="s">
        <v>1101</v>
      </c>
      <c r="H2649" s="14">
        <f t="shared" si="1165"/>
        <v>3433.223</v>
      </c>
      <c r="I2649" s="14">
        <f t="shared" si="1165"/>
        <v>2068.2020000000002</v>
      </c>
      <c r="J2649" s="14">
        <f t="shared" si="1165"/>
        <v>2068.2004500000003</v>
      </c>
      <c r="K2649" s="78">
        <f t="shared" si="1158"/>
        <v>99.999925055676385</v>
      </c>
      <c r="L2649" s="14">
        <f t="shared" si="1165"/>
        <v>0</v>
      </c>
      <c r="M2649" s="50"/>
      <c r="N2649" s="50"/>
    </row>
    <row r="2650" spans="1:14" ht="31.2" x14ac:dyDescent="0.3">
      <c r="A2650" s="8" t="s">
        <v>1430</v>
      </c>
      <c r="B2650" s="62" t="s">
        <v>920</v>
      </c>
      <c r="C2650" s="68" t="s">
        <v>1381</v>
      </c>
      <c r="D2650" s="68" t="s">
        <v>1391</v>
      </c>
      <c r="E2650" s="8" t="s">
        <v>379</v>
      </c>
      <c r="F2650" s="8"/>
      <c r="G2650" s="23" t="s">
        <v>1200</v>
      </c>
      <c r="H2650" s="14">
        <f>H2651+H2655</f>
        <v>3433.223</v>
      </c>
      <c r="I2650" s="14">
        <f>I2651+I2655</f>
        <v>2068.2020000000002</v>
      </c>
      <c r="J2650" s="14">
        <f t="shared" ref="J2650" si="1166">J2651+J2655</f>
        <v>2068.2004500000003</v>
      </c>
      <c r="K2650" s="78">
        <f t="shared" si="1158"/>
        <v>99.999925055676385</v>
      </c>
      <c r="L2650" s="14">
        <f>L2651+L2655</f>
        <v>0</v>
      </c>
      <c r="M2650" s="50"/>
      <c r="N2650" s="50"/>
    </row>
    <row r="2651" spans="1:14" ht="31.2" x14ac:dyDescent="0.3">
      <c r="A2651" s="8" t="s">
        <v>1430</v>
      </c>
      <c r="B2651" s="62" t="s">
        <v>920</v>
      </c>
      <c r="C2651" s="68" t="s">
        <v>1381</v>
      </c>
      <c r="D2651" s="68" t="s">
        <v>1391</v>
      </c>
      <c r="E2651" s="8" t="s">
        <v>377</v>
      </c>
      <c r="F2651" s="8"/>
      <c r="G2651" s="23" t="s">
        <v>1102</v>
      </c>
      <c r="H2651" s="14">
        <f t="shared" si="1165"/>
        <v>2276.625</v>
      </c>
      <c r="I2651" s="14">
        <f t="shared" si="1165"/>
        <v>911.60400000000004</v>
      </c>
      <c r="J2651" s="14">
        <f t="shared" si="1165"/>
        <v>911.60323000000005</v>
      </c>
      <c r="K2651" s="78">
        <f t="shared" si="1158"/>
        <v>99.999915533499191</v>
      </c>
      <c r="L2651" s="14">
        <f t="shared" si="1165"/>
        <v>0</v>
      </c>
      <c r="M2651" s="50"/>
      <c r="N2651" s="50"/>
    </row>
    <row r="2652" spans="1:14" ht="31.2" x14ac:dyDescent="0.3">
      <c r="A2652" s="8" t="s">
        <v>1430</v>
      </c>
      <c r="B2652" s="62" t="s">
        <v>920</v>
      </c>
      <c r="C2652" s="68" t="s">
        <v>1381</v>
      </c>
      <c r="D2652" s="68" t="s">
        <v>1391</v>
      </c>
      <c r="E2652" s="8" t="s">
        <v>378</v>
      </c>
      <c r="F2652" s="8"/>
      <c r="G2652" s="23" t="s">
        <v>1178</v>
      </c>
      <c r="H2652" s="14">
        <f t="shared" si="1165"/>
        <v>2276.625</v>
      </c>
      <c r="I2652" s="14">
        <f t="shared" si="1165"/>
        <v>911.60400000000004</v>
      </c>
      <c r="J2652" s="14">
        <f t="shared" si="1165"/>
        <v>911.60323000000005</v>
      </c>
      <c r="K2652" s="78">
        <f t="shared" si="1158"/>
        <v>99.999915533499191</v>
      </c>
      <c r="L2652" s="14">
        <f t="shared" si="1165"/>
        <v>0</v>
      </c>
      <c r="M2652" s="50"/>
      <c r="N2652" s="50"/>
    </row>
    <row r="2653" spans="1:14" ht="31.2" x14ac:dyDescent="0.3">
      <c r="A2653" s="8" t="s">
        <v>1430</v>
      </c>
      <c r="B2653" s="62" t="s">
        <v>920</v>
      </c>
      <c r="C2653" s="68" t="s">
        <v>1381</v>
      </c>
      <c r="D2653" s="68" t="s">
        <v>1391</v>
      </c>
      <c r="E2653" s="8" t="s">
        <v>378</v>
      </c>
      <c r="F2653" s="45" t="s">
        <v>380</v>
      </c>
      <c r="G2653" s="23" t="s">
        <v>809</v>
      </c>
      <c r="H2653" s="14">
        <f t="shared" si="1165"/>
        <v>2276.625</v>
      </c>
      <c r="I2653" s="14">
        <f t="shared" si="1165"/>
        <v>911.60400000000004</v>
      </c>
      <c r="J2653" s="14">
        <f t="shared" si="1165"/>
        <v>911.60323000000005</v>
      </c>
      <c r="K2653" s="78">
        <f t="shared" si="1158"/>
        <v>99.999915533499191</v>
      </c>
      <c r="L2653" s="14">
        <f t="shared" si="1165"/>
        <v>0</v>
      </c>
      <c r="M2653" s="50"/>
      <c r="N2653" s="50"/>
    </row>
    <row r="2654" spans="1:14" ht="31.2" x14ac:dyDescent="0.3">
      <c r="A2654" s="8" t="s">
        <v>1430</v>
      </c>
      <c r="B2654" s="62" t="s">
        <v>920</v>
      </c>
      <c r="C2654" s="68" t="s">
        <v>1381</v>
      </c>
      <c r="D2654" s="68" t="s">
        <v>1391</v>
      </c>
      <c r="E2654" s="8" t="s">
        <v>378</v>
      </c>
      <c r="F2654" s="8" t="s">
        <v>247</v>
      </c>
      <c r="G2654" s="23" t="s">
        <v>810</v>
      </c>
      <c r="H2654" s="14">
        <f>2287.5-10.875</f>
        <v>2276.625</v>
      </c>
      <c r="I2654" s="14">
        <v>911.60400000000004</v>
      </c>
      <c r="J2654" s="14">
        <v>911.60323000000005</v>
      </c>
      <c r="K2654" s="78">
        <f t="shared" si="1158"/>
        <v>99.999915533499191</v>
      </c>
      <c r="L2654" s="14"/>
      <c r="M2654" s="50"/>
      <c r="N2654" s="50"/>
    </row>
    <row r="2655" spans="1:14" ht="31.2" x14ac:dyDescent="0.3">
      <c r="A2655" s="8" t="s">
        <v>1430</v>
      </c>
      <c r="B2655" s="62" t="s">
        <v>920</v>
      </c>
      <c r="C2655" s="68" t="s">
        <v>1381</v>
      </c>
      <c r="D2655" s="68" t="s">
        <v>1391</v>
      </c>
      <c r="E2655" s="8" t="s">
        <v>1222</v>
      </c>
      <c r="F2655" s="8"/>
      <c r="G2655" s="23" t="s">
        <v>737</v>
      </c>
      <c r="H2655" s="14">
        <f t="shared" ref="H2655:L2657" si="1167">H2656</f>
        <v>1156.598</v>
      </c>
      <c r="I2655" s="14">
        <f t="shared" si="1167"/>
        <v>1156.598</v>
      </c>
      <c r="J2655" s="14">
        <f t="shared" si="1167"/>
        <v>1156.5972200000001</v>
      </c>
      <c r="K2655" s="78">
        <f t="shared" si="1158"/>
        <v>99.999932560837919</v>
      </c>
      <c r="L2655" s="14">
        <f t="shared" si="1167"/>
        <v>0</v>
      </c>
      <c r="M2655" s="50"/>
      <c r="N2655" s="50"/>
    </row>
    <row r="2656" spans="1:14" x14ac:dyDescent="0.3">
      <c r="A2656" s="8" t="s">
        <v>1430</v>
      </c>
      <c r="B2656" s="62" t="s">
        <v>920</v>
      </c>
      <c r="C2656" s="68" t="s">
        <v>1381</v>
      </c>
      <c r="D2656" s="68" t="s">
        <v>1391</v>
      </c>
      <c r="E2656" s="8" t="s">
        <v>1223</v>
      </c>
      <c r="F2656" s="8"/>
      <c r="G2656" s="23" t="s">
        <v>1224</v>
      </c>
      <c r="H2656" s="14">
        <f t="shared" si="1167"/>
        <v>1156.598</v>
      </c>
      <c r="I2656" s="14">
        <f t="shared" si="1167"/>
        <v>1156.598</v>
      </c>
      <c r="J2656" s="14">
        <f t="shared" si="1167"/>
        <v>1156.5972200000001</v>
      </c>
      <c r="K2656" s="78">
        <f t="shared" si="1158"/>
        <v>99.999932560837919</v>
      </c>
      <c r="L2656" s="14">
        <f t="shared" si="1167"/>
        <v>0</v>
      </c>
      <c r="M2656" s="50"/>
      <c r="N2656" s="50"/>
    </row>
    <row r="2657" spans="1:14" ht="31.2" x14ac:dyDescent="0.3">
      <c r="A2657" s="8" t="s">
        <v>1430</v>
      </c>
      <c r="B2657" s="62" t="s">
        <v>920</v>
      </c>
      <c r="C2657" s="68" t="s">
        <v>1381</v>
      </c>
      <c r="D2657" s="68" t="s">
        <v>1391</v>
      </c>
      <c r="E2657" s="8" t="s">
        <v>1223</v>
      </c>
      <c r="F2657" s="45" t="s">
        <v>380</v>
      </c>
      <c r="G2657" s="23" t="s">
        <v>809</v>
      </c>
      <c r="H2657" s="14">
        <f t="shared" si="1167"/>
        <v>1156.598</v>
      </c>
      <c r="I2657" s="14">
        <f t="shared" si="1167"/>
        <v>1156.598</v>
      </c>
      <c r="J2657" s="14">
        <f t="shared" si="1167"/>
        <v>1156.5972200000001</v>
      </c>
      <c r="K2657" s="78">
        <f t="shared" si="1158"/>
        <v>99.999932560837919</v>
      </c>
      <c r="L2657" s="14">
        <f t="shared" si="1167"/>
        <v>0</v>
      </c>
      <c r="M2657" s="50"/>
      <c r="N2657" s="50"/>
    </row>
    <row r="2658" spans="1:14" ht="31.2" x14ac:dyDescent="0.3">
      <c r="A2658" s="8" t="s">
        <v>1430</v>
      </c>
      <c r="B2658" s="62" t="s">
        <v>920</v>
      </c>
      <c r="C2658" s="68" t="s">
        <v>1381</v>
      </c>
      <c r="D2658" s="68" t="s">
        <v>1391</v>
      </c>
      <c r="E2658" s="8" t="s">
        <v>1223</v>
      </c>
      <c r="F2658" s="8" t="s">
        <v>247</v>
      </c>
      <c r="G2658" s="23" t="s">
        <v>810</v>
      </c>
      <c r="H2658" s="14">
        <f>1421-264.402</f>
        <v>1156.598</v>
      </c>
      <c r="I2658" s="14">
        <v>1156.598</v>
      </c>
      <c r="J2658" s="14">
        <v>1156.5972200000001</v>
      </c>
      <c r="K2658" s="78">
        <f t="shared" si="1158"/>
        <v>99.999932560837919</v>
      </c>
      <c r="L2658" s="14"/>
      <c r="M2658" s="50"/>
      <c r="N2658" s="50"/>
    </row>
    <row r="2659" spans="1:14" s="3" customFormat="1" x14ac:dyDescent="0.3">
      <c r="A2659" s="10" t="s">
        <v>1430</v>
      </c>
      <c r="B2659" s="43" t="s">
        <v>1374</v>
      </c>
      <c r="C2659" s="43" t="s">
        <v>1374</v>
      </c>
      <c r="D2659" s="43" t="s">
        <v>915</v>
      </c>
      <c r="E2659" s="10"/>
      <c r="F2659" s="10"/>
      <c r="G2659" s="5" t="s">
        <v>1378</v>
      </c>
      <c r="H2659" s="15">
        <f t="shared" ref="H2659:L2661" si="1168">H2660</f>
        <v>2823.8999999999996</v>
      </c>
      <c r="I2659" s="15">
        <f t="shared" si="1168"/>
        <v>2823.9</v>
      </c>
      <c r="J2659" s="15">
        <f t="shared" si="1168"/>
        <v>2816.4657499999998</v>
      </c>
      <c r="K2659" s="81">
        <f t="shared" si="1158"/>
        <v>99.736738198944707</v>
      </c>
      <c r="L2659" s="15">
        <f t="shared" si="1168"/>
        <v>0</v>
      </c>
      <c r="M2659" s="65"/>
      <c r="N2659" s="65"/>
    </row>
    <row r="2660" spans="1:14" s="9" customFormat="1" x14ac:dyDescent="0.3">
      <c r="A2660" s="11" t="s">
        <v>1430</v>
      </c>
      <c r="B2660" s="48" t="s">
        <v>924</v>
      </c>
      <c r="C2660" s="48" t="s">
        <v>1374</v>
      </c>
      <c r="D2660" s="48" t="s">
        <v>1374</v>
      </c>
      <c r="E2660" s="11"/>
      <c r="F2660" s="11"/>
      <c r="G2660" s="7" t="s">
        <v>1221</v>
      </c>
      <c r="H2660" s="16">
        <f t="shared" si="1168"/>
        <v>2823.8999999999996</v>
      </c>
      <c r="I2660" s="16">
        <f t="shared" si="1168"/>
        <v>2823.9</v>
      </c>
      <c r="J2660" s="16">
        <f t="shared" si="1168"/>
        <v>2816.4657499999998</v>
      </c>
      <c r="K2660" s="82">
        <f t="shared" si="1158"/>
        <v>99.736738198944707</v>
      </c>
      <c r="L2660" s="16">
        <f t="shared" si="1168"/>
        <v>0</v>
      </c>
      <c r="M2660" s="65"/>
      <c r="N2660" s="65"/>
    </row>
    <row r="2661" spans="1:14" x14ac:dyDescent="0.3">
      <c r="A2661" s="8" t="s">
        <v>1430</v>
      </c>
      <c r="B2661" s="62" t="s">
        <v>924</v>
      </c>
      <c r="C2661" s="68" t="s">
        <v>1374</v>
      </c>
      <c r="D2661" s="68" t="s">
        <v>1374</v>
      </c>
      <c r="E2661" s="8" t="s">
        <v>390</v>
      </c>
      <c r="F2661" s="8"/>
      <c r="G2661" s="13" t="s">
        <v>862</v>
      </c>
      <c r="H2661" s="14">
        <f t="shared" si="1168"/>
        <v>2823.8999999999996</v>
      </c>
      <c r="I2661" s="14">
        <f t="shared" si="1168"/>
        <v>2823.9</v>
      </c>
      <c r="J2661" s="14">
        <f t="shared" si="1168"/>
        <v>2816.4657499999998</v>
      </c>
      <c r="K2661" s="78">
        <f t="shared" si="1158"/>
        <v>99.736738198944707</v>
      </c>
      <c r="L2661" s="14">
        <f t="shared" si="1168"/>
        <v>0</v>
      </c>
      <c r="M2661" s="50"/>
      <c r="N2661" s="50"/>
    </row>
    <row r="2662" spans="1:14" ht="46.8" x14ac:dyDescent="0.3">
      <c r="A2662" s="8" t="s">
        <v>1430</v>
      </c>
      <c r="B2662" s="62" t="s">
        <v>924</v>
      </c>
      <c r="C2662" s="68" t="s">
        <v>1374</v>
      </c>
      <c r="D2662" s="68" t="s">
        <v>1374</v>
      </c>
      <c r="E2662" s="8" t="s">
        <v>59</v>
      </c>
      <c r="F2662" s="8"/>
      <c r="G2662" s="23" t="s">
        <v>1295</v>
      </c>
      <c r="H2662" s="14">
        <f t="shared" ref="H2662:L2665" si="1169">H2663</f>
        <v>2823.8999999999996</v>
      </c>
      <c r="I2662" s="14">
        <f t="shared" si="1169"/>
        <v>2823.9</v>
      </c>
      <c r="J2662" s="14">
        <f t="shared" si="1169"/>
        <v>2816.4657499999998</v>
      </c>
      <c r="K2662" s="78">
        <f t="shared" si="1158"/>
        <v>99.736738198944707</v>
      </c>
      <c r="L2662" s="14">
        <f t="shared" si="1169"/>
        <v>0</v>
      </c>
      <c r="M2662" s="50"/>
      <c r="N2662" s="50"/>
    </row>
    <row r="2663" spans="1:14" ht="31.2" x14ac:dyDescent="0.3">
      <c r="A2663" s="8" t="s">
        <v>1430</v>
      </c>
      <c r="B2663" s="62" t="s">
        <v>924</v>
      </c>
      <c r="C2663" s="68" t="s">
        <v>1374</v>
      </c>
      <c r="D2663" s="68" t="s">
        <v>1374</v>
      </c>
      <c r="E2663" s="8" t="s">
        <v>60</v>
      </c>
      <c r="F2663" s="8"/>
      <c r="G2663" s="23" t="s">
        <v>1296</v>
      </c>
      <c r="H2663" s="14">
        <f t="shared" si="1169"/>
        <v>2823.8999999999996</v>
      </c>
      <c r="I2663" s="14">
        <f t="shared" si="1169"/>
        <v>2823.9</v>
      </c>
      <c r="J2663" s="14">
        <f t="shared" si="1169"/>
        <v>2816.4657499999998</v>
      </c>
      <c r="K2663" s="78">
        <f t="shared" si="1158"/>
        <v>99.736738198944707</v>
      </c>
      <c r="L2663" s="14">
        <f t="shared" si="1169"/>
        <v>0</v>
      </c>
      <c r="M2663" s="50"/>
      <c r="N2663" s="50"/>
    </row>
    <row r="2664" spans="1:14" ht="62.4" x14ac:dyDescent="0.3">
      <c r="A2664" s="8" t="s">
        <v>1430</v>
      </c>
      <c r="B2664" s="62" t="s">
        <v>924</v>
      </c>
      <c r="C2664" s="68" t="s">
        <v>1374</v>
      </c>
      <c r="D2664" s="68" t="s">
        <v>1374</v>
      </c>
      <c r="E2664" s="8" t="s">
        <v>62</v>
      </c>
      <c r="F2664" s="8"/>
      <c r="G2664" s="18" t="s">
        <v>298</v>
      </c>
      <c r="H2664" s="14">
        <f t="shared" si="1169"/>
        <v>2823.8999999999996</v>
      </c>
      <c r="I2664" s="14">
        <f t="shared" si="1169"/>
        <v>2823.9</v>
      </c>
      <c r="J2664" s="14">
        <f t="shared" si="1169"/>
        <v>2816.4657499999998</v>
      </c>
      <c r="K2664" s="78">
        <f t="shared" si="1158"/>
        <v>99.736738198944707</v>
      </c>
      <c r="L2664" s="14">
        <f t="shared" si="1169"/>
        <v>0</v>
      </c>
      <c r="M2664" s="50"/>
      <c r="N2664" s="50"/>
    </row>
    <row r="2665" spans="1:14" ht="31.2" x14ac:dyDescent="0.3">
      <c r="A2665" s="8" t="s">
        <v>1430</v>
      </c>
      <c r="B2665" s="62" t="s">
        <v>924</v>
      </c>
      <c r="C2665" s="68" t="s">
        <v>1374</v>
      </c>
      <c r="D2665" s="68" t="s">
        <v>1374</v>
      </c>
      <c r="E2665" s="8" t="s">
        <v>62</v>
      </c>
      <c r="F2665" s="45" t="s">
        <v>402</v>
      </c>
      <c r="G2665" s="23" t="s">
        <v>819</v>
      </c>
      <c r="H2665" s="14">
        <f t="shared" si="1169"/>
        <v>2823.8999999999996</v>
      </c>
      <c r="I2665" s="14">
        <f t="shared" si="1169"/>
        <v>2823.9</v>
      </c>
      <c r="J2665" s="14">
        <f t="shared" si="1169"/>
        <v>2816.4657499999998</v>
      </c>
      <c r="K2665" s="78">
        <f t="shared" si="1158"/>
        <v>99.736738198944707</v>
      </c>
      <c r="L2665" s="14">
        <f t="shared" si="1169"/>
        <v>0</v>
      </c>
      <c r="M2665" s="50"/>
      <c r="N2665" s="50"/>
    </row>
    <row r="2666" spans="1:14" ht="46.8" x14ac:dyDescent="0.3">
      <c r="A2666" s="8" t="s">
        <v>1430</v>
      </c>
      <c r="B2666" s="62" t="s">
        <v>924</v>
      </c>
      <c r="C2666" s="68" t="s">
        <v>1374</v>
      </c>
      <c r="D2666" s="68" t="s">
        <v>1374</v>
      </c>
      <c r="E2666" s="8" t="s">
        <v>62</v>
      </c>
      <c r="F2666" s="45" t="s">
        <v>280</v>
      </c>
      <c r="G2666" s="23" t="s">
        <v>821</v>
      </c>
      <c r="H2666" s="14">
        <f>2238.2+585.7</f>
        <v>2823.8999999999996</v>
      </c>
      <c r="I2666" s="14">
        <v>2823.9</v>
      </c>
      <c r="J2666" s="14">
        <v>2816.4657499999998</v>
      </c>
      <c r="K2666" s="78">
        <f t="shared" si="1158"/>
        <v>99.736738198944707</v>
      </c>
      <c r="L2666" s="14"/>
      <c r="M2666" s="50"/>
      <c r="N2666" s="50"/>
    </row>
    <row r="2667" spans="1:14" s="3" customFormat="1" x14ac:dyDescent="0.3">
      <c r="A2667" s="10" t="s">
        <v>1430</v>
      </c>
      <c r="B2667" s="43" t="s">
        <v>1402</v>
      </c>
      <c r="C2667" s="43" t="s">
        <v>1402</v>
      </c>
      <c r="D2667" s="43" t="s">
        <v>915</v>
      </c>
      <c r="E2667" s="10"/>
      <c r="F2667" s="10"/>
      <c r="G2667" s="5" t="s">
        <v>1405</v>
      </c>
      <c r="H2667" s="15">
        <f t="shared" ref="H2667:L2667" si="1170">H2668</f>
        <v>843.03200000000004</v>
      </c>
      <c r="I2667" s="15">
        <f t="shared" si="1170"/>
        <v>4564.9762799999999</v>
      </c>
      <c r="J2667" s="15">
        <f t="shared" si="1170"/>
        <v>4564.9761500000004</v>
      </c>
      <c r="K2667" s="81">
        <f t="shared" si="1158"/>
        <v>99.999997152230563</v>
      </c>
      <c r="L2667" s="15">
        <f t="shared" si="1170"/>
        <v>0</v>
      </c>
      <c r="M2667" s="65"/>
      <c r="N2667" s="65"/>
    </row>
    <row r="2668" spans="1:14" s="9" customFormat="1" x14ac:dyDescent="0.3">
      <c r="A2668" s="11" t="s">
        <v>1430</v>
      </c>
      <c r="B2668" s="48" t="s">
        <v>926</v>
      </c>
      <c r="C2668" s="48" t="s">
        <v>1402</v>
      </c>
      <c r="D2668" s="48" t="s">
        <v>1372</v>
      </c>
      <c r="E2668" s="11"/>
      <c r="F2668" s="11"/>
      <c r="G2668" s="7" t="s">
        <v>1406</v>
      </c>
      <c r="H2668" s="16">
        <f t="shared" ref="H2668:L2668" si="1171">H2669+H2675</f>
        <v>843.03200000000004</v>
      </c>
      <c r="I2668" s="16">
        <f t="shared" si="1171"/>
        <v>4564.9762799999999</v>
      </c>
      <c r="J2668" s="16">
        <f t="shared" si="1171"/>
        <v>4564.9761500000004</v>
      </c>
      <c r="K2668" s="82">
        <f t="shared" si="1158"/>
        <v>99.999997152230563</v>
      </c>
      <c r="L2668" s="16">
        <f t="shared" si="1171"/>
        <v>0</v>
      </c>
      <c r="M2668" s="65"/>
      <c r="N2668" s="65"/>
    </row>
    <row r="2669" spans="1:14" x14ac:dyDescent="0.3">
      <c r="A2669" s="8" t="s">
        <v>1430</v>
      </c>
      <c r="B2669" s="62" t="s">
        <v>926</v>
      </c>
      <c r="C2669" s="68" t="s">
        <v>1402</v>
      </c>
      <c r="D2669" s="68" t="s">
        <v>1372</v>
      </c>
      <c r="E2669" s="8" t="s">
        <v>387</v>
      </c>
      <c r="F2669" s="8"/>
      <c r="G2669" s="18" t="s">
        <v>851</v>
      </c>
      <c r="H2669" s="14">
        <f>H2670</f>
        <v>833.32</v>
      </c>
      <c r="I2669" s="14">
        <f t="shared" ref="I2669:L2669" si="1172">I2670</f>
        <v>833.32</v>
      </c>
      <c r="J2669" s="14">
        <f t="shared" si="1172"/>
        <v>833.32</v>
      </c>
      <c r="K2669" s="78">
        <f t="shared" si="1158"/>
        <v>100</v>
      </c>
      <c r="L2669" s="14">
        <f t="shared" si="1172"/>
        <v>0</v>
      </c>
      <c r="M2669" s="50"/>
      <c r="N2669" s="50"/>
    </row>
    <row r="2670" spans="1:14" ht="31.2" x14ac:dyDescent="0.3">
      <c r="A2670" s="8" t="s">
        <v>1430</v>
      </c>
      <c r="B2670" s="62" t="s">
        <v>926</v>
      </c>
      <c r="C2670" s="68" t="s">
        <v>1402</v>
      </c>
      <c r="D2670" s="68" t="s">
        <v>1372</v>
      </c>
      <c r="E2670" s="8" t="s">
        <v>410</v>
      </c>
      <c r="F2670" s="8"/>
      <c r="G2670" s="13" t="s">
        <v>852</v>
      </c>
      <c r="H2670" s="14">
        <f t="shared" ref="H2670:L2673" si="1173">H2671</f>
        <v>833.32</v>
      </c>
      <c r="I2670" s="14">
        <f t="shared" si="1173"/>
        <v>833.32</v>
      </c>
      <c r="J2670" s="14">
        <f t="shared" si="1173"/>
        <v>833.32</v>
      </c>
      <c r="K2670" s="78">
        <f t="shared" si="1158"/>
        <v>100</v>
      </c>
      <c r="L2670" s="14">
        <f t="shared" si="1173"/>
        <v>0</v>
      </c>
      <c r="M2670" s="50"/>
      <c r="N2670" s="50"/>
    </row>
    <row r="2671" spans="1:14" ht="31.2" x14ac:dyDescent="0.3">
      <c r="A2671" s="8" t="s">
        <v>1430</v>
      </c>
      <c r="B2671" s="62" t="s">
        <v>926</v>
      </c>
      <c r="C2671" s="68" t="s">
        <v>1402</v>
      </c>
      <c r="D2671" s="68" t="s">
        <v>1372</v>
      </c>
      <c r="E2671" s="8" t="s">
        <v>411</v>
      </c>
      <c r="F2671" s="8"/>
      <c r="G2671" s="13" t="s">
        <v>853</v>
      </c>
      <c r="H2671" s="14">
        <f t="shared" si="1173"/>
        <v>833.32</v>
      </c>
      <c r="I2671" s="14">
        <f t="shared" si="1173"/>
        <v>833.32</v>
      </c>
      <c r="J2671" s="14">
        <f t="shared" si="1173"/>
        <v>833.32</v>
      </c>
      <c r="K2671" s="78">
        <f t="shared" si="1158"/>
        <v>100</v>
      </c>
      <c r="L2671" s="14">
        <f t="shared" si="1173"/>
        <v>0</v>
      </c>
      <c r="M2671" s="50"/>
      <c r="N2671" s="50"/>
    </row>
    <row r="2672" spans="1:14" ht="31.2" x14ac:dyDescent="0.3">
      <c r="A2672" s="8" t="s">
        <v>1430</v>
      </c>
      <c r="B2672" s="62" t="s">
        <v>926</v>
      </c>
      <c r="C2672" s="68" t="s">
        <v>1402</v>
      </c>
      <c r="D2672" s="68" t="s">
        <v>1372</v>
      </c>
      <c r="E2672" s="8" t="s">
        <v>413</v>
      </c>
      <c r="F2672" s="8"/>
      <c r="G2672" s="13" t="s">
        <v>855</v>
      </c>
      <c r="H2672" s="14">
        <f t="shared" si="1173"/>
        <v>833.32</v>
      </c>
      <c r="I2672" s="14">
        <f t="shared" si="1173"/>
        <v>833.32</v>
      </c>
      <c r="J2672" s="14">
        <f t="shared" si="1173"/>
        <v>833.32</v>
      </c>
      <c r="K2672" s="78">
        <f t="shared" si="1158"/>
        <v>100</v>
      </c>
      <c r="L2672" s="14">
        <f t="shared" si="1173"/>
        <v>0</v>
      </c>
      <c r="M2672" s="50"/>
      <c r="N2672" s="50"/>
    </row>
    <row r="2673" spans="1:14" ht="31.2" x14ac:dyDescent="0.3">
      <c r="A2673" s="8" t="s">
        <v>1430</v>
      </c>
      <c r="B2673" s="62" t="s">
        <v>926</v>
      </c>
      <c r="C2673" s="68" t="s">
        <v>1402</v>
      </c>
      <c r="D2673" s="68" t="s">
        <v>1372</v>
      </c>
      <c r="E2673" s="8" t="s">
        <v>413</v>
      </c>
      <c r="F2673" s="45" t="s">
        <v>380</v>
      </c>
      <c r="G2673" s="23" t="s">
        <v>809</v>
      </c>
      <c r="H2673" s="14">
        <f t="shared" si="1173"/>
        <v>833.32</v>
      </c>
      <c r="I2673" s="14">
        <f t="shared" si="1173"/>
        <v>833.32</v>
      </c>
      <c r="J2673" s="14">
        <f t="shared" si="1173"/>
        <v>833.32</v>
      </c>
      <c r="K2673" s="78">
        <f t="shared" si="1158"/>
        <v>100</v>
      </c>
      <c r="L2673" s="14">
        <f t="shared" si="1173"/>
        <v>0</v>
      </c>
      <c r="M2673" s="50"/>
      <c r="N2673" s="50"/>
    </row>
    <row r="2674" spans="1:14" ht="31.2" x14ac:dyDescent="0.3">
      <c r="A2674" s="8" t="s">
        <v>1430</v>
      </c>
      <c r="B2674" s="62" t="s">
        <v>926</v>
      </c>
      <c r="C2674" s="68" t="s">
        <v>1402</v>
      </c>
      <c r="D2674" s="68" t="s">
        <v>1372</v>
      </c>
      <c r="E2674" s="8" t="s">
        <v>413</v>
      </c>
      <c r="F2674" s="8" t="s">
        <v>247</v>
      </c>
      <c r="G2674" s="23" t="s">
        <v>810</v>
      </c>
      <c r="H2674" s="14">
        <f>838.5-5.18</f>
        <v>833.32</v>
      </c>
      <c r="I2674" s="14">
        <v>833.32</v>
      </c>
      <c r="J2674" s="14">
        <v>833.32</v>
      </c>
      <c r="K2674" s="78">
        <f t="shared" si="1158"/>
        <v>100</v>
      </c>
      <c r="L2674" s="14"/>
      <c r="M2674" s="50"/>
      <c r="N2674" s="50"/>
    </row>
    <row r="2675" spans="1:14" ht="31.2" x14ac:dyDescent="0.3">
      <c r="A2675" s="8" t="s">
        <v>1430</v>
      </c>
      <c r="B2675" s="62" t="s">
        <v>926</v>
      </c>
      <c r="C2675" s="68" t="s">
        <v>1402</v>
      </c>
      <c r="D2675" s="68" t="s">
        <v>1372</v>
      </c>
      <c r="E2675" s="8" t="s">
        <v>429</v>
      </c>
      <c r="F2675" s="8"/>
      <c r="G2675" s="23" t="s">
        <v>1140</v>
      </c>
      <c r="H2675" s="14">
        <f t="shared" ref="H2675:L2677" si="1174">H2676</f>
        <v>9.7119999999999997</v>
      </c>
      <c r="I2675" s="14">
        <f t="shared" si="1174"/>
        <v>3731.6562800000002</v>
      </c>
      <c r="J2675" s="14">
        <f t="shared" si="1174"/>
        <v>3731.6561500000003</v>
      </c>
      <c r="K2675" s="78">
        <f t="shared" si="1158"/>
        <v>99.999996516292228</v>
      </c>
      <c r="L2675" s="14">
        <f t="shared" si="1174"/>
        <v>0</v>
      </c>
      <c r="M2675" s="50"/>
      <c r="N2675" s="50"/>
    </row>
    <row r="2676" spans="1:14" ht="46.8" x14ac:dyDescent="0.3">
      <c r="A2676" s="8" t="s">
        <v>1430</v>
      </c>
      <c r="B2676" s="62" t="s">
        <v>926</v>
      </c>
      <c r="C2676" s="68" t="s">
        <v>1402</v>
      </c>
      <c r="D2676" s="68" t="s">
        <v>1372</v>
      </c>
      <c r="E2676" s="8" t="s">
        <v>535</v>
      </c>
      <c r="F2676" s="8"/>
      <c r="G2676" s="31" t="s">
        <v>176</v>
      </c>
      <c r="H2676" s="14">
        <f t="shared" si="1174"/>
        <v>9.7119999999999997</v>
      </c>
      <c r="I2676" s="14">
        <f>I2677+I2679</f>
        <v>3731.6562800000002</v>
      </c>
      <c r="J2676" s="14">
        <f t="shared" ref="J2676:L2676" si="1175">J2677+J2679</f>
        <v>3731.6561500000003</v>
      </c>
      <c r="K2676" s="78">
        <f t="shared" si="1158"/>
        <v>99.999996516292228</v>
      </c>
      <c r="L2676" s="14">
        <f t="shared" si="1175"/>
        <v>0</v>
      </c>
      <c r="M2676" s="50"/>
      <c r="N2676" s="50"/>
    </row>
    <row r="2677" spans="1:14" ht="31.2" x14ac:dyDescent="0.3">
      <c r="A2677" s="8" t="s">
        <v>1430</v>
      </c>
      <c r="B2677" s="62" t="s">
        <v>926</v>
      </c>
      <c r="C2677" s="68" t="s">
        <v>1402</v>
      </c>
      <c r="D2677" s="68" t="s">
        <v>1372</v>
      </c>
      <c r="E2677" s="8" t="s">
        <v>535</v>
      </c>
      <c r="F2677" s="45" t="s">
        <v>380</v>
      </c>
      <c r="G2677" s="23" t="s">
        <v>809</v>
      </c>
      <c r="H2677" s="14">
        <f t="shared" si="1174"/>
        <v>9.7119999999999997</v>
      </c>
      <c r="I2677" s="14">
        <f t="shared" si="1174"/>
        <v>3562.7898</v>
      </c>
      <c r="J2677" s="14">
        <f t="shared" si="1174"/>
        <v>3562.7896700000001</v>
      </c>
      <c r="K2677" s="78">
        <f t="shared" si="1158"/>
        <v>99.999996351174019</v>
      </c>
      <c r="L2677" s="14">
        <f t="shared" si="1174"/>
        <v>0</v>
      </c>
      <c r="M2677" s="50"/>
      <c r="N2677" s="50"/>
    </row>
    <row r="2678" spans="1:14" ht="31.2" x14ac:dyDescent="0.3">
      <c r="A2678" s="8" t="s">
        <v>1430</v>
      </c>
      <c r="B2678" s="62" t="s">
        <v>926</v>
      </c>
      <c r="C2678" s="68" t="s">
        <v>1402</v>
      </c>
      <c r="D2678" s="68" t="s">
        <v>1372</v>
      </c>
      <c r="E2678" s="8" t="s">
        <v>535</v>
      </c>
      <c r="F2678" s="8" t="s">
        <v>247</v>
      </c>
      <c r="G2678" s="23" t="s">
        <v>810</v>
      </c>
      <c r="H2678" s="14">
        <v>9.7119999999999997</v>
      </c>
      <c r="I2678" s="14">
        <v>3562.7898</v>
      </c>
      <c r="J2678" s="14">
        <v>3562.7896700000001</v>
      </c>
      <c r="K2678" s="78">
        <f t="shared" si="1158"/>
        <v>99.999996351174019</v>
      </c>
      <c r="L2678" s="14"/>
      <c r="M2678" s="50"/>
      <c r="N2678" s="50"/>
    </row>
    <row r="2679" spans="1:14" ht="31.2" x14ac:dyDescent="0.3">
      <c r="A2679" s="8" t="s">
        <v>1430</v>
      </c>
      <c r="B2679" s="62" t="s">
        <v>926</v>
      </c>
      <c r="C2679" s="68" t="s">
        <v>1402</v>
      </c>
      <c r="D2679" s="68" t="s">
        <v>1372</v>
      </c>
      <c r="E2679" s="8" t="s">
        <v>535</v>
      </c>
      <c r="F2679" s="45" t="s">
        <v>402</v>
      </c>
      <c r="G2679" s="23" t="s">
        <v>819</v>
      </c>
      <c r="H2679" s="19">
        <v>0</v>
      </c>
      <c r="I2679" s="14">
        <f>I2680</f>
        <v>168.86648</v>
      </c>
      <c r="J2679" s="14">
        <f t="shared" ref="J2679:L2679" si="1176">J2680</f>
        <v>168.86648</v>
      </c>
      <c r="K2679" s="78">
        <f t="shared" si="1158"/>
        <v>100</v>
      </c>
      <c r="L2679" s="14">
        <f t="shared" si="1176"/>
        <v>0</v>
      </c>
      <c r="M2679" s="50"/>
      <c r="N2679" s="50"/>
    </row>
    <row r="2680" spans="1:14" ht="46.8" x14ac:dyDescent="0.3">
      <c r="A2680" s="8" t="s">
        <v>1430</v>
      </c>
      <c r="B2680" s="62" t="s">
        <v>926</v>
      </c>
      <c r="C2680" s="68" t="s">
        <v>1402</v>
      </c>
      <c r="D2680" s="68" t="s">
        <v>1372</v>
      </c>
      <c r="E2680" s="8" t="s">
        <v>535</v>
      </c>
      <c r="F2680" s="45" t="s">
        <v>280</v>
      </c>
      <c r="G2680" s="23" t="s">
        <v>821</v>
      </c>
      <c r="H2680" s="19">
        <v>0</v>
      </c>
      <c r="I2680" s="14">
        <v>168.86648</v>
      </c>
      <c r="J2680" s="14">
        <v>168.86648</v>
      </c>
      <c r="K2680" s="78">
        <f t="shared" si="1158"/>
        <v>100</v>
      </c>
      <c r="L2680" s="14"/>
      <c r="M2680" s="50"/>
      <c r="N2680" s="50"/>
    </row>
    <row r="2681" spans="1:14" s="3" customFormat="1" x14ac:dyDescent="0.3">
      <c r="A2681" s="10" t="s">
        <v>1430</v>
      </c>
      <c r="B2681" s="43" t="s">
        <v>1382</v>
      </c>
      <c r="C2681" s="43" t="s">
        <v>1382</v>
      </c>
      <c r="D2681" s="43" t="s">
        <v>915</v>
      </c>
      <c r="E2681" s="10"/>
      <c r="F2681" s="10"/>
      <c r="G2681" s="5" t="s">
        <v>1417</v>
      </c>
      <c r="H2681" s="15">
        <f t="shared" ref="H2681:L2686" si="1177">H2682</f>
        <v>1174.0999999999999</v>
      </c>
      <c r="I2681" s="15">
        <f t="shared" si="1177"/>
        <v>1596.1</v>
      </c>
      <c r="J2681" s="15">
        <f t="shared" si="1177"/>
        <v>1596.1</v>
      </c>
      <c r="K2681" s="81">
        <f t="shared" si="1158"/>
        <v>100</v>
      </c>
      <c r="L2681" s="15">
        <f t="shared" si="1177"/>
        <v>0</v>
      </c>
      <c r="M2681" s="65"/>
      <c r="N2681" s="65"/>
    </row>
    <row r="2682" spans="1:14" s="9" customFormat="1" x14ac:dyDescent="0.3">
      <c r="A2682" s="11" t="s">
        <v>1430</v>
      </c>
      <c r="B2682" s="48" t="s">
        <v>914</v>
      </c>
      <c r="C2682" s="48" t="s">
        <v>1382</v>
      </c>
      <c r="D2682" s="48" t="s">
        <v>1478</v>
      </c>
      <c r="E2682" s="11"/>
      <c r="F2682" s="11"/>
      <c r="G2682" s="7" t="s">
        <v>1425</v>
      </c>
      <c r="H2682" s="16">
        <f t="shared" si="1177"/>
        <v>1174.0999999999999</v>
      </c>
      <c r="I2682" s="16">
        <f>I2683+I2688</f>
        <v>1596.1</v>
      </c>
      <c r="J2682" s="16">
        <f t="shared" ref="J2682:L2682" si="1178">J2683+J2688</f>
        <v>1596.1</v>
      </c>
      <c r="K2682" s="82">
        <f t="shared" si="1158"/>
        <v>100</v>
      </c>
      <c r="L2682" s="16">
        <f t="shared" si="1178"/>
        <v>0</v>
      </c>
      <c r="M2682" s="65"/>
      <c r="N2682" s="65"/>
    </row>
    <row r="2683" spans="1:14" ht="31.2" x14ac:dyDescent="0.3">
      <c r="A2683" s="8" t="s">
        <v>1430</v>
      </c>
      <c r="B2683" s="62" t="s">
        <v>914</v>
      </c>
      <c r="C2683" s="68" t="s">
        <v>1382</v>
      </c>
      <c r="D2683" s="68" t="s">
        <v>1478</v>
      </c>
      <c r="E2683" s="8" t="s">
        <v>446</v>
      </c>
      <c r="F2683" s="8"/>
      <c r="G2683" s="23" t="s">
        <v>864</v>
      </c>
      <c r="H2683" s="14">
        <f t="shared" si="1177"/>
        <v>1174.0999999999999</v>
      </c>
      <c r="I2683" s="14">
        <f t="shared" si="1177"/>
        <v>1174.0999999999999</v>
      </c>
      <c r="J2683" s="14">
        <f t="shared" si="1177"/>
        <v>1174.0999999999999</v>
      </c>
      <c r="K2683" s="78">
        <f t="shared" si="1158"/>
        <v>100</v>
      </c>
      <c r="L2683" s="14">
        <f t="shared" si="1177"/>
        <v>0</v>
      </c>
      <c r="M2683" s="50"/>
      <c r="N2683" s="50"/>
    </row>
    <row r="2684" spans="1:14" ht="31.2" x14ac:dyDescent="0.3">
      <c r="A2684" s="8" t="s">
        <v>1430</v>
      </c>
      <c r="B2684" s="62" t="s">
        <v>914</v>
      </c>
      <c r="C2684" s="68" t="s">
        <v>1382</v>
      </c>
      <c r="D2684" s="68" t="s">
        <v>1478</v>
      </c>
      <c r="E2684" s="8" t="s">
        <v>666</v>
      </c>
      <c r="F2684" s="8"/>
      <c r="G2684" s="13" t="s">
        <v>1167</v>
      </c>
      <c r="H2684" s="14">
        <f t="shared" si="1177"/>
        <v>1174.0999999999999</v>
      </c>
      <c r="I2684" s="14">
        <f t="shared" si="1177"/>
        <v>1174.0999999999999</v>
      </c>
      <c r="J2684" s="14">
        <f t="shared" si="1177"/>
        <v>1174.0999999999999</v>
      </c>
      <c r="K2684" s="78">
        <f t="shared" si="1158"/>
        <v>100</v>
      </c>
      <c r="L2684" s="14">
        <f t="shared" si="1177"/>
        <v>0</v>
      </c>
      <c r="M2684" s="50"/>
      <c r="N2684" s="50"/>
    </row>
    <row r="2685" spans="1:14" ht="62.4" x14ac:dyDescent="0.3">
      <c r="A2685" s="8" t="s">
        <v>1430</v>
      </c>
      <c r="B2685" s="62" t="s">
        <v>914</v>
      </c>
      <c r="C2685" s="68" t="s">
        <v>1382</v>
      </c>
      <c r="D2685" s="68" t="s">
        <v>1478</v>
      </c>
      <c r="E2685" s="8" t="s">
        <v>674</v>
      </c>
      <c r="F2685" s="8"/>
      <c r="G2685" s="18" t="s">
        <v>1184</v>
      </c>
      <c r="H2685" s="14">
        <f t="shared" si="1177"/>
        <v>1174.0999999999999</v>
      </c>
      <c r="I2685" s="14">
        <f t="shared" si="1177"/>
        <v>1174.0999999999999</v>
      </c>
      <c r="J2685" s="14">
        <f t="shared" si="1177"/>
        <v>1174.0999999999999</v>
      </c>
      <c r="K2685" s="78">
        <f t="shared" si="1158"/>
        <v>100</v>
      </c>
      <c r="L2685" s="14">
        <f t="shared" si="1177"/>
        <v>0</v>
      </c>
      <c r="M2685" s="50"/>
      <c r="N2685" s="50"/>
    </row>
    <row r="2686" spans="1:14" ht="31.2" x14ac:dyDescent="0.3">
      <c r="A2686" s="8" t="s">
        <v>1430</v>
      </c>
      <c r="B2686" s="62" t="s">
        <v>914</v>
      </c>
      <c r="C2686" s="68" t="s">
        <v>1382</v>
      </c>
      <c r="D2686" s="68" t="s">
        <v>1478</v>
      </c>
      <c r="E2686" s="8" t="s">
        <v>674</v>
      </c>
      <c r="F2686" s="45" t="s">
        <v>380</v>
      </c>
      <c r="G2686" s="23" t="s">
        <v>809</v>
      </c>
      <c r="H2686" s="14">
        <f t="shared" si="1177"/>
        <v>1174.0999999999999</v>
      </c>
      <c r="I2686" s="14">
        <f t="shared" si="1177"/>
        <v>1174.0999999999999</v>
      </c>
      <c r="J2686" s="14">
        <f t="shared" si="1177"/>
        <v>1174.0999999999999</v>
      </c>
      <c r="K2686" s="78">
        <f t="shared" si="1158"/>
        <v>100</v>
      </c>
      <c r="L2686" s="14">
        <f t="shared" si="1177"/>
        <v>0</v>
      </c>
      <c r="M2686" s="50"/>
      <c r="N2686" s="50"/>
    </row>
    <row r="2687" spans="1:14" ht="31.2" x14ac:dyDescent="0.3">
      <c r="A2687" s="8" t="s">
        <v>1430</v>
      </c>
      <c r="B2687" s="62" t="s">
        <v>914</v>
      </c>
      <c r="C2687" s="68" t="s">
        <v>1382</v>
      </c>
      <c r="D2687" s="68" t="s">
        <v>1478</v>
      </c>
      <c r="E2687" s="8" t="s">
        <v>674</v>
      </c>
      <c r="F2687" s="8" t="s">
        <v>247</v>
      </c>
      <c r="G2687" s="23" t="s">
        <v>810</v>
      </c>
      <c r="H2687" s="14">
        <f>1178.3-4.2</f>
        <v>1174.0999999999999</v>
      </c>
      <c r="I2687" s="14">
        <v>1174.0999999999999</v>
      </c>
      <c r="J2687" s="14">
        <v>1174.0999999999999</v>
      </c>
      <c r="K2687" s="78">
        <f t="shared" si="1158"/>
        <v>100</v>
      </c>
      <c r="L2687" s="14"/>
      <c r="M2687" s="50"/>
      <c r="N2687" s="50"/>
    </row>
    <row r="2688" spans="1:14" ht="31.2" x14ac:dyDescent="0.3">
      <c r="A2688" s="8" t="s">
        <v>1430</v>
      </c>
      <c r="B2688" s="62" t="s">
        <v>914</v>
      </c>
      <c r="C2688" s="68" t="s">
        <v>1382</v>
      </c>
      <c r="D2688" s="68" t="s">
        <v>1478</v>
      </c>
      <c r="E2688" s="8" t="s">
        <v>429</v>
      </c>
      <c r="F2688" s="45"/>
      <c r="G2688" s="23" t="s">
        <v>1140</v>
      </c>
      <c r="H2688" s="20">
        <v>0</v>
      </c>
      <c r="I2688" s="14">
        <f>I2689</f>
        <v>422</v>
      </c>
      <c r="J2688" s="14">
        <f t="shared" ref="J2688:L2690" si="1179">J2689</f>
        <v>422</v>
      </c>
      <c r="K2688" s="78">
        <f t="shared" si="1158"/>
        <v>100</v>
      </c>
      <c r="L2688" s="14">
        <f t="shared" si="1179"/>
        <v>0</v>
      </c>
      <c r="M2688" s="50"/>
      <c r="N2688" s="50"/>
    </row>
    <row r="2689" spans="1:14" ht="46.8" x14ac:dyDescent="0.3">
      <c r="A2689" s="8" t="s">
        <v>1430</v>
      </c>
      <c r="B2689" s="62" t="s">
        <v>914</v>
      </c>
      <c r="C2689" s="68" t="s">
        <v>1382</v>
      </c>
      <c r="D2689" s="68" t="s">
        <v>1478</v>
      </c>
      <c r="E2689" s="8" t="s">
        <v>535</v>
      </c>
      <c r="F2689" s="45"/>
      <c r="G2689" s="31" t="s">
        <v>176</v>
      </c>
      <c r="H2689" s="20">
        <v>0</v>
      </c>
      <c r="I2689" s="14">
        <f>I2690</f>
        <v>422</v>
      </c>
      <c r="J2689" s="14">
        <f t="shared" si="1179"/>
        <v>422</v>
      </c>
      <c r="K2689" s="78">
        <f t="shared" si="1158"/>
        <v>100</v>
      </c>
      <c r="L2689" s="14">
        <f t="shared" si="1179"/>
        <v>0</v>
      </c>
      <c r="M2689" s="50"/>
      <c r="N2689" s="50"/>
    </row>
    <row r="2690" spans="1:14" ht="31.2" x14ac:dyDescent="0.3">
      <c r="A2690" s="8" t="s">
        <v>1430</v>
      </c>
      <c r="B2690" s="62" t="s">
        <v>914</v>
      </c>
      <c r="C2690" s="68" t="s">
        <v>1382</v>
      </c>
      <c r="D2690" s="68" t="s">
        <v>1478</v>
      </c>
      <c r="E2690" s="8" t="s">
        <v>535</v>
      </c>
      <c r="F2690" s="45" t="s">
        <v>380</v>
      </c>
      <c r="G2690" s="23" t="s">
        <v>809</v>
      </c>
      <c r="H2690" s="20">
        <v>0</v>
      </c>
      <c r="I2690" s="14">
        <f>I2691</f>
        <v>422</v>
      </c>
      <c r="J2690" s="14">
        <f t="shared" si="1179"/>
        <v>422</v>
      </c>
      <c r="K2690" s="78">
        <f t="shared" si="1158"/>
        <v>100</v>
      </c>
      <c r="L2690" s="14">
        <f t="shared" si="1179"/>
        <v>0</v>
      </c>
      <c r="M2690" s="50"/>
      <c r="N2690" s="50"/>
    </row>
    <row r="2691" spans="1:14" ht="31.2" x14ac:dyDescent="0.3">
      <c r="A2691" s="8" t="s">
        <v>1430</v>
      </c>
      <c r="B2691" s="62" t="s">
        <v>914</v>
      </c>
      <c r="C2691" s="68" t="s">
        <v>1382</v>
      </c>
      <c r="D2691" s="68" t="s">
        <v>1478</v>
      </c>
      <c r="E2691" s="8" t="s">
        <v>535</v>
      </c>
      <c r="F2691" s="8" t="s">
        <v>247</v>
      </c>
      <c r="G2691" s="23" t="s">
        <v>810</v>
      </c>
      <c r="H2691" s="20">
        <v>0</v>
      </c>
      <c r="I2691" s="14">
        <v>422</v>
      </c>
      <c r="J2691" s="14">
        <v>422</v>
      </c>
      <c r="K2691" s="78">
        <f t="shared" si="1158"/>
        <v>100</v>
      </c>
      <c r="L2691" s="14"/>
      <c r="M2691" s="50"/>
      <c r="N2691" s="50"/>
    </row>
    <row r="2692" spans="1:14" ht="31.2" x14ac:dyDescent="0.3">
      <c r="A2692" s="10" t="s">
        <v>1431</v>
      </c>
      <c r="B2692" s="43" t="s">
        <v>915</v>
      </c>
      <c r="C2692" s="43" t="s">
        <v>915</v>
      </c>
      <c r="D2692" s="43" t="s">
        <v>915</v>
      </c>
      <c r="E2692" s="10"/>
      <c r="F2692" s="10"/>
      <c r="G2692" s="5" t="s">
        <v>1432</v>
      </c>
      <c r="H2692" s="15">
        <f t="shared" ref="H2692:L2692" si="1180">H2693+H2781+H2845+H2902+H2751+H2910+H2918+H2937</f>
        <v>303077.90800000005</v>
      </c>
      <c r="I2692" s="15">
        <f t="shared" si="1180"/>
        <v>362184.07542000007</v>
      </c>
      <c r="J2692" s="15">
        <f t="shared" si="1180"/>
        <v>359975.75492999994</v>
      </c>
      <c r="K2692" s="81">
        <f t="shared" si="1158"/>
        <v>99.390276757077373</v>
      </c>
      <c r="L2692" s="15">
        <f t="shared" si="1180"/>
        <v>0</v>
      </c>
      <c r="M2692" s="65"/>
      <c r="N2692" s="65"/>
    </row>
    <row r="2693" spans="1:14" s="3" customFormat="1" x14ac:dyDescent="0.3">
      <c r="A2693" s="10" t="s">
        <v>1431</v>
      </c>
      <c r="B2693" s="43" t="s">
        <v>1372</v>
      </c>
      <c r="C2693" s="43" t="s">
        <v>1372</v>
      </c>
      <c r="D2693" s="43" t="s">
        <v>915</v>
      </c>
      <c r="E2693" s="10"/>
      <c r="F2693" s="10"/>
      <c r="G2693" s="5" t="s">
        <v>1376</v>
      </c>
      <c r="H2693" s="15">
        <f>H2694+H2715</f>
        <v>54710.182000000001</v>
      </c>
      <c r="I2693" s="15">
        <f>I2694+I2715</f>
        <v>54824.982000000004</v>
      </c>
      <c r="J2693" s="15">
        <f t="shared" ref="J2693" si="1181">J2694+J2715</f>
        <v>54286.414040000011</v>
      </c>
      <c r="K2693" s="81">
        <f t="shared" si="1158"/>
        <v>99.017659577161382</v>
      </c>
      <c r="L2693" s="15">
        <f>L2694+L2715</f>
        <v>0</v>
      </c>
      <c r="M2693" s="65"/>
      <c r="N2693" s="65"/>
    </row>
    <row r="2694" spans="1:14" s="9" customFormat="1" ht="62.4" x14ac:dyDescent="0.3">
      <c r="A2694" s="11" t="s">
        <v>1431</v>
      </c>
      <c r="B2694" s="48" t="s">
        <v>934</v>
      </c>
      <c r="C2694" s="48" t="s">
        <v>1372</v>
      </c>
      <c r="D2694" s="48" t="s">
        <v>1386</v>
      </c>
      <c r="E2694" s="11"/>
      <c r="F2694" s="11"/>
      <c r="G2694" s="7" t="s">
        <v>1418</v>
      </c>
      <c r="H2694" s="16">
        <f>H2703+H2695</f>
        <v>42695</v>
      </c>
      <c r="I2694" s="16">
        <f>I2703+I2695</f>
        <v>42774.8</v>
      </c>
      <c r="J2694" s="16">
        <f t="shared" ref="J2694" si="1182">J2703+J2695</f>
        <v>42742.669860000009</v>
      </c>
      <c r="K2694" s="82">
        <f t="shared" si="1158"/>
        <v>99.924885353058357</v>
      </c>
      <c r="L2694" s="16">
        <f>L2703+L2695</f>
        <v>0</v>
      </c>
      <c r="M2694" s="65"/>
      <c r="N2694" s="65"/>
    </row>
    <row r="2695" spans="1:14" ht="31.2" x14ac:dyDescent="0.3">
      <c r="A2695" s="8" t="s">
        <v>1431</v>
      </c>
      <c r="B2695" s="62" t="s">
        <v>934</v>
      </c>
      <c r="C2695" s="68" t="s">
        <v>1372</v>
      </c>
      <c r="D2695" s="68" t="s">
        <v>1386</v>
      </c>
      <c r="E2695" s="8" t="s">
        <v>396</v>
      </c>
      <c r="F2695" s="8"/>
      <c r="G2695" s="13" t="s">
        <v>876</v>
      </c>
      <c r="H2695" s="14">
        <f t="shared" ref="H2695:L2697" si="1183">H2696</f>
        <v>3671.7000000000003</v>
      </c>
      <c r="I2695" s="14">
        <f t="shared" si="1183"/>
        <v>3562.8</v>
      </c>
      <c r="J2695" s="14">
        <f t="shared" si="1183"/>
        <v>3562.8</v>
      </c>
      <c r="K2695" s="78">
        <f t="shared" si="1158"/>
        <v>100</v>
      </c>
      <c r="L2695" s="14">
        <f t="shared" si="1183"/>
        <v>0</v>
      </c>
      <c r="M2695" s="50"/>
      <c r="N2695" s="50"/>
    </row>
    <row r="2696" spans="1:14" ht="31.2" x14ac:dyDescent="0.3">
      <c r="A2696" s="8" t="s">
        <v>1431</v>
      </c>
      <c r="B2696" s="62" t="s">
        <v>934</v>
      </c>
      <c r="C2696" s="68" t="s">
        <v>1372</v>
      </c>
      <c r="D2696" s="68" t="s">
        <v>1386</v>
      </c>
      <c r="E2696" s="8" t="s">
        <v>485</v>
      </c>
      <c r="F2696" s="8"/>
      <c r="G2696" s="13" t="s">
        <v>877</v>
      </c>
      <c r="H2696" s="14">
        <f t="shared" si="1183"/>
        <v>3671.7000000000003</v>
      </c>
      <c r="I2696" s="14">
        <f t="shared" si="1183"/>
        <v>3562.8</v>
      </c>
      <c r="J2696" s="14">
        <f t="shared" si="1183"/>
        <v>3562.8</v>
      </c>
      <c r="K2696" s="78">
        <f t="shared" ref="K2696:K2759" si="1184">J2696/I2696*100</f>
        <v>100</v>
      </c>
      <c r="L2696" s="14">
        <f t="shared" si="1183"/>
        <v>0</v>
      </c>
      <c r="M2696" s="50"/>
      <c r="N2696" s="50"/>
    </row>
    <row r="2697" spans="1:14" ht="62.4" x14ac:dyDescent="0.3">
      <c r="A2697" s="8" t="s">
        <v>1431</v>
      </c>
      <c r="B2697" s="62" t="s">
        <v>934</v>
      </c>
      <c r="C2697" s="68" t="s">
        <v>1372</v>
      </c>
      <c r="D2697" s="68" t="s">
        <v>1386</v>
      </c>
      <c r="E2697" s="8" t="s">
        <v>518</v>
      </c>
      <c r="F2697" s="8"/>
      <c r="G2697" s="18" t="s">
        <v>878</v>
      </c>
      <c r="H2697" s="14">
        <f t="shared" si="1183"/>
        <v>3671.7000000000003</v>
      </c>
      <c r="I2697" s="14">
        <f t="shared" si="1183"/>
        <v>3562.8</v>
      </c>
      <c r="J2697" s="14">
        <f t="shared" si="1183"/>
        <v>3562.8</v>
      </c>
      <c r="K2697" s="78">
        <f t="shared" si="1184"/>
        <v>100</v>
      </c>
      <c r="L2697" s="14">
        <f t="shared" si="1183"/>
        <v>0</v>
      </c>
      <c r="M2697" s="50"/>
      <c r="N2697" s="50"/>
    </row>
    <row r="2698" spans="1:14" ht="31.2" x14ac:dyDescent="0.3">
      <c r="A2698" s="8" t="s">
        <v>1431</v>
      </c>
      <c r="B2698" s="62" t="s">
        <v>934</v>
      </c>
      <c r="C2698" s="68" t="s">
        <v>1372</v>
      </c>
      <c r="D2698" s="68" t="s">
        <v>1386</v>
      </c>
      <c r="E2698" s="8" t="s">
        <v>244</v>
      </c>
      <c r="F2698" s="8"/>
      <c r="G2698" s="18" t="s">
        <v>879</v>
      </c>
      <c r="H2698" s="14">
        <f>H2699+H2701</f>
        <v>3671.7000000000003</v>
      </c>
      <c r="I2698" s="14">
        <f>I2699+I2701</f>
        <v>3562.8</v>
      </c>
      <c r="J2698" s="14">
        <f t="shared" ref="J2698" si="1185">J2699+J2701</f>
        <v>3562.8</v>
      </c>
      <c r="K2698" s="78">
        <f t="shared" si="1184"/>
        <v>100</v>
      </c>
      <c r="L2698" s="14">
        <f>L2699+L2701</f>
        <v>0</v>
      </c>
      <c r="M2698" s="50"/>
      <c r="N2698" s="50"/>
    </row>
    <row r="2699" spans="1:14" ht="78" x14ac:dyDescent="0.3">
      <c r="A2699" s="8" t="s">
        <v>1431</v>
      </c>
      <c r="B2699" s="62" t="s">
        <v>934</v>
      </c>
      <c r="C2699" s="68" t="s">
        <v>1372</v>
      </c>
      <c r="D2699" s="68" t="s">
        <v>1386</v>
      </c>
      <c r="E2699" s="8" t="s">
        <v>244</v>
      </c>
      <c r="F2699" s="45" t="s">
        <v>431</v>
      </c>
      <c r="G2699" s="23" t="s">
        <v>806</v>
      </c>
      <c r="H2699" s="14">
        <f t="shared" ref="H2699:L2699" si="1186">H2700</f>
        <v>3201.4</v>
      </c>
      <c r="I2699" s="14">
        <f t="shared" si="1186"/>
        <v>3336.2341700000002</v>
      </c>
      <c r="J2699" s="14">
        <f t="shared" si="1186"/>
        <v>3336.2341700000002</v>
      </c>
      <c r="K2699" s="78">
        <f t="shared" si="1184"/>
        <v>100</v>
      </c>
      <c r="L2699" s="14">
        <f t="shared" si="1186"/>
        <v>0</v>
      </c>
      <c r="M2699" s="50"/>
      <c r="N2699" s="50"/>
    </row>
    <row r="2700" spans="1:14" ht="31.2" x14ac:dyDescent="0.3">
      <c r="A2700" s="8" t="s">
        <v>1431</v>
      </c>
      <c r="B2700" s="62" t="s">
        <v>934</v>
      </c>
      <c r="C2700" s="68" t="s">
        <v>1372</v>
      </c>
      <c r="D2700" s="68" t="s">
        <v>1386</v>
      </c>
      <c r="E2700" s="8" t="s">
        <v>244</v>
      </c>
      <c r="F2700" s="45" t="s">
        <v>233</v>
      </c>
      <c r="G2700" s="23" t="s">
        <v>808</v>
      </c>
      <c r="H2700" s="14">
        <v>3201.4</v>
      </c>
      <c r="I2700" s="14">
        <v>3336.2341700000002</v>
      </c>
      <c r="J2700" s="14">
        <v>3336.2341700000002</v>
      </c>
      <c r="K2700" s="78">
        <f t="shared" si="1184"/>
        <v>100</v>
      </c>
      <c r="L2700" s="14"/>
      <c r="M2700" s="50"/>
      <c r="N2700" s="50"/>
    </row>
    <row r="2701" spans="1:14" ht="31.2" x14ac:dyDescent="0.3">
      <c r="A2701" s="8" t="s">
        <v>1431</v>
      </c>
      <c r="B2701" s="62" t="s">
        <v>934</v>
      </c>
      <c r="C2701" s="68" t="s">
        <v>1372</v>
      </c>
      <c r="D2701" s="68" t="s">
        <v>1386</v>
      </c>
      <c r="E2701" s="8" t="s">
        <v>244</v>
      </c>
      <c r="F2701" s="45" t="s">
        <v>380</v>
      </c>
      <c r="G2701" s="23" t="s">
        <v>809</v>
      </c>
      <c r="H2701" s="14">
        <f t="shared" ref="H2701:L2701" si="1187">H2702</f>
        <v>470.3</v>
      </c>
      <c r="I2701" s="14">
        <f t="shared" si="1187"/>
        <v>226.56583000000001</v>
      </c>
      <c r="J2701" s="14">
        <f t="shared" si="1187"/>
        <v>226.56583000000001</v>
      </c>
      <c r="K2701" s="78">
        <f t="shared" si="1184"/>
        <v>100</v>
      </c>
      <c r="L2701" s="14">
        <f t="shared" si="1187"/>
        <v>0</v>
      </c>
      <c r="M2701" s="50"/>
      <c r="N2701" s="50"/>
    </row>
    <row r="2702" spans="1:14" ht="31.2" x14ac:dyDescent="0.3">
      <c r="A2702" s="8" t="s">
        <v>1431</v>
      </c>
      <c r="B2702" s="62" t="s">
        <v>934</v>
      </c>
      <c r="C2702" s="68" t="s">
        <v>1372</v>
      </c>
      <c r="D2702" s="68" t="s">
        <v>1386</v>
      </c>
      <c r="E2702" s="8" t="s">
        <v>244</v>
      </c>
      <c r="F2702" s="8" t="s">
        <v>247</v>
      </c>
      <c r="G2702" s="23" t="s">
        <v>810</v>
      </c>
      <c r="H2702" s="14">
        <v>470.3</v>
      </c>
      <c r="I2702" s="14">
        <v>226.56583000000001</v>
      </c>
      <c r="J2702" s="14">
        <v>226.56583000000001</v>
      </c>
      <c r="K2702" s="78">
        <f t="shared" si="1184"/>
        <v>100</v>
      </c>
      <c r="L2702" s="14"/>
      <c r="M2702" s="50"/>
      <c r="N2702" s="50"/>
    </row>
    <row r="2703" spans="1:14" ht="31.2" x14ac:dyDescent="0.3">
      <c r="A2703" s="8" t="s">
        <v>1431</v>
      </c>
      <c r="B2703" s="62" t="s">
        <v>934</v>
      </c>
      <c r="C2703" s="68" t="s">
        <v>1372</v>
      </c>
      <c r="D2703" s="68" t="s">
        <v>1386</v>
      </c>
      <c r="E2703" s="8" t="s">
        <v>343</v>
      </c>
      <c r="F2703" s="8"/>
      <c r="G2703" s="23" t="s">
        <v>1157</v>
      </c>
      <c r="H2703" s="14">
        <f t="shared" ref="H2703:L2703" si="1188">H2704</f>
        <v>39023.300000000003</v>
      </c>
      <c r="I2703" s="14">
        <f t="shared" si="1188"/>
        <v>39212</v>
      </c>
      <c r="J2703" s="14">
        <f t="shared" si="1188"/>
        <v>39179.869860000006</v>
      </c>
      <c r="K2703" s="78">
        <f t="shared" si="1184"/>
        <v>99.918060440681444</v>
      </c>
      <c r="L2703" s="14">
        <f t="shared" si="1188"/>
        <v>0</v>
      </c>
      <c r="M2703" s="50"/>
      <c r="N2703" s="50"/>
    </row>
    <row r="2704" spans="1:14" x14ac:dyDescent="0.3">
      <c r="A2704" s="8" t="s">
        <v>1431</v>
      </c>
      <c r="B2704" s="62" t="s">
        <v>934</v>
      </c>
      <c r="C2704" s="68" t="s">
        <v>1372</v>
      </c>
      <c r="D2704" s="68" t="s">
        <v>1386</v>
      </c>
      <c r="E2704" s="8" t="s">
        <v>351</v>
      </c>
      <c r="F2704" s="8"/>
      <c r="G2704" s="13" t="s">
        <v>1158</v>
      </c>
      <c r="H2704" s="14">
        <f>H2705+H2708</f>
        <v>39023.300000000003</v>
      </c>
      <c r="I2704" s="14">
        <f>I2705+I2708</f>
        <v>39212</v>
      </c>
      <c r="J2704" s="14">
        <f t="shared" ref="J2704" si="1189">J2705+J2708</f>
        <v>39179.869860000006</v>
      </c>
      <c r="K2704" s="78">
        <f t="shared" si="1184"/>
        <v>99.918060440681444</v>
      </c>
      <c r="L2704" s="14">
        <f>L2705+L2708</f>
        <v>0</v>
      </c>
      <c r="M2704" s="50"/>
      <c r="N2704" s="50"/>
    </row>
    <row r="2705" spans="1:14" ht="31.2" x14ac:dyDescent="0.3">
      <c r="A2705" s="8" t="s">
        <v>1431</v>
      </c>
      <c r="B2705" s="62" t="s">
        <v>934</v>
      </c>
      <c r="C2705" s="68" t="s">
        <v>1372</v>
      </c>
      <c r="D2705" s="68" t="s">
        <v>1386</v>
      </c>
      <c r="E2705" s="8" t="s">
        <v>352</v>
      </c>
      <c r="F2705" s="8"/>
      <c r="G2705" s="13" t="s">
        <v>1152</v>
      </c>
      <c r="H2705" s="14">
        <f t="shared" ref="H2705:L2706" si="1190">H2706</f>
        <v>35605.800000000003</v>
      </c>
      <c r="I2705" s="14">
        <f t="shared" si="1190"/>
        <v>36202.101219999997</v>
      </c>
      <c r="J2705" s="14">
        <f t="shared" si="1190"/>
        <v>36169.971080000003</v>
      </c>
      <c r="K2705" s="78">
        <f t="shared" si="1184"/>
        <v>99.91124785877831</v>
      </c>
      <c r="L2705" s="14">
        <f t="shared" si="1190"/>
        <v>0</v>
      </c>
      <c r="M2705" s="50"/>
      <c r="N2705" s="50"/>
    </row>
    <row r="2706" spans="1:14" ht="78" x14ac:dyDescent="0.3">
      <c r="A2706" s="8" t="s">
        <v>1431</v>
      </c>
      <c r="B2706" s="62" t="s">
        <v>934</v>
      </c>
      <c r="C2706" s="68" t="s">
        <v>1372</v>
      </c>
      <c r="D2706" s="68" t="s">
        <v>1386</v>
      </c>
      <c r="E2706" s="8" t="s">
        <v>352</v>
      </c>
      <c r="F2706" s="45" t="s">
        <v>431</v>
      </c>
      <c r="G2706" s="23" t="s">
        <v>806</v>
      </c>
      <c r="H2706" s="14">
        <f t="shared" si="1190"/>
        <v>35605.800000000003</v>
      </c>
      <c r="I2706" s="14">
        <f t="shared" si="1190"/>
        <v>36202.101219999997</v>
      </c>
      <c r="J2706" s="14">
        <f t="shared" si="1190"/>
        <v>36169.971080000003</v>
      </c>
      <c r="K2706" s="78">
        <f t="shared" si="1184"/>
        <v>99.91124785877831</v>
      </c>
      <c r="L2706" s="14">
        <f t="shared" si="1190"/>
        <v>0</v>
      </c>
      <c r="M2706" s="50"/>
      <c r="N2706" s="50"/>
    </row>
    <row r="2707" spans="1:14" ht="31.2" x14ac:dyDescent="0.3">
      <c r="A2707" s="8" t="s">
        <v>1431</v>
      </c>
      <c r="B2707" s="62" t="s">
        <v>934</v>
      </c>
      <c r="C2707" s="68" t="s">
        <v>1372</v>
      </c>
      <c r="D2707" s="68" t="s">
        <v>1386</v>
      </c>
      <c r="E2707" s="8" t="s">
        <v>352</v>
      </c>
      <c r="F2707" s="45" t="s">
        <v>233</v>
      </c>
      <c r="G2707" s="23" t="s">
        <v>808</v>
      </c>
      <c r="H2707" s="14">
        <v>35605.800000000003</v>
      </c>
      <c r="I2707" s="14">
        <v>36202.101219999997</v>
      </c>
      <c r="J2707" s="14">
        <v>36169.971080000003</v>
      </c>
      <c r="K2707" s="78">
        <f t="shared" si="1184"/>
        <v>99.91124785877831</v>
      </c>
      <c r="L2707" s="14"/>
      <c r="M2707" s="50"/>
      <c r="N2707" s="50"/>
    </row>
    <row r="2708" spans="1:14" ht="31.2" x14ac:dyDescent="0.3">
      <c r="A2708" s="8" t="s">
        <v>1431</v>
      </c>
      <c r="B2708" s="62" t="s">
        <v>934</v>
      </c>
      <c r="C2708" s="68" t="s">
        <v>1372</v>
      </c>
      <c r="D2708" s="68" t="s">
        <v>1386</v>
      </c>
      <c r="E2708" s="8" t="s">
        <v>353</v>
      </c>
      <c r="F2708" s="8"/>
      <c r="G2708" s="13" t="s">
        <v>1154</v>
      </c>
      <c r="H2708" s="14">
        <f>H2711+H2713+H2709</f>
        <v>3417.5</v>
      </c>
      <c r="I2708" s="14">
        <f>I2711+I2713+I2709</f>
        <v>3009.8987800000004</v>
      </c>
      <c r="J2708" s="14">
        <f t="shared" ref="J2708" si="1191">J2711+J2713+J2709</f>
        <v>3009.8987800000004</v>
      </c>
      <c r="K2708" s="78">
        <f t="shared" si="1184"/>
        <v>100</v>
      </c>
      <c r="L2708" s="14">
        <f>L2711+L2713+L2709</f>
        <v>0</v>
      </c>
      <c r="M2708" s="50"/>
      <c r="N2708" s="50"/>
    </row>
    <row r="2709" spans="1:14" ht="78" x14ac:dyDescent="0.3">
      <c r="A2709" s="8" t="s">
        <v>1431</v>
      </c>
      <c r="B2709" s="62" t="s">
        <v>934</v>
      </c>
      <c r="C2709" s="68" t="s">
        <v>1372</v>
      </c>
      <c r="D2709" s="68" t="s">
        <v>1386</v>
      </c>
      <c r="E2709" s="8" t="s">
        <v>353</v>
      </c>
      <c r="F2709" s="45" t="s">
        <v>431</v>
      </c>
      <c r="G2709" s="23" t="s">
        <v>806</v>
      </c>
      <c r="H2709" s="14">
        <f t="shared" ref="H2709:L2709" si="1192">H2710</f>
        <v>3</v>
      </c>
      <c r="I2709" s="14">
        <f t="shared" si="1192"/>
        <v>5.0451199999999998</v>
      </c>
      <c r="J2709" s="14">
        <f t="shared" si="1192"/>
        <v>5.0451199999999998</v>
      </c>
      <c r="K2709" s="78">
        <f t="shared" si="1184"/>
        <v>100</v>
      </c>
      <c r="L2709" s="14">
        <f t="shared" si="1192"/>
        <v>0</v>
      </c>
      <c r="M2709" s="50"/>
      <c r="N2709" s="50"/>
    </row>
    <row r="2710" spans="1:14" ht="31.2" x14ac:dyDescent="0.3">
      <c r="A2710" s="8" t="s">
        <v>1431</v>
      </c>
      <c r="B2710" s="62" t="s">
        <v>934</v>
      </c>
      <c r="C2710" s="68" t="s">
        <v>1372</v>
      </c>
      <c r="D2710" s="68" t="s">
        <v>1386</v>
      </c>
      <c r="E2710" s="8" t="s">
        <v>353</v>
      </c>
      <c r="F2710" s="45" t="s">
        <v>233</v>
      </c>
      <c r="G2710" s="23" t="s">
        <v>808</v>
      </c>
      <c r="H2710" s="14">
        <v>3</v>
      </c>
      <c r="I2710" s="14">
        <v>5.0451199999999998</v>
      </c>
      <c r="J2710" s="14">
        <v>5.0451199999999998</v>
      </c>
      <c r="K2710" s="78">
        <f t="shared" si="1184"/>
        <v>100</v>
      </c>
      <c r="L2710" s="14"/>
      <c r="M2710" s="50"/>
      <c r="N2710" s="50"/>
    </row>
    <row r="2711" spans="1:14" ht="31.2" x14ac:dyDescent="0.3">
      <c r="A2711" s="8" t="s">
        <v>1431</v>
      </c>
      <c r="B2711" s="62" t="s">
        <v>934</v>
      </c>
      <c r="C2711" s="68" t="s">
        <v>1372</v>
      </c>
      <c r="D2711" s="68" t="s">
        <v>1386</v>
      </c>
      <c r="E2711" s="8" t="s">
        <v>353</v>
      </c>
      <c r="F2711" s="45" t="s">
        <v>380</v>
      </c>
      <c r="G2711" s="23" t="s">
        <v>809</v>
      </c>
      <c r="H2711" s="14">
        <f t="shared" ref="H2711:L2711" si="1193">H2712</f>
        <v>3393</v>
      </c>
      <c r="I2711" s="14">
        <f t="shared" si="1193"/>
        <v>2986.2968700000001</v>
      </c>
      <c r="J2711" s="14">
        <f t="shared" si="1193"/>
        <v>2986.2968700000001</v>
      </c>
      <c r="K2711" s="78">
        <f t="shared" si="1184"/>
        <v>100</v>
      </c>
      <c r="L2711" s="14">
        <f t="shared" si="1193"/>
        <v>0</v>
      </c>
      <c r="M2711" s="50"/>
      <c r="N2711" s="50"/>
    </row>
    <row r="2712" spans="1:14" ht="31.2" x14ac:dyDescent="0.3">
      <c r="A2712" s="8" t="s">
        <v>1431</v>
      </c>
      <c r="B2712" s="62" t="s">
        <v>934</v>
      </c>
      <c r="C2712" s="68" t="s">
        <v>1372</v>
      </c>
      <c r="D2712" s="68" t="s">
        <v>1386</v>
      </c>
      <c r="E2712" s="8" t="s">
        <v>353</v>
      </c>
      <c r="F2712" s="8" t="s">
        <v>247</v>
      </c>
      <c r="G2712" s="23" t="s">
        <v>810</v>
      </c>
      <c r="H2712" s="14">
        <v>3393</v>
      </c>
      <c r="I2712" s="14">
        <v>2986.2968700000001</v>
      </c>
      <c r="J2712" s="14">
        <v>2986.2968700000001</v>
      </c>
      <c r="K2712" s="78">
        <f t="shared" si="1184"/>
        <v>100</v>
      </c>
      <c r="L2712" s="14"/>
      <c r="M2712" s="50"/>
      <c r="N2712" s="50"/>
    </row>
    <row r="2713" spans="1:14" x14ac:dyDescent="0.3">
      <c r="A2713" s="8" t="s">
        <v>1431</v>
      </c>
      <c r="B2713" s="62" t="s">
        <v>934</v>
      </c>
      <c r="C2713" s="68" t="s">
        <v>1372</v>
      </c>
      <c r="D2713" s="68" t="s">
        <v>1386</v>
      </c>
      <c r="E2713" s="8" t="s">
        <v>353</v>
      </c>
      <c r="F2713" s="45" t="s">
        <v>464</v>
      </c>
      <c r="G2713" s="23" t="s">
        <v>822</v>
      </c>
      <c r="H2713" s="14">
        <f t="shared" ref="H2713:L2713" si="1194">H2714</f>
        <v>21.5</v>
      </c>
      <c r="I2713" s="14">
        <f t="shared" si="1194"/>
        <v>18.556789999999999</v>
      </c>
      <c r="J2713" s="14">
        <f t="shared" si="1194"/>
        <v>18.556789999999999</v>
      </c>
      <c r="K2713" s="78">
        <f t="shared" si="1184"/>
        <v>100</v>
      </c>
      <c r="L2713" s="14">
        <f t="shared" si="1194"/>
        <v>0</v>
      </c>
      <c r="M2713" s="50"/>
      <c r="N2713" s="50"/>
    </row>
    <row r="2714" spans="1:14" x14ac:dyDescent="0.3">
      <c r="A2714" s="8" t="s">
        <v>1431</v>
      </c>
      <c r="B2714" s="62" t="s">
        <v>934</v>
      </c>
      <c r="C2714" s="68" t="s">
        <v>1372</v>
      </c>
      <c r="D2714" s="68" t="s">
        <v>1386</v>
      </c>
      <c r="E2714" s="8" t="s">
        <v>353</v>
      </c>
      <c r="F2714" s="45" t="s">
        <v>729</v>
      </c>
      <c r="G2714" s="23" t="s">
        <v>824</v>
      </c>
      <c r="H2714" s="14">
        <v>21.5</v>
      </c>
      <c r="I2714" s="14">
        <v>18.556789999999999</v>
      </c>
      <c r="J2714" s="14">
        <v>18.556789999999999</v>
      </c>
      <c r="K2714" s="78">
        <f t="shared" si="1184"/>
        <v>100</v>
      </c>
      <c r="L2714" s="14"/>
      <c r="M2714" s="50"/>
      <c r="N2714" s="50"/>
    </row>
    <row r="2715" spans="1:14" s="9" customFormat="1" x14ac:dyDescent="0.3">
      <c r="A2715" s="11" t="s">
        <v>1431</v>
      </c>
      <c r="B2715" s="48" t="s">
        <v>912</v>
      </c>
      <c r="C2715" s="48" t="s">
        <v>1372</v>
      </c>
      <c r="D2715" s="48" t="s">
        <v>1477</v>
      </c>
      <c r="E2715" s="11"/>
      <c r="F2715" s="11"/>
      <c r="G2715" s="7" t="s">
        <v>1377</v>
      </c>
      <c r="H2715" s="16">
        <f>H2716+H2725+H2747</f>
        <v>12015.181999999999</v>
      </c>
      <c r="I2715" s="16">
        <f t="shared" ref="I2715:L2715" si="1195">I2716+I2725+I2747</f>
        <v>12050.181999999999</v>
      </c>
      <c r="J2715" s="16">
        <f t="shared" si="1195"/>
        <v>11543.74418</v>
      </c>
      <c r="K2715" s="82">
        <f t="shared" si="1184"/>
        <v>95.797259991591829</v>
      </c>
      <c r="L2715" s="16">
        <f t="shared" si="1195"/>
        <v>0</v>
      </c>
      <c r="M2715" s="65"/>
      <c r="N2715" s="65"/>
    </row>
    <row r="2716" spans="1:14" ht="46.8" x14ac:dyDescent="0.3">
      <c r="A2716" s="8" t="s">
        <v>1431</v>
      </c>
      <c r="B2716" s="62" t="s">
        <v>912</v>
      </c>
      <c r="C2716" s="68" t="s">
        <v>1372</v>
      </c>
      <c r="D2716" s="68" t="s">
        <v>1477</v>
      </c>
      <c r="E2716" s="8" t="s">
        <v>338</v>
      </c>
      <c r="F2716" s="8"/>
      <c r="G2716" s="13" t="s">
        <v>843</v>
      </c>
      <c r="H2716" s="14">
        <f>H2717+H2721</f>
        <v>120</v>
      </c>
      <c r="I2716" s="14">
        <f>I2717+I2721</f>
        <v>120</v>
      </c>
      <c r="J2716" s="14">
        <f t="shared" ref="J2716" si="1196">J2717+J2721</f>
        <v>120</v>
      </c>
      <c r="K2716" s="78">
        <f t="shared" si="1184"/>
        <v>100</v>
      </c>
      <c r="L2716" s="14">
        <f>L2717+L2721</f>
        <v>0</v>
      </c>
      <c r="M2716" s="50"/>
      <c r="N2716" s="50"/>
    </row>
    <row r="2717" spans="1:14" ht="46.8" x14ac:dyDescent="0.3">
      <c r="A2717" s="8" t="s">
        <v>1431</v>
      </c>
      <c r="B2717" s="62" t="s">
        <v>912</v>
      </c>
      <c r="C2717" s="68" t="s">
        <v>1372</v>
      </c>
      <c r="D2717" s="68" t="s">
        <v>1477</v>
      </c>
      <c r="E2717" s="8" t="s">
        <v>339</v>
      </c>
      <c r="F2717" s="8"/>
      <c r="G2717" s="13" t="s">
        <v>844</v>
      </c>
      <c r="H2717" s="14">
        <f t="shared" ref="H2717:L2719" si="1197">H2718</f>
        <v>95</v>
      </c>
      <c r="I2717" s="14">
        <f t="shared" si="1197"/>
        <v>95</v>
      </c>
      <c r="J2717" s="14">
        <f t="shared" si="1197"/>
        <v>95</v>
      </c>
      <c r="K2717" s="78">
        <f t="shared" si="1184"/>
        <v>100</v>
      </c>
      <c r="L2717" s="14">
        <f t="shared" si="1197"/>
        <v>0</v>
      </c>
      <c r="M2717" s="50"/>
      <c r="N2717" s="50"/>
    </row>
    <row r="2718" spans="1:14" ht="62.4" x14ac:dyDescent="0.3">
      <c r="A2718" s="8" t="s">
        <v>1431</v>
      </c>
      <c r="B2718" s="62" t="s">
        <v>912</v>
      </c>
      <c r="C2718" s="68" t="s">
        <v>1372</v>
      </c>
      <c r="D2718" s="68" t="s">
        <v>1477</v>
      </c>
      <c r="E2718" s="8" t="s">
        <v>340</v>
      </c>
      <c r="F2718" s="8"/>
      <c r="G2718" s="13" t="s">
        <v>845</v>
      </c>
      <c r="H2718" s="14">
        <f t="shared" si="1197"/>
        <v>95</v>
      </c>
      <c r="I2718" s="14">
        <f t="shared" si="1197"/>
        <v>95</v>
      </c>
      <c r="J2718" s="14">
        <f t="shared" si="1197"/>
        <v>95</v>
      </c>
      <c r="K2718" s="78">
        <f t="shared" si="1184"/>
        <v>100</v>
      </c>
      <c r="L2718" s="14">
        <f t="shared" si="1197"/>
        <v>0</v>
      </c>
      <c r="M2718" s="50"/>
      <c r="N2718" s="50"/>
    </row>
    <row r="2719" spans="1:14" ht="31.2" x14ac:dyDescent="0.3">
      <c r="A2719" s="8" t="s">
        <v>1431</v>
      </c>
      <c r="B2719" s="62" t="s">
        <v>912</v>
      </c>
      <c r="C2719" s="68" t="s">
        <v>1372</v>
      </c>
      <c r="D2719" s="68" t="s">
        <v>1477</v>
      </c>
      <c r="E2719" s="8" t="s">
        <v>340</v>
      </c>
      <c r="F2719" s="45" t="s">
        <v>402</v>
      </c>
      <c r="G2719" s="23" t="s">
        <v>819</v>
      </c>
      <c r="H2719" s="14">
        <f t="shared" si="1197"/>
        <v>95</v>
      </c>
      <c r="I2719" s="14">
        <f t="shared" si="1197"/>
        <v>95</v>
      </c>
      <c r="J2719" s="14">
        <f t="shared" si="1197"/>
        <v>95</v>
      </c>
      <c r="K2719" s="78">
        <f t="shared" si="1184"/>
        <v>100</v>
      </c>
      <c r="L2719" s="14">
        <f t="shared" si="1197"/>
        <v>0</v>
      </c>
      <c r="M2719" s="50"/>
      <c r="N2719" s="50"/>
    </row>
    <row r="2720" spans="1:14" ht="46.8" x14ac:dyDescent="0.3">
      <c r="A2720" s="8" t="s">
        <v>1431</v>
      </c>
      <c r="B2720" s="62" t="s">
        <v>912</v>
      </c>
      <c r="C2720" s="68" t="s">
        <v>1372</v>
      </c>
      <c r="D2720" s="68" t="s">
        <v>1477</v>
      </c>
      <c r="E2720" s="8" t="s">
        <v>340</v>
      </c>
      <c r="F2720" s="45" t="s">
        <v>280</v>
      </c>
      <c r="G2720" s="23" t="s">
        <v>821</v>
      </c>
      <c r="H2720" s="14">
        <v>95</v>
      </c>
      <c r="I2720" s="14">
        <v>95</v>
      </c>
      <c r="J2720" s="14">
        <v>95</v>
      </c>
      <c r="K2720" s="78">
        <f t="shared" si="1184"/>
        <v>100</v>
      </c>
      <c r="L2720" s="14"/>
      <c r="M2720" s="50"/>
      <c r="N2720" s="50"/>
    </row>
    <row r="2721" spans="1:14" ht="46.8" x14ac:dyDescent="0.3">
      <c r="A2721" s="8" t="s">
        <v>1431</v>
      </c>
      <c r="B2721" s="62" t="s">
        <v>912</v>
      </c>
      <c r="C2721" s="68" t="s">
        <v>1372</v>
      </c>
      <c r="D2721" s="68" t="s">
        <v>1477</v>
      </c>
      <c r="E2721" s="8" t="s">
        <v>341</v>
      </c>
      <c r="F2721" s="8"/>
      <c r="G2721" s="13" t="s">
        <v>846</v>
      </c>
      <c r="H2721" s="14">
        <f t="shared" ref="H2721:L2723" si="1198">H2722</f>
        <v>25</v>
      </c>
      <c r="I2721" s="14">
        <f t="shared" si="1198"/>
        <v>25</v>
      </c>
      <c r="J2721" s="14">
        <f t="shared" si="1198"/>
        <v>25</v>
      </c>
      <c r="K2721" s="78">
        <f t="shared" si="1184"/>
        <v>100</v>
      </c>
      <c r="L2721" s="14">
        <f t="shared" si="1198"/>
        <v>0</v>
      </c>
      <c r="M2721" s="50"/>
      <c r="N2721" s="50"/>
    </row>
    <row r="2722" spans="1:14" ht="62.4" x14ac:dyDescent="0.3">
      <c r="A2722" s="8" t="s">
        <v>1431</v>
      </c>
      <c r="B2722" s="62" t="s">
        <v>912</v>
      </c>
      <c r="C2722" s="68" t="s">
        <v>1372</v>
      </c>
      <c r="D2722" s="68" t="s">
        <v>1477</v>
      </c>
      <c r="E2722" s="8" t="s">
        <v>342</v>
      </c>
      <c r="F2722" s="8"/>
      <c r="G2722" s="13" t="s">
        <v>847</v>
      </c>
      <c r="H2722" s="14">
        <f t="shared" si="1198"/>
        <v>25</v>
      </c>
      <c r="I2722" s="14">
        <f t="shared" si="1198"/>
        <v>25</v>
      </c>
      <c r="J2722" s="14">
        <f t="shared" si="1198"/>
        <v>25</v>
      </c>
      <c r="K2722" s="78">
        <f t="shared" si="1184"/>
        <v>100</v>
      </c>
      <c r="L2722" s="14">
        <f t="shared" si="1198"/>
        <v>0</v>
      </c>
      <c r="M2722" s="50"/>
      <c r="N2722" s="50"/>
    </row>
    <row r="2723" spans="1:14" ht="31.2" x14ac:dyDescent="0.3">
      <c r="A2723" s="8" t="s">
        <v>1431</v>
      </c>
      <c r="B2723" s="62" t="s">
        <v>912</v>
      </c>
      <c r="C2723" s="68" t="s">
        <v>1372</v>
      </c>
      <c r="D2723" s="68" t="s">
        <v>1477</v>
      </c>
      <c r="E2723" s="8" t="s">
        <v>342</v>
      </c>
      <c r="F2723" s="45" t="s">
        <v>402</v>
      </c>
      <c r="G2723" s="23" t="s">
        <v>819</v>
      </c>
      <c r="H2723" s="14">
        <f t="shared" si="1198"/>
        <v>25</v>
      </c>
      <c r="I2723" s="14">
        <f t="shared" si="1198"/>
        <v>25</v>
      </c>
      <c r="J2723" s="14">
        <f t="shared" si="1198"/>
        <v>25</v>
      </c>
      <c r="K2723" s="78">
        <f t="shared" si="1184"/>
        <v>100</v>
      </c>
      <c r="L2723" s="14">
        <f t="shared" si="1198"/>
        <v>0</v>
      </c>
      <c r="M2723" s="50"/>
      <c r="N2723" s="50"/>
    </row>
    <row r="2724" spans="1:14" ht="46.8" x14ac:dyDescent="0.3">
      <c r="A2724" s="8" t="s">
        <v>1431</v>
      </c>
      <c r="B2724" s="62" t="s">
        <v>912</v>
      </c>
      <c r="C2724" s="68" t="s">
        <v>1372</v>
      </c>
      <c r="D2724" s="68" t="s">
        <v>1477</v>
      </c>
      <c r="E2724" s="8" t="s">
        <v>342</v>
      </c>
      <c r="F2724" s="45" t="s">
        <v>280</v>
      </c>
      <c r="G2724" s="23" t="s">
        <v>821</v>
      </c>
      <c r="H2724" s="14">
        <v>25</v>
      </c>
      <c r="I2724" s="14">
        <v>25</v>
      </c>
      <c r="J2724" s="14">
        <v>25</v>
      </c>
      <c r="K2724" s="78">
        <f t="shared" si="1184"/>
        <v>100</v>
      </c>
      <c r="L2724" s="14"/>
      <c r="M2724" s="50"/>
      <c r="N2724" s="50"/>
    </row>
    <row r="2725" spans="1:14" x14ac:dyDescent="0.3">
      <c r="A2725" s="8" t="s">
        <v>1431</v>
      </c>
      <c r="B2725" s="62" t="s">
        <v>912</v>
      </c>
      <c r="C2725" s="68" t="s">
        <v>1372</v>
      </c>
      <c r="D2725" s="68" t="s">
        <v>1477</v>
      </c>
      <c r="E2725" s="8" t="s">
        <v>354</v>
      </c>
      <c r="F2725" s="8"/>
      <c r="G2725" s="13" t="s">
        <v>869</v>
      </c>
      <c r="H2725" s="14">
        <f>H2726+H2737</f>
        <v>11895.181999999999</v>
      </c>
      <c r="I2725" s="14">
        <f>I2726+I2737</f>
        <v>11895.181999999999</v>
      </c>
      <c r="J2725" s="14">
        <f t="shared" ref="J2725" si="1199">J2726+J2737</f>
        <v>11388.74418</v>
      </c>
      <c r="K2725" s="78">
        <f t="shared" si="1184"/>
        <v>95.742496247640446</v>
      </c>
      <c r="L2725" s="14">
        <f>L2726+L2737</f>
        <v>0</v>
      </c>
      <c r="M2725" s="50"/>
      <c r="N2725" s="50"/>
    </row>
    <row r="2726" spans="1:14" ht="46.8" x14ac:dyDescent="0.3">
      <c r="A2726" s="8" t="s">
        <v>1431</v>
      </c>
      <c r="B2726" s="62" t="s">
        <v>912</v>
      </c>
      <c r="C2726" s="68" t="s">
        <v>1372</v>
      </c>
      <c r="D2726" s="68" t="s">
        <v>1477</v>
      </c>
      <c r="E2726" s="8" t="s">
        <v>648</v>
      </c>
      <c r="F2726" s="8"/>
      <c r="G2726" s="13" t="s">
        <v>870</v>
      </c>
      <c r="H2726" s="14">
        <f t="shared" ref="H2726:L2726" si="1200">H2727</f>
        <v>4644.5999999999995</v>
      </c>
      <c r="I2726" s="14">
        <f t="shared" si="1200"/>
        <v>4644.5999999999995</v>
      </c>
      <c r="J2726" s="14">
        <f t="shared" si="1200"/>
        <v>4572.2557500000003</v>
      </c>
      <c r="K2726" s="78">
        <f t="shared" si="1184"/>
        <v>98.442400852603043</v>
      </c>
      <c r="L2726" s="14">
        <f t="shared" si="1200"/>
        <v>0</v>
      </c>
      <c r="M2726" s="50"/>
      <c r="N2726" s="50"/>
    </row>
    <row r="2727" spans="1:14" ht="46.8" x14ac:dyDescent="0.3">
      <c r="A2727" s="8" t="s">
        <v>1431</v>
      </c>
      <c r="B2727" s="62" t="s">
        <v>912</v>
      </c>
      <c r="C2727" s="68" t="s">
        <v>1372</v>
      </c>
      <c r="D2727" s="68" t="s">
        <v>1477</v>
      </c>
      <c r="E2727" s="8" t="s">
        <v>1305</v>
      </c>
      <c r="F2727" s="8"/>
      <c r="G2727" s="18" t="s">
        <v>115</v>
      </c>
      <c r="H2727" s="14">
        <f>H2728+H2731+H2734</f>
        <v>4644.5999999999995</v>
      </c>
      <c r="I2727" s="14">
        <f>I2728+I2731+I2734</f>
        <v>4644.5999999999995</v>
      </c>
      <c r="J2727" s="14">
        <f t="shared" ref="J2727" si="1201">J2728+J2731+J2734</f>
        <v>4572.2557500000003</v>
      </c>
      <c r="K2727" s="78">
        <f t="shared" si="1184"/>
        <v>98.442400852603043</v>
      </c>
      <c r="L2727" s="14">
        <f>L2728+L2731+L2734</f>
        <v>0</v>
      </c>
      <c r="M2727" s="50"/>
      <c r="N2727" s="50"/>
    </row>
    <row r="2728" spans="1:14" ht="31.2" x14ac:dyDescent="0.3">
      <c r="A2728" s="8" t="s">
        <v>1431</v>
      </c>
      <c r="B2728" s="62" t="s">
        <v>912</v>
      </c>
      <c r="C2728" s="68" t="s">
        <v>1372</v>
      </c>
      <c r="D2728" s="68" t="s">
        <v>1477</v>
      </c>
      <c r="E2728" s="8" t="s">
        <v>1306</v>
      </c>
      <c r="F2728" s="8"/>
      <c r="G2728" s="13" t="s">
        <v>872</v>
      </c>
      <c r="H2728" s="14">
        <f t="shared" ref="H2728:L2729" si="1202">H2729</f>
        <v>3914.2</v>
      </c>
      <c r="I2728" s="14">
        <f t="shared" si="1202"/>
        <v>3914.2</v>
      </c>
      <c r="J2728" s="14">
        <f t="shared" si="1202"/>
        <v>3841.8557500000002</v>
      </c>
      <c r="K2728" s="78">
        <f t="shared" si="1184"/>
        <v>98.151748760921791</v>
      </c>
      <c r="L2728" s="14">
        <f t="shared" si="1202"/>
        <v>0</v>
      </c>
      <c r="M2728" s="50"/>
      <c r="N2728" s="50"/>
    </row>
    <row r="2729" spans="1:14" ht="31.2" x14ac:dyDescent="0.3">
      <c r="A2729" s="8" t="s">
        <v>1431</v>
      </c>
      <c r="B2729" s="62" t="s">
        <v>912</v>
      </c>
      <c r="C2729" s="68" t="s">
        <v>1372</v>
      </c>
      <c r="D2729" s="68" t="s">
        <v>1477</v>
      </c>
      <c r="E2729" s="8" t="s">
        <v>1306</v>
      </c>
      <c r="F2729" s="45" t="s">
        <v>402</v>
      </c>
      <c r="G2729" s="23" t="s">
        <v>819</v>
      </c>
      <c r="H2729" s="14">
        <f t="shared" si="1202"/>
        <v>3914.2</v>
      </c>
      <c r="I2729" s="14">
        <f t="shared" si="1202"/>
        <v>3914.2</v>
      </c>
      <c r="J2729" s="14">
        <f t="shared" si="1202"/>
        <v>3841.8557500000002</v>
      </c>
      <c r="K2729" s="78">
        <f t="shared" si="1184"/>
        <v>98.151748760921791</v>
      </c>
      <c r="L2729" s="14">
        <f t="shared" si="1202"/>
        <v>0</v>
      </c>
      <c r="M2729" s="50"/>
      <c r="N2729" s="50"/>
    </row>
    <row r="2730" spans="1:14" ht="46.8" x14ac:dyDescent="0.3">
      <c r="A2730" s="8" t="s">
        <v>1431</v>
      </c>
      <c r="B2730" s="62" t="s">
        <v>912</v>
      </c>
      <c r="C2730" s="68" t="s">
        <v>1372</v>
      </c>
      <c r="D2730" s="68" t="s">
        <v>1477</v>
      </c>
      <c r="E2730" s="8" t="s">
        <v>1306</v>
      </c>
      <c r="F2730" s="45" t="s">
        <v>280</v>
      </c>
      <c r="G2730" s="23" t="s">
        <v>821</v>
      </c>
      <c r="H2730" s="14">
        <v>3914.2</v>
      </c>
      <c r="I2730" s="14">
        <v>3914.2</v>
      </c>
      <c r="J2730" s="14">
        <v>3841.8557500000002</v>
      </c>
      <c r="K2730" s="78">
        <f t="shared" si="1184"/>
        <v>98.151748760921791</v>
      </c>
      <c r="L2730" s="14"/>
      <c r="M2730" s="50"/>
      <c r="N2730" s="50"/>
    </row>
    <row r="2731" spans="1:14" ht="31.2" x14ac:dyDescent="0.3">
      <c r="A2731" s="8" t="s">
        <v>1431</v>
      </c>
      <c r="B2731" s="62" t="s">
        <v>912</v>
      </c>
      <c r="C2731" s="68" t="s">
        <v>1372</v>
      </c>
      <c r="D2731" s="68" t="s">
        <v>1477</v>
      </c>
      <c r="E2731" s="8" t="s">
        <v>1307</v>
      </c>
      <c r="F2731" s="8"/>
      <c r="G2731" s="18" t="s">
        <v>758</v>
      </c>
      <c r="H2731" s="14">
        <f t="shared" ref="H2731:L2732" si="1203">H2732</f>
        <v>380.4</v>
      </c>
      <c r="I2731" s="14">
        <f t="shared" si="1203"/>
        <v>380.4</v>
      </c>
      <c r="J2731" s="14">
        <f t="shared" si="1203"/>
        <v>380.4</v>
      </c>
      <c r="K2731" s="78">
        <f t="shared" si="1184"/>
        <v>100</v>
      </c>
      <c r="L2731" s="14">
        <f t="shared" si="1203"/>
        <v>0</v>
      </c>
      <c r="M2731" s="50"/>
      <c r="N2731" s="50"/>
    </row>
    <row r="2732" spans="1:14" ht="31.2" x14ac:dyDescent="0.3">
      <c r="A2732" s="8" t="s">
        <v>1431</v>
      </c>
      <c r="B2732" s="62" t="s">
        <v>912</v>
      </c>
      <c r="C2732" s="68" t="s">
        <v>1372</v>
      </c>
      <c r="D2732" s="68" t="s">
        <v>1477</v>
      </c>
      <c r="E2732" s="8" t="s">
        <v>1307</v>
      </c>
      <c r="F2732" s="45" t="s">
        <v>402</v>
      </c>
      <c r="G2732" s="23" t="s">
        <v>819</v>
      </c>
      <c r="H2732" s="14">
        <f t="shared" si="1203"/>
        <v>380.4</v>
      </c>
      <c r="I2732" s="14">
        <f t="shared" si="1203"/>
        <v>380.4</v>
      </c>
      <c r="J2732" s="14">
        <f t="shared" si="1203"/>
        <v>380.4</v>
      </c>
      <c r="K2732" s="78">
        <f t="shared" si="1184"/>
        <v>100</v>
      </c>
      <c r="L2732" s="14">
        <f t="shared" si="1203"/>
        <v>0</v>
      </c>
      <c r="M2732" s="50"/>
      <c r="N2732" s="50"/>
    </row>
    <row r="2733" spans="1:14" ht="46.8" x14ac:dyDescent="0.3">
      <c r="A2733" s="8" t="s">
        <v>1431</v>
      </c>
      <c r="B2733" s="62" t="s">
        <v>912</v>
      </c>
      <c r="C2733" s="68" t="s">
        <v>1372</v>
      </c>
      <c r="D2733" s="68" t="s">
        <v>1477</v>
      </c>
      <c r="E2733" s="8" t="s">
        <v>1307</v>
      </c>
      <c r="F2733" s="45" t="s">
        <v>280</v>
      </c>
      <c r="G2733" s="23" t="s">
        <v>821</v>
      </c>
      <c r="H2733" s="14">
        <v>380.4</v>
      </c>
      <c r="I2733" s="14">
        <v>380.4</v>
      </c>
      <c r="J2733" s="14">
        <v>380.4</v>
      </c>
      <c r="K2733" s="78">
        <f t="shared" si="1184"/>
        <v>100</v>
      </c>
      <c r="L2733" s="14"/>
      <c r="M2733" s="50"/>
      <c r="N2733" s="50"/>
    </row>
    <row r="2734" spans="1:14" ht="62.4" x14ac:dyDescent="0.3">
      <c r="A2734" s="8" t="s">
        <v>1431</v>
      </c>
      <c r="B2734" s="62" t="s">
        <v>912</v>
      </c>
      <c r="C2734" s="68" t="s">
        <v>1372</v>
      </c>
      <c r="D2734" s="68" t="s">
        <v>1477</v>
      </c>
      <c r="E2734" s="8" t="s">
        <v>1308</v>
      </c>
      <c r="F2734" s="8"/>
      <c r="G2734" s="13" t="s">
        <v>301</v>
      </c>
      <c r="H2734" s="14">
        <f t="shared" ref="H2734:L2735" si="1204">H2735</f>
        <v>350</v>
      </c>
      <c r="I2734" s="14">
        <f t="shared" si="1204"/>
        <v>350</v>
      </c>
      <c r="J2734" s="14">
        <f t="shared" si="1204"/>
        <v>350</v>
      </c>
      <c r="K2734" s="78">
        <f t="shared" si="1184"/>
        <v>100</v>
      </c>
      <c r="L2734" s="14">
        <f t="shared" si="1204"/>
        <v>0</v>
      </c>
      <c r="M2734" s="50"/>
      <c r="N2734" s="50"/>
    </row>
    <row r="2735" spans="1:14" ht="31.2" x14ac:dyDescent="0.3">
      <c r="A2735" s="8" t="s">
        <v>1431</v>
      </c>
      <c r="B2735" s="62" t="s">
        <v>912</v>
      </c>
      <c r="C2735" s="68" t="s">
        <v>1372</v>
      </c>
      <c r="D2735" s="68" t="s">
        <v>1477</v>
      </c>
      <c r="E2735" s="8" t="s">
        <v>1308</v>
      </c>
      <c r="F2735" s="45" t="s">
        <v>402</v>
      </c>
      <c r="G2735" s="23" t="s">
        <v>819</v>
      </c>
      <c r="H2735" s="14">
        <f t="shared" si="1204"/>
        <v>350</v>
      </c>
      <c r="I2735" s="14">
        <f t="shared" si="1204"/>
        <v>350</v>
      </c>
      <c r="J2735" s="14">
        <f t="shared" si="1204"/>
        <v>350</v>
      </c>
      <c r="K2735" s="78">
        <f t="shared" si="1184"/>
        <v>100</v>
      </c>
      <c r="L2735" s="14">
        <f t="shared" si="1204"/>
        <v>0</v>
      </c>
      <c r="M2735" s="50"/>
      <c r="N2735" s="50"/>
    </row>
    <row r="2736" spans="1:14" ht="46.8" x14ac:dyDescent="0.3">
      <c r="A2736" s="8" t="s">
        <v>1431</v>
      </c>
      <c r="B2736" s="62" t="s">
        <v>912</v>
      </c>
      <c r="C2736" s="68" t="s">
        <v>1372</v>
      </c>
      <c r="D2736" s="68" t="s">
        <v>1477</v>
      </c>
      <c r="E2736" s="8" t="s">
        <v>1308</v>
      </c>
      <c r="F2736" s="45" t="s">
        <v>280</v>
      </c>
      <c r="G2736" s="23" t="s">
        <v>821</v>
      </c>
      <c r="H2736" s="14">
        <v>350</v>
      </c>
      <c r="I2736" s="14">
        <v>350</v>
      </c>
      <c r="J2736" s="14">
        <v>350</v>
      </c>
      <c r="K2736" s="78">
        <f t="shared" si="1184"/>
        <v>100</v>
      </c>
      <c r="L2736" s="14"/>
      <c r="M2736" s="50"/>
      <c r="N2736" s="50"/>
    </row>
    <row r="2737" spans="1:14" ht="31.2" x14ac:dyDescent="0.3">
      <c r="A2737" s="8" t="s">
        <v>1431</v>
      </c>
      <c r="B2737" s="62" t="s">
        <v>912</v>
      </c>
      <c r="C2737" s="68" t="s">
        <v>1372</v>
      </c>
      <c r="D2737" s="68" t="s">
        <v>1477</v>
      </c>
      <c r="E2737" s="8" t="s">
        <v>1310</v>
      </c>
      <c r="F2737" s="8"/>
      <c r="G2737" s="18" t="s">
        <v>116</v>
      </c>
      <c r="H2737" s="14">
        <f t="shared" ref="H2737:L2737" si="1205">H2738</f>
        <v>7250.5819999999994</v>
      </c>
      <c r="I2737" s="14">
        <f t="shared" si="1205"/>
        <v>7250.5819999999994</v>
      </c>
      <c r="J2737" s="14">
        <f t="shared" si="1205"/>
        <v>6816.4884299999994</v>
      </c>
      <c r="K2737" s="78">
        <f t="shared" si="1184"/>
        <v>94.012983095701827</v>
      </c>
      <c r="L2737" s="14">
        <f t="shared" si="1205"/>
        <v>0</v>
      </c>
      <c r="M2737" s="50"/>
      <c r="N2737" s="50"/>
    </row>
    <row r="2738" spans="1:14" ht="78" x14ac:dyDescent="0.3">
      <c r="A2738" s="8" t="s">
        <v>1431</v>
      </c>
      <c r="B2738" s="62" t="s">
        <v>912</v>
      </c>
      <c r="C2738" s="68" t="s">
        <v>1372</v>
      </c>
      <c r="D2738" s="68" t="s">
        <v>1477</v>
      </c>
      <c r="E2738" s="8" t="s">
        <v>1311</v>
      </c>
      <c r="F2738" s="8"/>
      <c r="G2738" s="13" t="s">
        <v>873</v>
      </c>
      <c r="H2738" s="14">
        <f>H2739+H2744</f>
        <v>7250.5819999999994</v>
      </c>
      <c r="I2738" s="14">
        <f>I2739+I2744</f>
        <v>7250.5819999999994</v>
      </c>
      <c r="J2738" s="14">
        <f t="shared" ref="J2738" si="1206">J2739+J2744</f>
        <v>6816.4884299999994</v>
      </c>
      <c r="K2738" s="78">
        <f t="shared" si="1184"/>
        <v>94.012983095701827</v>
      </c>
      <c r="L2738" s="14">
        <f>L2739+L2744</f>
        <v>0</v>
      </c>
      <c r="M2738" s="50"/>
      <c r="N2738" s="50"/>
    </row>
    <row r="2739" spans="1:14" ht="31.2" x14ac:dyDescent="0.3">
      <c r="A2739" s="8" t="s">
        <v>1431</v>
      </c>
      <c r="B2739" s="62" t="s">
        <v>912</v>
      </c>
      <c r="C2739" s="68" t="s">
        <v>1372</v>
      </c>
      <c r="D2739" s="68" t="s">
        <v>1477</v>
      </c>
      <c r="E2739" s="8" t="s">
        <v>1312</v>
      </c>
      <c r="F2739" s="8"/>
      <c r="G2739" s="13" t="s">
        <v>874</v>
      </c>
      <c r="H2739" s="14">
        <f>H2740+H2742</f>
        <v>7029.0819999999994</v>
      </c>
      <c r="I2739" s="14">
        <f>I2740+I2742</f>
        <v>7029.0819999999994</v>
      </c>
      <c r="J2739" s="14">
        <f t="shared" ref="J2739" si="1207">J2740+J2742</f>
        <v>6594.9982299999992</v>
      </c>
      <c r="K2739" s="78">
        <f t="shared" si="1184"/>
        <v>93.824460007722195</v>
      </c>
      <c r="L2739" s="14">
        <f>L2740+L2742</f>
        <v>0</v>
      </c>
      <c r="M2739" s="50"/>
      <c r="N2739" s="50"/>
    </row>
    <row r="2740" spans="1:14" ht="31.2" x14ac:dyDescent="0.3">
      <c r="A2740" s="8" t="s">
        <v>1431</v>
      </c>
      <c r="B2740" s="62" t="s">
        <v>912</v>
      </c>
      <c r="C2740" s="68" t="s">
        <v>1372</v>
      </c>
      <c r="D2740" s="68" t="s">
        <v>1477</v>
      </c>
      <c r="E2740" s="8" t="s">
        <v>1312</v>
      </c>
      <c r="F2740" s="45" t="s">
        <v>380</v>
      </c>
      <c r="G2740" s="23" t="s">
        <v>809</v>
      </c>
      <c r="H2740" s="14">
        <f t="shared" ref="H2740:L2740" si="1208">H2741</f>
        <v>6929.0819999999994</v>
      </c>
      <c r="I2740" s="14">
        <f t="shared" si="1208"/>
        <v>6908.9035199999998</v>
      </c>
      <c r="J2740" s="14">
        <f t="shared" si="1208"/>
        <v>6474.8197499999997</v>
      </c>
      <c r="K2740" s="78">
        <f t="shared" si="1184"/>
        <v>93.717038184953552</v>
      </c>
      <c r="L2740" s="14">
        <f t="shared" si="1208"/>
        <v>0</v>
      </c>
      <c r="M2740" s="50"/>
      <c r="N2740" s="50"/>
    </row>
    <row r="2741" spans="1:14" ht="31.2" x14ac:dyDescent="0.3">
      <c r="A2741" s="8" t="s">
        <v>1431</v>
      </c>
      <c r="B2741" s="62" t="s">
        <v>912</v>
      </c>
      <c r="C2741" s="68" t="s">
        <v>1372</v>
      </c>
      <c r="D2741" s="68" t="s">
        <v>1477</v>
      </c>
      <c r="E2741" s="8" t="s">
        <v>1312</v>
      </c>
      <c r="F2741" s="8" t="s">
        <v>247</v>
      </c>
      <c r="G2741" s="23" t="s">
        <v>810</v>
      </c>
      <c r="H2741" s="14">
        <f>7259.838-294.389-36.367</f>
        <v>6929.0819999999994</v>
      </c>
      <c r="I2741" s="14">
        <v>6908.9035199999998</v>
      </c>
      <c r="J2741" s="14">
        <v>6474.8197499999997</v>
      </c>
      <c r="K2741" s="78">
        <f t="shared" si="1184"/>
        <v>93.717038184953552</v>
      </c>
      <c r="L2741" s="14"/>
      <c r="M2741" s="50"/>
      <c r="N2741" s="50"/>
    </row>
    <row r="2742" spans="1:14" x14ac:dyDescent="0.3">
      <c r="A2742" s="8" t="s">
        <v>1431</v>
      </c>
      <c r="B2742" s="62" t="s">
        <v>912</v>
      </c>
      <c r="C2742" s="68" t="s">
        <v>1372</v>
      </c>
      <c r="D2742" s="68" t="s">
        <v>1477</v>
      </c>
      <c r="E2742" s="8" t="s">
        <v>1312</v>
      </c>
      <c r="F2742" s="45" t="s">
        <v>464</v>
      </c>
      <c r="G2742" s="23" t="s">
        <v>822</v>
      </c>
      <c r="H2742" s="14">
        <f t="shared" ref="H2742:L2742" si="1209">H2743</f>
        <v>100</v>
      </c>
      <c r="I2742" s="14">
        <f t="shared" si="1209"/>
        <v>120.17847999999999</v>
      </c>
      <c r="J2742" s="14">
        <f t="shared" si="1209"/>
        <v>120.17847999999999</v>
      </c>
      <c r="K2742" s="78">
        <f t="shared" si="1184"/>
        <v>100</v>
      </c>
      <c r="L2742" s="14">
        <f t="shared" si="1209"/>
        <v>0</v>
      </c>
      <c r="M2742" s="50"/>
      <c r="N2742" s="50"/>
    </row>
    <row r="2743" spans="1:14" x14ac:dyDescent="0.3">
      <c r="A2743" s="8" t="s">
        <v>1431</v>
      </c>
      <c r="B2743" s="62" t="s">
        <v>912</v>
      </c>
      <c r="C2743" s="68" t="s">
        <v>1372</v>
      </c>
      <c r="D2743" s="68" t="s">
        <v>1477</v>
      </c>
      <c r="E2743" s="8" t="s">
        <v>1312</v>
      </c>
      <c r="F2743" s="45" t="s">
        <v>729</v>
      </c>
      <c r="G2743" s="23" t="s">
        <v>824</v>
      </c>
      <c r="H2743" s="14">
        <v>100</v>
      </c>
      <c r="I2743" s="14">
        <v>120.17847999999999</v>
      </c>
      <c r="J2743" s="14">
        <v>120.17847999999999</v>
      </c>
      <c r="K2743" s="78">
        <f t="shared" si="1184"/>
        <v>100</v>
      </c>
      <c r="L2743" s="14"/>
      <c r="M2743" s="50"/>
      <c r="N2743" s="50"/>
    </row>
    <row r="2744" spans="1:14" ht="78" x14ac:dyDescent="0.3">
      <c r="A2744" s="8" t="s">
        <v>1431</v>
      </c>
      <c r="B2744" s="62" t="s">
        <v>912</v>
      </c>
      <c r="C2744" s="68" t="s">
        <v>1372</v>
      </c>
      <c r="D2744" s="68" t="s">
        <v>1477</v>
      </c>
      <c r="E2744" s="8" t="s">
        <v>1313</v>
      </c>
      <c r="F2744" s="8"/>
      <c r="G2744" s="13" t="s">
        <v>875</v>
      </c>
      <c r="H2744" s="14">
        <f t="shared" ref="H2744:L2745" si="1210">H2745</f>
        <v>221.5</v>
      </c>
      <c r="I2744" s="14">
        <f t="shared" si="1210"/>
        <v>221.5</v>
      </c>
      <c r="J2744" s="14">
        <f t="shared" si="1210"/>
        <v>221.49019999999999</v>
      </c>
      <c r="K2744" s="78">
        <f t="shared" si="1184"/>
        <v>99.995575620767482</v>
      </c>
      <c r="L2744" s="14">
        <f t="shared" si="1210"/>
        <v>0</v>
      </c>
      <c r="M2744" s="50"/>
      <c r="N2744" s="50"/>
    </row>
    <row r="2745" spans="1:14" ht="31.2" x14ac:dyDescent="0.3">
      <c r="A2745" s="8" t="s">
        <v>1431</v>
      </c>
      <c r="B2745" s="62" t="s">
        <v>912</v>
      </c>
      <c r="C2745" s="68" t="s">
        <v>1372</v>
      </c>
      <c r="D2745" s="68" t="s">
        <v>1477</v>
      </c>
      <c r="E2745" s="8" t="s">
        <v>1313</v>
      </c>
      <c r="F2745" s="45" t="s">
        <v>380</v>
      </c>
      <c r="G2745" s="23" t="s">
        <v>809</v>
      </c>
      <c r="H2745" s="14">
        <f t="shared" si="1210"/>
        <v>221.5</v>
      </c>
      <c r="I2745" s="14">
        <f t="shared" si="1210"/>
        <v>221.5</v>
      </c>
      <c r="J2745" s="14">
        <f t="shared" si="1210"/>
        <v>221.49019999999999</v>
      </c>
      <c r="K2745" s="78">
        <f t="shared" si="1184"/>
        <v>99.995575620767482</v>
      </c>
      <c r="L2745" s="14">
        <f t="shared" si="1210"/>
        <v>0</v>
      </c>
      <c r="M2745" s="50"/>
      <c r="N2745" s="50"/>
    </row>
    <row r="2746" spans="1:14" ht="31.2" x14ac:dyDescent="0.3">
      <c r="A2746" s="8" t="s">
        <v>1431</v>
      </c>
      <c r="B2746" s="62" t="s">
        <v>912</v>
      </c>
      <c r="C2746" s="68" t="s">
        <v>1372</v>
      </c>
      <c r="D2746" s="68" t="s">
        <v>1477</v>
      </c>
      <c r="E2746" s="8" t="s">
        <v>1313</v>
      </c>
      <c r="F2746" s="8" t="s">
        <v>247</v>
      </c>
      <c r="G2746" s="23" t="s">
        <v>810</v>
      </c>
      <c r="H2746" s="14">
        <v>221.5</v>
      </c>
      <c r="I2746" s="14">
        <v>221.5</v>
      </c>
      <c r="J2746" s="14">
        <v>221.49019999999999</v>
      </c>
      <c r="K2746" s="78">
        <f t="shared" si="1184"/>
        <v>99.995575620767482</v>
      </c>
      <c r="L2746" s="14"/>
      <c r="M2746" s="50"/>
      <c r="N2746" s="50"/>
    </row>
    <row r="2747" spans="1:14" ht="31.2" x14ac:dyDescent="0.3">
      <c r="A2747" s="8" t="s">
        <v>1431</v>
      </c>
      <c r="B2747" s="62" t="s">
        <v>912</v>
      </c>
      <c r="C2747" s="68" t="s">
        <v>1372</v>
      </c>
      <c r="D2747" s="68" t="s">
        <v>1477</v>
      </c>
      <c r="E2747" s="8" t="s">
        <v>429</v>
      </c>
      <c r="F2747" s="8"/>
      <c r="G2747" s="23" t="s">
        <v>1140</v>
      </c>
      <c r="H2747" s="14">
        <f>H2748</f>
        <v>0</v>
      </c>
      <c r="I2747" s="14">
        <f t="shared" ref="I2747:L2749" si="1211">I2748</f>
        <v>35</v>
      </c>
      <c r="J2747" s="14">
        <f t="shared" si="1211"/>
        <v>35</v>
      </c>
      <c r="K2747" s="78">
        <f t="shared" si="1184"/>
        <v>100</v>
      </c>
      <c r="L2747" s="14">
        <f t="shared" si="1211"/>
        <v>0</v>
      </c>
      <c r="M2747" s="50"/>
      <c r="N2747" s="50"/>
    </row>
    <row r="2748" spans="1:14" ht="46.8" x14ac:dyDescent="0.3">
      <c r="A2748" s="8" t="s">
        <v>1431</v>
      </c>
      <c r="B2748" s="62" t="s">
        <v>912</v>
      </c>
      <c r="C2748" s="68" t="s">
        <v>1372</v>
      </c>
      <c r="D2748" s="68" t="s">
        <v>1477</v>
      </c>
      <c r="E2748" s="8" t="s">
        <v>535</v>
      </c>
      <c r="F2748" s="8"/>
      <c r="G2748" s="31" t="s">
        <v>176</v>
      </c>
      <c r="H2748" s="14">
        <f>H2749</f>
        <v>0</v>
      </c>
      <c r="I2748" s="14">
        <f t="shared" si="1211"/>
        <v>35</v>
      </c>
      <c r="J2748" s="14">
        <f t="shared" si="1211"/>
        <v>35</v>
      </c>
      <c r="K2748" s="78">
        <f t="shared" si="1184"/>
        <v>100</v>
      </c>
      <c r="L2748" s="14">
        <f t="shared" si="1211"/>
        <v>0</v>
      </c>
      <c r="M2748" s="50"/>
      <c r="N2748" s="50"/>
    </row>
    <row r="2749" spans="1:14" ht="31.2" x14ac:dyDescent="0.3">
      <c r="A2749" s="8" t="s">
        <v>1431</v>
      </c>
      <c r="B2749" s="62" t="s">
        <v>912</v>
      </c>
      <c r="C2749" s="68" t="s">
        <v>1372</v>
      </c>
      <c r="D2749" s="68" t="s">
        <v>1477</v>
      </c>
      <c r="E2749" s="8" t="s">
        <v>535</v>
      </c>
      <c r="F2749" s="45" t="s">
        <v>380</v>
      </c>
      <c r="G2749" s="23" t="s">
        <v>809</v>
      </c>
      <c r="H2749" s="14">
        <f>H2750</f>
        <v>0</v>
      </c>
      <c r="I2749" s="14">
        <f t="shared" si="1211"/>
        <v>35</v>
      </c>
      <c r="J2749" s="14">
        <f t="shared" si="1211"/>
        <v>35</v>
      </c>
      <c r="K2749" s="78">
        <f t="shared" si="1184"/>
        <v>100</v>
      </c>
      <c r="L2749" s="14">
        <f t="shared" si="1211"/>
        <v>0</v>
      </c>
      <c r="M2749" s="50"/>
      <c r="N2749" s="50"/>
    </row>
    <row r="2750" spans="1:14" ht="31.2" x14ac:dyDescent="0.3">
      <c r="A2750" s="8" t="s">
        <v>1431</v>
      </c>
      <c r="B2750" s="62" t="s">
        <v>912</v>
      </c>
      <c r="C2750" s="68" t="s">
        <v>1372</v>
      </c>
      <c r="D2750" s="68" t="s">
        <v>1477</v>
      </c>
      <c r="E2750" s="8" t="s">
        <v>535</v>
      </c>
      <c r="F2750" s="8" t="s">
        <v>247</v>
      </c>
      <c r="G2750" s="23" t="s">
        <v>810</v>
      </c>
      <c r="H2750" s="20">
        <v>0</v>
      </c>
      <c r="I2750" s="14">
        <v>35</v>
      </c>
      <c r="J2750" s="19">
        <v>35</v>
      </c>
      <c r="K2750" s="75">
        <f t="shared" si="1184"/>
        <v>100</v>
      </c>
      <c r="L2750" s="14"/>
      <c r="M2750" s="50"/>
      <c r="N2750" s="50"/>
    </row>
    <row r="2751" spans="1:14" s="3" customFormat="1" ht="31.2" x14ac:dyDescent="0.3">
      <c r="A2751" s="10" t="s">
        <v>1431</v>
      </c>
      <c r="B2751" s="43" t="s">
        <v>1391</v>
      </c>
      <c r="C2751" s="43" t="s">
        <v>1391</v>
      </c>
      <c r="D2751" s="43" t="s">
        <v>915</v>
      </c>
      <c r="E2751" s="10"/>
      <c r="F2751" s="10"/>
      <c r="G2751" s="5" t="s">
        <v>1415</v>
      </c>
      <c r="H2751" s="15">
        <f>H2752</f>
        <v>876.78499999999997</v>
      </c>
      <c r="I2751" s="15">
        <f t="shared" ref="I2751:L2751" si="1212">I2752</f>
        <v>1156.4490000000001</v>
      </c>
      <c r="J2751" s="15">
        <f t="shared" si="1212"/>
        <v>737.24505999999997</v>
      </c>
      <c r="K2751" s="81">
        <f t="shared" si="1184"/>
        <v>63.750762895726474</v>
      </c>
      <c r="L2751" s="15">
        <f t="shared" si="1212"/>
        <v>0</v>
      </c>
      <c r="M2751" s="65"/>
      <c r="N2751" s="65"/>
    </row>
    <row r="2752" spans="1:14" s="9" customFormat="1" ht="31.2" x14ac:dyDescent="0.3">
      <c r="A2752" s="11" t="s">
        <v>1431</v>
      </c>
      <c r="B2752" s="48" t="s">
        <v>936</v>
      </c>
      <c r="C2752" s="48" t="s">
        <v>1391</v>
      </c>
      <c r="D2752" s="48" t="s">
        <v>1480</v>
      </c>
      <c r="E2752" s="11"/>
      <c r="F2752" s="11"/>
      <c r="G2752" s="7" t="s">
        <v>1421</v>
      </c>
      <c r="H2752" s="16">
        <f>H2753+H2759</f>
        <v>876.78499999999997</v>
      </c>
      <c r="I2752" s="16">
        <f>I2753+I2759+I2771</f>
        <v>1156.4490000000001</v>
      </c>
      <c r="J2752" s="16">
        <f t="shared" ref="J2752" si="1213">J2753+J2759+J2771</f>
        <v>737.24505999999997</v>
      </c>
      <c r="K2752" s="82">
        <f t="shared" si="1184"/>
        <v>63.750762895726474</v>
      </c>
      <c r="L2752" s="16">
        <f>L2753+L2759</f>
        <v>0</v>
      </c>
      <c r="M2752" s="65"/>
      <c r="N2752" s="65"/>
    </row>
    <row r="2753" spans="1:14" ht="31.2" x14ac:dyDescent="0.3">
      <c r="A2753" s="8" t="s">
        <v>1431</v>
      </c>
      <c r="B2753" s="62" t="s">
        <v>936</v>
      </c>
      <c r="C2753" s="68" t="s">
        <v>1391</v>
      </c>
      <c r="D2753" s="68" t="s">
        <v>1480</v>
      </c>
      <c r="E2753" s="8" t="s">
        <v>383</v>
      </c>
      <c r="F2753" s="8"/>
      <c r="G2753" s="13" t="s">
        <v>1055</v>
      </c>
      <c r="H2753" s="14">
        <f t="shared" ref="H2753:L2757" si="1214">H2754</f>
        <v>199</v>
      </c>
      <c r="I2753" s="14">
        <f t="shared" si="1214"/>
        <v>199</v>
      </c>
      <c r="J2753" s="14">
        <f t="shared" si="1214"/>
        <v>199</v>
      </c>
      <c r="K2753" s="78">
        <f t="shared" si="1184"/>
        <v>100</v>
      </c>
      <c r="L2753" s="14">
        <f t="shared" si="1214"/>
        <v>0</v>
      </c>
      <c r="M2753" s="50"/>
      <c r="N2753" s="50"/>
    </row>
    <row r="2754" spans="1:14" ht="46.8" x14ac:dyDescent="0.3">
      <c r="A2754" s="8" t="s">
        <v>1431</v>
      </c>
      <c r="B2754" s="62" t="s">
        <v>936</v>
      </c>
      <c r="C2754" s="68" t="s">
        <v>1391</v>
      </c>
      <c r="D2754" s="68" t="s">
        <v>1480</v>
      </c>
      <c r="E2754" s="8" t="s">
        <v>432</v>
      </c>
      <c r="F2754" s="8"/>
      <c r="G2754" s="13" t="s">
        <v>1056</v>
      </c>
      <c r="H2754" s="14">
        <f t="shared" si="1214"/>
        <v>199</v>
      </c>
      <c r="I2754" s="14">
        <f t="shared" si="1214"/>
        <v>199</v>
      </c>
      <c r="J2754" s="14">
        <f t="shared" si="1214"/>
        <v>199</v>
      </c>
      <c r="K2754" s="78">
        <f t="shared" si="1184"/>
        <v>100</v>
      </c>
      <c r="L2754" s="14">
        <f t="shared" si="1214"/>
        <v>0</v>
      </c>
      <c r="M2754" s="50"/>
      <c r="N2754" s="50"/>
    </row>
    <row r="2755" spans="1:14" ht="46.8" x14ac:dyDescent="0.3">
      <c r="A2755" s="8" t="s">
        <v>1431</v>
      </c>
      <c r="B2755" s="62" t="s">
        <v>936</v>
      </c>
      <c r="C2755" s="68" t="s">
        <v>1391</v>
      </c>
      <c r="D2755" s="68" t="s">
        <v>1480</v>
      </c>
      <c r="E2755" s="8" t="s">
        <v>433</v>
      </c>
      <c r="F2755" s="8"/>
      <c r="G2755" s="18" t="s">
        <v>132</v>
      </c>
      <c r="H2755" s="14">
        <f t="shared" si="1214"/>
        <v>199</v>
      </c>
      <c r="I2755" s="14">
        <f t="shared" si="1214"/>
        <v>199</v>
      </c>
      <c r="J2755" s="14">
        <f t="shared" si="1214"/>
        <v>199</v>
      </c>
      <c r="K2755" s="78">
        <f t="shared" si="1184"/>
        <v>100</v>
      </c>
      <c r="L2755" s="14">
        <f t="shared" si="1214"/>
        <v>0</v>
      </c>
      <c r="M2755" s="50"/>
      <c r="N2755" s="50"/>
    </row>
    <row r="2756" spans="1:14" ht="31.2" x14ac:dyDescent="0.3">
      <c r="A2756" s="8" t="s">
        <v>1431</v>
      </c>
      <c r="B2756" s="62" t="s">
        <v>936</v>
      </c>
      <c r="C2756" s="68" t="s">
        <v>1391</v>
      </c>
      <c r="D2756" s="68" t="s">
        <v>1480</v>
      </c>
      <c r="E2756" s="8" t="s">
        <v>434</v>
      </c>
      <c r="F2756" s="8"/>
      <c r="G2756" s="13" t="s">
        <v>1058</v>
      </c>
      <c r="H2756" s="14">
        <f t="shared" si="1214"/>
        <v>199</v>
      </c>
      <c r="I2756" s="14">
        <f t="shared" si="1214"/>
        <v>199</v>
      </c>
      <c r="J2756" s="14">
        <f t="shared" si="1214"/>
        <v>199</v>
      </c>
      <c r="K2756" s="78">
        <f t="shared" si="1184"/>
        <v>100</v>
      </c>
      <c r="L2756" s="14">
        <f t="shared" si="1214"/>
        <v>0</v>
      </c>
      <c r="M2756" s="50"/>
      <c r="N2756" s="50"/>
    </row>
    <row r="2757" spans="1:14" ht="31.2" x14ac:dyDescent="0.3">
      <c r="A2757" s="8" t="s">
        <v>1431</v>
      </c>
      <c r="B2757" s="62" t="s">
        <v>936</v>
      </c>
      <c r="C2757" s="68" t="s">
        <v>1391</v>
      </c>
      <c r="D2757" s="68" t="s">
        <v>1480</v>
      </c>
      <c r="E2757" s="8" t="s">
        <v>434</v>
      </c>
      <c r="F2757" s="45" t="s">
        <v>380</v>
      </c>
      <c r="G2757" s="23" t="s">
        <v>809</v>
      </c>
      <c r="H2757" s="14">
        <f t="shared" si="1214"/>
        <v>199</v>
      </c>
      <c r="I2757" s="14">
        <f t="shared" si="1214"/>
        <v>199</v>
      </c>
      <c r="J2757" s="14">
        <f t="shared" si="1214"/>
        <v>199</v>
      </c>
      <c r="K2757" s="78">
        <f t="shared" si="1184"/>
        <v>100</v>
      </c>
      <c r="L2757" s="14">
        <f t="shared" si="1214"/>
        <v>0</v>
      </c>
      <c r="M2757" s="50"/>
      <c r="N2757" s="50"/>
    </row>
    <row r="2758" spans="1:14" ht="31.2" x14ac:dyDescent="0.3">
      <c r="A2758" s="8" t="s">
        <v>1431</v>
      </c>
      <c r="B2758" s="62" t="s">
        <v>936</v>
      </c>
      <c r="C2758" s="68" t="s">
        <v>1391</v>
      </c>
      <c r="D2758" s="68" t="s">
        <v>1480</v>
      </c>
      <c r="E2758" s="8" t="s">
        <v>434</v>
      </c>
      <c r="F2758" s="8" t="s">
        <v>247</v>
      </c>
      <c r="G2758" s="23" t="s">
        <v>810</v>
      </c>
      <c r="H2758" s="14">
        <f>200-1</f>
        <v>199</v>
      </c>
      <c r="I2758" s="14">
        <v>199</v>
      </c>
      <c r="J2758" s="14">
        <v>199</v>
      </c>
      <c r="K2758" s="78">
        <f t="shared" si="1184"/>
        <v>100</v>
      </c>
      <c r="L2758" s="14"/>
      <c r="M2758" s="50"/>
      <c r="N2758" s="50"/>
    </row>
    <row r="2759" spans="1:14" ht="46.8" x14ac:dyDescent="0.3">
      <c r="A2759" s="8" t="s">
        <v>1431</v>
      </c>
      <c r="B2759" s="62" t="s">
        <v>936</v>
      </c>
      <c r="C2759" s="68" t="s">
        <v>1391</v>
      </c>
      <c r="D2759" s="68" t="s">
        <v>1480</v>
      </c>
      <c r="E2759" s="8" t="s">
        <v>381</v>
      </c>
      <c r="F2759" s="8"/>
      <c r="G2759" s="18" t="s">
        <v>1061</v>
      </c>
      <c r="H2759" s="14">
        <f t="shared" ref="H2759:L2763" si="1215">H2760</f>
        <v>677.78499999999997</v>
      </c>
      <c r="I2759" s="14">
        <f t="shared" si="1215"/>
        <v>677.78500000000008</v>
      </c>
      <c r="J2759" s="14">
        <f t="shared" si="1215"/>
        <v>258.58105999999998</v>
      </c>
      <c r="K2759" s="78">
        <f t="shared" si="1184"/>
        <v>38.150897408470229</v>
      </c>
      <c r="L2759" s="14">
        <f t="shared" si="1215"/>
        <v>0</v>
      </c>
      <c r="M2759" s="50"/>
      <c r="N2759" s="50"/>
    </row>
    <row r="2760" spans="1:14" ht="31.2" x14ac:dyDescent="0.3">
      <c r="A2760" s="8" t="s">
        <v>1431</v>
      </c>
      <c r="B2760" s="62" t="s">
        <v>936</v>
      </c>
      <c r="C2760" s="68" t="s">
        <v>1391</v>
      </c>
      <c r="D2760" s="68" t="s">
        <v>1480</v>
      </c>
      <c r="E2760" s="8" t="s">
        <v>435</v>
      </c>
      <c r="F2760" s="8"/>
      <c r="G2760" s="13" t="s">
        <v>1064</v>
      </c>
      <c r="H2760" s="14">
        <f>H2761+H2767</f>
        <v>677.78499999999997</v>
      </c>
      <c r="I2760" s="14">
        <f t="shared" ref="I2760:L2760" si="1216">I2761+I2767</f>
        <v>677.78500000000008</v>
      </c>
      <c r="J2760" s="14">
        <f t="shared" si="1216"/>
        <v>258.58105999999998</v>
      </c>
      <c r="K2760" s="78">
        <f t="shared" ref="K2760:K2823" si="1217">J2760/I2760*100</f>
        <v>38.150897408470229</v>
      </c>
      <c r="L2760" s="14">
        <f t="shared" si="1216"/>
        <v>0</v>
      </c>
      <c r="M2760" s="50"/>
      <c r="N2760" s="50"/>
    </row>
    <row r="2761" spans="1:14" ht="46.8" x14ac:dyDescent="0.3">
      <c r="A2761" s="8" t="s">
        <v>1431</v>
      </c>
      <c r="B2761" s="62" t="s">
        <v>936</v>
      </c>
      <c r="C2761" s="68" t="s">
        <v>1391</v>
      </c>
      <c r="D2761" s="68" t="s">
        <v>1480</v>
      </c>
      <c r="E2761" s="8" t="s">
        <v>436</v>
      </c>
      <c r="F2761" s="8"/>
      <c r="G2761" s="13" t="s">
        <v>1211</v>
      </c>
      <c r="H2761" s="14">
        <f t="shared" si="1215"/>
        <v>585.28499999999997</v>
      </c>
      <c r="I2761" s="14">
        <f t="shared" si="1215"/>
        <v>585.28500000000008</v>
      </c>
      <c r="J2761" s="14">
        <f t="shared" si="1215"/>
        <v>258.58105999999998</v>
      </c>
      <c r="K2761" s="78">
        <f t="shared" si="1217"/>
        <v>44.18036682983503</v>
      </c>
      <c r="L2761" s="14">
        <f t="shared" si="1215"/>
        <v>0</v>
      </c>
      <c r="M2761" s="50"/>
      <c r="N2761" s="50"/>
    </row>
    <row r="2762" spans="1:14" ht="46.8" x14ac:dyDescent="0.3">
      <c r="A2762" s="8" t="s">
        <v>1431</v>
      </c>
      <c r="B2762" s="62" t="s">
        <v>936</v>
      </c>
      <c r="C2762" s="68" t="s">
        <v>1391</v>
      </c>
      <c r="D2762" s="68" t="s">
        <v>1480</v>
      </c>
      <c r="E2762" s="8" t="s">
        <v>437</v>
      </c>
      <c r="F2762" s="8"/>
      <c r="G2762" s="18" t="s">
        <v>19</v>
      </c>
      <c r="H2762" s="14">
        <f>H2763+H2765</f>
        <v>585.28499999999997</v>
      </c>
      <c r="I2762" s="14">
        <f>I2763+I2765</f>
        <v>585.28500000000008</v>
      </c>
      <c r="J2762" s="14">
        <f t="shared" ref="J2762" si="1218">J2763+J2765</f>
        <v>258.58105999999998</v>
      </c>
      <c r="K2762" s="78">
        <f t="shared" si="1217"/>
        <v>44.18036682983503</v>
      </c>
      <c r="L2762" s="14">
        <f>L2763+L2765</f>
        <v>0</v>
      </c>
      <c r="M2762" s="50"/>
      <c r="N2762" s="50"/>
    </row>
    <row r="2763" spans="1:14" ht="31.2" x14ac:dyDescent="0.3">
      <c r="A2763" s="8" t="s">
        <v>1431</v>
      </c>
      <c r="B2763" s="62" t="s">
        <v>936</v>
      </c>
      <c r="C2763" s="68" t="s">
        <v>1391</v>
      </c>
      <c r="D2763" s="68" t="s">
        <v>1480</v>
      </c>
      <c r="E2763" s="8" t="s">
        <v>437</v>
      </c>
      <c r="F2763" s="45" t="s">
        <v>380</v>
      </c>
      <c r="G2763" s="23" t="s">
        <v>809</v>
      </c>
      <c r="H2763" s="14">
        <f t="shared" si="1215"/>
        <v>569.58499999999992</v>
      </c>
      <c r="I2763" s="14">
        <f t="shared" si="1215"/>
        <v>521.58500000000004</v>
      </c>
      <c r="J2763" s="14">
        <f t="shared" si="1215"/>
        <v>195.24806000000001</v>
      </c>
      <c r="K2763" s="78">
        <f t="shared" si="1217"/>
        <v>37.43360334365444</v>
      </c>
      <c r="L2763" s="14">
        <f t="shared" si="1215"/>
        <v>0</v>
      </c>
      <c r="M2763" s="50"/>
      <c r="N2763" s="50"/>
    </row>
    <row r="2764" spans="1:14" ht="31.2" x14ac:dyDescent="0.3">
      <c r="A2764" s="8" t="s">
        <v>1431</v>
      </c>
      <c r="B2764" s="62" t="s">
        <v>936</v>
      </c>
      <c r="C2764" s="68" t="s">
        <v>1391</v>
      </c>
      <c r="D2764" s="68" t="s">
        <v>1480</v>
      </c>
      <c r="E2764" s="8" t="s">
        <v>437</v>
      </c>
      <c r="F2764" s="8" t="s">
        <v>247</v>
      </c>
      <c r="G2764" s="23" t="s">
        <v>810</v>
      </c>
      <c r="H2764" s="14">
        <f>488.3+296-214.715</f>
        <v>569.58499999999992</v>
      </c>
      <c r="I2764" s="14">
        <v>521.58500000000004</v>
      </c>
      <c r="J2764" s="14">
        <v>195.24806000000001</v>
      </c>
      <c r="K2764" s="78">
        <f t="shared" si="1217"/>
        <v>37.43360334365444</v>
      </c>
      <c r="L2764" s="14"/>
      <c r="M2764" s="50"/>
      <c r="N2764" s="50"/>
    </row>
    <row r="2765" spans="1:14" x14ac:dyDescent="0.3">
      <c r="A2765" s="8" t="s">
        <v>1431</v>
      </c>
      <c r="B2765" s="62" t="s">
        <v>936</v>
      </c>
      <c r="C2765" s="68" t="s">
        <v>1391</v>
      </c>
      <c r="D2765" s="68" t="s">
        <v>1480</v>
      </c>
      <c r="E2765" s="8" t="s">
        <v>437</v>
      </c>
      <c r="F2765" s="45" t="s">
        <v>464</v>
      </c>
      <c r="G2765" s="23" t="s">
        <v>822</v>
      </c>
      <c r="H2765" s="14">
        <f t="shared" ref="H2765:L2765" si="1219">H2766</f>
        <v>15.7</v>
      </c>
      <c r="I2765" s="14">
        <f t="shared" si="1219"/>
        <v>63.7</v>
      </c>
      <c r="J2765" s="14">
        <f t="shared" si="1219"/>
        <v>63.332999999999998</v>
      </c>
      <c r="K2765" s="78">
        <f t="shared" si="1217"/>
        <v>99.423861852433276</v>
      </c>
      <c r="L2765" s="14">
        <f t="shared" si="1219"/>
        <v>0</v>
      </c>
      <c r="M2765" s="50"/>
      <c r="N2765" s="50"/>
    </row>
    <row r="2766" spans="1:14" x14ac:dyDescent="0.3">
      <c r="A2766" s="8" t="s">
        <v>1431</v>
      </c>
      <c r="B2766" s="62" t="s">
        <v>936</v>
      </c>
      <c r="C2766" s="68" t="s">
        <v>1391</v>
      </c>
      <c r="D2766" s="68" t="s">
        <v>1480</v>
      </c>
      <c r="E2766" s="8" t="s">
        <v>437</v>
      </c>
      <c r="F2766" s="45" t="s">
        <v>729</v>
      </c>
      <c r="G2766" s="23" t="s">
        <v>824</v>
      </c>
      <c r="H2766" s="14">
        <v>15.7</v>
      </c>
      <c r="I2766" s="14">
        <v>63.7</v>
      </c>
      <c r="J2766" s="14">
        <v>63.332999999999998</v>
      </c>
      <c r="K2766" s="78">
        <f t="shared" si="1217"/>
        <v>99.423861852433276</v>
      </c>
      <c r="L2766" s="14"/>
      <c r="M2766" s="50"/>
      <c r="N2766" s="50"/>
    </row>
    <row r="2767" spans="1:14" ht="46.8" x14ac:dyDescent="0.3">
      <c r="A2767" s="8" t="s">
        <v>1431</v>
      </c>
      <c r="B2767" s="62" t="s">
        <v>936</v>
      </c>
      <c r="C2767" s="68" t="s">
        <v>1391</v>
      </c>
      <c r="D2767" s="68" t="s">
        <v>1480</v>
      </c>
      <c r="E2767" s="8" t="s">
        <v>642</v>
      </c>
      <c r="F2767" s="45"/>
      <c r="G2767" s="18" t="s">
        <v>134</v>
      </c>
      <c r="H2767" s="20">
        <f>H2768</f>
        <v>92.5</v>
      </c>
      <c r="I2767" s="20">
        <f t="shared" ref="I2767:L2769" si="1220">I2768</f>
        <v>92.5</v>
      </c>
      <c r="J2767" s="20">
        <f t="shared" si="1220"/>
        <v>0</v>
      </c>
      <c r="K2767" s="77">
        <f t="shared" si="1217"/>
        <v>0</v>
      </c>
      <c r="L2767" s="20">
        <f t="shared" si="1220"/>
        <v>0</v>
      </c>
      <c r="M2767" s="50"/>
      <c r="N2767" s="50"/>
    </row>
    <row r="2768" spans="1:14" ht="31.2" x14ac:dyDescent="0.3">
      <c r="A2768" s="8" t="s">
        <v>1431</v>
      </c>
      <c r="B2768" s="62" t="s">
        <v>936</v>
      </c>
      <c r="C2768" s="68" t="s">
        <v>1391</v>
      </c>
      <c r="D2768" s="68" t="s">
        <v>1480</v>
      </c>
      <c r="E2768" s="8" t="s">
        <v>278</v>
      </c>
      <c r="F2768" s="45"/>
      <c r="G2768" s="23" t="s">
        <v>319</v>
      </c>
      <c r="H2768" s="20">
        <f>H2769</f>
        <v>92.5</v>
      </c>
      <c r="I2768" s="20">
        <f t="shared" si="1220"/>
        <v>92.5</v>
      </c>
      <c r="J2768" s="20">
        <f t="shared" si="1220"/>
        <v>0</v>
      </c>
      <c r="K2768" s="77">
        <f t="shared" si="1217"/>
        <v>0</v>
      </c>
      <c r="L2768" s="20">
        <f t="shared" si="1220"/>
        <v>0</v>
      </c>
      <c r="M2768" s="50"/>
      <c r="N2768" s="50"/>
    </row>
    <row r="2769" spans="1:14" ht="31.2" x14ac:dyDescent="0.3">
      <c r="A2769" s="8" t="s">
        <v>1431</v>
      </c>
      <c r="B2769" s="62" t="s">
        <v>936</v>
      </c>
      <c r="C2769" s="68" t="s">
        <v>1391</v>
      </c>
      <c r="D2769" s="68" t="s">
        <v>1480</v>
      </c>
      <c r="E2769" s="8" t="s">
        <v>278</v>
      </c>
      <c r="F2769" s="45" t="s">
        <v>380</v>
      </c>
      <c r="G2769" s="23" t="s">
        <v>809</v>
      </c>
      <c r="H2769" s="20">
        <f>H2770</f>
        <v>92.5</v>
      </c>
      <c r="I2769" s="20">
        <f t="shared" si="1220"/>
        <v>92.5</v>
      </c>
      <c r="J2769" s="20">
        <f t="shared" si="1220"/>
        <v>0</v>
      </c>
      <c r="K2769" s="77">
        <f t="shared" si="1217"/>
        <v>0</v>
      </c>
      <c r="L2769" s="20">
        <f t="shared" si="1220"/>
        <v>0</v>
      </c>
      <c r="M2769" s="50"/>
      <c r="N2769" s="50"/>
    </row>
    <row r="2770" spans="1:14" ht="31.2" x14ac:dyDescent="0.3">
      <c r="A2770" s="8" t="s">
        <v>1431</v>
      </c>
      <c r="B2770" s="62" t="s">
        <v>936</v>
      </c>
      <c r="C2770" s="68" t="s">
        <v>1391</v>
      </c>
      <c r="D2770" s="68" t="s">
        <v>1480</v>
      </c>
      <c r="E2770" s="8" t="s">
        <v>278</v>
      </c>
      <c r="F2770" s="8" t="s">
        <v>247</v>
      </c>
      <c r="G2770" s="23" t="s">
        <v>810</v>
      </c>
      <c r="H2770" s="20">
        <v>92.5</v>
      </c>
      <c r="I2770" s="14">
        <v>92.5</v>
      </c>
      <c r="J2770" s="19">
        <v>0</v>
      </c>
      <c r="K2770" s="75">
        <f t="shared" si="1217"/>
        <v>0</v>
      </c>
      <c r="L2770" s="14"/>
      <c r="M2770" s="50"/>
      <c r="N2770" s="50"/>
    </row>
    <row r="2771" spans="1:14" ht="31.2" x14ac:dyDescent="0.3">
      <c r="A2771" s="8" t="s">
        <v>1431</v>
      </c>
      <c r="B2771" s="62" t="s">
        <v>936</v>
      </c>
      <c r="C2771" s="68" t="s">
        <v>1391</v>
      </c>
      <c r="D2771" s="68" t="s">
        <v>1480</v>
      </c>
      <c r="E2771" s="8" t="s">
        <v>429</v>
      </c>
      <c r="F2771" s="8"/>
      <c r="G2771" s="13" t="s">
        <v>1140</v>
      </c>
      <c r="H2771" s="20">
        <v>0</v>
      </c>
      <c r="I2771" s="14">
        <f>I2772</f>
        <v>279.66399999999999</v>
      </c>
      <c r="J2771" s="14">
        <f t="shared" ref="J2771:L2771" si="1221">J2772</f>
        <v>279.66399999999999</v>
      </c>
      <c r="K2771" s="78">
        <f t="shared" si="1217"/>
        <v>100</v>
      </c>
      <c r="L2771" s="14">
        <f t="shared" si="1221"/>
        <v>0</v>
      </c>
      <c r="M2771" s="50"/>
      <c r="N2771" s="50"/>
    </row>
    <row r="2772" spans="1:14" x14ac:dyDescent="0.3">
      <c r="A2772" s="8" t="s">
        <v>1431</v>
      </c>
      <c r="B2772" s="62" t="s">
        <v>936</v>
      </c>
      <c r="C2772" s="68" t="s">
        <v>1391</v>
      </c>
      <c r="D2772" s="68" t="s">
        <v>1480</v>
      </c>
      <c r="E2772" s="8" t="s">
        <v>430</v>
      </c>
      <c r="F2772" s="8"/>
      <c r="G2772" s="13" t="s">
        <v>1141</v>
      </c>
      <c r="H2772" s="20">
        <v>0</v>
      </c>
      <c r="I2772" s="14">
        <f>I2773+I2776</f>
        <v>279.66399999999999</v>
      </c>
      <c r="J2772" s="14">
        <f t="shared" ref="J2772:L2772" si="1222">J2773+J2776</f>
        <v>279.66399999999999</v>
      </c>
      <c r="K2772" s="78">
        <f t="shared" si="1217"/>
        <v>100</v>
      </c>
      <c r="L2772" s="14">
        <f t="shared" si="1222"/>
        <v>0</v>
      </c>
      <c r="M2772" s="50"/>
      <c r="N2772" s="50"/>
    </row>
    <row r="2773" spans="1:14" ht="31.2" x14ac:dyDescent="0.3">
      <c r="A2773" s="8" t="s">
        <v>1431</v>
      </c>
      <c r="B2773" s="62" t="s">
        <v>936</v>
      </c>
      <c r="C2773" s="68" t="s">
        <v>1391</v>
      </c>
      <c r="D2773" s="68" t="s">
        <v>1480</v>
      </c>
      <c r="E2773" s="8" t="s">
        <v>209</v>
      </c>
      <c r="F2773" s="8"/>
      <c r="G2773" s="13" t="s">
        <v>1147</v>
      </c>
      <c r="H2773" s="20">
        <v>0</v>
      </c>
      <c r="I2773" s="14">
        <f>I2774</f>
        <v>75.81</v>
      </c>
      <c r="J2773" s="14">
        <f t="shared" ref="J2773:L2774" si="1223">J2774</f>
        <v>75.81</v>
      </c>
      <c r="K2773" s="78">
        <f t="shared" si="1217"/>
        <v>100</v>
      </c>
      <c r="L2773" s="14">
        <f t="shared" si="1223"/>
        <v>0</v>
      </c>
      <c r="M2773" s="50"/>
      <c r="N2773" s="50"/>
    </row>
    <row r="2774" spans="1:14" ht="31.2" x14ac:dyDescent="0.3">
      <c r="A2774" s="8" t="s">
        <v>1431</v>
      </c>
      <c r="B2774" s="62" t="s">
        <v>936</v>
      </c>
      <c r="C2774" s="68" t="s">
        <v>1391</v>
      </c>
      <c r="D2774" s="68" t="s">
        <v>1480</v>
      </c>
      <c r="E2774" s="8" t="s">
        <v>209</v>
      </c>
      <c r="F2774" s="45" t="s">
        <v>380</v>
      </c>
      <c r="G2774" s="23" t="s">
        <v>809</v>
      </c>
      <c r="H2774" s="20">
        <v>0</v>
      </c>
      <c r="I2774" s="14">
        <f>I2775</f>
        <v>75.81</v>
      </c>
      <c r="J2774" s="14">
        <f t="shared" si="1223"/>
        <v>75.81</v>
      </c>
      <c r="K2774" s="78">
        <f t="shared" si="1217"/>
        <v>100</v>
      </c>
      <c r="L2774" s="14">
        <f t="shared" si="1223"/>
        <v>0</v>
      </c>
      <c r="M2774" s="50"/>
      <c r="N2774" s="50"/>
    </row>
    <row r="2775" spans="1:14" ht="31.2" x14ac:dyDescent="0.3">
      <c r="A2775" s="8" t="s">
        <v>1431</v>
      </c>
      <c r="B2775" s="62" t="s">
        <v>936</v>
      </c>
      <c r="C2775" s="68" t="s">
        <v>1391</v>
      </c>
      <c r="D2775" s="68" t="s">
        <v>1480</v>
      </c>
      <c r="E2775" s="8" t="s">
        <v>209</v>
      </c>
      <c r="F2775" s="8" t="s">
        <v>247</v>
      </c>
      <c r="G2775" s="23" t="s">
        <v>810</v>
      </c>
      <c r="H2775" s="20">
        <v>0</v>
      </c>
      <c r="I2775" s="14">
        <v>75.81</v>
      </c>
      <c r="J2775" s="14">
        <v>75.81</v>
      </c>
      <c r="K2775" s="78">
        <f t="shared" si="1217"/>
        <v>100</v>
      </c>
      <c r="L2775" s="14"/>
      <c r="M2775" s="50"/>
      <c r="N2775" s="50"/>
    </row>
    <row r="2776" spans="1:14" ht="31.2" x14ac:dyDescent="0.3">
      <c r="A2776" s="8" t="s">
        <v>1431</v>
      </c>
      <c r="B2776" s="62" t="s">
        <v>936</v>
      </c>
      <c r="C2776" s="68" t="s">
        <v>1391</v>
      </c>
      <c r="D2776" s="68" t="s">
        <v>1480</v>
      </c>
      <c r="E2776" s="8" t="s">
        <v>210</v>
      </c>
      <c r="F2776" s="8"/>
      <c r="G2776" s="13" t="s">
        <v>1183</v>
      </c>
      <c r="H2776" s="20">
        <v>0</v>
      </c>
      <c r="I2776" s="14">
        <f>I2777+I2779</f>
        <v>203.85399999999998</v>
      </c>
      <c r="J2776" s="14">
        <f t="shared" ref="J2776:L2776" si="1224">J2777+J2779</f>
        <v>203.85399999999998</v>
      </c>
      <c r="K2776" s="78">
        <f t="shared" si="1217"/>
        <v>100</v>
      </c>
      <c r="L2776" s="14">
        <f t="shared" si="1224"/>
        <v>0</v>
      </c>
      <c r="M2776" s="50"/>
      <c r="N2776" s="50"/>
    </row>
    <row r="2777" spans="1:14" ht="78" x14ac:dyDescent="0.3">
      <c r="A2777" s="8" t="s">
        <v>1431</v>
      </c>
      <c r="B2777" s="62" t="s">
        <v>936</v>
      </c>
      <c r="C2777" s="68" t="s">
        <v>1391</v>
      </c>
      <c r="D2777" s="68" t="s">
        <v>1480</v>
      </c>
      <c r="E2777" s="8" t="s">
        <v>210</v>
      </c>
      <c r="F2777" s="45" t="s">
        <v>431</v>
      </c>
      <c r="G2777" s="23" t="s">
        <v>806</v>
      </c>
      <c r="H2777" s="20">
        <v>0</v>
      </c>
      <c r="I2777" s="14">
        <f>I2778</f>
        <v>108.697</v>
      </c>
      <c r="J2777" s="14">
        <f t="shared" ref="J2777:L2777" si="1225">J2778</f>
        <v>108.697</v>
      </c>
      <c r="K2777" s="78">
        <f t="shared" si="1217"/>
        <v>100</v>
      </c>
      <c r="L2777" s="14">
        <f t="shared" si="1225"/>
        <v>0</v>
      </c>
      <c r="M2777" s="50"/>
      <c r="N2777" s="50"/>
    </row>
    <row r="2778" spans="1:14" ht="31.2" x14ac:dyDescent="0.3">
      <c r="A2778" s="8" t="s">
        <v>1431</v>
      </c>
      <c r="B2778" s="62" t="s">
        <v>936</v>
      </c>
      <c r="C2778" s="68" t="s">
        <v>1391</v>
      </c>
      <c r="D2778" s="68" t="s">
        <v>1480</v>
      </c>
      <c r="E2778" s="8" t="s">
        <v>210</v>
      </c>
      <c r="F2778" s="45" t="s">
        <v>233</v>
      </c>
      <c r="G2778" s="23" t="s">
        <v>808</v>
      </c>
      <c r="H2778" s="20">
        <v>0</v>
      </c>
      <c r="I2778" s="14">
        <v>108.697</v>
      </c>
      <c r="J2778" s="14">
        <v>108.697</v>
      </c>
      <c r="K2778" s="78">
        <f t="shared" si="1217"/>
        <v>100</v>
      </c>
      <c r="L2778" s="14"/>
      <c r="M2778" s="50"/>
      <c r="N2778" s="50"/>
    </row>
    <row r="2779" spans="1:14" ht="31.2" x14ac:dyDescent="0.3">
      <c r="A2779" s="8" t="s">
        <v>1431</v>
      </c>
      <c r="B2779" s="62" t="s">
        <v>936</v>
      </c>
      <c r="C2779" s="68" t="s">
        <v>1391</v>
      </c>
      <c r="D2779" s="68" t="s">
        <v>1480</v>
      </c>
      <c r="E2779" s="8" t="s">
        <v>210</v>
      </c>
      <c r="F2779" s="45" t="s">
        <v>380</v>
      </c>
      <c r="G2779" s="23" t="s">
        <v>809</v>
      </c>
      <c r="H2779" s="20">
        <v>0</v>
      </c>
      <c r="I2779" s="14">
        <f>I2780</f>
        <v>95.156999999999996</v>
      </c>
      <c r="J2779" s="14">
        <f t="shared" ref="J2779:L2779" si="1226">J2780</f>
        <v>95.156999999999996</v>
      </c>
      <c r="K2779" s="78">
        <f t="shared" si="1217"/>
        <v>100</v>
      </c>
      <c r="L2779" s="14">
        <f t="shared" si="1226"/>
        <v>0</v>
      </c>
      <c r="M2779" s="50"/>
      <c r="N2779" s="50"/>
    </row>
    <row r="2780" spans="1:14" ht="31.2" x14ac:dyDescent="0.3">
      <c r="A2780" s="8" t="s">
        <v>1431</v>
      </c>
      <c r="B2780" s="62" t="s">
        <v>936</v>
      </c>
      <c r="C2780" s="68" t="s">
        <v>1391</v>
      </c>
      <c r="D2780" s="68" t="s">
        <v>1480</v>
      </c>
      <c r="E2780" s="8" t="s">
        <v>210</v>
      </c>
      <c r="F2780" s="8" t="s">
        <v>247</v>
      </c>
      <c r="G2780" s="23" t="s">
        <v>810</v>
      </c>
      <c r="H2780" s="20">
        <v>0</v>
      </c>
      <c r="I2780" s="14">
        <v>95.156999999999996</v>
      </c>
      <c r="J2780" s="14">
        <v>95.156999999999996</v>
      </c>
      <c r="K2780" s="78">
        <f t="shared" si="1217"/>
        <v>100</v>
      </c>
      <c r="L2780" s="14"/>
      <c r="M2780" s="50"/>
      <c r="N2780" s="50"/>
    </row>
    <row r="2781" spans="1:14" s="3" customFormat="1" x14ac:dyDescent="0.3">
      <c r="A2781" s="10" t="s">
        <v>1431</v>
      </c>
      <c r="B2781" s="43" t="s">
        <v>1386</v>
      </c>
      <c r="C2781" s="43" t="s">
        <v>1386</v>
      </c>
      <c r="D2781" s="43" t="s">
        <v>915</v>
      </c>
      <c r="E2781" s="10"/>
      <c r="F2781" s="10"/>
      <c r="G2781" s="5" t="s">
        <v>1388</v>
      </c>
      <c r="H2781" s="15">
        <f>H2782+H2820</f>
        <v>214719.62</v>
      </c>
      <c r="I2781" s="15">
        <f>I2782+I2820</f>
        <v>247451.67263000002</v>
      </c>
      <c r="J2781" s="15">
        <f t="shared" ref="J2781" si="1227">J2782+J2820</f>
        <v>246506.94641999999</v>
      </c>
      <c r="K2781" s="81">
        <f t="shared" si="1217"/>
        <v>99.618217892827658</v>
      </c>
      <c r="L2781" s="15">
        <f>L2782+L2820</f>
        <v>0</v>
      </c>
      <c r="M2781" s="65"/>
      <c r="N2781" s="65"/>
    </row>
    <row r="2782" spans="1:14" s="9" customFormat="1" ht="16.5" customHeight="1" x14ac:dyDescent="0.3">
      <c r="A2782" s="11" t="s">
        <v>1431</v>
      </c>
      <c r="B2782" s="48" t="s">
        <v>937</v>
      </c>
      <c r="C2782" s="48" t="s">
        <v>1386</v>
      </c>
      <c r="D2782" s="48" t="s">
        <v>1398</v>
      </c>
      <c r="E2782" s="11"/>
      <c r="F2782" s="11"/>
      <c r="G2782" s="7" t="s">
        <v>1419</v>
      </c>
      <c r="H2782" s="16">
        <f>H2783+H2795+H2800+H2806+H2814</f>
        <v>213968.378</v>
      </c>
      <c r="I2782" s="16">
        <f>I2783+I2795+I2800+I2806+I2814</f>
        <v>246497.43063000002</v>
      </c>
      <c r="J2782" s="16">
        <f t="shared" ref="J2782" si="1228">J2783+J2795+J2800+J2806+J2814</f>
        <v>245681.04447999998</v>
      </c>
      <c r="K2782" s="82">
        <f t="shared" si="1217"/>
        <v>99.668805411921127</v>
      </c>
      <c r="L2782" s="16">
        <f>L2783+L2795+L2800+L2806+L2814</f>
        <v>0</v>
      </c>
      <c r="M2782" s="65"/>
      <c r="N2782" s="65"/>
    </row>
    <row r="2783" spans="1:14" ht="31.2" x14ac:dyDescent="0.3">
      <c r="A2783" s="8" t="s">
        <v>1431</v>
      </c>
      <c r="B2783" s="62" t="s">
        <v>937</v>
      </c>
      <c r="C2783" s="68" t="s">
        <v>1386</v>
      </c>
      <c r="D2783" s="68" t="s">
        <v>1398</v>
      </c>
      <c r="E2783" s="8" t="s">
        <v>355</v>
      </c>
      <c r="F2783" s="8"/>
      <c r="G2783" s="13" t="s">
        <v>893</v>
      </c>
      <c r="H2783" s="14">
        <f t="shared" ref="H2783:L2784" si="1229">H2784</f>
        <v>200207.42300000001</v>
      </c>
      <c r="I2783" s="14">
        <f t="shared" si="1229"/>
        <v>227331.18097000002</v>
      </c>
      <c r="J2783" s="14">
        <f t="shared" si="1229"/>
        <v>227252.31690000001</v>
      </c>
      <c r="K2783" s="78">
        <f t="shared" si="1217"/>
        <v>99.965308731664749</v>
      </c>
      <c r="L2783" s="14">
        <f t="shared" si="1229"/>
        <v>0</v>
      </c>
      <c r="M2783" s="50"/>
      <c r="N2783" s="50"/>
    </row>
    <row r="2784" spans="1:14" ht="31.2" x14ac:dyDescent="0.3">
      <c r="A2784" s="8" t="s">
        <v>1431</v>
      </c>
      <c r="B2784" s="62" t="s">
        <v>937</v>
      </c>
      <c r="C2784" s="68" t="s">
        <v>1386</v>
      </c>
      <c r="D2784" s="68" t="s">
        <v>1398</v>
      </c>
      <c r="E2784" s="8" t="s">
        <v>356</v>
      </c>
      <c r="F2784" s="8"/>
      <c r="G2784" s="13" t="s">
        <v>894</v>
      </c>
      <c r="H2784" s="14">
        <f t="shared" si="1229"/>
        <v>200207.42300000001</v>
      </c>
      <c r="I2784" s="14">
        <f t="shared" si="1229"/>
        <v>227331.18097000002</v>
      </c>
      <c r="J2784" s="14">
        <f t="shared" si="1229"/>
        <v>227252.31690000001</v>
      </c>
      <c r="K2784" s="78">
        <f t="shared" si="1217"/>
        <v>99.965308731664749</v>
      </c>
      <c r="L2784" s="14">
        <f t="shared" si="1229"/>
        <v>0</v>
      </c>
      <c r="M2784" s="50"/>
      <c r="N2784" s="50"/>
    </row>
    <row r="2785" spans="1:14" ht="46.8" x14ac:dyDescent="0.3">
      <c r="A2785" s="8" t="s">
        <v>1431</v>
      </c>
      <c r="B2785" s="62" t="s">
        <v>937</v>
      </c>
      <c r="C2785" s="68" t="s">
        <v>1386</v>
      </c>
      <c r="D2785" s="68" t="s">
        <v>1398</v>
      </c>
      <c r="E2785" s="8" t="s">
        <v>357</v>
      </c>
      <c r="F2785" s="8"/>
      <c r="G2785" s="18" t="s">
        <v>121</v>
      </c>
      <c r="H2785" s="14">
        <f>H2786+H2789</f>
        <v>200207.42300000001</v>
      </c>
      <c r="I2785" s="14">
        <f>I2786+I2789+I2792</f>
        <v>227331.18097000002</v>
      </c>
      <c r="J2785" s="14">
        <f t="shared" ref="J2785:L2785" si="1230">J2786+J2789+J2792</f>
        <v>227252.31690000001</v>
      </c>
      <c r="K2785" s="78">
        <f t="shared" si="1217"/>
        <v>99.965308731664749</v>
      </c>
      <c r="L2785" s="14">
        <f t="shared" si="1230"/>
        <v>0</v>
      </c>
      <c r="M2785" s="50"/>
      <c r="N2785" s="50"/>
    </row>
    <row r="2786" spans="1:14" x14ac:dyDescent="0.3">
      <c r="A2786" s="8" t="s">
        <v>1431</v>
      </c>
      <c r="B2786" s="62" t="s">
        <v>937</v>
      </c>
      <c r="C2786" s="68" t="s">
        <v>1386</v>
      </c>
      <c r="D2786" s="68" t="s">
        <v>1398</v>
      </c>
      <c r="E2786" s="8" t="s">
        <v>67</v>
      </c>
      <c r="F2786" s="8"/>
      <c r="G2786" s="23" t="s">
        <v>155</v>
      </c>
      <c r="H2786" s="14">
        <f t="shared" ref="H2786:L2787" si="1231">H2787</f>
        <v>197793.10800000001</v>
      </c>
      <c r="I2786" s="14">
        <f t="shared" si="1231"/>
        <v>197793.10800000001</v>
      </c>
      <c r="J2786" s="14">
        <f t="shared" si="1231"/>
        <v>197714.24393</v>
      </c>
      <c r="K2786" s="78">
        <f t="shared" si="1217"/>
        <v>99.960127998999837</v>
      </c>
      <c r="L2786" s="14">
        <f t="shared" si="1231"/>
        <v>0</v>
      </c>
      <c r="M2786" s="50"/>
      <c r="N2786" s="50"/>
    </row>
    <row r="2787" spans="1:14" ht="31.2" x14ac:dyDescent="0.3">
      <c r="A2787" s="8" t="s">
        <v>1431</v>
      </c>
      <c r="B2787" s="62" t="s">
        <v>937</v>
      </c>
      <c r="C2787" s="68" t="s">
        <v>1386</v>
      </c>
      <c r="D2787" s="68" t="s">
        <v>1398</v>
      </c>
      <c r="E2787" s="8" t="s">
        <v>67</v>
      </c>
      <c r="F2787" s="45" t="s">
        <v>380</v>
      </c>
      <c r="G2787" s="23" t="s">
        <v>809</v>
      </c>
      <c r="H2787" s="14">
        <f t="shared" si="1231"/>
        <v>197793.10800000001</v>
      </c>
      <c r="I2787" s="14">
        <f t="shared" si="1231"/>
        <v>197793.10800000001</v>
      </c>
      <c r="J2787" s="14">
        <f t="shared" si="1231"/>
        <v>197714.24393</v>
      </c>
      <c r="K2787" s="78">
        <f t="shared" si="1217"/>
        <v>99.960127998999837</v>
      </c>
      <c r="L2787" s="14">
        <f t="shared" si="1231"/>
        <v>0</v>
      </c>
      <c r="M2787" s="50"/>
      <c r="N2787" s="50"/>
    </row>
    <row r="2788" spans="1:14" ht="31.2" x14ac:dyDescent="0.3">
      <c r="A2788" s="8" t="s">
        <v>1431</v>
      </c>
      <c r="B2788" s="62" t="s">
        <v>937</v>
      </c>
      <c r="C2788" s="68" t="s">
        <v>1386</v>
      </c>
      <c r="D2788" s="68" t="s">
        <v>1398</v>
      </c>
      <c r="E2788" s="8" t="s">
        <v>67</v>
      </c>
      <c r="F2788" s="8" t="s">
        <v>247</v>
      </c>
      <c r="G2788" s="23" t="s">
        <v>810</v>
      </c>
      <c r="H2788" s="14">
        <f>192538.838+6347.245+1999.421-2601.376-491.02</f>
        <v>197793.10800000001</v>
      </c>
      <c r="I2788" s="14">
        <v>197793.10800000001</v>
      </c>
      <c r="J2788" s="14">
        <v>197714.24393</v>
      </c>
      <c r="K2788" s="78">
        <f t="shared" si="1217"/>
        <v>99.960127998999837</v>
      </c>
      <c r="L2788" s="14"/>
      <c r="M2788" s="50"/>
      <c r="N2788" s="50"/>
    </row>
    <row r="2789" spans="1:14" ht="31.2" x14ac:dyDescent="0.3">
      <c r="A2789" s="8" t="s">
        <v>1431</v>
      </c>
      <c r="B2789" s="62" t="s">
        <v>937</v>
      </c>
      <c r="C2789" s="68" t="s">
        <v>1386</v>
      </c>
      <c r="D2789" s="68" t="s">
        <v>1398</v>
      </c>
      <c r="E2789" s="8" t="s">
        <v>68</v>
      </c>
      <c r="F2789" s="8"/>
      <c r="G2789" s="23" t="s">
        <v>182</v>
      </c>
      <c r="H2789" s="14">
        <f t="shared" ref="H2789:L2790" si="1232">H2790</f>
        <v>2414.3150000000001</v>
      </c>
      <c r="I2789" s="14">
        <f t="shared" si="1232"/>
        <v>2414.3150000000001</v>
      </c>
      <c r="J2789" s="14">
        <f t="shared" si="1232"/>
        <v>2414.3150000000001</v>
      </c>
      <c r="K2789" s="78">
        <f t="shared" si="1217"/>
        <v>100</v>
      </c>
      <c r="L2789" s="14">
        <f t="shared" si="1232"/>
        <v>0</v>
      </c>
      <c r="M2789" s="50"/>
      <c r="N2789" s="50"/>
    </row>
    <row r="2790" spans="1:14" ht="31.2" x14ac:dyDescent="0.3">
      <c r="A2790" s="8" t="s">
        <v>1431</v>
      </c>
      <c r="B2790" s="62" t="s">
        <v>937</v>
      </c>
      <c r="C2790" s="68" t="s">
        <v>1386</v>
      </c>
      <c r="D2790" s="68" t="s">
        <v>1398</v>
      </c>
      <c r="E2790" s="8" t="s">
        <v>68</v>
      </c>
      <c r="F2790" s="45" t="s">
        <v>380</v>
      </c>
      <c r="G2790" s="23" t="s">
        <v>809</v>
      </c>
      <c r="H2790" s="14">
        <f t="shared" si="1232"/>
        <v>2414.3150000000001</v>
      </c>
      <c r="I2790" s="14">
        <f t="shared" si="1232"/>
        <v>2414.3150000000001</v>
      </c>
      <c r="J2790" s="14">
        <f t="shared" si="1232"/>
        <v>2414.3150000000001</v>
      </c>
      <c r="K2790" s="78">
        <f t="shared" si="1217"/>
        <v>100</v>
      </c>
      <c r="L2790" s="14">
        <f t="shared" si="1232"/>
        <v>0</v>
      </c>
      <c r="M2790" s="50"/>
      <c r="N2790" s="50"/>
    </row>
    <row r="2791" spans="1:14" ht="31.2" x14ac:dyDescent="0.3">
      <c r="A2791" s="8" t="s">
        <v>1431</v>
      </c>
      <c r="B2791" s="62" t="s">
        <v>937</v>
      </c>
      <c r="C2791" s="68" t="s">
        <v>1386</v>
      </c>
      <c r="D2791" s="68" t="s">
        <v>1398</v>
      </c>
      <c r="E2791" s="8" t="s">
        <v>68</v>
      </c>
      <c r="F2791" s="8" t="s">
        <v>247</v>
      </c>
      <c r="G2791" s="23" t="s">
        <v>810</v>
      </c>
      <c r="H2791" s="14">
        <f>3427.4-1013.085</f>
        <v>2414.3150000000001</v>
      </c>
      <c r="I2791" s="14">
        <v>2414.3150000000001</v>
      </c>
      <c r="J2791" s="14">
        <v>2414.3150000000001</v>
      </c>
      <c r="K2791" s="78">
        <f t="shared" si="1217"/>
        <v>100</v>
      </c>
      <c r="L2791" s="14"/>
      <c r="M2791" s="50"/>
      <c r="N2791" s="50"/>
    </row>
    <row r="2792" spans="1:14" ht="62.4" x14ac:dyDescent="0.3">
      <c r="A2792" s="8" t="s">
        <v>1431</v>
      </c>
      <c r="B2792" s="62" t="s">
        <v>937</v>
      </c>
      <c r="C2792" s="68" t="s">
        <v>1386</v>
      </c>
      <c r="D2792" s="68" t="s">
        <v>1398</v>
      </c>
      <c r="E2792" s="8" t="s">
        <v>963</v>
      </c>
      <c r="F2792" s="8"/>
      <c r="G2792" s="13" t="s">
        <v>964</v>
      </c>
      <c r="H2792" s="20">
        <v>0</v>
      </c>
      <c r="I2792" s="14">
        <f>I2793</f>
        <v>27123.757969999999</v>
      </c>
      <c r="J2792" s="14">
        <f t="shared" ref="J2792:L2793" si="1233">J2793</f>
        <v>27123.757969999999</v>
      </c>
      <c r="K2792" s="78">
        <f t="shared" si="1217"/>
        <v>100</v>
      </c>
      <c r="L2792" s="14">
        <f t="shared" si="1233"/>
        <v>0</v>
      </c>
      <c r="M2792" s="50"/>
      <c r="N2792" s="50"/>
    </row>
    <row r="2793" spans="1:14" ht="31.2" x14ac:dyDescent="0.3">
      <c r="A2793" s="8" t="s">
        <v>1431</v>
      </c>
      <c r="B2793" s="62" t="s">
        <v>937</v>
      </c>
      <c r="C2793" s="68" t="s">
        <v>1386</v>
      </c>
      <c r="D2793" s="68" t="s">
        <v>1398</v>
      </c>
      <c r="E2793" s="8" t="s">
        <v>963</v>
      </c>
      <c r="F2793" s="45" t="s">
        <v>380</v>
      </c>
      <c r="G2793" s="23" t="s">
        <v>809</v>
      </c>
      <c r="H2793" s="20">
        <v>0</v>
      </c>
      <c r="I2793" s="14">
        <f>I2794</f>
        <v>27123.757969999999</v>
      </c>
      <c r="J2793" s="14">
        <f t="shared" si="1233"/>
        <v>27123.757969999999</v>
      </c>
      <c r="K2793" s="78">
        <f t="shared" si="1217"/>
        <v>100</v>
      </c>
      <c r="L2793" s="14">
        <f t="shared" si="1233"/>
        <v>0</v>
      </c>
      <c r="M2793" s="50"/>
      <c r="N2793" s="50"/>
    </row>
    <row r="2794" spans="1:14" ht="31.2" x14ac:dyDescent="0.3">
      <c r="A2794" s="8" t="s">
        <v>1431</v>
      </c>
      <c r="B2794" s="62" t="s">
        <v>937</v>
      </c>
      <c r="C2794" s="68" t="s">
        <v>1386</v>
      </c>
      <c r="D2794" s="68" t="s">
        <v>1398</v>
      </c>
      <c r="E2794" s="8" t="s">
        <v>963</v>
      </c>
      <c r="F2794" s="8" t="s">
        <v>247</v>
      </c>
      <c r="G2794" s="23" t="s">
        <v>810</v>
      </c>
      <c r="H2794" s="20">
        <v>0</v>
      </c>
      <c r="I2794" s="14">
        <v>27123.757969999999</v>
      </c>
      <c r="J2794" s="14">
        <v>27123.757969999999</v>
      </c>
      <c r="K2794" s="78">
        <f t="shared" si="1217"/>
        <v>100</v>
      </c>
      <c r="L2794" s="14"/>
      <c r="M2794" s="50"/>
      <c r="N2794" s="50"/>
    </row>
    <row r="2795" spans="1:14" ht="62.4" x14ac:dyDescent="0.3">
      <c r="A2795" s="8" t="s">
        <v>1431</v>
      </c>
      <c r="B2795" s="62" t="s">
        <v>937</v>
      </c>
      <c r="C2795" s="68" t="s">
        <v>1386</v>
      </c>
      <c r="D2795" s="68" t="s">
        <v>1398</v>
      </c>
      <c r="E2795" s="8" t="s">
        <v>358</v>
      </c>
      <c r="F2795" s="8"/>
      <c r="G2795" s="13" t="s">
        <v>1040</v>
      </c>
      <c r="H2795" s="14">
        <f t="shared" ref="H2795:L2798" si="1234">H2796</f>
        <v>774.11700000000019</v>
      </c>
      <c r="I2795" s="14">
        <f t="shared" si="1234"/>
        <v>774.11699999999996</v>
      </c>
      <c r="J2795" s="14">
        <f t="shared" si="1234"/>
        <v>773.00108</v>
      </c>
      <c r="K2795" s="78">
        <f t="shared" si="1217"/>
        <v>99.855846080114503</v>
      </c>
      <c r="L2795" s="14">
        <f t="shared" si="1234"/>
        <v>0</v>
      </c>
      <c r="M2795" s="50"/>
      <c r="N2795" s="50"/>
    </row>
    <row r="2796" spans="1:14" ht="31.2" x14ac:dyDescent="0.3">
      <c r="A2796" s="8" t="s">
        <v>1431</v>
      </c>
      <c r="B2796" s="62" t="s">
        <v>937</v>
      </c>
      <c r="C2796" s="68" t="s">
        <v>1386</v>
      </c>
      <c r="D2796" s="68" t="s">
        <v>1398</v>
      </c>
      <c r="E2796" s="8" t="s">
        <v>359</v>
      </c>
      <c r="F2796" s="8"/>
      <c r="G2796" s="13" t="s">
        <v>1041</v>
      </c>
      <c r="H2796" s="14">
        <f t="shared" si="1234"/>
        <v>774.11700000000019</v>
      </c>
      <c r="I2796" s="14">
        <f t="shared" si="1234"/>
        <v>774.11699999999996</v>
      </c>
      <c r="J2796" s="14">
        <f t="shared" si="1234"/>
        <v>773.00108</v>
      </c>
      <c r="K2796" s="78">
        <f t="shared" si="1217"/>
        <v>99.855846080114503</v>
      </c>
      <c r="L2796" s="14">
        <f t="shared" si="1234"/>
        <v>0</v>
      </c>
      <c r="M2796" s="50"/>
      <c r="N2796" s="50"/>
    </row>
    <row r="2797" spans="1:14" ht="46.8" x14ac:dyDescent="0.3">
      <c r="A2797" s="8" t="s">
        <v>1431</v>
      </c>
      <c r="B2797" s="62" t="s">
        <v>937</v>
      </c>
      <c r="C2797" s="68" t="s">
        <v>1386</v>
      </c>
      <c r="D2797" s="68" t="s">
        <v>1398</v>
      </c>
      <c r="E2797" s="8" t="s">
        <v>360</v>
      </c>
      <c r="F2797" s="8"/>
      <c r="G2797" s="18" t="s">
        <v>313</v>
      </c>
      <c r="H2797" s="14">
        <f t="shared" si="1234"/>
        <v>774.11700000000019</v>
      </c>
      <c r="I2797" s="14">
        <f t="shared" si="1234"/>
        <v>774.11699999999996</v>
      </c>
      <c r="J2797" s="14">
        <f t="shared" si="1234"/>
        <v>773.00108</v>
      </c>
      <c r="K2797" s="78">
        <f t="shared" si="1217"/>
        <v>99.855846080114503</v>
      </c>
      <c r="L2797" s="14">
        <f t="shared" si="1234"/>
        <v>0</v>
      </c>
      <c r="M2797" s="50"/>
      <c r="N2797" s="50"/>
    </row>
    <row r="2798" spans="1:14" ht="31.2" x14ac:dyDescent="0.3">
      <c r="A2798" s="8" t="s">
        <v>1431</v>
      </c>
      <c r="B2798" s="62" t="s">
        <v>937</v>
      </c>
      <c r="C2798" s="68" t="s">
        <v>1386</v>
      </c>
      <c r="D2798" s="68" t="s">
        <v>1398</v>
      </c>
      <c r="E2798" s="8" t="s">
        <v>360</v>
      </c>
      <c r="F2798" s="45" t="s">
        <v>380</v>
      </c>
      <c r="G2798" s="23" t="s">
        <v>809</v>
      </c>
      <c r="H2798" s="14">
        <f t="shared" si="1234"/>
        <v>774.11700000000019</v>
      </c>
      <c r="I2798" s="14">
        <f t="shared" si="1234"/>
        <v>774.11699999999996</v>
      </c>
      <c r="J2798" s="14">
        <f t="shared" si="1234"/>
        <v>773.00108</v>
      </c>
      <c r="K2798" s="78">
        <f t="shared" si="1217"/>
        <v>99.855846080114503</v>
      </c>
      <c r="L2798" s="14">
        <f t="shared" si="1234"/>
        <v>0</v>
      </c>
      <c r="M2798" s="50"/>
      <c r="N2798" s="50"/>
    </row>
    <row r="2799" spans="1:14" ht="31.2" x14ac:dyDescent="0.3">
      <c r="A2799" s="8" t="s">
        <v>1431</v>
      </c>
      <c r="B2799" s="62" t="s">
        <v>937</v>
      </c>
      <c r="C2799" s="68" t="s">
        <v>1386</v>
      </c>
      <c r="D2799" s="68" t="s">
        <v>1398</v>
      </c>
      <c r="E2799" s="8" t="s">
        <v>360</v>
      </c>
      <c r="F2799" s="8" t="s">
        <v>247</v>
      </c>
      <c r="G2799" s="23" t="s">
        <v>810</v>
      </c>
      <c r="H2799" s="14">
        <f>2002.4-1138.175-90.108</f>
        <v>774.11700000000019</v>
      </c>
      <c r="I2799" s="14">
        <v>774.11699999999996</v>
      </c>
      <c r="J2799" s="14">
        <v>773.00108</v>
      </c>
      <c r="K2799" s="78">
        <f t="shared" si="1217"/>
        <v>99.855846080114503</v>
      </c>
      <c r="L2799" s="14"/>
      <c r="M2799" s="50"/>
      <c r="N2799" s="50"/>
    </row>
    <row r="2800" spans="1:14" ht="62.4" x14ac:dyDescent="0.3">
      <c r="A2800" s="8" t="s">
        <v>1431</v>
      </c>
      <c r="B2800" s="62" t="s">
        <v>937</v>
      </c>
      <c r="C2800" s="68" t="s">
        <v>1386</v>
      </c>
      <c r="D2800" s="68" t="s">
        <v>1398</v>
      </c>
      <c r="E2800" s="8" t="s">
        <v>361</v>
      </c>
      <c r="F2800" s="8"/>
      <c r="G2800" s="18" t="s">
        <v>1191</v>
      </c>
      <c r="H2800" s="14">
        <f t="shared" ref="H2800:L2804" si="1235">H2801</f>
        <v>3411.9289999999996</v>
      </c>
      <c r="I2800" s="14">
        <f t="shared" si="1235"/>
        <v>3411.9290000000001</v>
      </c>
      <c r="J2800" s="14">
        <f t="shared" si="1235"/>
        <v>3411.9224399999998</v>
      </c>
      <c r="K2800" s="78">
        <f t="shared" si="1217"/>
        <v>99.999807733396551</v>
      </c>
      <c r="L2800" s="14">
        <f t="shared" si="1235"/>
        <v>0</v>
      </c>
      <c r="M2800" s="50"/>
      <c r="N2800" s="50"/>
    </row>
    <row r="2801" spans="1:14" ht="46.8" x14ac:dyDescent="0.3">
      <c r="A2801" s="8" t="s">
        <v>1431</v>
      </c>
      <c r="B2801" s="62" t="s">
        <v>937</v>
      </c>
      <c r="C2801" s="68" t="s">
        <v>1386</v>
      </c>
      <c r="D2801" s="68" t="s">
        <v>1398</v>
      </c>
      <c r="E2801" s="8" t="s">
        <v>362</v>
      </c>
      <c r="F2801" s="8"/>
      <c r="G2801" s="18" t="s">
        <v>1209</v>
      </c>
      <c r="H2801" s="14">
        <f t="shared" si="1235"/>
        <v>3411.9289999999996</v>
      </c>
      <c r="I2801" s="14">
        <f t="shared" si="1235"/>
        <v>3411.9290000000001</v>
      </c>
      <c r="J2801" s="14">
        <f t="shared" si="1235"/>
        <v>3411.9224399999998</v>
      </c>
      <c r="K2801" s="78">
        <f t="shared" si="1217"/>
        <v>99.999807733396551</v>
      </c>
      <c r="L2801" s="14">
        <f t="shared" si="1235"/>
        <v>0</v>
      </c>
      <c r="M2801" s="50"/>
      <c r="N2801" s="50"/>
    </row>
    <row r="2802" spans="1:14" ht="62.4" x14ac:dyDescent="0.3">
      <c r="A2802" s="8" t="s">
        <v>1431</v>
      </c>
      <c r="B2802" s="62" t="s">
        <v>937</v>
      </c>
      <c r="C2802" s="68" t="s">
        <v>1386</v>
      </c>
      <c r="D2802" s="68" t="s">
        <v>1398</v>
      </c>
      <c r="E2802" s="8" t="s">
        <v>363</v>
      </c>
      <c r="F2802" s="8"/>
      <c r="G2802" s="13" t="s">
        <v>1053</v>
      </c>
      <c r="H2802" s="14">
        <f t="shared" si="1235"/>
        <v>3411.9289999999996</v>
      </c>
      <c r="I2802" s="14">
        <f t="shared" si="1235"/>
        <v>3411.9290000000001</v>
      </c>
      <c r="J2802" s="14">
        <f t="shared" si="1235"/>
        <v>3411.9224399999998</v>
      </c>
      <c r="K2802" s="78">
        <f t="shared" si="1217"/>
        <v>99.999807733396551</v>
      </c>
      <c r="L2802" s="14">
        <f t="shared" si="1235"/>
        <v>0</v>
      </c>
      <c r="M2802" s="50"/>
      <c r="N2802" s="50"/>
    </row>
    <row r="2803" spans="1:14" x14ac:dyDescent="0.3">
      <c r="A2803" s="8" t="s">
        <v>1431</v>
      </c>
      <c r="B2803" s="62" t="s">
        <v>937</v>
      </c>
      <c r="C2803" s="68" t="s">
        <v>1386</v>
      </c>
      <c r="D2803" s="68" t="s">
        <v>1398</v>
      </c>
      <c r="E2803" s="8" t="s">
        <v>364</v>
      </c>
      <c r="F2803" s="8"/>
      <c r="G2803" s="13" t="s">
        <v>1054</v>
      </c>
      <c r="H2803" s="14">
        <f t="shared" si="1235"/>
        <v>3411.9289999999996</v>
      </c>
      <c r="I2803" s="14">
        <f t="shared" si="1235"/>
        <v>3411.9290000000001</v>
      </c>
      <c r="J2803" s="14">
        <f t="shared" si="1235"/>
        <v>3411.9224399999998</v>
      </c>
      <c r="K2803" s="78">
        <f t="shared" si="1217"/>
        <v>99.999807733396551</v>
      </c>
      <c r="L2803" s="14">
        <f t="shared" si="1235"/>
        <v>0</v>
      </c>
      <c r="M2803" s="50"/>
      <c r="N2803" s="50"/>
    </row>
    <row r="2804" spans="1:14" ht="31.2" x14ac:dyDescent="0.3">
      <c r="A2804" s="8" t="s">
        <v>1431</v>
      </c>
      <c r="B2804" s="62" t="s">
        <v>937</v>
      </c>
      <c r="C2804" s="68" t="s">
        <v>1386</v>
      </c>
      <c r="D2804" s="68" t="s">
        <v>1398</v>
      </c>
      <c r="E2804" s="8" t="s">
        <v>364</v>
      </c>
      <c r="F2804" s="45" t="s">
        <v>380</v>
      </c>
      <c r="G2804" s="23" t="s">
        <v>809</v>
      </c>
      <c r="H2804" s="14">
        <f t="shared" si="1235"/>
        <v>3411.9289999999996</v>
      </c>
      <c r="I2804" s="14">
        <f t="shared" si="1235"/>
        <v>3411.9290000000001</v>
      </c>
      <c r="J2804" s="14">
        <f t="shared" si="1235"/>
        <v>3411.9224399999998</v>
      </c>
      <c r="K2804" s="78">
        <f t="shared" si="1217"/>
        <v>99.999807733396551</v>
      </c>
      <c r="L2804" s="14">
        <f t="shared" si="1235"/>
        <v>0</v>
      </c>
      <c r="M2804" s="50"/>
      <c r="N2804" s="50"/>
    </row>
    <row r="2805" spans="1:14" ht="31.2" x14ac:dyDescent="0.3">
      <c r="A2805" s="8" t="s">
        <v>1431</v>
      </c>
      <c r="B2805" s="62" t="s">
        <v>937</v>
      </c>
      <c r="C2805" s="68" t="s">
        <v>1386</v>
      </c>
      <c r="D2805" s="68" t="s">
        <v>1398</v>
      </c>
      <c r="E2805" s="8" t="s">
        <v>364</v>
      </c>
      <c r="F2805" s="8" t="s">
        <v>247</v>
      </c>
      <c r="G2805" s="23" t="s">
        <v>810</v>
      </c>
      <c r="H2805" s="14">
        <f>3555.6-133.101-10.57</f>
        <v>3411.9289999999996</v>
      </c>
      <c r="I2805" s="14">
        <v>3411.9290000000001</v>
      </c>
      <c r="J2805" s="14">
        <v>3411.9224399999998</v>
      </c>
      <c r="K2805" s="78">
        <f t="shared" si="1217"/>
        <v>99.999807733396551</v>
      </c>
      <c r="L2805" s="14"/>
      <c r="M2805" s="50"/>
      <c r="N2805" s="50"/>
    </row>
    <row r="2806" spans="1:14" ht="31.2" x14ac:dyDescent="0.3">
      <c r="A2806" s="8" t="s">
        <v>1431</v>
      </c>
      <c r="B2806" s="62" t="s">
        <v>937</v>
      </c>
      <c r="C2806" s="68" t="s">
        <v>1386</v>
      </c>
      <c r="D2806" s="68" t="s">
        <v>1398</v>
      </c>
      <c r="E2806" s="8" t="s">
        <v>368</v>
      </c>
      <c r="F2806" s="8"/>
      <c r="G2806" s="13" t="s">
        <v>1079</v>
      </c>
      <c r="H2806" s="14">
        <f t="shared" ref="H2806:L2812" si="1236">H2807</f>
        <v>9236.9</v>
      </c>
      <c r="I2806" s="14">
        <f t="shared" si="1236"/>
        <v>9935.9997299999995</v>
      </c>
      <c r="J2806" s="14">
        <f t="shared" si="1236"/>
        <v>9935.9990399999988</v>
      </c>
      <c r="K2806" s="78">
        <f t="shared" si="1217"/>
        <v>99.999993055555365</v>
      </c>
      <c r="L2806" s="14">
        <f t="shared" si="1236"/>
        <v>0</v>
      </c>
      <c r="M2806" s="50"/>
      <c r="N2806" s="50"/>
    </row>
    <row r="2807" spans="1:14" ht="31.2" x14ac:dyDescent="0.3">
      <c r="A2807" s="8" t="s">
        <v>1431</v>
      </c>
      <c r="B2807" s="62" t="s">
        <v>937</v>
      </c>
      <c r="C2807" s="68" t="s">
        <v>1386</v>
      </c>
      <c r="D2807" s="68" t="s">
        <v>1398</v>
      </c>
      <c r="E2807" s="8" t="s">
        <v>369</v>
      </c>
      <c r="F2807" s="8"/>
      <c r="G2807" s="13" t="s">
        <v>1088</v>
      </c>
      <c r="H2807" s="14">
        <f t="shared" si="1236"/>
        <v>9236.9</v>
      </c>
      <c r="I2807" s="14">
        <f t="shared" si="1236"/>
        <v>9935.9997299999995</v>
      </c>
      <c r="J2807" s="14">
        <f t="shared" si="1236"/>
        <v>9935.9990399999988</v>
      </c>
      <c r="K2807" s="78">
        <f t="shared" si="1217"/>
        <v>99.999993055555365</v>
      </c>
      <c r="L2807" s="14">
        <f t="shared" si="1236"/>
        <v>0</v>
      </c>
      <c r="M2807" s="50"/>
      <c r="N2807" s="50"/>
    </row>
    <row r="2808" spans="1:14" ht="46.8" x14ac:dyDescent="0.3">
      <c r="A2808" s="8" t="s">
        <v>1431</v>
      </c>
      <c r="B2808" s="62" t="s">
        <v>937</v>
      </c>
      <c r="C2808" s="68" t="s">
        <v>1386</v>
      </c>
      <c r="D2808" s="68" t="s">
        <v>1398</v>
      </c>
      <c r="E2808" s="8" t="s">
        <v>514</v>
      </c>
      <c r="F2808" s="8"/>
      <c r="G2808" s="18" t="s">
        <v>1090</v>
      </c>
      <c r="H2808" s="14">
        <f t="shared" si="1236"/>
        <v>9236.9</v>
      </c>
      <c r="I2808" s="14">
        <f t="shared" si="1236"/>
        <v>9935.9997299999995</v>
      </c>
      <c r="J2808" s="14">
        <f t="shared" si="1236"/>
        <v>9935.9990399999988</v>
      </c>
      <c r="K2808" s="78">
        <f t="shared" si="1217"/>
        <v>99.999993055555365</v>
      </c>
      <c r="L2808" s="14">
        <f t="shared" si="1236"/>
        <v>0</v>
      </c>
      <c r="M2808" s="50"/>
      <c r="N2808" s="50"/>
    </row>
    <row r="2809" spans="1:14" ht="46.8" x14ac:dyDescent="0.3">
      <c r="A2809" s="8" t="s">
        <v>1431</v>
      </c>
      <c r="B2809" s="62" t="s">
        <v>937</v>
      </c>
      <c r="C2809" s="68" t="s">
        <v>1386</v>
      </c>
      <c r="D2809" s="68" t="s">
        <v>1398</v>
      </c>
      <c r="E2809" s="8" t="s">
        <v>69</v>
      </c>
      <c r="F2809" s="8"/>
      <c r="G2809" s="23" t="s">
        <v>1267</v>
      </c>
      <c r="H2809" s="14">
        <f>H2812+H2810</f>
        <v>9236.9</v>
      </c>
      <c r="I2809" s="14">
        <f t="shared" ref="I2809:L2809" si="1237">I2812+I2810</f>
        <v>9935.9997299999995</v>
      </c>
      <c r="J2809" s="14">
        <f t="shared" si="1237"/>
        <v>9935.9990399999988</v>
      </c>
      <c r="K2809" s="78">
        <f t="shared" si="1217"/>
        <v>99.999993055555365</v>
      </c>
      <c r="L2809" s="14">
        <f t="shared" si="1237"/>
        <v>0</v>
      </c>
      <c r="M2809" s="50"/>
      <c r="N2809" s="50"/>
    </row>
    <row r="2810" spans="1:14" ht="31.2" x14ac:dyDescent="0.3">
      <c r="A2810" s="8" t="s">
        <v>1431</v>
      </c>
      <c r="B2810" s="62" t="s">
        <v>937</v>
      </c>
      <c r="C2810" s="68" t="s">
        <v>1386</v>
      </c>
      <c r="D2810" s="68" t="s">
        <v>1398</v>
      </c>
      <c r="E2810" s="8" t="s">
        <v>69</v>
      </c>
      <c r="F2810" s="8" t="s">
        <v>402</v>
      </c>
      <c r="G2810" s="23" t="s">
        <v>819</v>
      </c>
      <c r="H2810" s="14">
        <f>H2811</f>
        <v>0</v>
      </c>
      <c r="I2810" s="14">
        <f t="shared" ref="I2810:L2810" si="1238">I2811</f>
        <v>2625.8260799999998</v>
      </c>
      <c r="J2810" s="14">
        <f t="shared" si="1238"/>
        <v>2625.8260799999998</v>
      </c>
      <c r="K2810" s="78">
        <f t="shared" si="1217"/>
        <v>100</v>
      </c>
      <c r="L2810" s="14">
        <f t="shared" si="1238"/>
        <v>0</v>
      </c>
      <c r="M2810" s="50"/>
      <c r="N2810" s="50"/>
    </row>
    <row r="2811" spans="1:14" ht="46.8" x14ac:dyDescent="0.3">
      <c r="A2811" s="8" t="s">
        <v>1431</v>
      </c>
      <c r="B2811" s="62" t="s">
        <v>937</v>
      </c>
      <c r="C2811" s="68" t="s">
        <v>1386</v>
      </c>
      <c r="D2811" s="68" t="s">
        <v>1398</v>
      </c>
      <c r="E2811" s="8" t="s">
        <v>69</v>
      </c>
      <c r="F2811" s="8" t="s">
        <v>280</v>
      </c>
      <c r="G2811" s="23" t="s">
        <v>821</v>
      </c>
      <c r="H2811" s="19">
        <v>0</v>
      </c>
      <c r="I2811" s="14">
        <v>2625.8260799999998</v>
      </c>
      <c r="J2811" s="20">
        <v>2625.8260799999998</v>
      </c>
      <c r="K2811" s="77">
        <f t="shared" si="1217"/>
        <v>100</v>
      </c>
      <c r="L2811" s="14"/>
      <c r="M2811" s="50"/>
      <c r="N2811" s="50"/>
    </row>
    <row r="2812" spans="1:14" x14ac:dyDescent="0.3">
      <c r="A2812" s="8" t="s">
        <v>1431</v>
      </c>
      <c r="B2812" s="62" t="s">
        <v>937</v>
      </c>
      <c r="C2812" s="68" t="s">
        <v>1386</v>
      </c>
      <c r="D2812" s="68" t="s">
        <v>1398</v>
      </c>
      <c r="E2812" s="8" t="s">
        <v>69</v>
      </c>
      <c r="F2812" s="45" t="s">
        <v>464</v>
      </c>
      <c r="G2812" s="23" t="s">
        <v>822</v>
      </c>
      <c r="H2812" s="14">
        <f t="shared" si="1236"/>
        <v>9236.9</v>
      </c>
      <c r="I2812" s="14">
        <f t="shared" si="1236"/>
        <v>7310.1736499999997</v>
      </c>
      <c r="J2812" s="14">
        <f t="shared" si="1236"/>
        <v>7310.1729599999999</v>
      </c>
      <c r="K2812" s="78">
        <f t="shared" si="1217"/>
        <v>99.999990561099736</v>
      </c>
      <c r="L2812" s="14">
        <f t="shared" si="1236"/>
        <v>0</v>
      </c>
      <c r="M2812" s="50"/>
      <c r="N2812" s="50"/>
    </row>
    <row r="2813" spans="1:14" ht="62.4" x14ac:dyDescent="0.3">
      <c r="A2813" s="8" t="s">
        <v>1431</v>
      </c>
      <c r="B2813" s="62" t="s">
        <v>937</v>
      </c>
      <c r="C2813" s="68" t="s">
        <v>1386</v>
      </c>
      <c r="D2813" s="68" t="s">
        <v>1398</v>
      </c>
      <c r="E2813" s="8" t="s">
        <v>69</v>
      </c>
      <c r="F2813" s="45" t="s">
        <v>727</v>
      </c>
      <c r="G2813" s="18" t="s">
        <v>830</v>
      </c>
      <c r="H2813" s="14">
        <v>9236.9</v>
      </c>
      <c r="I2813" s="14">
        <v>7310.1736499999997</v>
      </c>
      <c r="J2813" s="14">
        <v>7310.1729599999999</v>
      </c>
      <c r="K2813" s="78">
        <f t="shared" si="1217"/>
        <v>99.999990561099736</v>
      </c>
      <c r="L2813" s="14"/>
      <c r="M2813" s="50"/>
      <c r="N2813" s="50"/>
    </row>
    <row r="2814" spans="1:14" ht="31.2" x14ac:dyDescent="0.3">
      <c r="A2814" s="8" t="s">
        <v>1431</v>
      </c>
      <c r="B2814" s="62" t="s">
        <v>937</v>
      </c>
      <c r="C2814" s="68" t="s">
        <v>1386</v>
      </c>
      <c r="D2814" s="68" t="s">
        <v>1398</v>
      </c>
      <c r="E2814" s="8" t="s">
        <v>429</v>
      </c>
      <c r="F2814" s="45"/>
      <c r="G2814" s="23" t="s">
        <v>1140</v>
      </c>
      <c r="H2814" s="14">
        <f t="shared" ref="H2814:L2816" si="1239">H2815</f>
        <v>338.00900000000001</v>
      </c>
      <c r="I2814" s="14">
        <f t="shared" si="1239"/>
        <v>5044.2039300000006</v>
      </c>
      <c r="J2814" s="14">
        <f t="shared" si="1239"/>
        <v>4307.8050199999998</v>
      </c>
      <c r="K2814" s="78">
        <f t="shared" si="1217"/>
        <v>85.401087659832172</v>
      </c>
      <c r="L2814" s="14">
        <f t="shared" si="1239"/>
        <v>0</v>
      </c>
      <c r="M2814" s="50"/>
      <c r="N2814" s="50"/>
    </row>
    <row r="2815" spans="1:14" ht="46.8" x14ac:dyDescent="0.3">
      <c r="A2815" s="8" t="s">
        <v>1431</v>
      </c>
      <c r="B2815" s="62" t="s">
        <v>937</v>
      </c>
      <c r="C2815" s="68" t="s">
        <v>1386</v>
      </c>
      <c r="D2815" s="68" t="s">
        <v>1398</v>
      </c>
      <c r="E2815" s="8" t="s">
        <v>535</v>
      </c>
      <c r="F2815" s="45"/>
      <c r="G2815" s="31" t="s">
        <v>176</v>
      </c>
      <c r="H2815" s="14">
        <f t="shared" si="1239"/>
        <v>338.00900000000001</v>
      </c>
      <c r="I2815" s="14">
        <f>I2816+I2818</f>
        <v>5044.2039300000006</v>
      </c>
      <c r="J2815" s="14">
        <f t="shared" ref="J2815:L2815" si="1240">J2816+J2818</f>
        <v>4307.8050199999998</v>
      </c>
      <c r="K2815" s="78">
        <f t="shared" si="1217"/>
        <v>85.401087659832172</v>
      </c>
      <c r="L2815" s="14">
        <f t="shared" si="1240"/>
        <v>0</v>
      </c>
      <c r="M2815" s="50"/>
      <c r="N2815" s="50"/>
    </row>
    <row r="2816" spans="1:14" ht="31.2" x14ac:dyDescent="0.3">
      <c r="A2816" s="8" t="s">
        <v>1431</v>
      </c>
      <c r="B2816" s="62" t="s">
        <v>937</v>
      </c>
      <c r="C2816" s="68" t="s">
        <v>1386</v>
      </c>
      <c r="D2816" s="68" t="s">
        <v>1398</v>
      </c>
      <c r="E2816" s="8" t="s">
        <v>535</v>
      </c>
      <c r="F2816" s="45" t="s">
        <v>380</v>
      </c>
      <c r="G2816" s="23" t="s">
        <v>809</v>
      </c>
      <c r="H2816" s="14">
        <f t="shared" si="1239"/>
        <v>338.00900000000001</v>
      </c>
      <c r="I2816" s="14">
        <f t="shared" si="1239"/>
        <v>5025.1139300000004</v>
      </c>
      <c r="J2816" s="14">
        <f t="shared" si="1239"/>
        <v>4307.8050199999998</v>
      </c>
      <c r="K2816" s="78">
        <f t="shared" si="1217"/>
        <v>85.725519461008503</v>
      </c>
      <c r="L2816" s="14">
        <f t="shared" si="1239"/>
        <v>0</v>
      </c>
      <c r="M2816" s="50"/>
      <c r="N2816" s="50"/>
    </row>
    <row r="2817" spans="1:14" ht="31.2" x14ac:dyDescent="0.3">
      <c r="A2817" s="8" t="s">
        <v>1431</v>
      </c>
      <c r="B2817" s="62" t="s">
        <v>937</v>
      </c>
      <c r="C2817" s="68" t="s">
        <v>1386</v>
      </c>
      <c r="D2817" s="68" t="s">
        <v>1398</v>
      </c>
      <c r="E2817" s="8" t="s">
        <v>535</v>
      </c>
      <c r="F2817" s="8" t="s">
        <v>247</v>
      </c>
      <c r="G2817" s="23" t="s">
        <v>810</v>
      </c>
      <c r="H2817" s="14">
        <v>338.00900000000001</v>
      </c>
      <c r="I2817" s="14">
        <v>5025.1139300000004</v>
      </c>
      <c r="J2817" s="14">
        <v>4307.8050199999998</v>
      </c>
      <c r="K2817" s="78">
        <f t="shared" si="1217"/>
        <v>85.725519461008503</v>
      </c>
      <c r="L2817" s="14"/>
      <c r="M2817" s="50"/>
      <c r="N2817" s="50"/>
    </row>
    <row r="2818" spans="1:14" x14ac:dyDescent="0.3">
      <c r="A2818" s="8" t="s">
        <v>1431</v>
      </c>
      <c r="B2818" s="62" t="s">
        <v>937</v>
      </c>
      <c r="C2818" s="68" t="s">
        <v>1386</v>
      </c>
      <c r="D2818" s="68" t="s">
        <v>1398</v>
      </c>
      <c r="E2818" s="8" t="s">
        <v>535</v>
      </c>
      <c r="F2818" s="45" t="s">
        <v>464</v>
      </c>
      <c r="G2818" s="23" t="s">
        <v>822</v>
      </c>
      <c r="H2818" s="20">
        <v>0</v>
      </c>
      <c r="I2818" s="14">
        <f>I2819</f>
        <v>19.09</v>
      </c>
      <c r="J2818" s="14">
        <f t="shared" ref="J2818:L2818" si="1241">J2819</f>
        <v>0</v>
      </c>
      <c r="K2818" s="78">
        <f t="shared" si="1217"/>
        <v>0</v>
      </c>
      <c r="L2818" s="14">
        <f t="shared" si="1241"/>
        <v>0</v>
      </c>
      <c r="M2818" s="50"/>
      <c r="N2818" s="50"/>
    </row>
    <row r="2819" spans="1:14" ht="62.4" x14ac:dyDescent="0.3">
      <c r="A2819" s="8" t="s">
        <v>1431</v>
      </c>
      <c r="B2819" s="62" t="s">
        <v>937</v>
      </c>
      <c r="C2819" s="68" t="s">
        <v>1386</v>
      </c>
      <c r="D2819" s="68" t="s">
        <v>1398</v>
      </c>
      <c r="E2819" s="8" t="s">
        <v>535</v>
      </c>
      <c r="F2819" s="45" t="s">
        <v>727</v>
      </c>
      <c r="G2819" s="18" t="s">
        <v>830</v>
      </c>
      <c r="H2819" s="20">
        <v>0</v>
      </c>
      <c r="I2819" s="14">
        <v>19.09</v>
      </c>
      <c r="J2819" s="14">
        <v>0</v>
      </c>
      <c r="K2819" s="78">
        <f t="shared" si="1217"/>
        <v>0</v>
      </c>
      <c r="L2819" s="14"/>
      <c r="M2819" s="50"/>
      <c r="N2819" s="50"/>
    </row>
    <row r="2820" spans="1:14" s="9" customFormat="1" x14ac:dyDescent="0.3">
      <c r="A2820" s="11" t="s">
        <v>1431</v>
      </c>
      <c r="B2820" s="48" t="s">
        <v>918</v>
      </c>
      <c r="C2820" s="48" t="s">
        <v>1386</v>
      </c>
      <c r="D2820" s="48" t="s">
        <v>1479</v>
      </c>
      <c r="E2820" s="11"/>
      <c r="F2820" s="11"/>
      <c r="G2820" s="7" t="s">
        <v>1389</v>
      </c>
      <c r="H2820" s="16">
        <f>H2835+H2821+H2830</f>
        <v>751.24199999999996</v>
      </c>
      <c r="I2820" s="16">
        <f>I2835+I2821+I2830+I2840</f>
        <v>954.24199999999996</v>
      </c>
      <c r="J2820" s="16">
        <f t="shared" ref="J2820:L2820" si="1242">J2835+J2821+J2830+J2840</f>
        <v>825.90193999999997</v>
      </c>
      <c r="K2820" s="82">
        <f t="shared" si="1217"/>
        <v>86.550575220960724</v>
      </c>
      <c r="L2820" s="16">
        <f t="shared" si="1242"/>
        <v>0</v>
      </c>
      <c r="M2820" s="65"/>
      <c r="N2820" s="65"/>
    </row>
    <row r="2821" spans="1:14" ht="31.2" x14ac:dyDescent="0.3">
      <c r="A2821" s="8" t="s">
        <v>1431</v>
      </c>
      <c r="B2821" s="62" t="s">
        <v>918</v>
      </c>
      <c r="C2821" s="68" t="s">
        <v>1386</v>
      </c>
      <c r="D2821" s="68" t="s">
        <v>1479</v>
      </c>
      <c r="E2821" s="8" t="s">
        <v>438</v>
      </c>
      <c r="F2821" s="8"/>
      <c r="G2821" s="18" t="s">
        <v>891</v>
      </c>
      <c r="H2821" s="14">
        <f t="shared" ref="H2821:L2825" si="1243">H2822</f>
        <v>189.73199999999997</v>
      </c>
      <c r="I2821" s="14">
        <f t="shared" si="1243"/>
        <v>189.732</v>
      </c>
      <c r="J2821" s="14">
        <f t="shared" si="1243"/>
        <v>61.393279999999997</v>
      </c>
      <c r="K2821" s="78">
        <f t="shared" si="1217"/>
        <v>32.357894293002758</v>
      </c>
      <c r="L2821" s="14">
        <f t="shared" si="1243"/>
        <v>0</v>
      </c>
      <c r="M2821" s="50"/>
      <c r="N2821" s="50"/>
    </row>
    <row r="2822" spans="1:14" ht="46.8" x14ac:dyDescent="0.3">
      <c r="A2822" s="8" t="s">
        <v>1431</v>
      </c>
      <c r="B2822" s="62" t="s">
        <v>918</v>
      </c>
      <c r="C2822" s="68" t="s">
        <v>1386</v>
      </c>
      <c r="D2822" s="68" t="s">
        <v>1479</v>
      </c>
      <c r="E2822" s="8" t="s">
        <v>439</v>
      </c>
      <c r="F2822" s="8"/>
      <c r="G2822" s="18" t="s">
        <v>119</v>
      </c>
      <c r="H2822" s="14">
        <f t="shared" si="1243"/>
        <v>189.73199999999997</v>
      </c>
      <c r="I2822" s="14">
        <f t="shared" si="1243"/>
        <v>189.732</v>
      </c>
      <c r="J2822" s="14">
        <f t="shared" si="1243"/>
        <v>61.393279999999997</v>
      </c>
      <c r="K2822" s="78">
        <f t="shared" si="1217"/>
        <v>32.357894293002758</v>
      </c>
      <c r="L2822" s="14">
        <f t="shared" si="1243"/>
        <v>0</v>
      </c>
      <c r="M2822" s="50"/>
      <c r="N2822" s="50"/>
    </row>
    <row r="2823" spans="1:14" ht="46.8" x14ac:dyDescent="0.3">
      <c r="A2823" s="8" t="s">
        <v>1431</v>
      </c>
      <c r="B2823" s="62" t="s">
        <v>918</v>
      </c>
      <c r="C2823" s="68" t="s">
        <v>1386</v>
      </c>
      <c r="D2823" s="68" t="s">
        <v>1479</v>
      </c>
      <c r="E2823" s="8" t="s">
        <v>440</v>
      </c>
      <c r="F2823" s="8"/>
      <c r="G2823" s="18" t="s">
        <v>120</v>
      </c>
      <c r="H2823" s="14">
        <f>H2824+H2827</f>
        <v>189.73199999999997</v>
      </c>
      <c r="I2823" s="14">
        <f>I2824+I2827</f>
        <v>189.732</v>
      </c>
      <c r="J2823" s="14">
        <f t="shared" ref="J2823" si="1244">J2824+J2827</f>
        <v>61.393279999999997</v>
      </c>
      <c r="K2823" s="78">
        <f t="shared" si="1217"/>
        <v>32.357894293002758</v>
      </c>
      <c r="L2823" s="14">
        <f>L2824+L2827</f>
        <v>0</v>
      </c>
      <c r="M2823" s="50"/>
      <c r="N2823" s="50"/>
    </row>
    <row r="2824" spans="1:14" ht="46.8" x14ac:dyDescent="0.3">
      <c r="A2824" s="8" t="s">
        <v>1431</v>
      </c>
      <c r="B2824" s="62" t="s">
        <v>918</v>
      </c>
      <c r="C2824" s="68" t="s">
        <v>1386</v>
      </c>
      <c r="D2824" s="68" t="s">
        <v>1479</v>
      </c>
      <c r="E2824" s="8" t="s">
        <v>441</v>
      </c>
      <c r="F2824" s="8"/>
      <c r="G2824" s="18" t="s">
        <v>761</v>
      </c>
      <c r="H2824" s="14">
        <f t="shared" si="1243"/>
        <v>124.53199999999998</v>
      </c>
      <c r="I2824" s="14">
        <f t="shared" si="1243"/>
        <v>124.532</v>
      </c>
      <c r="J2824" s="14">
        <f t="shared" si="1243"/>
        <v>17.006239999999998</v>
      </c>
      <c r="K2824" s="78">
        <f t="shared" ref="K2824:K2887" si="1245">J2824/I2824*100</f>
        <v>13.656120515208942</v>
      </c>
      <c r="L2824" s="14">
        <f t="shared" si="1243"/>
        <v>0</v>
      </c>
      <c r="M2824" s="50"/>
      <c r="N2824" s="50"/>
    </row>
    <row r="2825" spans="1:14" ht="31.2" x14ac:dyDescent="0.3">
      <c r="A2825" s="8" t="s">
        <v>1431</v>
      </c>
      <c r="B2825" s="62" t="s">
        <v>918</v>
      </c>
      <c r="C2825" s="68" t="s">
        <v>1386</v>
      </c>
      <c r="D2825" s="68" t="s">
        <v>1479</v>
      </c>
      <c r="E2825" s="8" t="s">
        <v>441</v>
      </c>
      <c r="F2825" s="45" t="s">
        <v>380</v>
      </c>
      <c r="G2825" s="23" t="s">
        <v>809</v>
      </c>
      <c r="H2825" s="14">
        <f t="shared" si="1243"/>
        <v>124.53199999999998</v>
      </c>
      <c r="I2825" s="14">
        <f t="shared" si="1243"/>
        <v>124.532</v>
      </c>
      <c r="J2825" s="14">
        <f t="shared" si="1243"/>
        <v>17.006239999999998</v>
      </c>
      <c r="K2825" s="78">
        <f t="shared" si="1245"/>
        <v>13.656120515208942</v>
      </c>
      <c r="L2825" s="14">
        <f t="shared" si="1243"/>
        <v>0</v>
      </c>
      <c r="M2825" s="50"/>
      <c r="N2825" s="50"/>
    </row>
    <row r="2826" spans="1:14" ht="31.2" x14ac:dyDescent="0.3">
      <c r="A2826" s="8" t="s">
        <v>1431</v>
      </c>
      <c r="B2826" s="62" t="s">
        <v>918</v>
      </c>
      <c r="C2826" s="68" t="s">
        <v>1386</v>
      </c>
      <c r="D2826" s="68" t="s">
        <v>1479</v>
      </c>
      <c r="E2826" s="8" t="s">
        <v>441</v>
      </c>
      <c r="F2826" s="8" t="s">
        <v>247</v>
      </c>
      <c r="G2826" s="23" t="s">
        <v>810</v>
      </c>
      <c r="H2826" s="14">
        <f>238.7-114.168</f>
        <v>124.53199999999998</v>
      </c>
      <c r="I2826" s="14">
        <v>124.532</v>
      </c>
      <c r="J2826" s="14">
        <v>17.006239999999998</v>
      </c>
      <c r="K2826" s="78">
        <f t="shared" si="1245"/>
        <v>13.656120515208942</v>
      </c>
      <c r="L2826" s="14"/>
      <c r="M2826" s="50"/>
      <c r="N2826" s="50"/>
    </row>
    <row r="2827" spans="1:14" ht="31.2" x14ac:dyDescent="0.3">
      <c r="A2827" s="8" t="s">
        <v>1431</v>
      </c>
      <c r="B2827" s="62" t="s">
        <v>918</v>
      </c>
      <c r="C2827" s="68" t="s">
        <v>1386</v>
      </c>
      <c r="D2827" s="68" t="s">
        <v>1479</v>
      </c>
      <c r="E2827" s="8" t="s">
        <v>246</v>
      </c>
      <c r="F2827" s="8"/>
      <c r="G2827" s="23" t="s">
        <v>305</v>
      </c>
      <c r="H2827" s="14">
        <f t="shared" ref="H2827:L2828" si="1246">H2828</f>
        <v>65.2</v>
      </c>
      <c r="I2827" s="14">
        <f t="shared" si="1246"/>
        <v>65.2</v>
      </c>
      <c r="J2827" s="14">
        <f t="shared" si="1246"/>
        <v>44.387039999999999</v>
      </c>
      <c r="K2827" s="78">
        <f t="shared" si="1245"/>
        <v>68.078282208588945</v>
      </c>
      <c r="L2827" s="14">
        <f t="shared" si="1246"/>
        <v>0</v>
      </c>
      <c r="M2827" s="50"/>
      <c r="N2827" s="50"/>
    </row>
    <row r="2828" spans="1:14" ht="31.2" x14ac:dyDescent="0.3">
      <c r="A2828" s="8" t="s">
        <v>1431</v>
      </c>
      <c r="B2828" s="62" t="s">
        <v>918</v>
      </c>
      <c r="C2828" s="68" t="s">
        <v>1386</v>
      </c>
      <c r="D2828" s="68" t="s">
        <v>1479</v>
      </c>
      <c r="E2828" s="8" t="s">
        <v>246</v>
      </c>
      <c r="F2828" s="45" t="s">
        <v>380</v>
      </c>
      <c r="G2828" s="23" t="s">
        <v>809</v>
      </c>
      <c r="H2828" s="14">
        <f t="shared" si="1246"/>
        <v>65.2</v>
      </c>
      <c r="I2828" s="14">
        <f t="shared" si="1246"/>
        <v>65.2</v>
      </c>
      <c r="J2828" s="14">
        <f t="shared" si="1246"/>
        <v>44.387039999999999</v>
      </c>
      <c r="K2828" s="78">
        <f t="shared" si="1245"/>
        <v>68.078282208588945</v>
      </c>
      <c r="L2828" s="14">
        <f t="shared" si="1246"/>
        <v>0</v>
      </c>
      <c r="M2828" s="50"/>
      <c r="N2828" s="50"/>
    </row>
    <row r="2829" spans="1:14" ht="31.2" x14ac:dyDescent="0.3">
      <c r="A2829" s="8" t="s">
        <v>1431</v>
      </c>
      <c r="B2829" s="62" t="s">
        <v>918</v>
      </c>
      <c r="C2829" s="68" t="s">
        <v>1386</v>
      </c>
      <c r="D2829" s="68" t="s">
        <v>1479</v>
      </c>
      <c r="E2829" s="8" t="s">
        <v>246</v>
      </c>
      <c r="F2829" s="8" t="s">
        <v>247</v>
      </c>
      <c r="G2829" s="23" t="s">
        <v>810</v>
      </c>
      <c r="H2829" s="14">
        <v>65.2</v>
      </c>
      <c r="I2829" s="14">
        <v>65.2</v>
      </c>
      <c r="J2829" s="14">
        <v>44.387039999999999</v>
      </c>
      <c r="K2829" s="78">
        <f t="shared" si="1245"/>
        <v>68.078282208588945</v>
      </c>
      <c r="L2829" s="14"/>
      <c r="M2829" s="50"/>
      <c r="N2829" s="50"/>
    </row>
    <row r="2830" spans="1:14" ht="62.4" x14ac:dyDescent="0.3">
      <c r="A2830" s="8" t="s">
        <v>1431</v>
      </c>
      <c r="B2830" s="62" t="s">
        <v>918</v>
      </c>
      <c r="C2830" s="68" t="s">
        <v>1386</v>
      </c>
      <c r="D2830" s="68" t="s">
        <v>1479</v>
      </c>
      <c r="E2830" s="8" t="s">
        <v>358</v>
      </c>
      <c r="F2830" s="8"/>
      <c r="G2830" s="13" t="s">
        <v>1040</v>
      </c>
      <c r="H2830" s="14">
        <f t="shared" ref="H2830:L2833" si="1247">H2831</f>
        <v>158.78299999999999</v>
      </c>
      <c r="I2830" s="14">
        <f t="shared" si="1247"/>
        <v>158.78299999999999</v>
      </c>
      <c r="J2830" s="14">
        <f t="shared" si="1247"/>
        <v>158.78205</v>
      </c>
      <c r="K2830" s="78">
        <f t="shared" si="1245"/>
        <v>99.999401699174356</v>
      </c>
      <c r="L2830" s="14">
        <f t="shared" si="1247"/>
        <v>0</v>
      </c>
      <c r="M2830" s="50"/>
      <c r="N2830" s="50"/>
    </row>
    <row r="2831" spans="1:14" ht="31.2" x14ac:dyDescent="0.3">
      <c r="A2831" s="8" t="s">
        <v>1431</v>
      </c>
      <c r="B2831" s="62" t="s">
        <v>918</v>
      </c>
      <c r="C2831" s="68" t="s">
        <v>1386</v>
      </c>
      <c r="D2831" s="68" t="s">
        <v>1479</v>
      </c>
      <c r="E2831" s="8" t="s">
        <v>359</v>
      </c>
      <c r="F2831" s="8"/>
      <c r="G2831" s="13" t="s">
        <v>1041</v>
      </c>
      <c r="H2831" s="14">
        <f t="shared" si="1247"/>
        <v>158.78299999999999</v>
      </c>
      <c r="I2831" s="14">
        <f t="shared" si="1247"/>
        <v>158.78299999999999</v>
      </c>
      <c r="J2831" s="14">
        <f t="shared" si="1247"/>
        <v>158.78205</v>
      </c>
      <c r="K2831" s="78">
        <f t="shared" si="1245"/>
        <v>99.999401699174356</v>
      </c>
      <c r="L2831" s="14">
        <f t="shared" si="1247"/>
        <v>0</v>
      </c>
      <c r="M2831" s="50"/>
      <c r="N2831" s="50"/>
    </row>
    <row r="2832" spans="1:14" ht="46.8" x14ac:dyDescent="0.3">
      <c r="A2832" s="8" t="s">
        <v>1431</v>
      </c>
      <c r="B2832" s="62" t="s">
        <v>918</v>
      </c>
      <c r="C2832" s="68" t="s">
        <v>1386</v>
      </c>
      <c r="D2832" s="68" t="s">
        <v>1479</v>
      </c>
      <c r="E2832" s="8" t="s">
        <v>1237</v>
      </c>
      <c r="F2832" s="8"/>
      <c r="G2832" s="18" t="s">
        <v>316</v>
      </c>
      <c r="H2832" s="14">
        <f t="shared" si="1247"/>
        <v>158.78299999999999</v>
      </c>
      <c r="I2832" s="14">
        <f t="shared" si="1247"/>
        <v>158.78299999999999</v>
      </c>
      <c r="J2832" s="14">
        <f t="shared" si="1247"/>
        <v>158.78205</v>
      </c>
      <c r="K2832" s="78">
        <f t="shared" si="1245"/>
        <v>99.999401699174356</v>
      </c>
      <c r="L2832" s="14">
        <f t="shared" si="1247"/>
        <v>0</v>
      </c>
      <c r="M2832" s="50"/>
      <c r="N2832" s="50"/>
    </row>
    <row r="2833" spans="1:14" ht="31.2" x14ac:dyDescent="0.3">
      <c r="A2833" s="8" t="s">
        <v>1431</v>
      </c>
      <c r="B2833" s="62" t="s">
        <v>918</v>
      </c>
      <c r="C2833" s="68" t="s">
        <v>1386</v>
      </c>
      <c r="D2833" s="68" t="s">
        <v>1479</v>
      </c>
      <c r="E2833" s="8" t="s">
        <v>1237</v>
      </c>
      <c r="F2833" s="45" t="s">
        <v>380</v>
      </c>
      <c r="G2833" s="23" t="s">
        <v>809</v>
      </c>
      <c r="H2833" s="14">
        <f t="shared" si="1247"/>
        <v>158.78299999999999</v>
      </c>
      <c r="I2833" s="14">
        <f t="shared" si="1247"/>
        <v>158.78299999999999</v>
      </c>
      <c r="J2833" s="14">
        <f t="shared" si="1247"/>
        <v>158.78205</v>
      </c>
      <c r="K2833" s="78">
        <f t="shared" si="1245"/>
        <v>99.999401699174356</v>
      </c>
      <c r="L2833" s="14">
        <f t="shared" si="1247"/>
        <v>0</v>
      </c>
      <c r="M2833" s="50"/>
      <c r="N2833" s="50"/>
    </row>
    <row r="2834" spans="1:14" ht="31.2" x14ac:dyDescent="0.3">
      <c r="A2834" s="8" t="s">
        <v>1431</v>
      </c>
      <c r="B2834" s="62" t="s">
        <v>918</v>
      </c>
      <c r="C2834" s="68" t="s">
        <v>1386</v>
      </c>
      <c r="D2834" s="68" t="s">
        <v>1479</v>
      </c>
      <c r="E2834" s="8" t="s">
        <v>1237</v>
      </c>
      <c r="F2834" s="8" t="s">
        <v>247</v>
      </c>
      <c r="G2834" s="23" t="s">
        <v>810</v>
      </c>
      <c r="H2834" s="14">
        <f>191.7-32.917</f>
        <v>158.78299999999999</v>
      </c>
      <c r="I2834" s="14">
        <v>158.78299999999999</v>
      </c>
      <c r="J2834" s="14">
        <v>158.78205</v>
      </c>
      <c r="K2834" s="78">
        <f t="shared" si="1245"/>
        <v>99.999401699174356</v>
      </c>
      <c r="L2834" s="14"/>
      <c r="M2834" s="50"/>
      <c r="N2834" s="50"/>
    </row>
    <row r="2835" spans="1:14" ht="31.2" x14ac:dyDescent="0.3">
      <c r="A2835" s="8" t="s">
        <v>1431</v>
      </c>
      <c r="B2835" s="62" t="s">
        <v>918</v>
      </c>
      <c r="C2835" s="68" t="s">
        <v>1386</v>
      </c>
      <c r="D2835" s="68" t="s">
        <v>1479</v>
      </c>
      <c r="E2835" s="8" t="s">
        <v>365</v>
      </c>
      <c r="F2835" s="8"/>
      <c r="G2835" s="13" t="s">
        <v>831</v>
      </c>
      <c r="H2835" s="14">
        <f t="shared" ref="H2835:L2838" si="1248">H2836</f>
        <v>402.72699999999998</v>
      </c>
      <c r="I2835" s="14">
        <f t="shared" si="1248"/>
        <v>402.72699999999998</v>
      </c>
      <c r="J2835" s="14">
        <f t="shared" si="1248"/>
        <v>402.72660999999999</v>
      </c>
      <c r="K2835" s="78">
        <f t="shared" si="1245"/>
        <v>99.999903160205307</v>
      </c>
      <c r="L2835" s="14">
        <f t="shared" si="1248"/>
        <v>0</v>
      </c>
      <c r="M2835" s="50"/>
      <c r="N2835" s="50"/>
    </row>
    <row r="2836" spans="1:14" ht="31.2" x14ac:dyDescent="0.3">
      <c r="A2836" s="8" t="s">
        <v>1431</v>
      </c>
      <c r="B2836" s="62" t="s">
        <v>918</v>
      </c>
      <c r="C2836" s="68" t="s">
        <v>1386</v>
      </c>
      <c r="D2836" s="68" t="s">
        <v>1479</v>
      </c>
      <c r="E2836" s="8" t="s">
        <v>366</v>
      </c>
      <c r="F2836" s="8"/>
      <c r="G2836" s="13" t="s">
        <v>834</v>
      </c>
      <c r="H2836" s="14">
        <f t="shared" si="1248"/>
        <v>402.72699999999998</v>
      </c>
      <c r="I2836" s="14">
        <f t="shared" si="1248"/>
        <v>402.72699999999998</v>
      </c>
      <c r="J2836" s="14">
        <f t="shared" si="1248"/>
        <v>402.72660999999999</v>
      </c>
      <c r="K2836" s="78">
        <f t="shared" si="1245"/>
        <v>99.999903160205307</v>
      </c>
      <c r="L2836" s="14">
        <f t="shared" si="1248"/>
        <v>0</v>
      </c>
      <c r="M2836" s="50"/>
      <c r="N2836" s="50"/>
    </row>
    <row r="2837" spans="1:14" ht="62.4" x14ac:dyDescent="0.3">
      <c r="A2837" s="8" t="s">
        <v>1431</v>
      </c>
      <c r="B2837" s="62" t="s">
        <v>918</v>
      </c>
      <c r="C2837" s="68" t="s">
        <v>1386</v>
      </c>
      <c r="D2837" s="68" t="s">
        <v>1479</v>
      </c>
      <c r="E2837" s="8" t="s">
        <v>367</v>
      </c>
      <c r="F2837" s="8"/>
      <c r="G2837" s="13" t="s">
        <v>139</v>
      </c>
      <c r="H2837" s="14">
        <f t="shared" si="1248"/>
        <v>402.72699999999998</v>
      </c>
      <c r="I2837" s="14">
        <f t="shared" si="1248"/>
        <v>402.72699999999998</v>
      </c>
      <c r="J2837" s="14">
        <f t="shared" si="1248"/>
        <v>402.72660999999999</v>
      </c>
      <c r="K2837" s="78">
        <f t="shared" si="1245"/>
        <v>99.999903160205307</v>
      </c>
      <c r="L2837" s="14">
        <f t="shared" si="1248"/>
        <v>0</v>
      </c>
      <c r="M2837" s="50"/>
      <c r="N2837" s="50"/>
    </row>
    <row r="2838" spans="1:14" ht="31.2" x14ac:dyDescent="0.3">
      <c r="A2838" s="8" t="s">
        <v>1431</v>
      </c>
      <c r="B2838" s="62" t="s">
        <v>918</v>
      </c>
      <c r="C2838" s="68" t="s">
        <v>1386</v>
      </c>
      <c r="D2838" s="68" t="s">
        <v>1479</v>
      </c>
      <c r="E2838" s="8" t="s">
        <v>367</v>
      </c>
      <c r="F2838" s="45" t="s">
        <v>380</v>
      </c>
      <c r="G2838" s="23" t="s">
        <v>809</v>
      </c>
      <c r="H2838" s="14">
        <f t="shared" si="1248"/>
        <v>402.72699999999998</v>
      </c>
      <c r="I2838" s="14">
        <f t="shared" si="1248"/>
        <v>402.72699999999998</v>
      </c>
      <c r="J2838" s="14">
        <f t="shared" si="1248"/>
        <v>402.72660999999999</v>
      </c>
      <c r="K2838" s="78">
        <f t="shared" si="1245"/>
        <v>99.999903160205307</v>
      </c>
      <c r="L2838" s="14">
        <f t="shared" si="1248"/>
        <v>0</v>
      </c>
      <c r="M2838" s="50"/>
      <c r="N2838" s="50"/>
    </row>
    <row r="2839" spans="1:14" ht="31.2" x14ac:dyDescent="0.3">
      <c r="A2839" s="8" t="s">
        <v>1431</v>
      </c>
      <c r="B2839" s="62" t="s">
        <v>918</v>
      </c>
      <c r="C2839" s="68" t="s">
        <v>1386</v>
      </c>
      <c r="D2839" s="68" t="s">
        <v>1479</v>
      </c>
      <c r="E2839" s="8" t="s">
        <v>367</v>
      </c>
      <c r="F2839" s="8" t="s">
        <v>247</v>
      </c>
      <c r="G2839" s="23" t="s">
        <v>810</v>
      </c>
      <c r="H2839" s="14">
        <f>1131.8-729.073</f>
        <v>402.72699999999998</v>
      </c>
      <c r="I2839" s="14">
        <v>402.72699999999998</v>
      </c>
      <c r="J2839" s="14">
        <v>402.72660999999999</v>
      </c>
      <c r="K2839" s="78">
        <f t="shared" si="1245"/>
        <v>99.999903160205307</v>
      </c>
      <c r="L2839" s="14"/>
      <c r="M2839" s="50"/>
      <c r="N2839" s="50"/>
    </row>
    <row r="2840" spans="1:14" ht="46.8" x14ac:dyDescent="0.3">
      <c r="A2840" s="8" t="s">
        <v>1431</v>
      </c>
      <c r="B2840" s="62" t="s">
        <v>918</v>
      </c>
      <c r="C2840" s="68" t="s">
        <v>1386</v>
      </c>
      <c r="D2840" s="68" t="s">
        <v>1479</v>
      </c>
      <c r="E2840" s="8" t="s">
        <v>493</v>
      </c>
      <c r="F2840" s="8"/>
      <c r="G2840" s="13" t="s">
        <v>1160</v>
      </c>
      <c r="H2840" s="19">
        <v>0</v>
      </c>
      <c r="I2840" s="14">
        <f>I2841</f>
        <v>203</v>
      </c>
      <c r="J2840" s="14">
        <f t="shared" ref="J2840:L2843" si="1249">J2841</f>
        <v>203</v>
      </c>
      <c r="K2840" s="78">
        <f t="shared" si="1245"/>
        <v>100</v>
      </c>
      <c r="L2840" s="14">
        <f t="shared" si="1249"/>
        <v>0</v>
      </c>
      <c r="M2840" s="50"/>
      <c r="N2840" s="50"/>
    </row>
    <row r="2841" spans="1:14" ht="31.2" x14ac:dyDescent="0.3">
      <c r="A2841" s="8" t="s">
        <v>1431</v>
      </c>
      <c r="B2841" s="62" t="s">
        <v>918</v>
      </c>
      <c r="C2841" s="68" t="s">
        <v>1386</v>
      </c>
      <c r="D2841" s="68" t="s">
        <v>1479</v>
      </c>
      <c r="E2841" s="8" t="s">
        <v>494</v>
      </c>
      <c r="F2841" s="8"/>
      <c r="G2841" s="13" t="s">
        <v>1161</v>
      </c>
      <c r="H2841" s="19">
        <v>0</v>
      </c>
      <c r="I2841" s="14">
        <f>I2842</f>
        <v>203</v>
      </c>
      <c r="J2841" s="14">
        <f t="shared" si="1249"/>
        <v>203</v>
      </c>
      <c r="K2841" s="78">
        <f t="shared" si="1245"/>
        <v>100</v>
      </c>
      <c r="L2841" s="14">
        <f t="shared" si="1249"/>
        <v>0</v>
      </c>
      <c r="M2841" s="50"/>
      <c r="N2841" s="50"/>
    </row>
    <row r="2842" spans="1:14" ht="31.2" x14ac:dyDescent="0.3">
      <c r="A2842" s="8" t="s">
        <v>1431</v>
      </c>
      <c r="B2842" s="62" t="s">
        <v>918</v>
      </c>
      <c r="C2842" s="68" t="s">
        <v>1386</v>
      </c>
      <c r="D2842" s="68" t="s">
        <v>1479</v>
      </c>
      <c r="E2842" s="8" t="s">
        <v>495</v>
      </c>
      <c r="F2842" s="8"/>
      <c r="G2842" s="13" t="s">
        <v>687</v>
      </c>
      <c r="H2842" s="19">
        <v>0</v>
      </c>
      <c r="I2842" s="14">
        <f>I2843</f>
        <v>203</v>
      </c>
      <c r="J2842" s="14">
        <f t="shared" si="1249"/>
        <v>203</v>
      </c>
      <c r="K2842" s="78">
        <f t="shared" si="1245"/>
        <v>100</v>
      </c>
      <c r="L2842" s="14">
        <f t="shared" si="1249"/>
        <v>0</v>
      </c>
      <c r="M2842" s="50"/>
      <c r="N2842" s="50"/>
    </row>
    <row r="2843" spans="1:14" x14ac:dyDescent="0.3">
      <c r="A2843" s="8" t="s">
        <v>1431</v>
      </c>
      <c r="B2843" s="62" t="s">
        <v>918</v>
      </c>
      <c r="C2843" s="68" t="s">
        <v>1386</v>
      </c>
      <c r="D2843" s="68" t="s">
        <v>1479</v>
      </c>
      <c r="E2843" s="8" t="s">
        <v>495</v>
      </c>
      <c r="F2843" s="45" t="s">
        <v>464</v>
      </c>
      <c r="G2843" s="23" t="s">
        <v>822</v>
      </c>
      <c r="H2843" s="19">
        <v>0</v>
      </c>
      <c r="I2843" s="14">
        <f>I2844</f>
        <v>203</v>
      </c>
      <c r="J2843" s="14">
        <f t="shared" si="1249"/>
        <v>203</v>
      </c>
      <c r="K2843" s="78">
        <f t="shared" si="1245"/>
        <v>100</v>
      </c>
      <c r="L2843" s="14">
        <f t="shared" si="1249"/>
        <v>0</v>
      </c>
      <c r="M2843" s="50"/>
      <c r="N2843" s="50"/>
    </row>
    <row r="2844" spans="1:14" x14ac:dyDescent="0.3">
      <c r="A2844" s="8" t="s">
        <v>1431</v>
      </c>
      <c r="B2844" s="62" t="s">
        <v>918</v>
      </c>
      <c r="C2844" s="68" t="s">
        <v>1386</v>
      </c>
      <c r="D2844" s="68" t="s">
        <v>1479</v>
      </c>
      <c r="E2844" s="8" t="s">
        <v>495</v>
      </c>
      <c r="F2844" s="8" t="s">
        <v>728</v>
      </c>
      <c r="G2844" s="13" t="s">
        <v>823</v>
      </c>
      <c r="H2844" s="19">
        <v>0</v>
      </c>
      <c r="I2844" s="14">
        <v>203</v>
      </c>
      <c r="J2844" s="14">
        <v>203</v>
      </c>
      <c r="K2844" s="78">
        <f t="shared" si="1245"/>
        <v>100</v>
      </c>
      <c r="L2844" s="14"/>
      <c r="M2844" s="50"/>
      <c r="N2844" s="50"/>
    </row>
    <row r="2845" spans="1:14" s="3" customFormat="1" x14ac:dyDescent="0.3">
      <c r="A2845" s="10" t="s">
        <v>1431</v>
      </c>
      <c r="B2845" s="43" t="s">
        <v>1392</v>
      </c>
      <c r="C2845" s="43" t="s">
        <v>1392</v>
      </c>
      <c r="D2845" s="43" t="s">
        <v>915</v>
      </c>
      <c r="E2845" s="10"/>
      <c r="F2845" s="10"/>
      <c r="G2845" s="5" t="s">
        <v>1416</v>
      </c>
      <c r="H2845" s="15">
        <f>H2853+H2891+H2846</f>
        <v>27648.913</v>
      </c>
      <c r="I2845" s="15">
        <f>I2853+I2891+I2846</f>
        <v>53269.306590000007</v>
      </c>
      <c r="J2845" s="15">
        <f t="shared" ref="J2845" si="1250">J2853+J2891+J2846</f>
        <v>52963.911749999999</v>
      </c>
      <c r="K2845" s="81">
        <f t="shared" si="1245"/>
        <v>99.426696423231959</v>
      </c>
      <c r="L2845" s="15">
        <f>L2853+L2891+L2846</f>
        <v>0</v>
      </c>
      <c r="M2845" s="65"/>
      <c r="N2845" s="65"/>
    </row>
    <row r="2846" spans="1:14" s="9" customFormat="1" x14ac:dyDescent="0.3">
      <c r="A2846" s="11" t="s">
        <v>1431</v>
      </c>
      <c r="B2846" s="48" t="s">
        <v>938</v>
      </c>
      <c r="C2846" s="48" t="s">
        <v>1392</v>
      </c>
      <c r="D2846" s="48" t="s">
        <v>1478</v>
      </c>
      <c r="E2846" s="11"/>
      <c r="F2846" s="11"/>
      <c r="G2846" s="7" t="s">
        <v>1451</v>
      </c>
      <c r="H2846" s="16">
        <f t="shared" ref="H2846:L2848" si="1251">H2847</f>
        <v>302.39099999999996</v>
      </c>
      <c r="I2846" s="16">
        <f t="shared" si="1251"/>
        <v>302.39100000000002</v>
      </c>
      <c r="J2846" s="16">
        <f t="shared" si="1251"/>
        <v>302.39046999999999</v>
      </c>
      <c r="K2846" s="82">
        <f t="shared" si="1245"/>
        <v>99.999824730233371</v>
      </c>
      <c r="L2846" s="16">
        <f t="shared" si="1251"/>
        <v>0</v>
      </c>
      <c r="M2846" s="65"/>
      <c r="N2846" s="65"/>
    </row>
    <row r="2847" spans="1:14" ht="31.2" x14ac:dyDescent="0.3">
      <c r="A2847" s="8" t="s">
        <v>1431</v>
      </c>
      <c r="B2847" s="62" t="s">
        <v>938</v>
      </c>
      <c r="C2847" s="68" t="s">
        <v>1392</v>
      </c>
      <c r="D2847" s="68" t="s">
        <v>1478</v>
      </c>
      <c r="E2847" s="8" t="s">
        <v>368</v>
      </c>
      <c r="F2847" s="8"/>
      <c r="G2847" s="13" t="s">
        <v>1079</v>
      </c>
      <c r="H2847" s="14">
        <f t="shared" si="1251"/>
        <v>302.39099999999996</v>
      </c>
      <c r="I2847" s="14">
        <f t="shared" si="1251"/>
        <v>302.39100000000002</v>
      </c>
      <c r="J2847" s="14">
        <f t="shared" si="1251"/>
        <v>302.39046999999999</v>
      </c>
      <c r="K2847" s="78">
        <f t="shared" si="1245"/>
        <v>99.999824730233371</v>
      </c>
      <c r="L2847" s="14">
        <f t="shared" si="1251"/>
        <v>0</v>
      </c>
      <c r="M2847" s="50"/>
      <c r="N2847" s="50"/>
    </row>
    <row r="2848" spans="1:14" ht="31.2" x14ac:dyDescent="0.3">
      <c r="A2848" s="8" t="s">
        <v>1431</v>
      </c>
      <c r="B2848" s="62" t="s">
        <v>938</v>
      </c>
      <c r="C2848" s="68" t="s">
        <v>1392</v>
      </c>
      <c r="D2848" s="68" t="s">
        <v>1478</v>
      </c>
      <c r="E2848" s="8" t="s">
        <v>515</v>
      </c>
      <c r="F2848" s="8"/>
      <c r="G2848" s="23" t="s">
        <v>1091</v>
      </c>
      <c r="H2848" s="14">
        <f t="shared" si="1251"/>
        <v>302.39099999999996</v>
      </c>
      <c r="I2848" s="14">
        <f t="shared" si="1251"/>
        <v>302.39100000000002</v>
      </c>
      <c r="J2848" s="14">
        <f t="shared" si="1251"/>
        <v>302.39046999999999</v>
      </c>
      <c r="K2848" s="78">
        <f t="shared" si="1245"/>
        <v>99.999824730233371</v>
      </c>
      <c r="L2848" s="14">
        <f t="shared" si="1251"/>
        <v>0</v>
      </c>
      <c r="M2848" s="50"/>
      <c r="N2848" s="50"/>
    </row>
    <row r="2849" spans="1:14" ht="62.4" x14ac:dyDescent="0.3">
      <c r="A2849" s="8" t="s">
        <v>1431</v>
      </c>
      <c r="B2849" s="62" t="s">
        <v>938</v>
      </c>
      <c r="C2849" s="68" t="s">
        <v>1392</v>
      </c>
      <c r="D2849" s="68" t="s">
        <v>1478</v>
      </c>
      <c r="E2849" s="8" t="s">
        <v>516</v>
      </c>
      <c r="F2849" s="8"/>
      <c r="G2849" s="23" t="s">
        <v>1169</v>
      </c>
      <c r="H2849" s="14">
        <f>H2851</f>
        <v>302.39099999999996</v>
      </c>
      <c r="I2849" s="14">
        <f>I2851</f>
        <v>302.39100000000002</v>
      </c>
      <c r="J2849" s="14">
        <f t="shared" ref="J2849" si="1252">J2851</f>
        <v>302.39046999999999</v>
      </c>
      <c r="K2849" s="78">
        <f t="shared" si="1245"/>
        <v>99.999824730233371</v>
      </c>
      <c r="L2849" s="14">
        <f>L2851</f>
        <v>0</v>
      </c>
      <c r="M2849" s="50"/>
      <c r="N2849" s="50"/>
    </row>
    <row r="2850" spans="1:14" ht="31.2" x14ac:dyDescent="0.3">
      <c r="A2850" s="8" t="s">
        <v>1431</v>
      </c>
      <c r="B2850" s="62" t="s">
        <v>938</v>
      </c>
      <c r="C2850" s="68" t="s">
        <v>1392</v>
      </c>
      <c r="D2850" s="68" t="s">
        <v>1478</v>
      </c>
      <c r="E2850" s="8" t="s">
        <v>1245</v>
      </c>
      <c r="F2850" s="8"/>
      <c r="G2850" s="18" t="s">
        <v>1248</v>
      </c>
      <c r="H2850" s="14">
        <f t="shared" ref="H2850:L2851" si="1253">H2851</f>
        <v>302.39099999999996</v>
      </c>
      <c r="I2850" s="14">
        <f t="shared" si="1253"/>
        <v>302.39100000000002</v>
      </c>
      <c r="J2850" s="14">
        <f t="shared" si="1253"/>
        <v>302.39046999999999</v>
      </c>
      <c r="K2850" s="78">
        <f t="shared" si="1245"/>
        <v>99.999824730233371</v>
      </c>
      <c r="L2850" s="14">
        <f t="shared" si="1253"/>
        <v>0</v>
      </c>
      <c r="M2850" s="50"/>
      <c r="N2850" s="50"/>
    </row>
    <row r="2851" spans="1:14" ht="31.2" x14ac:dyDescent="0.3">
      <c r="A2851" s="8" t="s">
        <v>1431</v>
      </c>
      <c r="B2851" s="62" t="s">
        <v>938</v>
      </c>
      <c r="C2851" s="68" t="s">
        <v>1392</v>
      </c>
      <c r="D2851" s="68" t="s">
        <v>1478</v>
      </c>
      <c r="E2851" s="8" t="s">
        <v>1245</v>
      </c>
      <c r="F2851" s="45" t="s">
        <v>380</v>
      </c>
      <c r="G2851" s="23" t="s">
        <v>809</v>
      </c>
      <c r="H2851" s="14">
        <f t="shared" si="1253"/>
        <v>302.39099999999996</v>
      </c>
      <c r="I2851" s="14">
        <f t="shared" si="1253"/>
        <v>302.39100000000002</v>
      </c>
      <c r="J2851" s="14">
        <f t="shared" si="1253"/>
        <v>302.39046999999999</v>
      </c>
      <c r="K2851" s="78">
        <f t="shared" si="1245"/>
        <v>99.999824730233371</v>
      </c>
      <c r="L2851" s="14">
        <f t="shared" si="1253"/>
        <v>0</v>
      </c>
      <c r="M2851" s="50"/>
      <c r="N2851" s="50"/>
    </row>
    <row r="2852" spans="1:14" ht="31.2" x14ac:dyDescent="0.3">
      <c r="A2852" s="8" t="s">
        <v>1431</v>
      </c>
      <c r="B2852" s="62" t="s">
        <v>938</v>
      </c>
      <c r="C2852" s="68" t="s">
        <v>1392</v>
      </c>
      <c r="D2852" s="68" t="s">
        <v>1478</v>
      </c>
      <c r="E2852" s="8" t="s">
        <v>1245</v>
      </c>
      <c r="F2852" s="8" t="s">
        <v>247</v>
      </c>
      <c r="G2852" s="23" t="s">
        <v>810</v>
      </c>
      <c r="H2852" s="14">
        <f>937-634.609</f>
        <v>302.39099999999996</v>
      </c>
      <c r="I2852" s="14">
        <v>302.39100000000002</v>
      </c>
      <c r="J2852" s="14">
        <v>302.39046999999999</v>
      </c>
      <c r="K2852" s="78">
        <f t="shared" si="1245"/>
        <v>99.999824730233371</v>
      </c>
      <c r="L2852" s="14"/>
      <c r="M2852" s="50"/>
      <c r="N2852" s="50"/>
    </row>
    <row r="2853" spans="1:14" s="9" customFormat="1" ht="16.5" customHeight="1" x14ac:dyDescent="0.3">
      <c r="A2853" s="11" t="s">
        <v>1431</v>
      </c>
      <c r="B2853" s="48" t="s">
        <v>939</v>
      </c>
      <c r="C2853" s="48" t="s">
        <v>1392</v>
      </c>
      <c r="D2853" s="48" t="s">
        <v>1391</v>
      </c>
      <c r="E2853" s="11"/>
      <c r="F2853" s="11"/>
      <c r="G2853" s="7" t="s">
        <v>1423</v>
      </c>
      <c r="H2853" s="16">
        <f>H2860+H2868+H2854+H2887+H2879</f>
        <v>16570.022000000001</v>
      </c>
      <c r="I2853" s="16">
        <f t="shared" ref="I2853:L2853" si="1254">I2860+I2868+I2854+I2887+I2879</f>
        <v>42190.415590000004</v>
      </c>
      <c r="J2853" s="16">
        <f t="shared" si="1254"/>
        <v>41909.465369999998</v>
      </c>
      <c r="K2853" s="82">
        <f t="shared" si="1245"/>
        <v>99.334089944194346</v>
      </c>
      <c r="L2853" s="16">
        <f t="shared" si="1254"/>
        <v>0</v>
      </c>
      <c r="M2853" s="65"/>
      <c r="N2853" s="65"/>
    </row>
    <row r="2854" spans="1:14" ht="31.2" x14ac:dyDescent="0.3">
      <c r="A2854" s="8" t="s">
        <v>1431</v>
      </c>
      <c r="B2854" s="62" t="s">
        <v>939</v>
      </c>
      <c r="C2854" s="68" t="s">
        <v>1392</v>
      </c>
      <c r="D2854" s="68" t="s">
        <v>1391</v>
      </c>
      <c r="E2854" s="8" t="s">
        <v>438</v>
      </c>
      <c r="F2854" s="8"/>
      <c r="G2854" s="18" t="s">
        <v>891</v>
      </c>
      <c r="H2854" s="14">
        <f t="shared" ref="H2854:L2858" si="1255">H2855</f>
        <v>516.03199999999993</v>
      </c>
      <c r="I2854" s="14">
        <f t="shared" si="1255"/>
        <v>516.03200000000004</v>
      </c>
      <c r="J2854" s="14">
        <f t="shared" si="1255"/>
        <v>515.44347000000005</v>
      </c>
      <c r="K2854" s="78">
        <f t="shared" si="1245"/>
        <v>99.885950871263802</v>
      </c>
      <c r="L2854" s="14">
        <f t="shared" si="1255"/>
        <v>0</v>
      </c>
      <c r="M2854" s="50"/>
      <c r="N2854" s="50"/>
    </row>
    <row r="2855" spans="1:14" ht="46.8" x14ac:dyDescent="0.3">
      <c r="A2855" s="8" t="s">
        <v>1431</v>
      </c>
      <c r="B2855" s="62" t="s">
        <v>939</v>
      </c>
      <c r="C2855" s="68" t="s">
        <v>1392</v>
      </c>
      <c r="D2855" s="68" t="s">
        <v>1391</v>
      </c>
      <c r="E2855" s="8" t="s">
        <v>439</v>
      </c>
      <c r="F2855" s="8"/>
      <c r="G2855" s="18" t="s">
        <v>119</v>
      </c>
      <c r="H2855" s="14">
        <f t="shared" si="1255"/>
        <v>516.03199999999993</v>
      </c>
      <c r="I2855" s="14">
        <f t="shared" si="1255"/>
        <v>516.03200000000004</v>
      </c>
      <c r="J2855" s="14">
        <f t="shared" si="1255"/>
        <v>515.44347000000005</v>
      </c>
      <c r="K2855" s="78">
        <f t="shared" si="1245"/>
        <v>99.885950871263802</v>
      </c>
      <c r="L2855" s="14">
        <f t="shared" si="1255"/>
        <v>0</v>
      </c>
      <c r="M2855" s="50"/>
      <c r="N2855" s="50"/>
    </row>
    <row r="2856" spans="1:14" ht="46.8" x14ac:dyDescent="0.3">
      <c r="A2856" s="8" t="s">
        <v>1431</v>
      </c>
      <c r="B2856" s="62" t="s">
        <v>939</v>
      </c>
      <c r="C2856" s="68" t="s">
        <v>1392</v>
      </c>
      <c r="D2856" s="68" t="s">
        <v>1391</v>
      </c>
      <c r="E2856" s="8" t="s">
        <v>442</v>
      </c>
      <c r="F2856" s="8"/>
      <c r="G2856" s="18" t="s">
        <v>1207</v>
      </c>
      <c r="H2856" s="14">
        <f t="shared" si="1255"/>
        <v>516.03199999999993</v>
      </c>
      <c r="I2856" s="14">
        <f t="shared" si="1255"/>
        <v>516.03200000000004</v>
      </c>
      <c r="J2856" s="14">
        <f t="shared" si="1255"/>
        <v>515.44347000000005</v>
      </c>
      <c r="K2856" s="78">
        <f t="shared" si="1245"/>
        <v>99.885950871263802</v>
      </c>
      <c r="L2856" s="14">
        <f t="shared" si="1255"/>
        <v>0</v>
      </c>
      <c r="M2856" s="50"/>
      <c r="N2856" s="50"/>
    </row>
    <row r="2857" spans="1:14" ht="31.2" x14ac:dyDescent="0.3">
      <c r="A2857" s="8" t="s">
        <v>1431</v>
      </c>
      <c r="B2857" s="62" t="s">
        <v>939</v>
      </c>
      <c r="C2857" s="68" t="s">
        <v>1392</v>
      </c>
      <c r="D2857" s="68" t="s">
        <v>1391</v>
      </c>
      <c r="E2857" s="8" t="s">
        <v>443</v>
      </c>
      <c r="F2857" s="8"/>
      <c r="G2857" s="18" t="s">
        <v>181</v>
      </c>
      <c r="H2857" s="14">
        <f t="shared" si="1255"/>
        <v>516.03199999999993</v>
      </c>
      <c r="I2857" s="14">
        <f t="shared" si="1255"/>
        <v>516.03200000000004</v>
      </c>
      <c r="J2857" s="14">
        <f t="shared" si="1255"/>
        <v>515.44347000000005</v>
      </c>
      <c r="K2857" s="78">
        <f t="shared" si="1245"/>
        <v>99.885950871263802</v>
      </c>
      <c r="L2857" s="14">
        <f t="shared" si="1255"/>
        <v>0</v>
      </c>
      <c r="M2857" s="50"/>
      <c r="N2857" s="50"/>
    </row>
    <row r="2858" spans="1:14" ht="31.2" x14ac:dyDescent="0.3">
      <c r="A2858" s="8" t="s">
        <v>1431</v>
      </c>
      <c r="B2858" s="62" t="s">
        <v>939</v>
      </c>
      <c r="C2858" s="68" t="s">
        <v>1392</v>
      </c>
      <c r="D2858" s="68" t="s">
        <v>1391</v>
      </c>
      <c r="E2858" s="8" t="s">
        <v>443</v>
      </c>
      <c r="F2858" s="45" t="s">
        <v>380</v>
      </c>
      <c r="G2858" s="23" t="s">
        <v>809</v>
      </c>
      <c r="H2858" s="14">
        <f t="shared" si="1255"/>
        <v>516.03199999999993</v>
      </c>
      <c r="I2858" s="14">
        <f t="shared" si="1255"/>
        <v>516.03200000000004</v>
      </c>
      <c r="J2858" s="14">
        <f t="shared" si="1255"/>
        <v>515.44347000000005</v>
      </c>
      <c r="K2858" s="78">
        <f t="shared" si="1245"/>
        <v>99.885950871263802</v>
      </c>
      <c r="L2858" s="14">
        <f t="shared" si="1255"/>
        <v>0</v>
      </c>
      <c r="M2858" s="50"/>
      <c r="N2858" s="50"/>
    </row>
    <row r="2859" spans="1:14" ht="31.2" x14ac:dyDescent="0.3">
      <c r="A2859" s="8" t="s">
        <v>1431</v>
      </c>
      <c r="B2859" s="62" t="s">
        <v>939</v>
      </c>
      <c r="C2859" s="68" t="s">
        <v>1392</v>
      </c>
      <c r="D2859" s="68" t="s">
        <v>1391</v>
      </c>
      <c r="E2859" s="8" t="s">
        <v>443</v>
      </c>
      <c r="F2859" s="8" t="s">
        <v>247</v>
      </c>
      <c r="G2859" s="23" t="s">
        <v>810</v>
      </c>
      <c r="H2859" s="14">
        <f>1305.6-789.568</f>
        <v>516.03199999999993</v>
      </c>
      <c r="I2859" s="14">
        <v>516.03200000000004</v>
      </c>
      <c r="J2859" s="14">
        <v>515.44347000000005</v>
      </c>
      <c r="K2859" s="78">
        <f t="shared" si="1245"/>
        <v>99.885950871263802</v>
      </c>
      <c r="L2859" s="14"/>
      <c r="M2859" s="50"/>
      <c r="N2859" s="50"/>
    </row>
    <row r="2860" spans="1:14" ht="62.4" x14ac:dyDescent="0.3">
      <c r="A2860" s="8" t="s">
        <v>1431</v>
      </c>
      <c r="B2860" s="62" t="s">
        <v>939</v>
      </c>
      <c r="C2860" s="68" t="s">
        <v>1392</v>
      </c>
      <c r="D2860" s="68" t="s">
        <v>1391</v>
      </c>
      <c r="E2860" s="8" t="s">
        <v>358</v>
      </c>
      <c r="F2860" s="8"/>
      <c r="G2860" s="13" t="s">
        <v>1040</v>
      </c>
      <c r="H2860" s="14">
        <f t="shared" ref="H2860:L2860" si="1256">H2861</f>
        <v>13075.727999999999</v>
      </c>
      <c r="I2860" s="14">
        <f t="shared" si="1256"/>
        <v>13075.727999999999</v>
      </c>
      <c r="J2860" s="14">
        <f t="shared" si="1256"/>
        <v>12892.2808</v>
      </c>
      <c r="K2860" s="78">
        <f t="shared" si="1245"/>
        <v>98.597040256573109</v>
      </c>
      <c r="L2860" s="14">
        <f t="shared" si="1256"/>
        <v>0</v>
      </c>
      <c r="M2860" s="50"/>
      <c r="N2860" s="50"/>
    </row>
    <row r="2861" spans="1:14" ht="31.2" x14ac:dyDescent="0.3">
      <c r="A2861" s="8" t="s">
        <v>1431</v>
      </c>
      <c r="B2861" s="62" t="s">
        <v>939</v>
      </c>
      <c r="C2861" s="68" t="s">
        <v>1392</v>
      </c>
      <c r="D2861" s="68" t="s">
        <v>1391</v>
      </c>
      <c r="E2861" s="8" t="s">
        <v>359</v>
      </c>
      <c r="F2861" s="8"/>
      <c r="G2861" s="13" t="s">
        <v>1041</v>
      </c>
      <c r="H2861" s="14">
        <f>H2862+H2865</f>
        <v>13075.727999999999</v>
      </c>
      <c r="I2861" s="14">
        <f>I2862+I2865</f>
        <v>13075.727999999999</v>
      </c>
      <c r="J2861" s="14">
        <f t="shared" ref="J2861" si="1257">J2862+J2865</f>
        <v>12892.2808</v>
      </c>
      <c r="K2861" s="78">
        <f t="shared" si="1245"/>
        <v>98.597040256573109</v>
      </c>
      <c r="L2861" s="14">
        <f>L2862+L2865</f>
        <v>0</v>
      </c>
      <c r="M2861" s="50"/>
      <c r="N2861" s="50"/>
    </row>
    <row r="2862" spans="1:14" ht="31.2" x14ac:dyDescent="0.3">
      <c r="A2862" s="8" t="s">
        <v>1431</v>
      </c>
      <c r="B2862" s="62" t="s">
        <v>939</v>
      </c>
      <c r="C2862" s="68" t="s">
        <v>1392</v>
      </c>
      <c r="D2862" s="68" t="s">
        <v>1391</v>
      </c>
      <c r="E2862" s="8" t="s">
        <v>370</v>
      </c>
      <c r="F2862" s="8"/>
      <c r="G2862" s="18" t="s">
        <v>125</v>
      </c>
      <c r="H2862" s="14">
        <f t="shared" ref="H2862:L2863" si="1258">H2863</f>
        <v>9336.7029999999995</v>
      </c>
      <c r="I2862" s="14">
        <f t="shared" si="1258"/>
        <v>9336.7029999999995</v>
      </c>
      <c r="J2862" s="14">
        <f t="shared" si="1258"/>
        <v>9153.2574999999997</v>
      </c>
      <c r="K2862" s="78">
        <f t="shared" si="1245"/>
        <v>98.035221855080962</v>
      </c>
      <c r="L2862" s="14">
        <f t="shared" si="1258"/>
        <v>0</v>
      </c>
      <c r="M2862" s="50"/>
      <c r="N2862" s="50"/>
    </row>
    <row r="2863" spans="1:14" ht="31.2" x14ac:dyDescent="0.3">
      <c r="A2863" s="8" t="s">
        <v>1431</v>
      </c>
      <c r="B2863" s="62" t="s">
        <v>939</v>
      </c>
      <c r="C2863" s="68" t="s">
        <v>1392</v>
      </c>
      <c r="D2863" s="68" t="s">
        <v>1391</v>
      </c>
      <c r="E2863" s="8" t="s">
        <v>370</v>
      </c>
      <c r="F2863" s="45" t="s">
        <v>380</v>
      </c>
      <c r="G2863" s="23" t="s">
        <v>809</v>
      </c>
      <c r="H2863" s="14">
        <f t="shared" si="1258"/>
        <v>9336.7029999999995</v>
      </c>
      <c r="I2863" s="14">
        <f t="shared" si="1258"/>
        <v>9336.7029999999995</v>
      </c>
      <c r="J2863" s="14">
        <f t="shared" si="1258"/>
        <v>9153.2574999999997</v>
      </c>
      <c r="K2863" s="78">
        <f t="shared" si="1245"/>
        <v>98.035221855080962</v>
      </c>
      <c r="L2863" s="14">
        <f t="shared" si="1258"/>
        <v>0</v>
      </c>
      <c r="M2863" s="50"/>
      <c r="N2863" s="50"/>
    </row>
    <row r="2864" spans="1:14" ht="31.2" x14ac:dyDescent="0.3">
      <c r="A2864" s="8" t="s">
        <v>1431</v>
      </c>
      <c r="B2864" s="62" t="s">
        <v>939</v>
      </c>
      <c r="C2864" s="68" t="s">
        <v>1392</v>
      </c>
      <c r="D2864" s="68" t="s">
        <v>1391</v>
      </c>
      <c r="E2864" s="8" t="s">
        <v>370</v>
      </c>
      <c r="F2864" s="8" t="s">
        <v>247</v>
      </c>
      <c r="G2864" s="23" t="s">
        <v>810</v>
      </c>
      <c r="H2864" s="14">
        <f>9857.5-504.517-16.28</f>
        <v>9336.7029999999995</v>
      </c>
      <c r="I2864" s="14">
        <v>9336.7029999999995</v>
      </c>
      <c r="J2864" s="14">
        <v>9153.2574999999997</v>
      </c>
      <c r="K2864" s="78">
        <f t="shared" si="1245"/>
        <v>98.035221855080962</v>
      </c>
      <c r="L2864" s="14"/>
      <c r="M2864" s="50"/>
      <c r="N2864" s="50"/>
    </row>
    <row r="2865" spans="1:14" ht="31.2" x14ac:dyDescent="0.3">
      <c r="A2865" s="8" t="s">
        <v>1431</v>
      </c>
      <c r="B2865" s="62" t="s">
        <v>939</v>
      </c>
      <c r="C2865" s="68" t="s">
        <v>1392</v>
      </c>
      <c r="D2865" s="68" t="s">
        <v>1391</v>
      </c>
      <c r="E2865" s="8" t="s">
        <v>371</v>
      </c>
      <c r="F2865" s="8"/>
      <c r="G2865" s="18" t="s">
        <v>126</v>
      </c>
      <c r="H2865" s="14">
        <f t="shared" ref="H2865:L2866" si="1259">H2866</f>
        <v>3739.0250000000001</v>
      </c>
      <c r="I2865" s="14">
        <f t="shared" si="1259"/>
        <v>3739.0250000000001</v>
      </c>
      <c r="J2865" s="14">
        <f t="shared" si="1259"/>
        <v>3739.0232999999998</v>
      </c>
      <c r="K2865" s="78">
        <f t="shared" si="1245"/>
        <v>99.999954533601667</v>
      </c>
      <c r="L2865" s="14">
        <f t="shared" si="1259"/>
        <v>0</v>
      </c>
      <c r="M2865" s="50"/>
      <c r="N2865" s="50"/>
    </row>
    <row r="2866" spans="1:14" ht="31.2" x14ac:dyDescent="0.3">
      <c r="A2866" s="8" t="s">
        <v>1431</v>
      </c>
      <c r="B2866" s="62" t="s">
        <v>939</v>
      </c>
      <c r="C2866" s="68" t="s">
        <v>1392</v>
      </c>
      <c r="D2866" s="68" t="s">
        <v>1391</v>
      </c>
      <c r="E2866" s="8" t="s">
        <v>371</v>
      </c>
      <c r="F2866" s="45" t="s">
        <v>380</v>
      </c>
      <c r="G2866" s="23" t="s">
        <v>809</v>
      </c>
      <c r="H2866" s="14">
        <f t="shared" si="1259"/>
        <v>3739.0250000000001</v>
      </c>
      <c r="I2866" s="14">
        <f t="shared" si="1259"/>
        <v>3739.0250000000001</v>
      </c>
      <c r="J2866" s="14">
        <f t="shared" si="1259"/>
        <v>3739.0232999999998</v>
      </c>
      <c r="K2866" s="78">
        <f t="shared" si="1245"/>
        <v>99.999954533601667</v>
      </c>
      <c r="L2866" s="14">
        <f t="shared" si="1259"/>
        <v>0</v>
      </c>
      <c r="M2866" s="50"/>
      <c r="N2866" s="50"/>
    </row>
    <row r="2867" spans="1:14" ht="31.2" x14ac:dyDescent="0.3">
      <c r="A2867" s="8" t="s">
        <v>1431</v>
      </c>
      <c r="B2867" s="62" t="s">
        <v>939</v>
      </c>
      <c r="C2867" s="68" t="s">
        <v>1392</v>
      </c>
      <c r="D2867" s="68" t="s">
        <v>1391</v>
      </c>
      <c r="E2867" s="8" t="s">
        <v>371</v>
      </c>
      <c r="F2867" s="8" t="s">
        <v>247</v>
      </c>
      <c r="G2867" s="23" t="s">
        <v>810</v>
      </c>
      <c r="H2867" s="14">
        <f>3784.6-45.575</f>
        <v>3739.0250000000001</v>
      </c>
      <c r="I2867" s="14">
        <v>3739.0250000000001</v>
      </c>
      <c r="J2867" s="14">
        <v>3739.0232999999998</v>
      </c>
      <c r="K2867" s="78">
        <f t="shared" si="1245"/>
        <v>99.999954533601667</v>
      </c>
      <c r="L2867" s="14"/>
      <c r="M2867" s="50"/>
      <c r="N2867" s="50"/>
    </row>
    <row r="2868" spans="1:14" ht="31.2" x14ac:dyDescent="0.3">
      <c r="A2868" s="8" t="s">
        <v>1431</v>
      </c>
      <c r="B2868" s="62" t="s">
        <v>939</v>
      </c>
      <c r="C2868" s="68" t="s">
        <v>1392</v>
      </c>
      <c r="D2868" s="68" t="s">
        <v>1391</v>
      </c>
      <c r="E2868" s="8" t="s">
        <v>368</v>
      </c>
      <c r="F2868" s="8"/>
      <c r="G2868" s="13" t="s">
        <v>1079</v>
      </c>
      <c r="H2868" s="14">
        <f>H2869+H2874</f>
        <v>2952.5630000000001</v>
      </c>
      <c r="I2868" s="14">
        <f t="shared" ref="I2868:L2868" si="1260">I2869+I2874</f>
        <v>3157.48227</v>
      </c>
      <c r="J2868" s="14">
        <f t="shared" si="1260"/>
        <v>3157.48227</v>
      </c>
      <c r="K2868" s="78">
        <f t="shared" si="1245"/>
        <v>100</v>
      </c>
      <c r="L2868" s="14">
        <f t="shared" si="1260"/>
        <v>0</v>
      </c>
      <c r="M2868" s="50"/>
      <c r="N2868" s="50"/>
    </row>
    <row r="2869" spans="1:14" ht="31.2" x14ac:dyDescent="0.3">
      <c r="A2869" s="8" t="s">
        <v>1431</v>
      </c>
      <c r="B2869" s="62" t="s">
        <v>939</v>
      </c>
      <c r="C2869" s="68" t="s">
        <v>1392</v>
      </c>
      <c r="D2869" s="68" t="s">
        <v>1391</v>
      </c>
      <c r="E2869" s="8" t="s">
        <v>372</v>
      </c>
      <c r="F2869" s="8"/>
      <c r="G2869" s="13" t="s">
        <v>193</v>
      </c>
      <c r="H2869" s="14">
        <f t="shared" ref="H2869:L2872" si="1261">H2870</f>
        <v>2952.5630000000001</v>
      </c>
      <c r="I2869" s="14">
        <f t="shared" si="1261"/>
        <v>2952.5630000000001</v>
      </c>
      <c r="J2869" s="14">
        <f t="shared" si="1261"/>
        <v>2952.5630000000001</v>
      </c>
      <c r="K2869" s="78">
        <f t="shared" si="1245"/>
        <v>100</v>
      </c>
      <c r="L2869" s="14">
        <f t="shared" si="1261"/>
        <v>0</v>
      </c>
      <c r="M2869" s="50"/>
      <c r="N2869" s="50"/>
    </row>
    <row r="2870" spans="1:14" ht="46.8" x14ac:dyDescent="0.3">
      <c r="A2870" s="8" t="s">
        <v>1431</v>
      </c>
      <c r="B2870" s="62" t="s">
        <v>939</v>
      </c>
      <c r="C2870" s="68" t="s">
        <v>1392</v>
      </c>
      <c r="D2870" s="68" t="s">
        <v>1391</v>
      </c>
      <c r="E2870" s="8" t="s">
        <v>511</v>
      </c>
      <c r="F2870" s="8"/>
      <c r="G2870" s="18" t="s">
        <v>1192</v>
      </c>
      <c r="H2870" s="14">
        <f t="shared" si="1261"/>
        <v>2952.5630000000001</v>
      </c>
      <c r="I2870" s="14">
        <f t="shared" si="1261"/>
        <v>2952.5630000000001</v>
      </c>
      <c r="J2870" s="14">
        <f t="shared" si="1261"/>
        <v>2952.5630000000001</v>
      </c>
      <c r="K2870" s="78">
        <f t="shared" si="1245"/>
        <v>100</v>
      </c>
      <c r="L2870" s="14">
        <f t="shared" si="1261"/>
        <v>0</v>
      </c>
      <c r="M2870" s="50"/>
      <c r="N2870" s="50"/>
    </row>
    <row r="2871" spans="1:14" ht="31.2" x14ac:dyDescent="0.3">
      <c r="A2871" s="8" t="s">
        <v>1431</v>
      </c>
      <c r="B2871" s="62" t="s">
        <v>939</v>
      </c>
      <c r="C2871" s="68" t="s">
        <v>1392</v>
      </c>
      <c r="D2871" s="68" t="s">
        <v>1391</v>
      </c>
      <c r="E2871" s="8" t="s">
        <v>70</v>
      </c>
      <c r="F2871" s="8"/>
      <c r="G2871" s="13" t="s">
        <v>164</v>
      </c>
      <c r="H2871" s="14">
        <f t="shared" si="1261"/>
        <v>2952.5630000000001</v>
      </c>
      <c r="I2871" s="14">
        <f t="shared" si="1261"/>
        <v>2952.5630000000001</v>
      </c>
      <c r="J2871" s="14">
        <f t="shared" si="1261"/>
        <v>2952.5630000000001</v>
      </c>
      <c r="K2871" s="78">
        <f t="shared" si="1245"/>
        <v>100</v>
      </c>
      <c r="L2871" s="14">
        <f t="shared" si="1261"/>
        <v>0</v>
      </c>
      <c r="M2871" s="50"/>
      <c r="N2871" s="50"/>
    </row>
    <row r="2872" spans="1:14" ht="31.2" x14ac:dyDescent="0.3">
      <c r="A2872" s="8" t="s">
        <v>1431</v>
      </c>
      <c r="B2872" s="62" t="s">
        <v>939</v>
      </c>
      <c r="C2872" s="68" t="s">
        <v>1392</v>
      </c>
      <c r="D2872" s="68" t="s">
        <v>1391</v>
      </c>
      <c r="E2872" s="8" t="s">
        <v>70</v>
      </c>
      <c r="F2872" s="45" t="s">
        <v>380</v>
      </c>
      <c r="G2872" s="23" t="s">
        <v>809</v>
      </c>
      <c r="H2872" s="14">
        <f t="shared" si="1261"/>
        <v>2952.5630000000001</v>
      </c>
      <c r="I2872" s="14">
        <f t="shared" si="1261"/>
        <v>2952.5630000000001</v>
      </c>
      <c r="J2872" s="14">
        <f t="shared" si="1261"/>
        <v>2952.5630000000001</v>
      </c>
      <c r="K2872" s="78">
        <f t="shared" si="1245"/>
        <v>100</v>
      </c>
      <c r="L2872" s="14">
        <f t="shared" si="1261"/>
        <v>0</v>
      </c>
      <c r="M2872" s="50"/>
      <c r="N2872" s="50"/>
    </row>
    <row r="2873" spans="1:14" ht="31.2" x14ac:dyDescent="0.3">
      <c r="A2873" s="8" t="s">
        <v>1431</v>
      </c>
      <c r="B2873" s="62" t="s">
        <v>939</v>
      </c>
      <c r="C2873" s="68" t="s">
        <v>1392</v>
      </c>
      <c r="D2873" s="68" t="s">
        <v>1391</v>
      </c>
      <c r="E2873" s="8" t="s">
        <v>70</v>
      </c>
      <c r="F2873" s="8" t="s">
        <v>247</v>
      </c>
      <c r="G2873" s="23" t="s">
        <v>810</v>
      </c>
      <c r="H2873" s="14">
        <f>2967.4-14.837</f>
        <v>2952.5630000000001</v>
      </c>
      <c r="I2873" s="14">
        <v>2952.5630000000001</v>
      </c>
      <c r="J2873" s="14">
        <v>2952.5630000000001</v>
      </c>
      <c r="K2873" s="78">
        <f t="shared" si="1245"/>
        <v>100</v>
      </c>
      <c r="L2873" s="14"/>
      <c r="M2873" s="50"/>
      <c r="N2873" s="50"/>
    </row>
    <row r="2874" spans="1:14" ht="31.2" x14ac:dyDescent="0.3">
      <c r="A2874" s="8" t="s">
        <v>1431</v>
      </c>
      <c r="B2874" s="62" t="s">
        <v>939</v>
      </c>
      <c r="C2874" s="68" t="s">
        <v>1392</v>
      </c>
      <c r="D2874" s="68" t="s">
        <v>1391</v>
      </c>
      <c r="E2874" s="8" t="s">
        <v>369</v>
      </c>
      <c r="F2874" s="8"/>
      <c r="G2874" s="13" t="s">
        <v>1088</v>
      </c>
      <c r="H2874" s="14">
        <f>H2875</f>
        <v>0</v>
      </c>
      <c r="I2874" s="14">
        <f t="shared" ref="I2874:L2877" si="1262">I2875</f>
        <v>204.91927000000001</v>
      </c>
      <c r="J2874" s="14">
        <f t="shared" si="1262"/>
        <v>204.91927000000001</v>
      </c>
      <c r="K2874" s="78">
        <f t="shared" si="1245"/>
        <v>100</v>
      </c>
      <c r="L2874" s="14">
        <f t="shared" si="1262"/>
        <v>0</v>
      </c>
      <c r="M2874" s="50"/>
      <c r="N2874" s="50"/>
    </row>
    <row r="2875" spans="1:14" ht="46.8" x14ac:dyDescent="0.3">
      <c r="A2875" s="8" t="s">
        <v>1431</v>
      </c>
      <c r="B2875" s="62" t="s">
        <v>939</v>
      </c>
      <c r="C2875" s="68" t="s">
        <v>1392</v>
      </c>
      <c r="D2875" s="68" t="s">
        <v>1391</v>
      </c>
      <c r="E2875" s="8" t="s">
        <v>514</v>
      </c>
      <c r="F2875" s="8"/>
      <c r="G2875" s="18" t="s">
        <v>1090</v>
      </c>
      <c r="H2875" s="14">
        <f>H2876</f>
        <v>0</v>
      </c>
      <c r="I2875" s="14">
        <f t="shared" si="1262"/>
        <v>204.91927000000001</v>
      </c>
      <c r="J2875" s="14">
        <f t="shared" si="1262"/>
        <v>204.91927000000001</v>
      </c>
      <c r="K2875" s="78">
        <f t="shared" si="1245"/>
        <v>100</v>
      </c>
      <c r="L2875" s="14">
        <f t="shared" si="1262"/>
        <v>0</v>
      </c>
      <c r="M2875" s="50"/>
      <c r="N2875" s="50"/>
    </row>
    <row r="2876" spans="1:14" ht="46.8" x14ac:dyDescent="0.3">
      <c r="A2876" s="8" t="s">
        <v>1431</v>
      </c>
      <c r="B2876" s="62" t="s">
        <v>939</v>
      </c>
      <c r="C2876" s="68" t="s">
        <v>1392</v>
      </c>
      <c r="D2876" s="68" t="s">
        <v>1391</v>
      </c>
      <c r="E2876" s="8" t="s">
        <v>69</v>
      </c>
      <c r="F2876" s="8"/>
      <c r="G2876" s="18" t="s">
        <v>1267</v>
      </c>
      <c r="H2876" s="14">
        <f>H2877</f>
        <v>0</v>
      </c>
      <c r="I2876" s="14">
        <f t="shared" si="1262"/>
        <v>204.91927000000001</v>
      </c>
      <c r="J2876" s="14">
        <f t="shared" si="1262"/>
        <v>204.91927000000001</v>
      </c>
      <c r="K2876" s="78">
        <f t="shared" si="1245"/>
        <v>100</v>
      </c>
      <c r="L2876" s="14">
        <f t="shared" si="1262"/>
        <v>0</v>
      </c>
      <c r="M2876" s="50"/>
      <c r="N2876" s="50"/>
    </row>
    <row r="2877" spans="1:14" x14ac:dyDescent="0.3">
      <c r="A2877" s="8" t="s">
        <v>1431</v>
      </c>
      <c r="B2877" s="62" t="s">
        <v>939</v>
      </c>
      <c r="C2877" s="68" t="s">
        <v>1392</v>
      </c>
      <c r="D2877" s="68" t="s">
        <v>1391</v>
      </c>
      <c r="E2877" s="8" t="s">
        <v>69</v>
      </c>
      <c r="F2877" s="45" t="s">
        <v>464</v>
      </c>
      <c r="G2877" s="23" t="s">
        <v>822</v>
      </c>
      <c r="H2877" s="14">
        <f>H2878</f>
        <v>0</v>
      </c>
      <c r="I2877" s="14">
        <f t="shared" si="1262"/>
        <v>204.91927000000001</v>
      </c>
      <c r="J2877" s="14">
        <f t="shared" si="1262"/>
        <v>204.91927000000001</v>
      </c>
      <c r="K2877" s="78">
        <f t="shared" si="1245"/>
        <v>100</v>
      </c>
      <c r="L2877" s="14">
        <f t="shared" si="1262"/>
        <v>0</v>
      </c>
      <c r="M2877" s="50"/>
      <c r="N2877" s="50"/>
    </row>
    <row r="2878" spans="1:14" ht="62.4" x14ac:dyDescent="0.3">
      <c r="A2878" s="8" t="s">
        <v>1431</v>
      </c>
      <c r="B2878" s="62" t="s">
        <v>939</v>
      </c>
      <c r="C2878" s="68" t="s">
        <v>1392</v>
      </c>
      <c r="D2878" s="68" t="s">
        <v>1391</v>
      </c>
      <c r="E2878" s="8" t="s">
        <v>69</v>
      </c>
      <c r="F2878" s="45" t="s">
        <v>727</v>
      </c>
      <c r="G2878" s="18" t="s">
        <v>830</v>
      </c>
      <c r="H2878" s="20">
        <v>0</v>
      </c>
      <c r="I2878" s="14">
        <v>204.91927000000001</v>
      </c>
      <c r="J2878" s="19">
        <v>204.91927000000001</v>
      </c>
      <c r="K2878" s="75">
        <f t="shared" si="1245"/>
        <v>100</v>
      </c>
      <c r="L2878" s="14"/>
      <c r="M2878" s="50"/>
      <c r="N2878" s="50"/>
    </row>
    <row r="2879" spans="1:14" ht="31.2" x14ac:dyDescent="0.3">
      <c r="A2879" s="8" t="s">
        <v>1431</v>
      </c>
      <c r="B2879" s="62" t="s">
        <v>939</v>
      </c>
      <c r="C2879" s="68" t="s">
        <v>1392</v>
      </c>
      <c r="D2879" s="68" t="s">
        <v>1391</v>
      </c>
      <c r="E2879" s="8" t="s">
        <v>1256</v>
      </c>
      <c r="F2879" s="8"/>
      <c r="G2879" s="23" t="s">
        <v>743</v>
      </c>
      <c r="H2879" s="14">
        <f>H2880</f>
        <v>0</v>
      </c>
      <c r="I2879" s="14">
        <f t="shared" ref="I2879:L2881" si="1263">I2880</f>
        <v>24828.1888</v>
      </c>
      <c r="J2879" s="14">
        <f t="shared" si="1263"/>
        <v>24828.1888</v>
      </c>
      <c r="K2879" s="78">
        <f t="shared" si="1245"/>
        <v>100</v>
      </c>
      <c r="L2879" s="14">
        <f t="shared" si="1263"/>
        <v>0</v>
      </c>
      <c r="M2879" s="50"/>
      <c r="N2879" s="50"/>
    </row>
    <row r="2880" spans="1:14" ht="46.8" x14ac:dyDescent="0.3">
      <c r="A2880" s="8" t="s">
        <v>1431</v>
      </c>
      <c r="B2880" s="62" t="s">
        <v>939</v>
      </c>
      <c r="C2880" s="68" t="s">
        <v>1392</v>
      </c>
      <c r="D2880" s="68" t="s">
        <v>1391</v>
      </c>
      <c r="E2880" s="8" t="s">
        <v>1260</v>
      </c>
      <c r="F2880" s="8"/>
      <c r="G2880" s="23" t="s">
        <v>744</v>
      </c>
      <c r="H2880" s="14">
        <f>H2881</f>
        <v>0</v>
      </c>
      <c r="I2880" s="14">
        <f t="shared" si="1263"/>
        <v>24828.1888</v>
      </c>
      <c r="J2880" s="14">
        <f t="shared" si="1263"/>
        <v>24828.1888</v>
      </c>
      <c r="K2880" s="78">
        <f t="shared" si="1245"/>
        <v>100</v>
      </c>
      <c r="L2880" s="14">
        <f t="shared" si="1263"/>
        <v>0</v>
      </c>
      <c r="M2880" s="50"/>
      <c r="N2880" s="50"/>
    </row>
    <row r="2881" spans="1:14" ht="31.2" x14ac:dyDescent="0.3">
      <c r="A2881" s="8" t="s">
        <v>1431</v>
      </c>
      <c r="B2881" s="62" t="s">
        <v>939</v>
      </c>
      <c r="C2881" s="68" t="s">
        <v>1392</v>
      </c>
      <c r="D2881" s="68" t="s">
        <v>1391</v>
      </c>
      <c r="E2881" s="8" t="s">
        <v>1261</v>
      </c>
      <c r="F2881" s="8"/>
      <c r="G2881" s="23" t="s">
        <v>745</v>
      </c>
      <c r="H2881" s="14">
        <f>H2882</f>
        <v>0</v>
      </c>
      <c r="I2881" s="14">
        <f t="shared" si="1263"/>
        <v>24828.1888</v>
      </c>
      <c r="J2881" s="14">
        <f t="shared" si="1263"/>
        <v>24828.1888</v>
      </c>
      <c r="K2881" s="78">
        <f t="shared" si="1245"/>
        <v>100</v>
      </c>
      <c r="L2881" s="14">
        <f t="shared" si="1263"/>
        <v>0</v>
      </c>
      <c r="M2881" s="50"/>
      <c r="N2881" s="50"/>
    </row>
    <row r="2882" spans="1:14" ht="31.2" x14ac:dyDescent="0.3">
      <c r="A2882" s="8" t="s">
        <v>1431</v>
      </c>
      <c r="B2882" s="62" t="s">
        <v>939</v>
      </c>
      <c r="C2882" s="68" t="s">
        <v>1392</v>
      </c>
      <c r="D2882" s="68" t="s">
        <v>1391</v>
      </c>
      <c r="E2882" s="8" t="s">
        <v>1262</v>
      </c>
      <c r="F2882" s="8"/>
      <c r="G2882" s="23" t="s">
        <v>691</v>
      </c>
      <c r="H2882" s="14">
        <f>H2883+H2885</f>
        <v>0</v>
      </c>
      <c r="I2882" s="14">
        <f t="shared" ref="I2882:L2882" si="1264">I2883+I2885</f>
        <v>24828.1888</v>
      </c>
      <c r="J2882" s="14">
        <f t="shared" si="1264"/>
        <v>24828.1888</v>
      </c>
      <c r="K2882" s="78">
        <f t="shared" si="1245"/>
        <v>100</v>
      </c>
      <c r="L2882" s="14">
        <f t="shared" si="1264"/>
        <v>0</v>
      </c>
      <c r="M2882" s="50"/>
      <c r="N2882" s="50"/>
    </row>
    <row r="2883" spans="1:14" ht="31.2" x14ac:dyDescent="0.3">
      <c r="A2883" s="8" t="s">
        <v>1431</v>
      </c>
      <c r="B2883" s="62" t="s">
        <v>939</v>
      </c>
      <c r="C2883" s="68" t="s">
        <v>1392</v>
      </c>
      <c r="D2883" s="68" t="s">
        <v>1391</v>
      </c>
      <c r="E2883" s="8" t="s">
        <v>1262</v>
      </c>
      <c r="F2883" s="45" t="s">
        <v>402</v>
      </c>
      <c r="G2883" s="23" t="s">
        <v>819</v>
      </c>
      <c r="H2883" s="14">
        <f>H2884</f>
        <v>0</v>
      </c>
      <c r="I2883" s="14">
        <f t="shared" ref="I2883:L2883" si="1265">I2884</f>
        <v>13656.106760000001</v>
      </c>
      <c r="J2883" s="14">
        <f t="shared" si="1265"/>
        <v>13656.106760000001</v>
      </c>
      <c r="K2883" s="78">
        <f t="shared" si="1245"/>
        <v>100</v>
      </c>
      <c r="L2883" s="14">
        <f t="shared" si="1265"/>
        <v>0</v>
      </c>
      <c r="M2883" s="50"/>
      <c r="N2883" s="50"/>
    </row>
    <row r="2884" spans="1:14" ht="46.8" x14ac:dyDescent="0.3">
      <c r="A2884" s="8" t="s">
        <v>1431</v>
      </c>
      <c r="B2884" s="62" t="s">
        <v>939</v>
      </c>
      <c r="C2884" s="68" t="s">
        <v>1392</v>
      </c>
      <c r="D2884" s="68" t="s">
        <v>1391</v>
      </c>
      <c r="E2884" s="8" t="s">
        <v>1262</v>
      </c>
      <c r="F2884" s="45" t="s">
        <v>280</v>
      </c>
      <c r="G2884" s="23" t="s">
        <v>821</v>
      </c>
      <c r="H2884" s="20">
        <v>0</v>
      </c>
      <c r="I2884" s="14">
        <v>13656.106760000001</v>
      </c>
      <c r="J2884" s="14">
        <v>13656.106760000001</v>
      </c>
      <c r="K2884" s="78">
        <f t="shared" si="1245"/>
        <v>100</v>
      </c>
      <c r="L2884" s="14"/>
      <c r="M2884" s="50"/>
      <c r="N2884" s="50"/>
    </row>
    <row r="2885" spans="1:14" x14ac:dyDescent="0.3">
      <c r="A2885" s="8" t="s">
        <v>1431</v>
      </c>
      <c r="B2885" s="62" t="s">
        <v>939</v>
      </c>
      <c r="C2885" s="68" t="s">
        <v>1392</v>
      </c>
      <c r="D2885" s="68" t="s">
        <v>1391</v>
      </c>
      <c r="E2885" s="8" t="s">
        <v>1262</v>
      </c>
      <c r="F2885" s="8" t="s">
        <v>464</v>
      </c>
      <c r="G2885" s="23" t="s">
        <v>822</v>
      </c>
      <c r="H2885" s="14">
        <f>H2886</f>
        <v>0</v>
      </c>
      <c r="I2885" s="14">
        <f t="shared" ref="I2885:L2885" si="1266">I2886</f>
        <v>11172.082039999999</v>
      </c>
      <c r="J2885" s="14">
        <f t="shared" si="1266"/>
        <v>11172.082039999999</v>
      </c>
      <c r="K2885" s="78">
        <f t="shared" si="1245"/>
        <v>100</v>
      </c>
      <c r="L2885" s="14">
        <f t="shared" si="1266"/>
        <v>0</v>
      </c>
      <c r="M2885" s="50"/>
      <c r="N2885" s="50"/>
    </row>
    <row r="2886" spans="1:14" ht="62.4" x14ac:dyDescent="0.3">
      <c r="A2886" s="8" t="s">
        <v>1431</v>
      </c>
      <c r="B2886" s="62" t="s">
        <v>939</v>
      </c>
      <c r="C2886" s="68" t="s">
        <v>1392</v>
      </c>
      <c r="D2886" s="68" t="s">
        <v>1391</v>
      </c>
      <c r="E2886" s="8" t="s">
        <v>1262</v>
      </c>
      <c r="F2886" s="8" t="s">
        <v>727</v>
      </c>
      <c r="G2886" s="23" t="s">
        <v>830</v>
      </c>
      <c r="H2886" s="20">
        <v>0</v>
      </c>
      <c r="I2886" s="14">
        <v>11172.082039999999</v>
      </c>
      <c r="J2886" s="14">
        <v>11172.082039999999</v>
      </c>
      <c r="K2886" s="78">
        <f t="shared" si="1245"/>
        <v>100</v>
      </c>
      <c r="L2886" s="14"/>
      <c r="M2886" s="50"/>
      <c r="N2886" s="50"/>
    </row>
    <row r="2887" spans="1:14" ht="31.2" x14ac:dyDescent="0.3">
      <c r="A2887" s="8" t="s">
        <v>1431</v>
      </c>
      <c r="B2887" s="62" t="s">
        <v>939</v>
      </c>
      <c r="C2887" s="68" t="s">
        <v>1392</v>
      </c>
      <c r="D2887" s="68" t="s">
        <v>1391</v>
      </c>
      <c r="E2887" s="8" t="s">
        <v>429</v>
      </c>
      <c r="F2887" s="8"/>
      <c r="G2887" s="23" t="s">
        <v>1140</v>
      </c>
      <c r="H2887" s="14">
        <f t="shared" ref="H2887:L2889" si="1267">H2888</f>
        <v>25.699000000000002</v>
      </c>
      <c r="I2887" s="14">
        <f t="shared" si="1267"/>
        <v>612.98451999999997</v>
      </c>
      <c r="J2887" s="14">
        <f t="shared" si="1267"/>
        <v>516.07002999999997</v>
      </c>
      <c r="K2887" s="78">
        <f t="shared" si="1245"/>
        <v>84.189732882650929</v>
      </c>
      <c r="L2887" s="14">
        <f t="shared" si="1267"/>
        <v>0</v>
      </c>
      <c r="M2887" s="50"/>
      <c r="N2887" s="50"/>
    </row>
    <row r="2888" spans="1:14" ht="46.8" x14ac:dyDescent="0.3">
      <c r="A2888" s="8" t="s">
        <v>1431</v>
      </c>
      <c r="B2888" s="62" t="s">
        <v>939</v>
      </c>
      <c r="C2888" s="68" t="s">
        <v>1392</v>
      </c>
      <c r="D2888" s="68" t="s">
        <v>1391</v>
      </c>
      <c r="E2888" s="8" t="s">
        <v>535</v>
      </c>
      <c r="F2888" s="8"/>
      <c r="G2888" s="31" t="s">
        <v>176</v>
      </c>
      <c r="H2888" s="14">
        <f t="shared" si="1267"/>
        <v>25.699000000000002</v>
      </c>
      <c r="I2888" s="14">
        <f t="shared" si="1267"/>
        <v>612.98451999999997</v>
      </c>
      <c r="J2888" s="14">
        <f t="shared" si="1267"/>
        <v>516.07002999999997</v>
      </c>
      <c r="K2888" s="78">
        <f t="shared" ref="K2888:K2951" si="1268">J2888/I2888*100</f>
        <v>84.189732882650929</v>
      </c>
      <c r="L2888" s="14">
        <f t="shared" si="1267"/>
        <v>0</v>
      </c>
      <c r="M2888" s="50"/>
      <c r="N2888" s="50"/>
    </row>
    <row r="2889" spans="1:14" ht="31.2" x14ac:dyDescent="0.3">
      <c r="A2889" s="8" t="s">
        <v>1431</v>
      </c>
      <c r="B2889" s="62" t="s">
        <v>939</v>
      </c>
      <c r="C2889" s="68" t="s">
        <v>1392</v>
      </c>
      <c r="D2889" s="68" t="s">
        <v>1391</v>
      </c>
      <c r="E2889" s="8" t="s">
        <v>535</v>
      </c>
      <c r="F2889" s="45" t="s">
        <v>380</v>
      </c>
      <c r="G2889" s="23" t="s">
        <v>809</v>
      </c>
      <c r="H2889" s="14">
        <f t="shared" si="1267"/>
        <v>25.699000000000002</v>
      </c>
      <c r="I2889" s="14">
        <f t="shared" si="1267"/>
        <v>612.98451999999997</v>
      </c>
      <c r="J2889" s="14">
        <f t="shared" si="1267"/>
        <v>516.07002999999997</v>
      </c>
      <c r="K2889" s="78">
        <f t="shared" si="1268"/>
        <v>84.189732882650929</v>
      </c>
      <c r="L2889" s="14">
        <f t="shared" si="1267"/>
        <v>0</v>
      </c>
      <c r="M2889" s="50"/>
      <c r="N2889" s="50"/>
    </row>
    <row r="2890" spans="1:14" ht="31.2" x14ac:dyDescent="0.3">
      <c r="A2890" s="8" t="s">
        <v>1431</v>
      </c>
      <c r="B2890" s="62" t="s">
        <v>939</v>
      </c>
      <c r="C2890" s="68" t="s">
        <v>1392</v>
      </c>
      <c r="D2890" s="68" t="s">
        <v>1391</v>
      </c>
      <c r="E2890" s="8" t="s">
        <v>535</v>
      </c>
      <c r="F2890" s="8" t="s">
        <v>247</v>
      </c>
      <c r="G2890" s="23" t="s">
        <v>810</v>
      </c>
      <c r="H2890" s="14">
        <v>25.699000000000002</v>
      </c>
      <c r="I2890" s="14">
        <v>612.98451999999997</v>
      </c>
      <c r="J2890" s="14">
        <v>516.07002999999997</v>
      </c>
      <c r="K2890" s="78">
        <f t="shared" si="1268"/>
        <v>84.189732882650929</v>
      </c>
      <c r="L2890" s="14"/>
      <c r="M2890" s="50"/>
      <c r="N2890" s="50"/>
    </row>
    <row r="2891" spans="1:14" s="9" customFormat="1" ht="31.2" x14ac:dyDescent="0.3">
      <c r="A2891" s="11" t="s">
        <v>1431</v>
      </c>
      <c r="B2891" s="48" t="s">
        <v>940</v>
      </c>
      <c r="C2891" s="48" t="s">
        <v>1392</v>
      </c>
      <c r="D2891" s="48" t="s">
        <v>1392</v>
      </c>
      <c r="E2891" s="11"/>
      <c r="F2891" s="11"/>
      <c r="G2891" s="7" t="s">
        <v>1424</v>
      </c>
      <c r="H2891" s="16">
        <f t="shared" ref="H2891:L2894" si="1269">H2892</f>
        <v>10776.5</v>
      </c>
      <c r="I2891" s="16">
        <f t="shared" si="1269"/>
        <v>10776.499999999998</v>
      </c>
      <c r="J2891" s="16">
        <f t="shared" si="1269"/>
        <v>10752.055909999999</v>
      </c>
      <c r="K2891" s="82">
        <f t="shared" si="1268"/>
        <v>99.77317227300145</v>
      </c>
      <c r="L2891" s="16">
        <f t="shared" si="1269"/>
        <v>0</v>
      </c>
      <c r="M2891" s="65"/>
      <c r="N2891" s="65"/>
    </row>
    <row r="2892" spans="1:14" ht="31.2" x14ac:dyDescent="0.3">
      <c r="A2892" s="8" t="s">
        <v>1431</v>
      </c>
      <c r="B2892" s="62" t="s">
        <v>940</v>
      </c>
      <c r="C2892" s="68" t="s">
        <v>1392</v>
      </c>
      <c r="D2892" s="68" t="s">
        <v>1392</v>
      </c>
      <c r="E2892" s="8" t="s">
        <v>355</v>
      </c>
      <c r="F2892" s="8"/>
      <c r="G2892" s="13" t="s">
        <v>893</v>
      </c>
      <c r="H2892" s="14">
        <f t="shared" si="1269"/>
        <v>10776.5</v>
      </c>
      <c r="I2892" s="14">
        <f t="shared" si="1269"/>
        <v>10776.499999999998</v>
      </c>
      <c r="J2892" s="14">
        <f t="shared" si="1269"/>
        <v>10752.055909999999</v>
      </c>
      <c r="K2892" s="78">
        <f t="shared" si="1268"/>
        <v>99.77317227300145</v>
      </c>
      <c r="L2892" s="14">
        <f t="shared" si="1269"/>
        <v>0</v>
      </c>
      <c r="M2892" s="50"/>
      <c r="N2892" s="50"/>
    </row>
    <row r="2893" spans="1:14" ht="31.2" x14ac:dyDescent="0.3">
      <c r="A2893" s="8" t="s">
        <v>1431</v>
      </c>
      <c r="B2893" s="62" t="s">
        <v>940</v>
      </c>
      <c r="C2893" s="68" t="s">
        <v>1392</v>
      </c>
      <c r="D2893" s="68" t="s">
        <v>1392</v>
      </c>
      <c r="E2893" s="8" t="s">
        <v>373</v>
      </c>
      <c r="F2893" s="8"/>
      <c r="G2893" s="13" t="s">
        <v>1038</v>
      </c>
      <c r="H2893" s="14">
        <f t="shared" si="1269"/>
        <v>10776.5</v>
      </c>
      <c r="I2893" s="14">
        <f t="shared" si="1269"/>
        <v>10776.499999999998</v>
      </c>
      <c r="J2893" s="14">
        <f t="shared" si="1269"/>
        <v>10752.055909999999</v>
      </c>
      <c r="K2893" s="78">
        <f t="shared" si="1268"/>
        <v>99.77317227300145</v>
      </c>
      <c r="L2893" s="14">
        <f t="shared" si="1269"/>
        <v>0</v>
      </c>
      <c r="M2893" s="50"/>
      <c r="N2893" s="50"/>
    </row>
    <row r="2894" spans="1:14" ht="31.2" x14ac:dyDescent="0.3">
      <c r="A2894" s="8" t="s">
        <v>1431</v>
      </c>
      <c r="B2894" s="62" t="s">
        <v>940</v>
      </c>
      <c r="C2894" s="68" t="s">
        <v>1392</v>
      </c>
      <c r="D2894" s="68" t="s">
        <v>1392</v>
      </c>
      <c r="E2894" s="8" t="s">
        <v>374</v>
      </c>
      <c r="F2894" s="8"/>
      <c r="G2894" s="13" t="s">
        <v>1039</v>
      </c>
      <c r="H2894" s="14">
        <f t="shared" si="1269"/>
        <v>10776.5</v>
      </c>
      <c r="I2894" s="14">
        <f t="shared" si="1269"/>
        <v>10776.499999999998</v>
      </c>
      <c r="J2894" s="14">
        <f t="shared" si="1269"/>
        <v>10752.055909999999</v>
      </c>
      <c r="K2894" s="78">
        <f t="shared" si="1268"/>
        <v>99.77317227300145</v>
      </c>
      <c r="L2894" s="14">
        <f t="shared" si="1269"/>
        <v>0</v>
      </c>
      <c r="M2894" s="50"/>
      <c r="N2894" s="50"/>
    </row>
    <row r="2895" spans="1:14" ht="62.4" x14ac:dyDescent="0.3">
      <c r="A2895" s="8" t="s">
        <v>1431</v>
      </c>
      <c r="B2895" s="62" t="s">
        <v>940</v>
      </c>
      <c r="C2895" s="68" t="s">
        <v>1392</v>
      </c>
      <c r="D2895" s="68" t="s">
        <v>1392</v>
      </c>
      <c r="E2895" s="8" t="s">
        <v>375</v>
      </c>
      <c r="F2895" s="8"/>
      <c r="G2895" s="23" t="s">
        <v>1291</v>
      </c>
      <c r="H2895" s="14">
        <f>H2896+H2898+H2900</f>
        <v>10776.5</v>
      </c>
      <c r="I2895" s="14">
        <f>I2896+I2898+I2900</f>
        <v>10776.499999999998</v>
      </c>
      <c r="J2895" s="14">
        <f t="shared" ref="J2895" si="1270">J2896+J2898+J2900</f>
        <v>10752.055909999999</v>
      </c>
      <c r="K2895" s="78">
        <f t="shared" si="1268"/>
        <v>99.77317227300145</v>
      </c>
      <c r="L2895" s="14">
        <f>L2896+L2898+L2900</f>
        <v>0</v>
      </c>
      <c r="M2895" s="50"/>
      <c r="N2895" s="50"/>
    </row>
    <row r="2896" spans="1:14" ht="78" x14ac:dyDescent="0.3">
      <c r="A2896" s="8" t="s">
        <v>1431</v>
      </c>
      <c r="B2896" s="62" t="s">
        <v>940</v>
      </c>
      <c r="C2896" s="68" t="s">
        <v>1392</v>
      </c>
      <c r="D2896" s="68" t="s">
        <v>1392</v>
      </c>
      <c r="E2896" s="8" t="s">
        <v>375</v>
      </c>
      <c r="F2896" s="45" t="s">
        <v>431</v>
      </c>
      <c r="G2896" s="23" t="s">
        <v>806</v>
      </c>
      <c r="H2896" s="14">
        <f t="shared" ref="H2896:L2896" si="1271">H2897</f>
        <v>8868.7999999999993</v>
      </c>
      <c r="I2896" s="14">
        <f t="shared" si="1271"/>
        <v>8868.7999999999993</v>
      </c>
      <c r="J2896" s="14">
        <f t="shared" si="1271"/>
        <v>8868.7999999999993</v>
      </c>
      <c r="K2896" s="78">
        <f t="shared" si="1268"/>
        <v>100</v>
      </c>
      <c r="L2896" s="14">
        <f t="shared" si="1271"/>
        <v>0</v>
      </c>
      <c r="M2896" s="50"/>
      <c r="N2896" s="50"/>
    </row>
    <row r="2897" spans="1:14" x14ac:dyDescent="0.3">
      <c r="A2897" s="8" t="s">
        <v>1431</v>
      </c>
      <c r="B2897" s="62" t="s">
        <v>940</v>
      </c>
      <c r="C2897" s="68" t="s">
        <v>1392</v>
      </c>
      <c r="D2897" s="68" t="s">
        <v>1392</v>
      </c>
      <c r="E2897" s="8" t="s">
        <v>375</v>
      </c>
      <c r="F2897" s="8" t="s">
        <v>719</v>
      </c>
      <c r="G2897" s="23" t="s">
        <v>807</v>
      </c>
      <c r="H2897" s="14">
        <v>8868.7999999999993</v>
      </c>
      <c r="I2897" s="14">
        <v>8868.7999999999993</v>
      </c>
      <c r="J2897" s="14">
        <v>8868.7999999999993</v>
      </c>
      <c r="K2897" s="78">
        <f t="shared" si="1268"/>
        <v>100</v>
      </c>
      <c r="L2897" s="14"/>
      <c r="M2897" s="50"/>
      <c r="N2897" s="50"/>
    </row>
    <row r="2898" spans="1:14" ht="31.2" x14ac:dyDescent="0.3">
      <c r="A2898" s="8" t="s">
        <v>1431</v>
      </c>
      <c r="B2898" s="62" t="s">
        <v>940</v>
      </c>
      <c r="C2898" s="68" t="s">
        <v>1392</v>
      </c>
      <c r="D2898" s="68" t="s">
        <v>1392</v>
      </c>
      <c r="E2898" s="8" t="s">
        <v>375</v>
      </c>
      <c r="F2898" s="45" t="s">
        <v>380</v>
      </c>
      <c r="G2898" s="23" t="s">
        <v>809</v>
      </c>
      <c r="H2898" s="14">
        <f t="shared" ref="H2898:L2898" si="1272">H2899</f>
        <v>1899.7</v>
      </c>
      <c r="I2898" s="14">
        <f t="shared" si="1272"/>
        <v>1907.693</v>
      </c>
      <c r="J2898" s="14">
        <f t="shared" si="1272"/>
        <v>1883.24891</v>
      </c>
      <c r="K2898" s="78">
        <f t="shared" si="1268"/>
        <v>98.718657037584151</v>
      </c>
      <c r="L2898" s="14">
        <f t="shared" si="1272"/>
        <v>0</v>
      </c>
      <c r="M2898" s="50"/>
      <c r="N2898" s="50"/>
    </row>
    <row r="2899" spans="1:14" ht="31.2" x14ac:dyDescent="0.3">
      <c r="A2899" s="8" t="s">
        <v>1431</v>
      </c>
      <c r="B2899" s="62" t="s">
        <v>940</v>
      </c>
      <c r="C2899" s="68" t="s">
        <v>1392</v>
      </c>
      <c r="D2899" s="68" t="s">
        <v>1392</v>
      </c>
      <c r="E2899" s="8" t="s">
        <v>375</v>
      </c>
      <c r="F2899" s="8" t="s">
        <v>247</v>
      </c>
      <c r="G2899" s="23" t="s">
        <v>810</v>
      </c>
      <c r="H2899" s="14">
        <v>1899.7</v>
      </c>
      <c r="I2899" s="14">
        <v>1907.693</v>
      </c>
      <c r="J2899" s="14">
        <v>1883.24891</v>
      </c>
      <c r="K2899" s="78">
        <f t="shared" si="1268"/>
        <v>98.718657037584151</v>
      </c>
      <c r="L2899" s="14"/>
      <c r="M2899" s="50"/>
      <c r="N2899" s="50"/>
    </row>
    <row r="2900" spans="1:14" x14ac:dyDescent="0.3">
      <c r="A2900" s="8" t="s">
        <v>1431</v>
      </c>
      <c r="B2900" s="62" t="s">
        <v>940</v>
      </c>
      <c r="C2900" s="68" t="s">
        <v>1392</v>
      </c>
      <c r="D2900" s="68" t="s">
        <v>1392</v>
      </c>
      <c r="E2900" s="8" t="s">
        <v>375</v>
      </c>
      <c r="F2900" s="45" t="s">
        <v>464</v>
      </c>
      <c r="G2900" s="23" t="s">
        <v>822</v>
      </c>
      <c r="H2900" s="14">
        <f t="shared" ref="H2900:L2900" si="1273">H2901</f>
        <v>8</v>
      </c>
      <c r="I2900" s="14">
        <f t="shared" si="1273"/>
        <v>7.0000000000000001E-3</v>
      </c>
      <c r="J2900" s="14">
        <f t="shared" si="1273"/>
        <v>7.0000000000000001E-3</v>
      </c>
      <c r="K2900" s="78">
        <f t="shared" si="1268"/>
        <v>100</v>
      </c>
      <c r="L2900" s="14">
        <f t="shared" si="1273"/>
        <v>0</v>
      </c>
      <c r="M2900" s="50"/>
      <c r="N2900" s="50"/>
    </row>
    <row r="2901" spans="1:14" x14ac:dyDescent="0.3">
      <c r="A2901" s="8" t="s">
        <v>1431</v>
      </c>
      <c r="B2901" s="62" t="s">
        <v>940</v>
      </c>
      <c r="C2901" s="68" t="s">
        <v>1392</v>
      </c>
      <c r="D2901" s="68" t="s">
        <v>1392</v>
      </c>
      <c r="E2901" s="8" t="s">
        <v>375</v>
      </c>
      <c r="F2901" s="45" t="s">
        <v>729</v>
      </c>
      <c r="G2901" s="23" t="s">
        <v>824</v>
      </c>
      <c r="H2901" s="14">
        <v>8</v>
      </c>
      <c r="I2901" s="14">
        <v>7.0000000000000001E-3</v>
      </c>
      <c r="J2901" s="14">
        <v>7.0000000000000001E-3</v>
      </c>
      <c r="K2901" s="78">
        <f t="shared" si="1268"/>
        <v>100</v>
      </c>
      <c r="L2901" s="14"/>
      <c r="M2901" s="50"/>
      <c r="N2901" s="50"/>
    </row>
    <row r="2902" spans="1:14" s="3" customFormat="1" x14ac:dyDescent="0.3">
      <c r="A2902" s="10" t="s">
        <v>1431</v>
      </c>
      <c r="B2902" s="43" t="s">
        <v>1381</v>
      </c>
      <c r="C2902" s="43" t="s">
        <v>1381</v>
      </c>
      <c r="D2902" s="43" t="s">
        <v>915</v>
      </c>
      <c r="E2902" s="10"/>
      <c r="F2902" s="10"/>
      <c r="G2902" s="5" t="s">
        <v>1395</v>
      </c>
      <c r="H2902" s="15">
        <f t="shared" ref="H2902:L2905" si="1274">H2903</f>
        <v>165.43299999999999</v>
      </c>
      <c r="I2902" s="15">
        <f t="shared" si="1274"/>
        <v>165.43299999999999</v>
      </c>
      <c r="J2902" s="15">
        <f t="shared" si="1274"/>
        <v>165.4325</v>
      </c>
      <c r="K2902" s="81">
        <f t="shared" si="1268"/>
        <v>99.999697762840555</v>
      </c>
      <c r="L2902" s="15">
        <f t="shared" si="1274"/>
        <v>0</v>
      </c>
      <c r="M2902" s="65"/>
      <c r="N2902" s="65"/>
    </row>
    <row r="2903" spans="1:14" s="9" customFormat="1" ht="31.2" x14ac:dyDescent="0.3">
      <c r="A2903" s="11" t="s">
        <v>1431</v>
      </c>
      <c r="B2903" s="48" t="s">
        <v>920</v>
      </c>
      <c r="C2903" s="48" t="s">
        <v>1381</v>
      </c>
      <c r="D2903" s="48" t="s">
        <v>1391</v>
      </c>
      <c r="E2903" s="11"/>
      <c r="F2903" s="11"/>
      <c r="G2903" s="7" t="s">
        <v>1396</v>
      </c>
      <c r="H2903" s="16">
        <f t="shared" si="1274"/>
        <v>165.43299999999999</v>
      </c>
      <c r="I2903" s="16">
        <f t="shared" si="1274"/>
        <v>165.43299999999999</v>
      </c>
      <c r="J2903" s="16">
        <f t="shared" si="1274"/>
        <v>165.4325</v>
      </c>
      <c r="K2903" s="82">
        <f t="shared" si="1268"/>
        <v>99.999697762840555</v>
      </c>
      <c r="L2903" s="16">
        <f t="shared" si="1274"/>
        <v>0</v>
      </c>
      <c r="M2903" s="65"/>
      <c r="N2903" s="65"/>
    </row>
    <row r="2904" spans="1:14" ht="31.2" x14ac:dyDescent="0.3">
      <c r="A2904" s="8" t="s">
        <v>1431</v>
      </c>
      <c r="B2904" s="62" t="s">
        <v>920</v>
      </c>
      <c r="C2904" s="68" t="s">
        <v>1381</v>
      </c>
      <c r="D2904" s="68" t="s">
        <v>1391</v>
      </c>
      <c r="E2904" s="8" t="s">
        <v>376</v>
      </c>
      <c r="F2904" s="8"/>
      <c r="G2904" s="23" t="s">
        <v>1101</v>
      </c>
      <c r="H2904" s="14">
        <f t="shared" si="1274"/>
        <v>165.43299999999999</v>
      </c>
      <c r="I2904" s="14">
        <f t="shared" si="1274"/>
        <v>165.43299999999999</v>
      </c>
      <c r="J2904" s="14">
        <f t="shared" si="1274"/>
        <v>165.4325</v>
      </c>
      <c r="K2904" s="78">
        <f t="shared" si="1268"/>
        <v>99.999697762840555</v>
      </c>
      <c r="L2904" s="14">
        <f t="shared" si="1274"/>
        <v>0</v>
      </c>
      <c r="M2904" s="50"/>
      <c r="N2904" s="50"/>
    </row>
    <row r="2905" spans="1:14" ht="31.2" x14ac:dyDescent="0.3">
      <c r="A2905" s="8" t="s">
        <v>1431</v>
      </c>
      <c r="B2905" s="62" t="s">
        <v>920</v>
      </c>
      <c r="C2905" s="68" t="s">
        <v>1381</v>
      </c>
      <c r="D2905" s="68" t="s">
        <v>1391</v>
      </c>
      <c r="E2905" s="8" t="s">
        <v>379</v>
      </c>
      <c r="F2905" s="8"/>
      <c r="G2905" s="23" t="s">
        <v>1200</v>
      </c>
      <c r="H2905" s="14">
        <f>H2906</f>
        <v>165.43299999999999</v>
      </c>
      <c r="I2905" s="14">
        <f t="shared" si="1274"/>
        <v>165.43299999999999</v>
      </c>
      <c r="J2905" s="14">
        <f t="shared" si="1274"/>
        <v>165.4325</v>
      </c>
      <c r="K2905" s="78">
        <f t="shared" si="1268"/>
        <v>99.999697762840555</v>
      </c>
      <c r="L2905" s="14">
        <f t="shared" si="1274"/>
        <v>0</v>
      </c>
      <c r="M2905" s="50"/>
      <c r="N2905" s="50"/>
    </row>
    <row r="2906" spans="1:14" ht="31.2" x14ac:dyDescent="0.3">
      <c r="A2906" s="8" t="s">
        <v>1431</v>
      </c>
      <c r="B2906" s="62" t="s">
        <v>920</v>
      </c>
      <c r="C2906" s="68" t="s">
        <v>1381</v>
      </c>
      <c r="D2906" s="68" t="s">
        <v>1391</v>
      </c>
      <c r="E2906" s="8" t="s">
        <v>1222</v>
      </c>
      <c r="F2906" s="8"/>
      <c r="G2906" s="23" t="s">
        <v>737</v>
      </c>
      <c r="H2906" s="14">
        <f t="shared" ref="H2906:L2908" si="1275">H2907</f>
        <v>165.43299999999999</v>
      </c>
      <c r="I2906" s="14">
        <f t="shared" si="1275"/>
        <v>165.43299999999999</v>
      </c>
      <c r="J2906" s="14">
        <f t="shared" si="1275"/>
        <v>165.4325</v>
      </c>
      <c r="K2906" s="78">
        <f t="shared" si="1268"/>
        <v>99.999697762840555</v>
      </c>
      <c r="L2906" s="14">
        <f t="shared" si="1275"/>
        <v>0</v>
      </c>
      <c r="M2906" s="50"/>
      <c r="N2906" s="50"/>
    </row>
    <row r="2907" spans="1:14" x14ac:dyDescent="0.3">
      <c r="A2907" s="8" t="s">
        <v>1431</v>
      </c>
      <c r="B2907" s="62" t="s">
        <v>920</v>
      </c>
      <c r="C2907" s="68" t="s">
        <v>1381</v>
      </c>
      <c r="D2907" s="68" t="s">
        <v>1391</v>
      </c>
      <c r="E2907" s="8" t="s">
        <v>1223</v>
      </c>
      <c r="F2907" s="8"/>
      <c r="G2907" s="23" t="s">
        <v>1224</v>
      </c>
      <c r="H2907" s="14">
        <f t="shared" si="1275"/>
        <v>165.43299999999999</v>
      </c>
      <c r="I2907" s="14">
        <f t="shared" si="1275"/>
        <v>165.43299999999999</v>
      </c>
      <c r="J2907" s="14">
        <f t="shared" si="1275"/>
        <v>165.4325</v>
      </c>
      <c r="K2907" s="78">
        <f t="shared" si="1268"/>
        <v>99.999697762840555</v>
      </c>
      <c r="L2907" s="14">
        <f t="shared" si="1275"/>
        <v>0</v>
      </c>
      <c r="M2907" s="50"/>
      <c r="N2907" s="50"/>
    </row>
    <row r="2908" spans="1:14" ht="31.2" x14ac:dyDescent="0.3">
      <c r="A2908" s="8" t="s">
        <v>1431</v>
      </c>
      <c r="B2908" s="62" t="s">
        <v>920</v>
      </c>
      <c r="C2908" s="68" t="s">
        <v>1381</v>
      </c>
      <c r="D2908" s="68" t="s">
        <v>1391</v>
      </c>
      <c r="E2908" s="8" t="s">
        <v>1223</v>
      </c>
      <c r="F2908" s="45" t="s">
        <v>380</v>
      </c>
      <c r="G2908" s="23" t="s">
        <v>809</v>
      </c>
      <c r="H2908" s="14">
        <f t="shared" si="1275"/>
        <v>165.43299999999999</v>
      </c>
      <c r="I2908" s="14">
        <f t="shared" si="1275"/>
        <v>165.43299999999999</v>
      </c>
      <c r="J2908" s="14">
        <f t="shared" si="1275"/>
        <v>165.4325</v>
      </c>
      <c r="K2908" s="78">
        <f t="shared" si="1268"/>
        <v>99.999697762840555</v>
      </c>
      <c r="L2908" s="14">
        <f t="shared" si="1275"/>
        <v>0</v>
      </c>
      <c r="M2908" s="50"/>
      <c r="N2908" s="50"/>
    </row>
    <row r="2909" spans="1:14" ht="31.2" x14ac:dyDescent="0.3">
      <c r="A2909" s="8" t="s">
        <v>1431</v>
      </c>
      <c r="B2909" s="62" t="s">
        <v>920</v>
      </c>
      <c r="C2909" s="68" t="s">
        <v>1381</v>
      </c>
      <c r="D2909" s="68" t="s">
        <v>1391</v>
      </c>
      <c r="E2909" s="8" t="s">
        <v>1223</v>
      </c>
      <c r="F2909" s="8" t="s">
        <v>247</v>
      </c>
      <c r="G2909" s="23" t="s">
        <v>810</v>
      </c>
      <c r="H2909" s="14">
        <f>304.5-139.067</f>
        <v>165.43299999999999</v>
      </c>
      <c r="I2909" s="14">
        <v>165.43299999999999</v>
      </c>
      <c r="J2909" s="14">
        <v>165.4325</v>
      </c>
      <c r="K2909" s="78">
        <f t="shared" si="1268"/>
        <v>99.999697762840555</v>
      </c>
      <c r="L2909" s="14"/>
      <c r="M2909" s="50"/>
      <c r="N2909" s="50"/>
    </row>
    <row r="2910" spans="1:14" s="3" customFormat="1" x14ac:dyDescent="0.3">
      <c r="A2910" s="10" t="s">
        <v>1431</v>
      </c>
      <c r="B2910" s="43" t="s">
        <v>1374</v>
      </c>
      <c r="C2910" s="43" t="s">
        <v>1374</v>
      </c>
      <c r="D2910" s="43" t="s">
        <v>915</v>
      </c>
      <c r="E2910" s="10"/>
      <c r="F2910" s="10"/>
      <c r="G2910" s="5" t="s">
        <v>1378</v>
      </c>
      <c r="H2910" s="15">
        <f t="shared" ref="H2910:L2912" si="1276">H2911</f>
        <v>3129.3999999999996</v>
      </c>
      <c r="I2910" s="15">
        <f t="shared" si="1276"/>
        <v>3129.4</v>
      </c>
      <c r="J2910" s="15">
        <f t="shared" si="1276"/>
        <v>3129.2729599999998</v>
      </c>
      <c r="K2910" s="81">
        <f t="shared" si="1268"/>
        <v>99.995940435866288</v>
      </c>
      <c r="L2910" s="15">
        <f t="shared" si="1276"/>
        <v>0</v>
      </c>
      <c r="M2910" s="65"/>
      <c r="N2910" s="65"/>
    </row>
    <row r="2911" spans="1:14" s="9" customFormat="1" x14ac:dyDescent="0.3">
      <c r="A2911" s="11" t="s">
        <v>1431</v>
      </c>
      <c r="B2911" s="48" t="s">
        <v>924</v>
      </c>
      <c r="C2911" s="48" t="s">
        <v>1374</v>
      </c>
      <c r="D2911" s="48" t="s">
        <v>1374</v>
      </c>
      <c r="E2911" s="11"/>
      <c r="F2911" s="11"/>
      <c r="G2911" s="7" t="s">
        <v>1221</v>
      </c>
      <c r="H2911" s="16">
        <f t="shared" si="1276"/>
        <v>3129.3999999999996</v>
      </c>
      <c r="I2911" s="16">
        <f t="shared" si="1276"/>
        <v>3129.4</v>
      </c>
      <c r="J2911" s="16">
        <f t="shared" si="1276"/>
        <v>3129.2729599999998</v>
      </c>
      <c r="K2911" s="82">
        <f t="shared" si="1268"/>
        <v>99.995940435866288</v>
      </c>
      <c r="L2911" s="16">
        <f t="shared" si="1276"/>
        <v>0</v>
      </c>
      <c r="M2911" s="65"/>
      <c r="N2911" s="65"/>
    </row>
    <row r="2912" spans="1:14" x14ac:dyDescent="0.3">
      <c r="A2912" s="8" t="s">
        <v>1431</v>
      </c>
      <c r="B2912" s="62" t="s">
        <v>924</v>
      </c>
      <c r="C2912" s="68" t="s">
        <v>1374</v>
      </c>
      <c r="D2912" s="68" t="s">
        <v>1374</v>
      </c>
      <c r="E2912" s="8" t="s">
        <v>390</v>
      </c>
      <c r="F2912" s="8"/>
      <c r="G2912" s="13" t="s">
        <v>862</v>
      </c>
      <c r="H2912" s="14">
        <f t="shared" si="1276"/>
        <v>3129.3999999999996</v>
      </c>
      <c r="I2912" s="14">
        <f t="shared" si="1276"/>
        <v>3129.4</v>
      </c>
      <c r="J2912" s="14">
        <f t="shared" si="1276"/>
        <v>3129.2729599999998</v>
      </c>
      <c r="K2912" s="78">
        <f t="shared" si="1268"/>
        <v>99.995940435866288</v>
      </c>
      <c r="L2912" s="14">
        <f t="shared" si="1276"/>
        <v>0</v>
      </c>
      <c r="M2912" s="50"/>
      <c r="N2912" s="50"/>
    </row>
    <row r="2913" spans="1:14" ht="46.8" x14ac:dyDescent="0.3">
      <c r="A2913" s="8" t="s">
        <v>1431</v>
      </c>
      <c r="B2913" s="62" t="s">
        <v>924</v>
      </c>
      <c r="C2913" s="68" t="s">
        <v>1374</v>
      </c>
      <c r="D2913" s="68" t="s">
        <v>1374</v>
      </c>
      <c r="E2913" s="8" t="s">
        <v>59</v>
      </c>
      <c r="F2913" s="8"/>
      <c r="G2913" s="23" t="s">
        <v>1295</v>
      </c>
      <c r="H2913" s="14">
        <f t="shared" ref="H2913:L2916" si="1277">H2914</f>
        <v>3129.3999999999996</v>
      </c>
      <c r="I2913" s="14">
        <f t="shared" si="1277"/>
        <v>3129.4</v>
      </c>
      <c r="J2913" s="14">
        <f t="shared" si="1277"/>
        <v>3129.2729599999998</v>
      </c>
      <c r="K2913" s="78">
        <f t="shared" si="1268"/>
        <v>99.995940435866288</v>
      </c>
      <c r="L2913" s="14">
        <f t="shared" si="1277"/>
        <v>0</v>
      </c>
      <c r="M2913" s="50"/>
      <c r="N2913" s="50"/>
    </row>
    <row r="2914" spans="1:14" ht="31.2" x14ac:dyDescent="0.3">
      <c r="A2914" s="8" t="s">
        <v>1431</v>
      </c>
      <c r="B2914" s="62" t="s">
        <v>924</v>
      </c>
      <c r="C2914" s="68" t="s">
        <v>1374</v>
      </c>
      <c r="D2914" s="68" t="s">
        <v>1374</v>
      </c>
      <c r="E2914" s="8" t="s">
        <v>60</v>
      </c>
      <c r="F2914" s="8"/>
      <c r="G2914" s="23" t="s">
        <v>1296</v>
      </c>
      <c r="H2914" s="14">
        <f t="shared" si="1277"/>
        <v>3129.3999999999996</v>
      </c>
      <c r="I2914" s="14">
        <f t="shared" si="1277"/>
        <v>3129.4</v>
      </c>
      <c r="J2914" s="14">
        <f t="shared" si="1277"/>
        <v>3129.2729599999998</v>
      </c>
      <c r="K2914" s="78">
        <f t="shared" si="1268"/>
        <v>99.995940435866288</v>
      </c>
      <c r="L2914" s="14">
        <f t="shared" si="1277"/>
        <v>0</v>
      </c>
      <c r="M2914" s="50"/>
      <c r="N2914" s="50"/>
    </row>
    <row r="2915" spans="1:14" ht="62.4" x14ac:dyDescent="0.3">
      <c r="A2915" s="8" t="s">
        <v>1431</v>
      </c>
      <c r="B2915" s="62" t="s">
        <v>924</v>
      </c>
      <c r="C2915" s="68" t="s">
        <v>1374</v>
      </c>
      <c r="D2915" s="68" t="s">
        <v>1374</v>
      </c>
      <c r="E2915" s="8" t="s">
        <v>62</v>
      </c>
      <c r="F2915" s="8"/>
      <c r="G2915" s="18" t="s">
        <v>298</v>
      </c>
      <c r="H2915" s="14">
        <f t="shared" si="1277"/>
        <v>3129.3999999999996</v>
      </c>
      <c r="I2915" s="14">
        <f t="shared" si="1277"/>
        <v>3129.4</v>
      </c>
      <c r="J2915" s="14">
        <f t="shared" si="1277"/>
        <v>3129.2729599999998</v>
      </c>
      <c r="K2915" s="78">
        <f t="shared" si="1268"/>
        <v>99.995940435866288</v>
      </c>
      <c r="L2915" s="14">
        <f t="shared" si="1277"/>
        <v>0</v>
      </c>
      <c r="M2915" s="50"/>
      <c r="N2915" s="50"/>
    </row>
    <row r="2916" spans="1:14" ht="31.2" x14ac:dyDescent="0.3">
      <c r="A2916" s="8" t="s">
        <v>1431</v>
      </c>
      <c r="B2916" s="62" t="s">
        <v>924</v>
      </c>
      <c r="C2916" s="68" t="s">
        <v>1374</v>
      </c>
      <c r="D2916" s="68" t="s">
        <v>1374</v>
      </c>
      <c r="E2916" s="8" t="s">
        <v>62</v>
      </c>
      <c r="F2916" s="45" t="s">
        <v>402</v>
      </c>
      <c r="G2916" s="23" t="s">
        <v>819</v>
      </c>
      <c r="H2916" s="14">
        <f t="shared" si="1277"/>
        <v>3129.3999999999996</v>
      </c>
      <c r="I2916" s="14">
        <f t="shared" si="1277"/>
        <v>3129.4</v>
      </c>
      <c r="J2916" s="14">
        <f t="shared" si="1277"/>
        <v>3129.2729599999998</v>
      </c>
      <c r="K2916" s="78">
        <f t="shared" si="1268"/>
        <v>99.995940435866288</v>
      </c>
      <c r="L2916" s="14">
        <f t="shared" si="1277"/>
        <v>0</v>
      </c>
      <c r="M2916" s="50"/>
      <c r="N2916" s="50"/>
    </row>
    <row r="2917" spans="1:14" ht="46.8" x14ac:dyDescent="0.3">
      <c r="A2917" s="8" t="s">
        <v>1431</v>
      </c>
      <c r="B2917" s="62" t="s">
        <v>924</v>
      </c>
      <c r="C2917" s="68" t="s">
        <v>1374</v>
      </c>
      <c r="D2917" s="68" t="s">
        <v>1374</v>
      </c>
      <c r="E2917" s="8" t="s">
        <v>62</v>
      </c>
      <c r="F2917" s="45" t="s">
        <v>280</v>
      </c>
      <c r="G2917" s="23" t="s">
        <v>821</v>
      </c>
      <c r="H2917" s="14">
        <f>2234.1+895.3</f>
        <v>3129.3999999999996</v>
      </c>
      <c r="I2917" s="14">
        <v>3129.4</v>
      </c>
      <c r="J2917" s="14">
        <v>3129.2729599999998</v>
      </c>
      <c r="K2917" s="78">
        <f t="shared" si="1268"/>
        <v>99.995940435866288</v>
      </c>
      <c r="L2917" s="14"/>
      <c r="M2917" s="50"/>
      <c r="N2917" s="50"/>
    </row>
    <row r="2918" spans="1:14" s="3" customFormat="1" x14ac:dyDescent="0.3">
      <c r="A2918" s="10" t="s">
        <v>1431</v>
      </c>
      <c r="B2918" s="43" t="s">
        <v>1402</v>
      </c>
      <c r="C2918" s="43" t="s">
        <v>1402</v>
      </c>
      <c r="D2918" s="43" t="s">
        <v>915</v>
      </c>
      <c r="E2918" s="10"/>
      <c r="F2918" s="10"/>
      <c r="G2918" s="5" t="s">
        <v>1405</v>
      </c>
      <c r="H2918" s="15">
        <f t="shared" ref="H2918:L2919" si="1278">H2919</f>
        <v>791.375</v>
      </c>
      <c r="I2918" s="15">
        <f t="shared" si="1278"/>
        <v>1135.6322</v>
      </c>
      <c r="J2918" s="15">
        <f t="shared" si="1278"/>
        <v>1135.3322000000001</v>
      </c>
      <c r="K2918" s="81">
        <f t="shared" si="1268"/>
        <v>99.973582996325746</v>
      </c>
      <c r="L2918" s="15">
        <f t="shared" si="1278"/>
        <v>0</v>
      </c>
      <c r="M2918" s="65"/>
      <c r="N2918" s="65"/>
    </row>
    <row r="2919" spans="1:14" s="9" customFormat="1" x14ac:dyDescent="0.3">
      <c r="A2919" s="11" t="s">
        <v>1431</v>
      </c>
      <c r="B2919" s="48" t="s">
        <v>926</v>
      </c>
      <c r="C2919" s="48" t="s">
        <v>1402</v>
      </c>
      <c r="D2919" s="48" t="s">
        <v>1372</v>
      </c>
      <c r="E2919" s="11"/>
      <c r="F2919" s="11"/>
      <c r="G2919" s="7" t="s">
        <v>1406</v>
      </c>
      <c r="H2919" s="16">
        <f t="shared" si="1278"/>
        <v>791.375</v>
      </c>
      <c r="I2919" s="16">
        <f>I2920+I2931</f>
        <v>1135.6322</v>
      </c>
      <c r="J2919" s="16">
        <f t="shared" ref="J2919:L2919" si="1279">J2920+J2931</f>
        <v>1135.3322000000001</v>
      </c>
      <c r="K2919" s="82">
        <f t="shared" si="1268"/>
        <v>99.973582996325746</v>
      </c>
      <c r="L2919" s="16">
        <f t="shared" si="1279"/>
        <v>0</v>
      </c>
      <c r="M2919" s="65"/>
      <c r="N2919" s="65"/>
    </row>
    <row r="2920" spans="1:14" x14ac:dyDescent="0.3">
      <c r="A2920" s="8" t="s">
        <v>1431</v>
      </c>
      <c r="B2920" s="62" t="s">
        <v>926</v>
      </c>
      <c r="C2920" s="68" t="s">
        <v>1402</v>
      </c>
      <c r="D2920" s="68" t="s">
        <v>1372</v>
      </c>
      <c r="E2920" s="8" t="s">
        <v>387</v>
      </c>
      <c r="F2920" s="8"/>
      <c r="G2920" s="18" t="s">
        <v>851</v>
      </c>
      <c r="H2920" s="14">
        <f>H2921+H2926</f>
        <v>791.375</v>
      </c>
      <c r="I2920" s="14">
        <f>I2921+I2926</f>
        <v>791.375</v>
      </c>
      <c r="J2920" s="14">
        <f t="shared" ref="J2920" si="1280">J2921+J2926</f>
        <v>791.375</v>
      </c>
      <c r="K2920" s="78">
        <f t="shared" si="1268"/>
        <v>100</v>
      </c>
      <c r="L2920" s="14">
        <f>L2921+L2926</f>
        <v>0</v>
      </c>
      <c r="M2920" s="50"/>
      <c r="N2920" s="50"/>
    </row>
    <row r="2921" spans="1:14" ht="31.2" x14ac:dyDescent="0.3">
      <c r="A2921" s="8" t="s">
        <v>1431</v>
      </c>
      <c r="B2921" s="62" t="s">
        <v>926</v>
      </c>
      <c r="C2921" s="68" t="s">
        <v>1402</v>
      </c>
      <c r="D2921" s="68" t="s">
        <v>1372</v>
      </c>
      <c r="E2921" s="8" t="s">
        <v>410</v>
      </c>
      <c r="F2921" s="8"/>
      <c r="G2921" s="13" t="s">
        <v>852</v>
      </c>
      <c r="H2921" s="14">
        <f t="shared" ref="H2921:L2924" si="1281">H2922</f>
        <v>671.375</v>
      </c>
      <c r="I2921" s="14">
        <f t="shared" si="1281"/>
        <v>671.375</v>
      </c>
      <c r="J2921" s="14">
        <f t="shared" si="1281"/>
        <v>671.375</v>
      </c>
      <c r="K2921" s="78">
        <f t="shared" si="1268"/>
        <v>100</v>
      </c>
      <c r="L2921" s="14">
        <f t="shared" si="1281"/>
        <v>0</v>
      </c>
      <c r="M2921" s="50"/>
      <c r="N2921" s="50"/>
    </row>
    <row r="2922" spans="1:14" ht="31.2" x14ac:dyDescent="0.3">
      <c r="A2922" s="8" t="s">
        <v>1431</v>
      </c>
      <c r="B2922" s="62" t="s">
        <v>926</v>
      </c>
      <c r="C2922" s="68" t="s">
        <v>1402</v>
      </c>
      <c r="D2922" s="68" t="s">
        <v>1372</v>
      </c>
      <c r="E2922" s="8" t="s">
        <v>411</v>
      </c>
      <c r="F2922" s="8"/>
      <c r="G2922" s="13" t="s">
        <v>853</v>
      </c>
      <c r="H2922" s="14">
        <f t="shared" si="1281"/>
        <v>671.375</v>
      </c>
      <c r="I2922" s="14">
        <f t="shared" si="1281"/>
        <v>671.375</v>
      </c>
      <c r="J2922" s="14">
        <f t="shared" si="1281"/>
        <v>671.375</v>
      </c>
      <c r="K2922" s="78">
        <f t="shared" si="1268"/>
        <v>100</v>
      </c>
      <c r="L2922" s="14">
        <f t="shared" si="1281"/>
        <v>0</v>
      </c>
      <c r="M2922" s="50"/>
      <c r="N2922" s="50"/>
    </row>
    <row r="2923" spans="1:14" ht="31.2" x14ac:dyDescent="0.3">
      <c r="A2923" s="8" t="s">
        <v>1431</v>
      </c>
      <c r="B2923" s="62" t="s">
        <v>926</v>
      </c>
      <c r="C2923" s="68" t="s">
        <v>1402</v>
      </c>
      <c r="D2923" s="68" t="s">
        <v>1372</v>
      </c>
      <c r="E2923" s="8" t="s">
        <v>413</v>
      </c>
      <c r="F2923" s="8"/>
      <c r="G2923" s="13" t="s">
        <v>855</v>
      </c>
      <c r="H2923" s="14">
        <f t="shared" si="1281"/>
        <v>671.375</v>
      </c>
      <c r="I2923" s="14">
        <f t="shared" si="1281"/>
        <v>671.375</v>
      </c>
      <c r="J2923" s="14">
        <f t="shared" si="1281"/>
        <v>671.375</v>
      </c>
      <c r="K2923" s="78">
        <f t="shared" si="1268"/>
        <v>100</v>
      </c>
      <c r="L2923" s="14">
        <f t="shared" si="1281"/>
        <v>0</v>
      </c>
      <c r="M2923" s="50"/>
      <c r="N2923" s="50"/>
    </row>
    <row r="2924" spans="1:14" ht="31.2" x14ac:dyDescent="0.3">
      <c r="A2924" s="8" t="s">
        <v>1431</v>
      </c>
      <c r="B2924" s="62" t="s">
        <v>926</v>
      </c>
      <c r="C2924" s="68" t="s">
        <v>1402</v>
      </c>
      <c r="D2924" s="68" t="s">
        <v>1372</v>
      </c>
      <c r="E2924" s="8" t="s">
        <v>413</v>
      </c>
      <c r="F2924" s="45" t="s">
        <v>380</v>
      </c>
      <c r="G2924" s="23" t="s">
        <v>809</v>
      </c>
      <c r="H2924" s="14">
        <f t="shared" si="1281"/>
        <v>671.375</v>
      </c>
      <c r="I2924" s="14">
        <f t="shared" si="1281"/>
        <v>671.375</v>
      </c>
      <c r="J2924" s="14">
        <f t="shared" si="1281"/>
        <v>671.375</v>
      </c>
      <c r="K2924" s="78">
        <f t="shared" si="1268"/>
        <v>100</v>
      </c>
      <c r="L2924" s="14">
        <f t="shared" si="1281"/>
        <v>0</v>
      </c>
      <c r="M2924" s="50"/>
      <c r="N2924" s="50"/>
    </row>
    <row r="2925" spans="1:14" ht="31.2" x14ac:dyDescent="0.3">
      <c r="A2925" s="8" t="s">
        <v>1431</v>
      </c>
      <c r="B2925" s="62" t="s">
        <v>926</v>
      </c>
      <c r="C2925" s="68" t="s">
        <v>1402</v>
      </c>
      <c r="D2925" s="68" t="s">
        <v>1372</v>
      </c>
      <c r="E2925" s="8" t="s">
        <v>413</v>
      </c>
      <c r="F2925" s="8" t="s">
        <v>247</v>
      </c>
      <c r="G2925" s="23" t="s">
        <v>810</v>
      </c>
      <c r="H2925" s="14">
        <f>713.8-42.425</f>
        <v>671.375</v>
      </c>
      <c r="I2925" s="14">
        <v>671.375</v>
      </c>
      <c r="J2925" s="14">
        <v>671.375</v>
      </c>
      <c r="K2925" s="78">
        <f t="shared" si="1268"/>
        <v>100</v>
      </c>
      <c r="L2925" s="14"/>
      <c r="M2925" s="50"/>
      <c r="N2925" s="50"/>
    </row>
    <row r="2926" spans="1:14" ht="31.2" x14ac:dyDescent="0.3">
      <c r="A2926" s="8" t="s">
        <v>1431</v>
      </c>
      <c r="B2926" s="62" t="s">
        <v>926</v>
      </c>
      <c r="C2926" s="68" t="s">
        <v>1402</v>
      </c>
      <c r="D2926" s="68" t="s">
        <v>1372</v>
      </c>
      <c r="E2926" s="8" t="s">
        <v>423</v>
      </c>
      <c r="F2926" s="8"/>
      <c r="G2926" s="13" t="s">
        <v>861</v>
      </c>
      <c r="H2926" s="14">
        <f t="shared" ref="H2926:L2929" si="1282">H2927</f>
        <v>119.99999999999999</v>
      </c>
      <c r="I2926" s="14">
        <f t="shared" si="1282"/>
        <v>120</v>
      </c>
      <c r="J2926" s="14">
        <f t="shared" si="1282"/>
        <v>120</v>
      </c>
      <c r="K2926" s="78">
        <f t="shared" si="1268"/>
        <v>100</v>
      </c>
      <c r="L2926" s="14">
        <f t="shared" si="1282"/>
        <v>0</v>
      </c>
      <c r="M2926" s="50"/>
      <c r="N2926" s="50"/>
    </row>
    <row r="2927" spans="1:14" ht="46.8" x14ac:dyDescent="0.3">
      <c r="A2927" s="8" t="s">
        <v>1431</v>
      </c>
      <c r="B2927" s="62" t="s">
        <v>926</v>
      </c>
      <c r="C2927" s="68" t="s">
        <v>1402</v>
      </c>
      <c r="D2927" s="68" t="s">
        <v>1372</v>
      </c>
      <c r="E2927" s="8" t="s">
        <v>424</v>
      </c>
      <c r="F2927" s="8"/>
      <c r="G2927" s="18" t="s">
        <v>113</v>
      </c>
      <c r="H2927" s="14">
        <f t="shared" si="1282"/>
        <v>119.99999999999999</v>
      </c>
      <c r="I2927" s="14">
        <f t="shared" si="1282"/>
        <v>120</v>
      </c>
      <c r="J2927" s="14">
        <f t="shared" si="1282"/>
        <v>120</v>
      </c>
      <c r="K2927" s="78">
        <f t="shared" si="1268"/>
        <v>100</v>
      </c>
      <c r="L2927" s="14">
        <f t="shared" si="1282"/>
        <v>0</v>
      </c>
      <c r="M2927" s="50"/>
      <c r="N2927" s="50"/>
    </row>
    <row r="2928" spans="1:14" ht="46.8" x14ac:dyDescent="0.3">
      <c r="A2928" s="8" t="s">
        <v>1431</v>
      </c>
      <c r="B2928" s="62" t="s">
        <v>926</v>
      </c>
      <c r="C2928" s="68" t="s">
        <v>1402</v>
      </c>
      <c r="D2928" s="68" t="s">
        <v>1372</v>
      </c>
      <c r="E2928" s="8" t="s">
        <v>445</v>
      </c>
      <c r="F2928" s="8"/>
      <c r="G2928" s="13" t="s">
        <v>1341</v>
      </c>
      <c r="H2928" s="14">
        <f t="shared" si="1282"/>
        <v>119.99999999999999</v>
      </c>
      <c r="I2928" s="14">
        <f t="shared" si="1282"/>
        <v>120</v>
      </c>
      <c r="J2928" s="14">
        <f t="shared" si="1282"/>
        <v>120</v>
      </c>
      <c r="K2928" s="78">
        <f t="shared" si="1268"/>
        <v>100</v>
      </c>
      <c r="L2928" s="14">
        <f t="shared" si="1282"/>
        <v>0</v>
      </c>
      <c r="M2928" s="50"/>
      <c r="N2928" s="50"/>
    </row>
    <row r="2929" spans="1:14" ht="31.2" x14ac:dyDescent="0.3">
      <c r="A2929" s="8" t="s">
        <v>1431</v>
      </c>
      <c r="B2929" s="62" t="s">
        <v>926</v>
      </c>
      <c r="C2929" s="68" t="s">
        <v>1402</v>
      </c>
      <c r="D2929" s="68" t="s">
        <v>1372</v>
      </c>
      <c r="E2929" s="8" t="s">
        <v>445</v>
      </c>
      <c r="F2929" s="45" t="s">
        <v>380</v>
      </c>
      <c r="G2929" s="23" t="s">
        <v>809</v>
      </c>
      <c r="H2929" s="14">
        <f t="shared" si="1282"/>
        <v>119.99999999999999</v>
      </c>
      <c r="I2929" s="14">
        <f t="shared" si="1282"/>
        <v>120</v>
      </c>
      <c r="J2929" s="14">
        <f t="shared" si="1282"/>
        <v>120</v>
      </c>
      <c r="K2929" s="78">
        <f t="shared" si="1268"/>
        <v>100</v>
      </c>
      <c r="L2929" s="14">
        <f t="shared" si="1282"/>
        <v>0</v>
      </c>
      <c r="M2929" s="50"/>
      <c r="N2929" s="50"/>
    </row>
    <row r="2930" spans="1:14" ht="31.2" x14ac:dyDescent="0.3">
      <c r="A2930" s="8" t="s">
        <v>1431</v>
      </c>
      <c r="B2930" s="62" t="s">
        <v>926</v>
      </c>
      <c r="C2930" s="68" t="s">
        <v>1402</v>
      </c>
      <c r="D2930" s="68" t="s">
        <v>1372</v>
      </c>
      <c r="E2930" s="8" t="s">
        <v>445</v>
      </c>
      <c r="F2930" s="8" t="s">
        <v>247</v>
      </c>
      <c r="G2930" s="23" t="s">
        <v>810</v>
      </c>
      <c r="H2930" s="14">
        <f>247.2-127.2</f>
        <v>119.99999999999999</v>
      </c>
      <c r="I2930" s="14">
        <v>120</v>
      </c>
      <c r="J2930" s="19">
        <v>120</v>
      </c>
      <c r="K2930" s="75">
        <f t="shared" si="1268"/>
        <v>100</v>
      </c>
      <c r="L2930" s="14"/>
      <c r="M2930" s="50"/>
      <c r="N2930" s="50"/>
    </row>
    <row r="2931" spans="1:14" ht="31.2" x14ac:dyDescent="0.3">
      <c r="A2931" s="8" t="s">
        <v>1431</v>
      </c>
      <c r="B2931" s="62" t="s">
        <v>926</v>
      </c>
      <c r="C2931" s="68" t="s">
        <v>1402</v>
      </c>
      <c r="D2931" s="68" t="s">
        <v>1372</v>
      </c>
      <c r="E2931" s="8" t="s">
        <v>429</v>
      </c>
      <c r="F2931" s="8"/>
      <c r="G2931" s="13" t="s">
        <v>1140</v>
      </c>
      <c r="H2931" s="20">
        <f>H2932</f>
        <v>0</v>
      </c>
      <c r="I2931" s="20">
        <f t="shared" ref="I2931:L2931" si="1283">I2932</f>
        <v>344.25720000000001</v>
      </c>
      <c r="J2931" s="20">
        <f t="shared" si="1283"/>
        <v>343.9572</v>
      </c>
      <c r="K2931" s="77">
        <f t="shared" si="1268"/>
        <v>99.912855853123759</v>
      </c>
      <c r="L2931" s="20">
        <f t="shared" si="1283"/>
        <v>0</v>
      </c>
      <c r="M2931" s="50"/>
      <c r="N2931" s="50"/>
    </row>
    <row r="2932" spans="1:14" ht="46.8" x14ac:dyDescent="0.3">
      <c r="A2932" s="8" t="s">
        <v>1431</v>
      </c>
      <c r="B2932" s="62" t="s">
        <v>926</v>
      </c>
      <c r="C2932" s="68" t="s">
        <v>1402</v>
      </c>
      <c r="D2932" s="68" t="s">
        <v>1372</v>
      </c>
      <c r="E2932" s="8" t="s">
        <v>535</v>
      </c>
      <c r="F2932" s="8"/>
      <c r="G2932" s="13" t="s">
        <v>176</v>
      </c>
      <c r="H2932" s="20">
        <f>H2933+H2935</f>
        <v>0</v>
      </c>
      <c r="I2932" s="20">
        <f t="shared" ref="I2932:L2932" si="1284">I2933+I2935</f>
        <v>344.25720000000001</v>
      </c>
      <c r="J2932" s="20">
        <f t="shared" si="1284"/>
        <v>343.9572</v>
      </c>
      <c r="K2932" s="77">
        <f t="shared" si="1268"/>
        <v>99.912855853123759</v>
      </c>
      <c r="L2932" s="20">
        <f t="shared" si="1284"/>
        <v>0</v>
      </c>
      <c r="M2932" s="50"/>
      <c r="N2932" s="50"/>
    </row>
    <row r="2933" spans="1:14" ht="31.2" x14ac:dyDescent="0.3">
      <c r="A2933" s="8" t="s">
        <v>1431</v>
      </c>
      <c r="B2933" s="62" t="s">
        <v>926</v>
      </c>
      <c r="C2933" s="68" t="s">
        <v>1402</v>
      </c>
      <c r="D2933" s="68" t="s">
        <v>1372</v>
      </c>
      <c r="E2933" s="8" t="s">
        <v>535</v>
      </c>
      <c r="F2933" s="45" t="s">
        <v>380</v>
      </c>
      <c r="G2933" s="23" t="s">
        <v>809</v>
      </c>
      <c r="H2933" s="20">
        <f>H2934</f>
        <v>0</v>
      </c>
      <c r="I2933" s="14">
        <f>I2934</f>
        <v>250</v>
      </c>
      <c r="J2933" s="14">
        <f t="shared" ref="J2933:L2933" si="1285">J2934</f>
        <v>249.7</v>
      </c>
      <c r="K2933" s="78">
        <f t="shared" si="1268"/>
        <v>99.88</v>
      </c>
      <c r="L2933" s="14">
        <f t="shared" si="1285"/>
        <v>0</v>
      </c>
      <c r="M2933" s="50"/>
      <c r="N2933" s="50"/>
    </row>
    <row r="2934" spans="1:14" ht="31.2" x14ac:dyDescent="0.3">
      <c r="A2934" s="8" t="s">
        <v>1431</v>
      </c>
      <c r="B2934" s="62" t="s">
        <v>926</v>
      </c>
      <c r="C2934" s="68" t="s">
        <v>1402</v>
      </c>
      <c r="D2934" s="68" t="s">
        <v>1372</v>
      </c>
      <c r="E2934" s="8" t="s">
        <v>535</v>
      </c>
      <c r="F2934" s="8" t="s">
        <v>247</v>
      </c>
      <c r="G2934" s="23" t="s">
        <v>810</v>
      </c>
      <c r="H2934" s="20">
        <v>0</v>
      </c>
      <c r="I2934" s="14">
        <v>250</v>
      </c>
      <c r="J2934" s="14">
        <v>249.7</v>
      </c>
      <c r="K2934" s="78">
        <f t="shared" si="1268"/>
        <v>99.88</v>
      </c>
      <c r="L2934" s="14"/>
      <c r="M2934" s="50"/>
      <c r="N2934" s="50"/>
    </row>
    <row r="2935" spans="1:14" ht="31.2" x14ac:dyDescent="0.3">
      <c r="A2935" s="8" t="s">
        <v>1431</v>
      </c>
      <c r="B2935" s="62" t="s">
        <v>926</v>
      </c>
      <c r="C2935" s="68" t="s">
        <v>1402</v>
      </c>
      <c r="D2935" s="68" t="s">
        <v>1372</v>
      </c>
      <c r="E2935" s="8" t="s">
        <v>535</v>
      </c>
      <c r="F2935" s="45" t="s">
        <v>402</v>
      </c>
      <c r="G2935" s="23" t="s">
        <v>819</v>
      </c>
      <c r="H2935" s="20">
        <f>H2936</f>
        <v>0</v>
      </c>
      <c r="I2935" s="20">
        <f t="shared" ref="I2935:L2935" si="1286">I2936</f>
        <v>94.257199999999997</v>
      </c>
      <c r="J2935" s="20">
        <f t="shared" si="1286"/>
        <v>94.257199999999997</v>
      </c>
      <c r="K2935" s="77">
        <f t="shared" si="1268"/>
        <v>100</v>
      </c>
      <c r="L2935" s="20">
        <f t="shared" si="1286"/>
        <v>0</v>
      </c>
      <c r="M2935" s="50"/>
      <c r="N2935" s="50"/>
    </row>
    <row r="2936" spans="1:14" ht="46.8" x14ac:dyDescent="0.3">
      <c r="A2936" s="8" t="s">
        <v>1431</v>
      </c>
      <c r="B2936" s="62" t="s">
        <v>926</v>
      </c>
      <c r="C2936" s="68" t="s">
        <v>1402</v>
      </c>
      <c r="D2936" s="68" t="s">
        <v>1372</v>
      </c>
      <c r="E2936" s="8" t="s">
        <v>535</v>
      </c>
      <c r="F2936" s="45" t="s">
        <v>280</v>
      </c>
      <c r="G2936" s="23" t="s">
        <v>821</v>
      </c>
      <c r="H2936" s="20">
        <v>0</v>
      </c>
      <c r="I2936" s="14">
        <v>94.257199999999997</v>
      </c>
      <c r="J2936" s="19">
        <v>94.257199999999997</v>
      </c>
      <c r="K2936" s="75">
        <f t="shared" si="1268"/>
        <v>100</v>
      </c>
      <c r="L2936" s="14"/>
      <c r="M2936" s="50"/>
      <c r="N2936" s="50"/>
    </row>
    <row r="2937" spans="1:14" s="3" customFormat="1" x14ac:dyDescent="0.3">
      <c r="A2937" s="10" t="s">
        <v>1431</v>
      </c>
      <c r="B2937" s="43" t="s">
        <v>1382</v>
      </c>
      <c r="C2937" s="43" t="s">
        <v>1382</v>
      </c>
      <c r="D2937" s="43" t="s">
        <v>915</v>
      </c>
      <c r="E2937" s="10"/>
      <c r="F2937" s="10"/>
      <c r="G2937" s="5" t="s">
        <v>1417</v>
      </c>
      <c r="H2937" s="15">
        <f t="shared" ref="H2937:L2942" si="1287">H2938</f>
        <v>1036.2</v>
      </c>
      <c r="I2937" s="15">
        <f t="shared" si="1287"/>
        <v>1051.2</v>
      </c>
      <c r="J2937" s="15">
        <f t="shared" si="1287"/>
        <v>1051.2</v>
      </c>
      <c r="K2937" s="81">
        <f t="shared" si="1268"/>
        <v>100</v>
      </c>
      <c r="L2937" s="15">
        <f t="shared" si="1287"/>
        <v>0</v>
      </c>
      <c r="M2937" s="65"/>
      <c r="N2937" s="65"/>
    </row>
    <row r="2938" spans="1:14" s="9" customFormat="1" x14ac:dyDescent="0.3">
      <c r="A2938" s="11" t="s">
        <v>1431</v>
      </c>
      <c r="B2938" s="48" t="s">
        <v>914</v>
      </c>
      <c r="C2938" s="48" t="s">
        <v>1382</v>
      </c>
      <c r="D2938" s="48" t="s">
        <v>1478</v>
      </c>
      <c r="E2938" s="11"/>
      <c r="F2938" s="11"/>
      <c r="G2938" s="7" t="s">
        <v>1425</v>
      </c>
      <c r="H2938" s="16">
        <f t="shared" si="1287"/>
        <v>1036.2</v>
      </c>
      <c r="I2938" s="16">
        <f>I2939+I2944</f>
        <v>1051.2</v>
      </c>
      <c r="J2938" s="16">
        <f t="shared" ref="J2938:L2938" si="1288">J2939+J2944</f>
        <v>1051.2</v>
      </c>
      <c r="K2938" s="82">
        <f t="shared" si="1268"/>
        <v>100</v>
      </c>
      <c r="L2938" s="16">
        <f t="shared" si="1288"/>
        <v>0</v>
      </c>
      <c r="M2938" s="65"/>
      <c r="N2938" s="65"/>
    </row>
    <row r="2939" spans="1:14" ht="31.2" x14ac:dyDescent="0.3">
      <c r="A2939" s="8" t="s">
        <v>1431</v>
      </c>
      <c r="B2939" s="62" t="s">
        <v>914</v>
      </c>
      <c r="C2939" s="68" t="s">
        <v>1382</v>
      </c>
      <c r="D2939" s="68" t="s">
        <v>1478</v>
      </c>
      <c r="E2939" s="8" t="s">
        <v>446</v>
      </c>
      <c r="F2939" s="8"/>
      <c r="G2939" s="23" t="s">
        <v>864</v>
      </c>
      <c r="H2939" s="14">
        <f t="shared" si="1287"/>
        <v>1036.2</v>
      </c>
      <c r="I2939" s="14">
        <f t="shared" si="1287"/>
        <v>1036.2</v>
      </c>
      <c r="J2939" s="14">
        <f t="shared" si="1287"/>
        <v>1036.2</v>
      </c>
      <c r="K2939" s="78">
        <f t="shared" si="1268"/>
        <v>100</v>
      </c>
      <c r="L2939" s="14">
        <f t="shared" si="1287"/>
        <v>0</v>
      </c>
      <c r="M2939" s="50"/>
      <c r="N2939" s="50"/>
    </row>
    <row r="2940" spans="1:14" ht="31.2" x14ac:dyDescent="0.3">
      <c r="A2940" s="8" t="s">
        <v>1431</v>
      </c>
      <c r="B2940" s="62" t="s">
        <v>914</v>
      </c>
      <c r="C2940" s="68" t="s">
        <v>1382</v>
      </c>
      <c r="D2940" s="68" t="s">
        <v>1478</v>
      </c>
      <c r="E2940" s="8" t="s">
        <v>666</v>
      </c>
      <c r="F2940" s="8"/>
      <c r="G2940" s="13" t="s">
        <v>1167</v>
      </c>
      <c r="H2940" s="14">
        <f t="shared" si="1287"/>
        <v>1036.2</v>
      </c>
      <c r="I2940" s="14">
        <f t="shared" si="1287"/>
        <v>1036.2</v>
      </c>
      <c r="J2940" s="14">
        <f t="shared" si="1287"/>
        <v>1036.2</v>
      </c>
      <c r="K2940" s="78">
        <f t="shared" si="1268"/>
        <v>100</v>
      </c>
      <c r="L2940" s="14">
        <f t="shared" si="1287"/>
        <v>0</v>
      </c>
      <c r="M2940" s="50"/>
      <c r="N2940" s="50"/>
    </row>
    <row r="2941" spans="1:14" ht="62.4" x14ac:dyDescent="0.3">
      <c r="A2941" s="8" t="s">
        <v>1431</v>
      </c>
      <c r="B2941" s="62" t="s">
        <v>914</v>
      </c>
      <c r="C2941" s="68" t="s">
        <v>1382</v>
      </c>
      <c r="D2941" s="68" t="s">
        <v>1478</v>
      </c>
      <c r="E2941" s="8" t="s">
        <v>674</v>
      </c>
      <c r="F2941" s="8"/>
      <c r="G2941" s="18" t="s">
        <v>1184</v>
      </c>
      <c r="H2941" s="14">
        <f t="shared" si="1287"/>
        <v>1036.2</v>
      </c>
      <c r="I2941" s="14">
        <f t="shared" si="1287"/>
        <v>1036.2</v>
      </c>
      <c r="J2941" s="14">
        <f t="shared" si="1287"/>
        <v>1036.2</v>
      </c>
      <c r="K2941" s="78">
        <f t="shared" si="1268"/>
        <v>100</v>
      </c>
      <c r="L2941" s="14">
        <f t="shared" si="1287"/>
        <v>0</v>
      </c>
      <c r="M2941" s="50"/>
      <c r="N2941" s="50"/>
    </row>
    <row r="2942" spans="1:14" ht="31.2" x14ac:dyDescent="0.3">
      <c r="A2942" s="8" t="s">
        <v>1431</v>
      </c>
      <c r="B2942" s="62" t="s">
        <v>914</v>
      </c>
      <c r="C2942" s="68" t="s">
        <v>1382</v>
      </c>
      <c r="D2942" s="68" t="s">
        <v>1478</v>
      </c>
      <c r="E2942" s="8" t="s">
        <v>674</v>
      </c>
      <c r="F2942" s="45" t="s">
        <v>380</v>
      </c>
      <c r="G2942" s="23" t="s">
        <v>809</v>
      </c>
      <c r="H2942" s="14">
        <f t="shared" si="1287"/>
        <v>1036.2</v>
      </c>
      <c r="I2942" s="14">
        <f t="shared" si="1287"/>
        <v>1036.2</v>
      </c>
      <c r="J2942" s="14">
        <f t="shared" si="1287"/>
        <v>1036.2</v>
      </c>
      <c r="K2942" s="78">
        <f t="shared" si="1268"/>
        <v>100</v>
      </c>
      <c r="L2942" s="14">
        <f t="shared" si="1287"/>
        <v>0</v>
      </c>
      <c r="M2942" s="50"/>
      <c r="N2942" s="50"/>
    </row>
    <row r="2943" spans="1:14" ht="31.2" x14ac:dyDescent="0.3">
      <c r="A2943" s="8" t="s">
        <v>1431</v>
      </c>
      <c r="B2943" s="62" t="s">
        <v>914</v>
      </c>
      <c r="C2943" s="68" t="s">
        <v>1382</v>
      </c>
      <c r="D2943" s="68" t="s">
        <v>1478</v>
      </c>
      <c r="E2943" s="8" t="s">
        <v>674</v>
      </c>
      <c r="F2943" s="8" t="s">
        <v>247</v>
      </c>
      <c r="G2943" s="23" t="s">
        <v>810</v>
      </c>
      <c r="H2943" s="14">
        <v>1036.2</v>
      </c>
      <c r="I2943" s="14">
        <v>1036.2</v>
      </c>
      <c r="J2943" s="14">
        <v>1036.2</v>
      </c>
      <c r="K2943" s="78">
        <f t="shared" si="1268"/>
        <v>100</v>
      </c>
      <c r="L2943" s="14"/>
      <c r="M2943" s="50"/>
      <c r="N2943" s="50"/>
    </row>
    <row r="2944" spans="1:14" ht="31.2" x14ac:dyDescent="0.3">
      <c r="A2944" s="8" t="s">
        <v>1431</v>
      </c>
      <c r="B2944" s="62" t="s">
        <v>914</v>
      </c>
      <c r="C2944" s="68" t="s">
        <v>1382</v>
      </c>
      <c r="D2944" s="68" t="s">
        <v>1478</v>
      </c>
      <c r="E2944" s="8" t="s">
        <v>429</v>
      </c>
      <c r="F2944" s="8"/>
      <c r="G2944" s="13" t="s">
        <v>1140</v>
      </c>
      <c r="H2944" s="20">
        <v>0</v>
      </c>
      <c r="I2944" s="14">
        <f>I2945</f>
        <v>15</v>
      </c>
      <c r="J2944" s="14">
        <f t="shared" ref="J2944:L2946" si="1289">J2945</f>
        <v>15</v>
      </c>
      <c r="K2944" s="78">
        <f t="shared" si="1268"/>
        <v>100</v>
      </c>
      <c r="L2944" s="14">
        <f t="shared" si="1289"/>
        <v>0</v>
      </c>
      <c r="M2944" s="50"/>
      <c r="N2944" s="50"/>
    </row>
    <row r="2945" spans="1:14" ht="46.8" x14ac:dyDescent="0.3">
      <c r="A2945" s="8" t="s">
        <v>1431</v>
      </c>
      <c r="B2945" s="62" t="s">
        <v>914</v>
      </c>
      <c r="C2945" s="68" t="s">
        <v>1382</v>
      </c>
      <c r="D2945" s="68" t="s">
        <v>1478</v>
      </c>
      <c r="E2945" s="8" t="s">
        <v>535</v>
      </c>
      <c r="F2945" s="8"/>
      <c r="G2945" s="13" t="s">
        <v>176</v>
      </c>
      <c r="H2945" s="20">
        <v>0</v>
      </c>
      <c r="I2945" s="14">
        <f>I2946</f>
        <v>15</v>
      </c>
      <c r="J2945" s="14">
        <f t="shared" si="1289"/>
        <v>15</v>
      </c>
      <c r="K2945" s="78">
        <f t="shared" si="1268"/>
        <v>100</v>
      </c>
      <c r="L2945" s="14">
        <f t="shared" si="1289"/>
        <v>0</v>
      </c>
      <c r="M2945" s="50"/>
      <c r="N2945" s="50"/>
    </row>
    <row r="2946" spans="1:14" ht="31.2" x14ac:dyDescent="0.3">
      <c r="A2946" s="8" t="s">
        <v>1431</v>
      </c>
      <c r="B2946" s="62" t="s">
        <v>914</v>
      </c>
      <c r="C2946" s="68" t="s">
        <v>1382</v>
      </c>
      <c r="D2946" s="68" t="s">
        <v>1478</v>
      </c>
      <c r="E2946" s="8" t="s">
        <v>535</v>
      </c>
      <c r="F2946" s="45" t="s">
        <v>380</v>
      </c>
      <c r="G2946" s="23" t="s">
        <v>809</v>
      </c>
      <c r="H2946" s="20">
        <v>0</v>
      </c>
      <c r="I2946" s="14">
        <f>I2947</f>
        <v>15</v>
      </c>
      <c r="J2946" s="14">
        <f t="shared" si="1289"/>
        <v>15</v>
      </c>
      <c r="K2946" s="78">
        <f t="shared" si="1268"/>
        <v>100</v>
      </c>
      <c r="L2946" s="14">
        <f t="shared" si="1289"/>
        <v>0</v>
      </c>
      <c r="M2946" s="50"/>
      <c r="N2946" s="50"/>
    </row>
    <row r="2947" spans="1:14" ht="31.2" x14ac:dyDescent="0.3">
      <c r="A2947" s="8" t="s">
        <v>1431</v>
      </c>
      <c r="B2947" s="62" t="s">
        <v>914</v>
      </c>
      <c r="C2947" s="68" t="s">
        <v>1382</v>
      </c>
      <c r="D2947" s="68" t="s">
        <v>1478</v>
      </c>
      <c r="E2947" s="8" t="s">
        <v>535</v>
      </c>
      <c r="F2947" s="8" t="s">
        <v>247</v>
      </c>
      <c r="G2947" s="23" t="s">
        <v>810</v>
      </c>
      <c r="H2947" s="20">
        <v>0</v>
      </c>
      <c r="I2947" s="14">
        <v>15</v>
      </c>
      <c r="J2947" s="14">
        <v>15</v>
      </c>
      <c r="K2947" s="78">
        <f t="shared" si="1268"/>
        <v>100</v>
      </c>
      <c r="L2947" s="14"/>
      <c r="M2947" s="50"/>
      <c r="N2947" s="50"/>
    </row>
    <row r="2948" spans="1:14" x14ac:dyDescent="0.3">
      <c r="A2948" s="10" t="s">
        <v>1433</v>
      </c>
      <c r="B2948" s="43" t="s">
        <v>915</v>
      </c>
      <c r="C2948" s="43" t="s">
        <v>915</v>
      </c>
      <c r="D2948" s="43" t="s">
        <v>915</v>
      </c>
      <c r="E2948" s="10"/>
      <c r="F2948" s="10"/>
      <c r="G2948" s="5" t="s">
        <v>1434</v>
      </c>
      <c r="H2948" s="15">
        <f t="shared" ref="H2948:L2948" si="1290">H2949+H3019+H3070+H3000+H3116+H3124+H3136</f>
        <v>52877.675000000003</v>
      </c>
      <c r="I2948" s="15">
        <f t="shared" si="1290"/>
        <v>67633.606</v>
      </c>
      <c r="J2948" s="15">
        <f t="shared" si="1290"/>
        <v>67595.681419999994</v>
      </c>
      <c r="K2948" s="81">
        <f t="shared" si="1268"/>
        <v>99.943926426161568</v>
      </c>
      <c r="L2948" s="15">
        <f t="shared" si="1290"/>
        <v>0</v>
      </c>
      <c r="M2948" s="65"/>
      <c r="N2948" s="65"/>
    </row>
    <row r="2949" spans="1:14" s="3" customFormat="1" x14ac:dyDescent="0.3">
      <c r="A2949" s="10" t="s">
        <v>1433</v>
      </c>
      <c r="B2949" s="43" t="s">
        <v>1372</v>
      </c>
      <c r="C2949" s="43" t="s">
        <v>1372</v>
      </c>
      <c r="D2949" s="43" t="s">
        <v>915</v>
      </c>
      <c r="E2949" s="10"/>
      <c r="F2949" s="10"/>
      <c r="G2949" s="5" t="s">
        <v>1376</v>
      </c>
      <c r="H2949" s="15">
        <f>H2950+H2971</f>
        <v>15697.7</v>
      </c>
      <c r="I2949" s="15">
        <f>I2950+I2971</f>
        <v>15686.4</v>
      </c>
      <c r="J2949" s="15">
        <f t="shared" ref="J2949" si="1291">J2950+J2971</f>
        <v>15686.4</v>
      </c>
      <c r="K2949" s="81">
        <f t="shared" si="1268"/>
        <v>100</v>
      </c>
      <c r="L2949" s="15">
        <f>L2950+L2971</f>
        <v>0</v>
      </c>
      <c r="M2949" s="65"/>
      <c r="N2949" s="65"/>
    </row>
    <row r="2950" spans="1:14" s="9" customFormat="1" ht="62.4" x14ac:dyDescent="0.3">
      <c r="A2950" s="11" t="s">
        <v>1433</v>
      </c>
      <c r="B2950" s="48" t="s">
        <v>934</v>
      </c>
      <c r="C2950" s="48" t="s">
        <v>1372</v>
      </c>
      <c r="D2950" s="48" t="s">
        <v>1386</v>
      </c>
      <c r="E2950" s="11"/>
      <c r="F2950" s="11"/>
      <c r="G2950" s="7" t="s">
        <v>1418</v>
      </c>
      <c r="H2950" s="16">
        <f>H2959+H2951</f>
        <v>13847.5</v>
      </c>
      <c r="I2950" s="16">
        <f>I2959+I2951</f>
        <v>13836.199999999999</v>
      </c>
      <c r="J2950" s="16">
        <f t="shared" ref="J2950" si="1292">J2959+J2951</f>
        <v>13836.199999999999</v>
      </c>
      <c r="K2950" s="82">
        <f t="shared" si="1268"/>
        <v>100</v>
      </c>
      <c r="L2950" s="16">
        <f>L2959+L2951</f>
        <v>0</v>
      </c>
      <c r="M2950" s="65"/>
      <c r="N2950" s="65"/>
    </row>
    <row r="2951" spans="1:14" ht="31.2" x14ac:dyDescent="0.3">
      <c r="A2951" s="8" t="s">
        <v>1433</v>
      </c>
      <c r="B2951" s="62" t="s">
        <v>934</v>
      </c>
      <c r="C2951" s="68" t="s">
        <v>1372</v>
      </c>
      <c r="D2951" s="68" t="s">
        <v>1386</v>
      </c>
      <c r="E2951" s="8" t="s">
        <v>396</v>
      </c>
      <c r="F2951" s="8"/>
      <c r="G2951" s="13" t="s">
        <v>876</v>
      </c>
      <c r="H2951" s="14">
        <f t="shared" ref="H2951:L2953" si="1293">H2952</f>
        <v>579.79999999999995</v>
      </c>
      <c r="I2951" s="14">
        <f t="shared" si="1293"/>
        <v>579.79999999999995</v>
      </c>
      <c r="J2951" s="14">
        <f t="shared" si="1293"/>
        <v>579.79999999999995</v>
      </c>
      <c r="K2951" s="78">
        <f t="shared" si="1268"/>
        <v>100</v>
      </c>
      <c r="L2951" s="14">
        <f t="shared" si="1293"/>
        <v>0</v>
      </c>
      <c r="M2951" s="50"/>
      <c r="N2951" s="50"/>
    </row>
    <row r="2952" spans="1:14" ht="31.2" x14ac:dyDescent="0.3">
      <c r="A2952" s="8" t="s">
        <v>1433</v>
      </c>
      <c r="B2952" s="62" t="s">
        <v>934</v>
      </c>
      <c r="C2952" s="68" t="s">
        <v>1372</v>
      </c>
      <c r="D2952" s="68" t="s">
        <v>1386</v>
      </c>
      <c r="E2952" s="8" t="s">
        <v>485</v>
      </c>
      <c r="F2952" s="8"/>
      <c r="G2952" s="13" t="s">
        <v>877</v>
      </c>
      <c r="H2952" s="14">
        <f t="shared" si="1293"/>
        <v>579.79999999999995</v>
      </c>
      <c r="I2952" s="14">
        <f t="shared" si="1293"/>
        <v>579.79999999999995</v>
      </c>
      <c r="J2952" s="14">
        <f t="shared" si="1293"/>
        <v>579.79999999999995</v>
      </c>
      <c r="K2952" s="78">
        <f t="shared" ref="K2952:K3015" si="1294">J2952/I2952*100</f>
        <v>100</v>
      </c>
      <c r="L2952" s="14">
        <f t="shared" si="1293"/>
        <v>0</v>
      </c>
      <c r="M2952" s="50"/>
      <c r="N2952" s="50"/>
    </row>
    <row r="2953" spans="1:14" ht="62.4" x14ac:dyDescent="0.3">
      <c r="A2953" s="8" t="s">
        <v>1433</v>
      </c>
      <c r="B2953" s="62" t="s">
        <v>934</v>
      </c>
      <c r="C2953" s="68" t="s">
        <v>1372</v>
      </c>
      <c r="D2953" s="68" t="s">
        <v>1386</v>
      </c>
      <c r="E2953" s="8" t="s">
        <v>518</v>
      </c>
      <c r="F2953" s="8"/>
      <c r="G2953" s="18" t="s">
        <v>878</v>
      </c>
      <c r="H2953" s="14">
        <f t="shared" si="1293"/>
        <v>579.79999999999995</v>
      </c>
      <c r="I2953" s="14">
        <f t="shared" si="1293"/>
        <v>579.79999999999995</v>
      </c>
      <c r="J2953" s="14">
        <f t="shared" si="1293"/>
        <v>579.79999999999995</v>
      </c>
      <c r="K2953" s="78">
        <f t="shared" si="1294"/>
        <v>100</v>
      </c>
      <c r="L2953" s="14">
        <f t="shared" si="1293"/>
        <v>0</v>
      </c>
      <c r="M2953" s="50"/>
      <c r="N2953" s="50"/>
    </row>
    <row r="2954" spans="1:14" ht="31.2" x14ac:dyDescent="0.3">
      <c r="A2954" s="8" t="s">
        <v>1433</v>
      </c>
      <c r="B2954" s="62" t="s">
        <v>934</v>
      </c>
      <c r="C2954" s="68" t="s">
        <v>1372</v>
      </c>
      <c r="D2954" s="68" t="s">
        <v>1386</v>
      </c>
      <c r="E2954" s="8" t="s">
        <v>244</v>
      </c>
      <c r="F2954" s="8"/>
      <c r="G2954" s="18" t="s">
        <v>879</v>
      </c>
      <c r="H2954" s="14">
        <f>H2955+H2957</f>
        <v>579.79999999999995</v>
      </c>
      <c r="I2954" s="14">
        <f t="shared" ref="I2954:L2954" si="1295">I2955+I2957</f>
        <v>579.79999999999995</v>
      </c>
      <c r="J2954" s="14">
        <f>J2955+J2957</f>
        <v>579.79999999999995</v>
      </c>
      <c r="K2954" s="78">
        <f t="shared" si="1294"/>
        <v>100</v>
      </c>
      <c r="L2954" s="14">
        <f t="shared" si="1295"/>
        <v>0</v>
      </c>
      <c r="M2954" s="50"/>
      <c r="N2954" s="50"/>
    </row>
    <row r="2955" spans="1:14" ht="78" x14ac:dyDescent="0.3">
      <c r="A2955" s="8" t="s">
        <v>1433</v>
      </c>
      <c r="B2955" s="62" t="s">
        <v>934</v>
      </c>
      <c r="C2955" s="68" t="s">
        <v>1372</v>
      </c>
      <c r="D2955" s="68" t="s">
        <v>1386</v>
      </c>
      <c r="E2955" s="8" t="s">
        <v>244</v>
      </c>
      <c r="F2955" s="45" t="s">
        <v>431</v>
      </c>
      <c r="G2955" s="23" t="s">
        <v>806</v>
      </c>
      <c r="H2955" s="14">
        <f t="shared" ref="H2955:L2955" si="1296">H2956</f>
        <v>579.79999999999995</v>
      </c>
      <c r="I2955" s="14">
        <f t="shared" si="1296"/>
        <v>461.30925999999999</v>
      </c>
      <c r="J2955" s="14">
        <f t="shared" si="1296"/>
        <v>461.30925999999999</v>
      </c>
      <c r="K2955" s="78">
        <f t="shared" si="1294"/>
        <v>100</v>
      </c>
      <c r="L2955" s="14">
        <f t="shared" si="1296"/>
        <v>0</v>
      </c>
      <c r="M2955" s="50"/>
      <c r="N2955" s="50"/>
    </row>
    <row r="2956" spans="1:14" ht="31.2" x14ac:dyDescent="0.3">
      <c r="A2956" s="8" t="s">
        <v>1433</v>
      </c>
      <c r="B2956" s="62" t="s">
        <v>934</v>
      </c>
      <c r="C2956" s="68" t="s">
        <v>1372</v>
      </c>
      <c r="D2956" s="68" t="s">
        <v>1386</v>
      </c>
      <c r="E2956" s="8" t="s">
        <v>244</v>
      </c>
      <c r="F2956" s="45" t="s">
        <v>233</v>
      </c>
      <c r="G2956" s="23" t="s">
        <v>808</v>
      </c>
      <c r="H2956" s="14">
        <v>579.79999999999995</v>
      </c>
      <c r="I2956" s="14">
        <v>461.30925999999999</v>
      </c>
      <c r="J2956" s="14">
        <v>461.30925999999999</v>
      </c>
      <c r="K2956" s="78">
        <f t="shared" si="1294"/>
        <v>100</v>
      </c>
      <c r="L2956" s="14"/>
      <c r="M2956" s="50"/>
      <c r="N2956" s="50"/>
    </row>
    <row r="2957" spans="1:14" ht="31.2" x14ac:dyDescent="0.3">
      <c r="A2957" s="8" t="s">
        <v>1433</v>
      </c>
      <c r="B2957" s="62" t="s">
        <v>934</v>
      </c>
      <c r="C2957" s="68" t="s">
        <v>1372</v>
      </c>
      <c r="D2957" s="68" t="s">
        <v>1386</v>
      </c>
      <c r="E2957" s="8" t="s">
        <v>244</v>
      </c>
      <c r="F2957" s="45" t="s">
        <v>380</v>
      </c>
      <c r="G2957" s="23" t="s">
        <v>809</v>
      </c>
      <c r="H2957" s="14">
        <f>H2958</f>
        <v>0</v>
      </c>
      <c r="I2957" s="14">
        <f t="shared" ref="I2957:L2957" si="1297">I2958</f>
        <v>118.49074</v>
      </c>
      <c r="J2957" s="14">
        <f t="shared" si="1297"/>
        <v>118.49074</v>
      </c>
      <c r="K2957" s="78">
        <f t="shared" si="1294"/>
        <v>100</v>
      </c>
      <c r="L2957" s="14">
        <f t="shared" si="1297"/>
        <v>0</v>
      </c>
      <c r="M2957" s="50"/>
      <c r="N2957" s="50"/>
    </row>
    <row r="2958" spans="1:14" ht="31.2" x14ac:dyDescent="0.3">
      <c r="A2958" s="8" t="s">
        <v>1433</v>
      </c>
      <c r="B2958" s="62" t="s">
        <v>934</v>
      </c>
      <c r="C2958" s="68" t="s">
        <v>1372</v>
      </c>
      <c r="D2958" s="68" t="s">
        <v>1386</v>
      </c>
      <c r="E2958" s="8" t="s">
        <v>244</v>
      </c>
      <c r="F2958" s="8" t="s">
        <v>247</v>
      </c>
      <c r="G2958" s="23" t="s">
        <v>810</v>
      </c>
      <c r="H2958" s="19">
        <v>0</v>
      </c>
      <c r="I2958" s="14">
        <v>118.49074</v>
      </c>
      <c r="J2958" s="20">
        <v>118.49074</v>
      </c>
      <c r="K2958" s="77">
        <f t="shared" si="1294"/>
        <v>100</v>
      </c>
      <c r="L2958" s="14"/>
      <c r="M2958" s="50"/>
      <c r="N2958" s="50"/>
    </row>
    <row r="2959" spans="1:14" ht="31.2" x14ac:dyDescent="0.3">
      <c r="A2959" s="8" t="s">
        <v>1433</v>
      </c>
      <c r="B2959" s="62" t="s">
        <v>934</v>
      </c>
      <c r="C2959" s="68" t="s">
        <v>1372</v>
      </c>
      <c r="D2959" s="68" t="s">
        <v>1386</v>
      </c>
      <c r="E2959" s="8" t="s">
        <v>343</v>
      </c>
      <c r="F2959" s="8"/>
      <c r="G2959" s="23" t="s">
        <v>1157</v>
      </c>
      <c r="H2959" s="14">
        <f t="shared" ref="H2959:L2959" si="1298">H2960</f>
        <v>13267.7</v>
      </c>
      <c r="I2959" s="14">
        <f t="shared" si="1298"/>
        <v>13256.4</v>
      </c>
      <c r="J2959" s="14">
        <f t="shared" si="1298"/>
        <v>13256.4</v>
      </c>
      <c r="K2959" s="78">
        <f t="shared" si="1294"/>
        <v>100</v>
      </c>
      <c r="L2959" s="14">
        <f t="shared" si="1298"/>
        <v>0</v>
      </c>
      <c r="M2959" s="50"/>
      <c r="N2959" s="50"/>
    </row>
    <row r="2960" spans="1:14" x14ac:dyDescent="0.3">
      <c r="A2960" s="8" t="s">
        <v>1433</v>
      </c>
      <c r="B2960" s="62" t="s">
        <v>934</v>
      </c>
      <c r="C2960" s="68" t="s">
        <v>1372</v>
      </c>
      <c r="D2960" s="68" t="s">
        <v>1386</v>
      </c>
      <c r="E2960" s="8" t="s">
        <v>351</v>
      </c>
      <c r="F2960" s="8"/>
      <c r="G2960" s="13" t="s">
        <v>1158</v>
      </c>
      <c r="H2960" s="14">
        <f>H2961+H2964</f>
        <v>13267.7</v>
      </c>
      <c r="I2960" s="14">
        <f>I2961+I2964</f>
        <v>13256.4</v>
      </c>
      <c r="J2960" s="14">
        <f t="shared" ref="J2960" si="1299">J2961+J2964</f>
        <v>13256.4</v>
      </c>
      <c r="K2960" s="78">
        <f t="shared" si="1294"/>
        <v>100</v>
      </c>
      <c r="L2960" s="14">
        <f>L2961+L2964</f>
        <v>0</v>
      </c>
      <c r="M2960" s="50"/>
      <c r="N2960" s="50"/>
    </row>
    <row r="2961" spans="1:14" ht="31.2" x14ac:dyDescent="0.3">
      <c r="A2961" s="8" t="s">
        <v>1433</v>
      </c>
      <c r="B2961" s="62" t="s">
        <v>934</v>
      </c>
      <c r="C2961" s="68" t="s">
        <v>1372</v>
      </c>
      <c r="D2961" s="68" t="s">
        <v>1386</v>
      </c>
      <c r="E2961" s="8" t="s">
        <v>352</v>
      </c>
      <c r="F2961" s="8"/>
      <c r="G2961" s="13" t="s">
        <v>1152</v>
      </c>
      <c r="H2961" s="14">
        <f t="shared" ref="H2961:L2962" si="1300">H2962</f>
        <v>11343.5</v>
      </c>
      <c r="I2961" s="14">
        <f t="shared" si="1300"/>
        <v>11362.72718</v>
      </c>
      <c r="J2961" s="14">
        <f t="shared" si="1300"/>
        <v>11362.72718</v>
      </c>
      <c r="K2961" s="78">
        <f t="shared" si="1294"/>
        <v>100</v>
      </c>
      <c r="L2961" s="14">
        <f t="shared" si="1300"/>
        <v>0</v>
      </c>
      <c r="M2961" s="50"/>
      <c r="N2961" s="50"/>
    </row>
    <row r="2962" spans="1:14" ht="78" x14ac:dyDescent="0.3">
      <c r="A2962" s="8" t="s">
        <v>1433</v>
      </c>
      <c r="B2962" s="62" t="s">
        <v>934</v>
      </c>
      <c r="C2962" s="68" t="s">
        <v>1372</v>
      </c>
      <c r="D2962" s="68" t="s">
        <v>1386</v>
      </c>
      <c r="E2962" s="8" t="s">
        <v>352</v>
      </c>
      <c r="F2962" s="45" t="s">
        <v>431</v>
      </c>
      <c r="G2962" s="23" t="s">
        <v>806</v>
      </c>
      <c r="H2962" s="14">
        <f t="shared" si="1300"/>
        <v>11343.5</v>
      </c>
      <c r="I2962" s="14">
        <f t="shared" si="1300"/>
        <v>11362.72718</v>
      </c>
      <c r="J2962" s="14">
        <f t="shared" si="1300"/>
        <v>11362.72718</v>
      </c>
      <c r="K2962" s="78">
        <f t="shared" si="1294"/>
        <v>100</v>
      </c>
      <c r="L2962" s="14">
        <f t="shared" si="1300"/>
        <v>0</v>
      </c>
      <c r="M2962" s="50"/>
      <c r="N2962" s="50"/>
    </row>
    <row r="2963" spans="1:14" ht="31.2" x14ac:dyDescent="0.3">
      <c r="A2963" s="8" t="s">
        <v>1433</v>
      </c>
      <c r="B2963" s="62" t="s">
        <v>934</v>
      </c>
      <c r="C2963" s="68" t="s">
        <v>1372</v>
      </c>
      <c r="D2963" s="68" t="s">
        <v>1386</v>
      </c>
      <c r="E2963" s="8" t="s">
        <v>352</v>
      </c>
      <c r="F2963" s="45" t="s">
        <v>233</v>
      </c>
      <c r="G2963" s="23" t="s">
        <v>808</v>
      </c>
      <c r="H2963" s="14">
        <v>11343.5</v>
      </c>
      <c r="I2963" s="14">
        <v>11362.72718</v>
      </c>
      <c r="J2963" s="14">
        <v>11362.72718</v>
      </c>
      <c r="K2963" s="78">
        <f t="shared" si="1294"/>
        <v>100</v>
      </c>
      <c r="L2963" s="14"/>
      <c r="M2963" s="50"/>
      <c r="N2963" s="50"/>
    </row>
    <row r="2964" spans="1:14" ht="31.2" x14ac:dyDescent="0.3">
      <c r="A2964" s="8" t="s">
        <v>1433</v>
      </c>
      <c r="B2964" s="62" t="s">
        <v>934</v>
      </c>
      <c r="C2964" s="68" t="s">
        <v>1372</v>
      </c>
      <c r="D2964" s="68" t="s">
        <v>1386</v>
      </c>
      <c r="E2964" s="8" t="s">
        <v>353</v>
      </c>
      <c r="F2964" s="8"/>
      <c r="G2964" s="13" t="s">
        <v>1154</v>
      </c>
      <c r="H2964" s="14">
        <f>H2967+H2969+H2965</f>
        <v>1924.2</v>
      </c>
      <c r="I2964" s="14">
        <f>I2967+I2969+I2965</f>
        <v>1893.67282</v>
      </c>
      <c r="J2964" s="14">
        <f t="shared" ref="J2964" si="1301">J2967+J2969+J2965</f>
        <v>1893.67282</v>
      </c>
      <c r="K2964" s="78">
        <f t="shared" si="1294"/>
        <v>100</v>
      </c>
      <c r="L2964" s="14">
        <f>L2967+L2969+L2965</f>
        <v>0</v>
      </c>
      <c r="M2964" s="50"/>
      <c r="N2964" s="50"/>
    </row>
    <row r="2965" spans="1:14" ht="78" x14ac:dyDescent="0.3">
      <c r="A2965" s="8" t="s">
        <v>1433</v>
      </c>
      <c r="B2965" s="62" t="s">
        <v>934</v>
      </c>
      <c r="C2965" s="68" t="s">
        <v>1372</v>
      </c>
      <c r="D2965" s="68" t="s">
        <v>1386</v>
      </c>
      <c r="E2965" s="8" t="s">
        <v>353</v>
      </c>
      <c r="F2965" s="45" t="s">
        <v>431</v>
      </c>
      <c r="G2965" s="23" t="s">
        <v>806</v>
      </c>
      <c r="H2965" s="14">
        <f t="shared" ref="H2965:L2965" si="1302">H2966</f>
        <v>2</v>
      </c>
      <c r="I2965" s="14">
        <f t="shared" si="1302"/>
        <v>0.55991000000000002</v>
      </c>
      <c r="J2965" s="14">
        <f t="shared" si="1302"/>
        <v>0.55991000000000002</v>
      </c>
      <c r="K2965" s="78">
        <f t="shared" si="1294"/>
        <v>100</v>
      </c>
      <c r="L2965" s="14">
        <f t="shared" si="1302"/>
        <v>0</v>
      </c>
      <c r="M2965" s="50"/>
      <c r="N2965" s="50"/>
    </row>
    <row r="2966" spans="1:14" ht="31.2" x14ac:dyDescent="0.3">
      <c r="A2966" s="8" t="s">
        <v>1433</v>
      </c>
      <c r="B2966" s="62" t="s">
        <v>934</v>
      </c>
      <c r="C2966" s="68" t="s">
        <v>1372</v>
      </c>
      <c r="D2966" s="68" t="s">
        <v>1386</v>
      </c>
      <c r="E2966" s="8" t="s">
        <v>353</v>
      </c>
      <c r="F2966" s="45" t="s">
        <v>233</v>
      </c>
      <c r="G2966" s="23" t="s">
        <v>808</v>
      </c>
      <c r="H2966" s="14">
        <v>2</v>
      </c>
      <c r="I2966" s="14">
        <v>0.55991000000000002</v>
      </c>
      <c r="J2966" s="14">
        <v>0.55991000000000002</v>
      </c>
      <c r="K2966" s="78">
        <f t="shared" si="1294"/>
        <v>100</v>
      </c>
      <c r="L2966" s="14"/>
      <c r="M2966" s="50"/>
      <c r="N2966" s="50"/>
    </row>
    <row r="2967" spans="1:14" ht="31.2" x14ac:dyDescent="0.3">
      <c r="A2967" s="8" t="s">
        <v>1433</v>
      </c>
      <c r="B2967" s="62" t="s">
        <v>934</v>
      </c>
      <c r="C2967" s="68" t="s">
        <v>1372</v>
      </c>
      <c r="D2967" s="68" t="s">
        <v>1386</v>
      </c>
      <c r="E2967" s="8" t="s">
        <v>353</v>
      </c>
      <c r="F2967" s="45" t="s">
        <v>380</v>
      </c>
      <c r="G2967" s="23" t="s">
        <v>809</v>
      </c>
      <c r="H2967" s="14">
        <f t="shared" ref="H2967:L2967" si="1303">H2968</f>
        <v>1918</v>
      </c>
      <c r="I2967" s="14">
        <f t="shared" si="1303"/>
        <v>1889.3717200000001</v>
      </c>
      <c r="J2967" s="14">
        <f>J2968</f>
        <v>1889.3717200000001</v>
      </c>
      <c r="K2967" s="78">
        <f t="shared" si="1294"/>
        <v>100</v>
      </c>
      <c r="L2967" s="14">
        <f t="shared" si="1303"/>
        <v>0</v>
      </c>
      <c r="M2967" s="50"/>
      <c r="N2967" s="50"/>
    </row>
    <row r="2968" spans="1:14" ht="31.2" x14ac:dyDescent="0.3">
      <c r="A2968" s="8" t="s">
        <v>1433</v>
      </c>
      <c r="B2968" s="62" t="s">
        <v>934</v>
      </c>
      <c r="C2968" s="68" t="s">
        <v>1372</v>
      </c>
      <c r="D2968" s="68" t="s">
        <v>1386</v>
      </c>
      <c r="E2968" s="8" t="s">
        <v>353</v>
      </c>
      <c r="F2968" s="8" t="s">
        <v>247</v>
      </c>
      <c r="G2968" s="23" t="s">
        <v>810</v>
      </c>
      <c r="H2968" s="14">
        <v>1918</v>
      </c>
      <c r="I2968" s="14">
        <v>1889.3717200000001</v>
      </c>
      <c r="J2968" s="14">
        <v>1889.3717200000001</v>
      </c>
      <c r="K2968" s="78">
        <f t="shared" si="1294"/>
        <v>100</v>
      </c>
      <c r="L2968" s="14"/>
      <c r="M2968" s="50"/>
      <c r="N2968" s="50"/>
    </row>
    <row r="2969" spans="1:14" x14ac:dyDescent="0.3">
      <c r="A2969" s="8" t="s">
        <v>1433</v>
      </c>
      <c r="B2969" s="62" t="s">
        <v>934</v>
      </c>
      <c r="C2969" s="68" t="s">
        <v>1372</v>
      </c>
      <c r="D2969" s="68" t="s">
        <v>1386</v>
      </c>
      <c r="E2969" s="8" t="s">
        <v>353</v>
      </c>
      <c r="F2969" s="45" t="s">
        <v>464</v>
      </c>
      <c r="G2969" s="23" t="s">
        <v>822</v>
      </c>
      <c r="H2969" s="14">
        <f t="shared" ref="H2969:L2969" si="1304">H2970</f>
        <v>4.2</v>
      </c>
      <c r="I2969" s="14">
        <f t="shared" si="1304"/>
        <v>3.74119</v>
      </c>
      <c r="J2969" s="14">
        <f t="shared" si="1304"/>
        <v>3.74119</v>
      </c>
      <c r="K2969" s="78">
        <f t="shared" si="1294"/>
        <v>100</v>
      </c>
      <c r="L2969" s="14">
        <f t="shared" si="1304"/>
        <v>0</v>
      </c>
      <c r="M2969" s="50"/>
      <c r="N2969" s="50"/>
    </row>
    <row r="2970" spans="1:14" x14ac:dyDescent="0.3">
      <c r="A2970" s="8" t="s">
        <v>1433</v>
      </c>
      <c r="B2970" s="62" t="s">
        <v>934</v>
      </c>
      <c r="C2970" s="68" t="s">
        <v>1372</v>
      </c>
      <c r="D2970" s="68" t="s">
        <v>1386</v>
      </c>
      <c r="E2970" s="8" t="s">
        <v>353</v>
      </c>
      <c r="F2970" s="45" t="s">
        <v>729</v>
      </c>
      <c r="G2970" s="23" t="s">
        <v>824</v>
      </c>
      <c r="H2970" s="14">
        <v>4.2</v>
      </c>
      <c r="I2970" s="14">
        <v>3.74119</v>
      </c>
      <c r="J2970" s="14">
        <v>3.74119</v>
      </c>
      <c r="K2970" s="78">
        <f t="shared" si="1294"/>
        <v>100</v>
      </c>
      <c r="L2970" s="14"/>
      <c r="M2970" s="50"/>
      <c r="N2970" s="50"/>
    </row>
    <row r="2971" spans="1:14" s="9" customFormat="1" x14ac:dyDescent="0.3">
      <c r="A2971" s="11" t="s">
        <v>1433</v>
      </c>
      <c r="B2971" s="48" t="s">
        <v>912</v>
      </c>
      <c r="C2971" s="48" t="s">
        <v>1372</v>
      </c>
      <c r="D2971" s="48" t="s">
        <v>1477</v>
      </c>
      <c r="E2971" s="11"/>
      <c r="F2971" s="11"/>
      <c r="G2971" s="7" t="s">
        <v>1377</v>
      </c>
      <c r="H2971" s="16">
        <f>H2972+H2981</f>
        <v>1850.2</v>
      </c>
      <c r="I2971" s="16">
        <f>I2972+I2981</f>
        <v>1850.2</v>
      </c>
      <c r="J2971" s="16">
        <f t="shared" ref="J2971" si="1305">J2972+J2981</f>
        <v>1850.2</v>
      </c>
      <c r="K2971" s="82">
        <f t="shared" si="1294"/>
        <v>100</v>
      </c>
      <c r="L2971" s="16">
        <f>L2972+L2981</f>
        <v>0</v>
      </c>
      <c r="M2971" s="65"/>
      <c r="N2971" s="65"/>
    </row>
    <row r="2972" spans="1:14" ht="46.8" x14ac:dyDescent="0.3">
      <c r="A2972" s="8" t="s">
        <v>1433</v>
      </c>
      <c r="B2972" s="62" t="s">
        <v>912</v>
      </c>
      <c r="C2972" s="68" t="s">
        <v>1372</v>
      </c>
      <c r="D2972" s="68" t="s">
        <v>1477</v>
      </c>
      <c r="E2972" s="8" t="s">
        <v>338</v>
      </c>
      <c r="F2972" s="8"/>
      <c r="G2972" s="13" t="s">
        <v>843</v>
      </c>
      <c r="H2972" s="14">
        <f>H2973+H2977</f>
        <v>120</v>
      </c>
      <c r="I2972" s="14">
        <f>I2973+I2977</f>
        <v>120</v>
      </c>
      <c r="J2972" s="14">
        <f t="shared" ref="J2972" si="1306">J2973+J2977</f>
        <v>120</v>
      </c>
      <c r="K2972" s="78">
        <f t="shared" si="1294"/>
        <v>100</v>
      </c>
      <c r="L2972" s="14">
        <f>L2973+L2977</f>
        <v>0</v>
      </c>
      <c r="M2972" s="50"/>
      <c r="N2972" s="50"/>
    </row>
    <row r="2973" spans="1:14" ht="46.8" x14ac:dyDescent="0.3">
      <c r="A2973" s="8" t="s">
        <v>1433</v>
      </c>
      <c r="B2973" s="62" t="s">
        <v>912</v>
      </c>
      <c r="C2973" s="68" t="s">
        <v>1372</v>
      </c>
      <c r="D2973" s="68" t="s">
        <v>1477</v>
      </c>
      <c r="E2973" s="8" t="s">
        <v>339</v>
      </c>
      <c r="F2973" s="8"/>
      <c r="G2973" s="13" t="s">
        <v>844</v>
      </c>
      <c r="H2973" s="14">
        <f t="shared" ref="H2973:L2975" si="1307">H2974</f>
        <v>95</v>
      </c>
      <c r="I2973" s="14">
        <f t="shared" si="1307"/>
        <v>95</v>
      </c>
      <c r="J2973" s="14">
        <f t="shared" si="1307"/>
        <v>95</v>
      </c>
      <c r="K2973" s="78">
        <f t="shared" si="1294"/>
        <v>100</v>
      </c>
      <c r="L2973" s="14">
        <f t="shared" si="1307"/>
        <v>0</v>
      </c>
      <c r="M2973" s="50"/>
      <c r="N2973" s="50"/>
    </row>
    <row r="2974" spans="1:14" ht="62.4" x14ac:dyDescent="0.3">
      <c r="A2974" s="8" t="s">
        <v>1433</v>
      </c>
      <c r="B2974" s="62" t="s">
        <v>912</v>
      </c>
      <c r="C2974" s="68" t="s">
        <v>1372</v>
      </c>
      <c r="D2974" s="68" t="s">
        <v>1477</v>
      </c>
      <c r="E2974" s="8" t="s">
        <v>340</v>
      </c>
      <c r="F2974" s="8"/>
      <c r="G2974" s="13" t="s">
        <v>845</v>
      </c>
      <c r="H2974" s="14">
        <f t="shared" si="1307"/>
        <v>95</v>
      </c>
      <c r="I2974" s="14">
        <f t="shared" si="1307"/>
        <v>95</v>
      </c>
      <c r="J2974" s="14">
        <f t="shared" si="1307"/>
        <v>95</v>
      </c>
      <c r="K2974" s="78">
        <f t="shared" si="1294"/>
        <v>100</v>
      </c>
      <c r="L2974" s="14">
        <f t="shared" si="1307"/>
        <v>0</v>
      </c>
      <c r="M2974" s="50"/>
      <c r="N2974" s="50"/>
    </row>
    <row r="2975" spans="1:14" ht="31.2" x14ac:dyDescent="0.3">
      <c r="A2975" s="8" t="s">
        <v>1433</v>
      </c>
      <c r="B2975" s="62" t="s">
        <v>912</v>
      </c>
      <c r="C2975" s="68" t="s">
        <v>1372</v>
      </c>
      <c r="D2975" s="68" t="s">
        <v>1477</v>
      </c>
      <c r="E2975" s="8" t="s">
        <v>340</v>
      </c>
      <c r="F2975" s="45" t="s">
        <v>402</v>
      </c>
      <c r="G2975" s="23" t="s">
        <v>819</v>
      </c>
      <c r="H2975" s="14">
        <f t="shared" si="1307"/>
        <v>95</v>
      </c>
      <c r="I2975" s="14">
        <f t="shared" si="1307"/>
        <v>95</v>
      </c>
      <c r="J2975" s="14">
        <f t="shared" si="1307"/>
        <v>95</v>
      </c>
      <c r="K2975" s="78">
        <f t="shared" si="1294"/>
        <v>100</v>
      </c>
      <c r="L2975" s="14">
        <f t="shared" si="1307"/>
        <v>0</v>
      </c>
      <c r="M2975" s="50"/>
      <c r="N2975" s="50"/>
    </row>
    <row r="2976" spans="1:14" ht="46.8" x14ac:dyDescent="0.3">
      <c r="A2976" s="8" t="s">
        <v>1433</v>
      </c>
      <c r="B2976" s="62" t="s">
        <v>912</v>
      </c>
      <c r="C2976" s="68" t="s">
        <v>1372</v>
      </c>
      <c r="D2976" s="68" t="s">
        <v>1477</v>
      </c>
      <c r="E2976" s="8" t="s">
        <v>340</v>
      </c>
      <c r="F2976" s="45" t="s">
        <v>280</v>
      </c>
      <c r="G2976" s="23" t="s">
        <v>821</v>
      </c>
      <c r="H2976" s="14">
        <v>95</v>
      </c>
      <c r="I2976" s="14">
        <v>95</v>
      </c>
      <c r="J2976" s="14">
        <v>95</v>
      </c>
      <c r="K2976" s="78">
        <f t="shared" si="1294"/>
        <v>100</v>
      </c>
      <c r="L2976" s="14"/>
      <c r="M2976" s="50"/>
      <c r="N2976" s="50"/>
    </row>
    <row r="2977" spans="1:14" ht="46.8" x14ac:dyDescent="0.3">
      <c r="A2977" s="8" t="s">
        <v>1433</v>
      </c>
      <c r="B2977" s="62" t="s">
        <v>912</v>
      </c>
      <c r="C2977" s="68" t="s">
        <v>1372</v>
      </c>
      <c r="D2977" s="68" t="s">
        <v>1477</v>
      </c>
      <c r="E2977" s="8" t="s">
        <v>341</v>
      </c>
      <c r="F2977" s="8"/>
      <c r="G2977" s="13" t="s">
        <v>846</v>
      </c>
      <c r="H2977" s="14">
        <f t="shared" ref="H2977:L2979" si="1308">H2978</f>
        <v>25</v>
      </c>
      <c r="I2977" s="14">
        <f t="shared" si="1308"/>
        <v>25</v>
      </c>
      <c r="J2977" s="14">
        <f t="shared" si="1308"/>
        <v>25</v>
      </c>
      <c r="K2977" s="78">
        <f t="shared" si="1294"/>
        <v>100</v>
      </c>
      <c r="L2977" s="14">
        <f t="shared" si="1308"/>
        <v>0</v>
      </c>
      <c r="M2977" s="50"/>
      <c r="N2977" s="50"/>
    </row>
    <row r="2978" spans="1:14" ht="62.4" x14ac:dyDescent="0.3">
      <c r="A2978" s="8" t="s">
        <v>1433</v>
      </c>
      <c r="B2978" s="62" t="s">
        <v>912</v>
      </c>
      <c r="C2978" s="68" t="s">
        <v>1372</v>
      </c>
      <c r="D2978" s="68" t="s">
        <v>1477</v>
      </c>
      <c r="E2978" s="8" t="s">
        <v>342</v>
      </c>
      <c r="F2978" s="8"/>
      <c r="G2978" s="13" t="s">
        <v>847</v>
      </c>
      <c r="H2978" s="14">
        <f t="shared" si="1308"/>
        <v>25</v>
      </c>
      <c r="I2978" s="14">
        <f t="shared" si="1308"/>
        <v>25</v>
      </c>
      <c r="J2978" s="14">
        <f t="shared" si="1308"/>
        <v>25</v>
      </c>
      <c r="K2978" s="78">
        <f t="shared" si="1294"/>
        <v>100</v>
      </c>
      <c r="L2978" s="14">
        <f t="shared" si="1308"/>
        <v>0</v>
      </c>
      <c r="M2978" s="50"/>
      <c r="N2978" s="50"/>
    </row>
    <row r="2979" spans="1:14" ht="31.2" x14ac:dyDescent="0.3">
      <c r="A2979" s="8" t="s">
        <v>1433</v>
      </c>
      <c r="B2979" s="62" t="s">
        <v>912</v>
      </c>
      <c r="C2979" s="68" t="s">
        <v>1372</v>
      </c>
      <c r="D2979" s="68" t="s">
        <v>1477</v>
      </c>
      <c r="E2979" s="8" t="s">
        <v>342</v>
      </c>
      <c r="F2979" s="45" t="s">
        <v>402</v>
      </c>
      <c r="G2979" s="23" t="s">
        <v>819</v>
      </c>
      <c r="H2979" s="14">
        <f t="shared" si="1308"/>
        <v>25</v>
      </c>
      <c r="I2979" s="14">
        <f t="shared" si="1308"/>
        <v>25</v>
      </c>
      <c r="J2979" s="14">
        <f t="shared" si="1308"/>
        <v>25</v>
      </c>
      <c r="K2979" s="78">
        <f t="shared" si="1294"/>
        <v>100</v>
      </c>
      <c r="L2979" s="14">
        <f t="shared" si="1308"/>
        <v>0</v>
      </c>
      <c r="M2979" s="50"/>
      <c r="N2979" s="50"/>
    </row>
    <row r="2980" spans="1:14" ht="46.8" x14ac:dyDescent="0.3">
      <c r="A2980" s="8" t="s">
        <v>1433</v>
      </c>
      <c r="B2980" s="62" t="s">
        <v>912</v>
      </c>
      <c r="C2980" s="68" t="s">
        <v>1372</v>
      </c>
      <c r="D2980" s="68" t="s">
        <v>1477</v>
      </c>
      <c r="E2980" s="8" t="s">
        <v>342</v>
      </c>
      <c r="F2980" s="45" t="s">
        <v>280</v>
      </c>
      <c r="G2980" s="23" t="s">
        <v>821</v>
      </c>
      <c r="H2980" s="14">
        <v>25</v>
      </c>
      <c r="I2980" s="14">
        <v>25</v>
      </c>
      <c r="J2980" s="14">
        <v>25</v>
      </c>
      <c r="K2980" s="78">
        <f t="shared" si="1294"/>
        <v>100</v>
      </c>
      <c r="L2980" s="14"/>
      <c r="M2980" s="50"/>
      <c r="N2980" s="50"/>
    </row>
    <row r="2981" spans="1:14" x14ac:dyDescent="0.3">
      <c r="A2981" s="8" t="s">
        <v>1433</v>
      </c>
      <c r="B2981" s="62" t="s">
        <v>912</v>
      </c>
      <c r="C2981" s="68" t="s">
        <v>1372</v>
      </c>
      <c r="D2981" s="68" t="s">
        <v>1477</v>
      </c>
      <c r="E2981" s="8" t="s">
        <v>354</v>
      </c>
      <c r="F2981" s="8"/>
      <c r="G2981" s="13" t="s">
        <v>869</v>
      </c>
      <c r="H2981" s="14">
        <f>H2982+H2993</f>
        <v>1730.2</v>
      </c>
      <c r="I2981" s="14">
        <f>I2982+I2993</f>
        <v>1730.2</v>
      </c>
      <c r="J2981" s="14">
        <f t="shared" ref="J2981" si="1309">J2982+J2993</f>
        <v>1730.2</v>
      </c>
      <c r="K2981" s="78">
        <f t="shared" si="1294"/>
        <v>100</v>
      </c>
      <c r="L2981" s="14">
        <f>L2982+L2993</f>
        <v>0</v>
      </c>
      <c r="M2981" s="50"/>
      <c r="N2981" s="50"/>
    </row>
    <row r="2982" spans="1:14" ht="46.8" x14ac:dyDescent="0.3">
      <c r="A2982" s="8" t="s">
        <v>1433</v>
      </c>
      <c r="B2982" s="62" t="s">
        <v>912</v>
      </c>
      <c r="C2982" s="68" t="s">
        <v>1372</v>
      </c>
      <c r="D2982" s="68" t="s">
        <v>1477</v>
      </c>
      <c r="E2982" s="8" t="s">
        <v>648</v>
      </c>
      <c r="F2982" s="8"/>
      <c r="G2982" s="13" t="s">
        <v>870</v>
      </c>
      <c r="H2982" s="14">
        <f t="shared" ref="H2982:L2982" si="1310">H2983</f>
        <v>701.3</v>
      </c>
      <c r="I2982" s="14">
        <f t="shared" si="1310"/>
        <v>701.3</v>
      </c>
      <c r="J2982" s="14">
        <f t="shared" si="1310"/>
        <v>701.3</v>
      </c>
      <c r="K2982" s="78">
        <f t="shared" si="1294"/>
        <v>100</v>
      </c>
      <c r="L2982" s="14">
        <f t="shared" si="1310"/>
        <v>0</v>
      </c>
      <c r="M2982" s="50"/>
      <c r="N2982" s="50"/>
    </row>
    <row r="2983" spans="1:14" ht="46.8" x14ac:dyDescent="0.3">
      <c r="A2983" s="8" t="s">
        <v>1433</v>
      </c>
      <c r="B2983" s="62" t="s">
        <v>912</v>
      </c>
      <c r="C2983" s="68" t="s">
        <v>1372</v>
      </c>
      <c r="D2983" s="68" t="s">
        <v>1477</v>
      </c>
      <c r="E2983" s="8" t="s">
        <v>1305</v>
      </c>
      <c r="F2983" s="8"/>
      <c r="G2983" s="18" t="s">
        <v>115</v>
      </c>
      <c r="H2983" s="14">
        <f>H2984+H2987+H2990</f>
        <v>701.3</v>
      </c>
      <c r="I2983" s="14">
        <f>I2984+I2987+I2990</f>
        <v>701.3</v>
      </c>
      <c r="J2983" s="14">
        <f t="shared" ref="J2983" si="1311">J2984+J2987+J2990</f>
        <v>701.3</v>
      </c>
      <c r="K2983" s="78">
        <f t="shared" si="1294"/>
        <v>100</v>
      </c>
      <c r="L2983" s="14">
        <f>L2984+L2987+L2990</f>
        <v>0</v>
      </c>
      <c r="M2983" s="50"/>
      <c r="N2983" s="50"/>
    </row>
    <row r="2984" spans="1:14" ht="31.2" x14ac:dyDescent="0.3">
      <c r="A2984" s="8" t="s">
        <v>1433</v>
      </c>
      <c r="B2984" s="62" t="s">
        <v>912</v>
      </c>
      <c r="C2984" s="68" t="s">
        <v>1372</v>
      </c>
      <c r="D2984" s="68" t="s">
        <v>1477</v>
      </c>
      <c r="E2984" s="8" t="s">
        <v>1306</v>
      </c>
      <c r="F2984" s="8"/>
      <c r="G2984" s="13" t="s">
        <v>872</v>
      </c>
      <c r="H2984" s="14">
        <f t="shared" ref="H2984:L2985" si="1312">H2985</f>
        <v>510.1</v>
      </c>
      <c r="I2984" s="14">
        <f t="shared" si="1312"/>
        <v>510.1</v>
      </c>
      <c r="J2984" s="14">
        <f t="shared" si="1312"/>
        <v>510.1</v>
      </c>
      <c r="K2984" s="78">
        <f t="shared" si="1294"/>
        <v>100</v>
      </c>
      <c r="L2984" s="14">
        <f t="shared" si="1312"/>
        <v>0</v>
      </c>
      <c r="M2984" s="50"/>
      <c r="N2984" s="50"/>
    </row>
    <row r="2985" spans="1:14" ht="31.2" x14ac:dyDescent="0.3">
      <c r="A2985" s="8" t="s">
        <v>1433</v>
      </c>
      <c r="B2985" s="62" t="s">
        <v>912</v>
      </c>
      <c r="C2985" s="68" t="s">
        <v>1372</v>
      </c>
      <c r="D2985" s="68" t="s">
        <v>1477</v>
      </c>
      <c r="E2985" s="8" t="s">
        <v>1306</v>
      </c>
      <c r="F2985" s="45" t="s">
        <v>402</v>
      </c>
      <c r="G2985" s="23" t="s">
        <v>819</v>
      </c>
      <c r="H2985" s="14">
        <f t="shared" si="1312"/>
        <v>510.1</v>
      </c>
      <c r="I2985" s="14">
        <f t="shared" si="1312"/>
        <v>510.1</v>
      </c>
      <c r="J2985" s="14">
        <f t="shared" si="1312"/>
        <v>510.1</v>
      </c>
      <c r="K2985" s="78">
        <f t="shared" si="1294"/>
        <v>100</v>
      </c>
      <c r="L2985" s="14">
        <f t="shared" si="1312"/>
        <v>0</v>
      </c>
      <c r="M2985" s="50"/>
      <c r="N2985" s="50"/>
    </row>
    <row r="2986" spans="1:14" ht="46.8" x14ac:dyDescent="0.3">
      <c r="A2986" s="8" t="s">
        <v>1433</v>
      </c>
      <c r="B2986" s="62" t="s">
        <v>912</v>
      </c>
      <c r="C2986" s="68" t="s">
        <v>1372</v>
      </c>
      <c r="D2986" s="68" t="s">
        <v>1477</v>
      </c>
      <c r="E2986" s="8" t="s">
        <v>1306</v>
      </c>
      <c r="F2986" s="45" t="s">
        <v>280</v>
      </c>
      <c r="G2986" s="23" t="s">
        <v>821</v>
      </c>
      <c r="H2986" s="14">
        <v>510.1</v>
      </c>
      <c r="I2986" s="14">
        <v>510.1</v>
      </c>
      <c r="J2986" s="14">
        <v>510.1</v>
      </c>
      <c r="K2986" s="78">
        <f t="shared" si="1294"/>
        <v>100</v>
      </c>
      <c r="L2986" s="14"/>
      <c r="M2986" s="50"/>
      <c r="N2986" s="50"/>
    </row>
    <row r="2987" spans="1:14" ht="31.2" x14ac:dyDescent="0.3">
      <c r="A2987" s="8" t="s">
        <v>1433</v>
      </c>
      <c r="B2987" s="62" t="s">
        <v>912</v>
      </c>
      <c r="C2987" s="68" t="s">
        <v>1372</v>
      </c>
      <c r="D2987" s="68" t="s">
        <v>1477</v>
      </c>
      <c r="E2987" s="8" t="s">
        <v>1307</v>
      </c>
      <c r="F2987" s="8"/>
      <c r="G2987" s="18" t="s">
        <v>758</v>
      </c>
      <c r="H2987" s="14">
        <f t="shared" ref="H2987:L2988" si="1313">H2988</f>
        <v>129.19999999999999</v>
      </c>
      <c r="I2987" s="14">
        <f t="shared" si="1313"/>
        <v>129.19999999999999</v>
      </c>
      <c r="J2987" s="14">
        <f t="shared" si="1313"/>
        <v>129.19999999999999</v>
      </c>
      <c r="K2987" s="78">
        <f t="shared" si="1294"/>
        <v>100</v>
      </c>
      <c r="L2987" s="14">
        <f t="shared" si="1313"/>
        <v>0</v>
      </c>
      <c r="M2987" s="50"/>
      <c r="N2987" s="50"/>
    </row>
    <row r="2988" spans="1:14" ht="31.2" x14ac:dyDescent="0.3">
      <c r="A2988" s="8" t="s">
        <v>1433</v>
      </c>
      <c r="B2988" s="62" t="s">
        <v>912</v>
      </c>
      <c r="C2988" s="68" t="s">
        <v>1372</v>
      </c>
      <c r="D2988" s="68" t="s">
        <v>1477</v>
      </c>
      <c r="E2988" s="8" t="s">
        <v>1307</v>
      </c>
      <c r="F2988" s="45" t="s">
        <v>402</v>
      </c>
      <c r="G2988" s="23" t="s">
        <v>819</v>
      </c>
      <c r="H2988" s="14">
        <f t="shared" si="1313"/>
        <v>129.19999999999999</v>
      </c>
      <c r="I2988" s="14">
        <f t="shared" si="1313"/>
        <v>129.19999999999999</v>
      </c>
      <c r="J2988" s="14">
        <f t="shared" si="1313"/>
        <v>129.19999999999999</v>
      </c>
      <c r="K2988" s="78">
        <f t="shared" si="1294"/>
        <v>100</v>
      </c>
      <c r="L2988" s="14">
        <f t="shared" si="1313"/>
        <v>0</v>
      </c>
      <c r="M2988" s="50"/>
      <c r="N2988" s="50"/>
    </row>
    <row r="2989" spans="1:14" ht="46.8" x14ac:dyDescent="0.3">
      <c r="A2989" s="8" t="s">
        <v>1433</v>
      </c>
      <c r="B2989" s="62" t="s">
        <v>912</v>
      </c>
      <c r="C2989" s="68" t="s">
        <v>1372</v>
      </c>
      <c r="D2989" s="68" t="s">
        <v>1477</v>
      </c>
      <c r="E2989" s="8" t="s">
        <v>1307</v>
      </c>
      <c r="F2989" s="45" t="s">
        <v>280</v>
      </c>
      <c r="G2989" s="23" t="s">
        <v>821</v>
      </c>
      <c r="H2989" s="14">
        <v>129.19999999999999</v>
      </c>
      <c r="I2989" s="14">
        <v>129.19999999999999</v>
      </c>
      <c r="J2989" s="14">
        <v>129.19999999999999</v>
      </c>
      <c r="K2989" s="78">
        <f t="shared" si="1294"/>
        <v>100</v>
      </c>
      <c r="L2989" s="14"/>
      <c r="M2989" s="50"/>
      <c r="N2989" s="50"/>
    </row>
    <row r="2990" spans="1:14" ht="62.4" x14ac:dyDescent="0.3">
      <c r="A2990" s="8" t="s">
        <v>1433</v>
      </c>
      <c r="B2990" s="62" t="s">
        <v>912</v>
      </c>
      <c r="C2990" s="68" t="s">
        <v>1372</v>
      </c>
      <c r="D2990" s="68" t="s">
        <v>1477</v>
      </c>
      <c r="E2990" s="8" t="s">
        <v>1308</v>
      </c>
      <c r="F2990" s="8"/>
      <c r="G2990" s="13" t="s">
        <v>301</v>
      </c>
      <c r="H2990" s="14">
        <f t="shared" ref="H2990:L2991" si="1314">H2991</f>
        <v>62</v>
      </c>
      <c r="I2990" s="14">
        <f t="shared" si="1314"/>
        <v>62</v>
      </c>
      <c r="J2990" s="14">
        <f t="shared" si="1314"/>
        <v>62</v>
      </c>
      <c r="K2990" s="78">
        <f t="shared" si="1294"/>
        <v>100</v>
      </c>
      <c r="L2990" s="14">
        <f t="shared" si="1314"/>
        <v>0</v>
      </c>
      <c r="M2990" s="50"/>
      <c r="N2990" s="50"/>
    </row>
    <row r="2991" spans="1:14" ht="31.2" x14ac:dyDescent="0.3">
      <c r="A2991" s="8" t="s">
        <v>1433</v>
      </c>
      <c r="B2991" s="62" t="s">
        <v>912</v>
      </c>
      <c r="C2991" s="68" t="s">
        <v>1372</v>
      </c>
      <c r="D2991" s="68" t="s">
        <v>1477</v>
      </c>
      <c r="E2991" s="8" t="s">
        <v>1308</v>
      </c>
      <c r="F2991" s="45" t="s">
        <v>402</v>
      </c>
      <c r="G2991" s="23" t="s">
        <v>819</v>
      </c>
      <c r="H2991" s="14">
        <f t="shared" si="1314"/>
        <v>62</v>
      </c>
      <c r="I2991" s="14">
        <f t="shared" si="1314"/>
        <v>62</v>
      </c>
      <c r="J2991" s="14">
        <f t="shared" si="1314"/>
        <v>62</v>
      </c>
      <c r="K2991" s="78">
        <f t="shared" si="1294"/>
        <v>100</v>
      </c>
      <c r="L2991" s="14">
        <f t="shared" si="1314"/>
        <v>0</v>
      </c>
      <c r="M2991" s="50"/>
      <c r="N2991" s="50"/>
    </row>
    <row r="2992" spans="1:14" ht="46.8" x14ac:dyDescent="0.3">
      <c r="A2992" s="8" t="s">
        <v>1433</v>
      </c>
      <c r="B2992" s="62" t="s">
        <v>912</v>
      </c>
      <c r="C2992" s="68" t="s">
        <v>1372</v>
      </c>
      <c r="D2992" s="68" t="s">
        <v>1477</v>
      </c>
      <c r="E2992" s="8" t="s">
        <v>1308</v>
      </c>
      <c r="F2992" s="45" t="s">
        <v>280</v>
      </c>
      <c r="G2992" s="23" t="s">
        <v>821</v>
      </c>
      <c r="H2992" s="14">
        <v>62</v>
      </c>
      <c r="I2992" s="14">
        <v>62</v>
      </c>
      <c r="J2992" s="14">
        <v>62</v>
      </c>
      <c r="K2992" s="78">
        <f t="shared" si="1294"/>
        <v>100</v>
      </c>
      <c r="L2992" s="14"/>
      <c r="M2992" s="50"/>
      <c r="N2992" s="50"/>
    </row>
    <row r="2993" spans="1:14" ht="31.2" x14ac:dyDescent="0.3">
      <c r="A2993" s="8" t="s">
        <v>1433</v>
      </c>
      <c r="B2993" s="62" t="s">
        <v>912</v>
      </c>
      <c r="C2993" s="68" t="s">
        <v>1372</v>
      </c>
      <c r="D2993" s="68" t="s">
        <v>1477</v>
      </c>
      <c r="E2993" s="8" t="s">
        <v>1310</v>
      </c>
      <c r="F2993" s="8"/>
      <c r="G2993" s="18" t="s">
        <v>116</v>
      </c>
      <c r="H2993" s="14">
        <f t="shared" ref="H2993:L2994" si="1315">H2994</f>
        <v>1028.9000000000001</v>
      </c>
      <c r="I2993" s="14">
        <f t="shared" si="1315"/>
        <v>1028.9000000000001</v>
      </c>
      <c r="J2993" s="14">
        <f t="shared" si="1315"/>
        <v>1028.9000000000001</v>
      </c>
      <c r="K2993" s="78">
        <f t="shared" si="1294"/>
        <v>100</v>
      </c>
      <c r="L2993" s="14">
        <f t="shared" si="1315"/>
        <v>0</v>
      </c>
      <c r="M2993" s="50"/>
      <c r="N2993" s="50"/>
    </row>
    <row r="2994" spans="1:14" ht="78" x14ac:dyDescent="0.3">
      <c r="A2994" s="8" t="s">
        <v>1433</v>
      </c>
      <c r="B2994" s="62" t="s">
        <v>912</v>
      </c>
      <c r="C2994" s="68" t="s">
        <v>1372</v>
      </c>
      <c r="D2994" s="68" t="s">
        <v>1477</v>
      </c>
      <c r="E2994" s="8" t="s">
        <v>1311</v>
      </c>
      <c r="F2994" s="8"/>
      <c r="G2994" s="13" t="s">
        <v>873</v>
      </c>
      <c r="H2994" s="14">
        <f t="shared" si="1315"/>
        <v>1028.9000000000001</v>
      </c>
      <c r="I2994" s="14">
        <f t="shared" si="1315"/>
        <v>1028.9000000000001</v>
      </c>
      <c r="J2994" s="14">
        <f t="shared" si="1315"/>
        <v>1028.9000000000001</v>
      </c>
      <c r="K2994" s="78">
        <f t="shared" si="1294"/>
        <v>100</v>
      </c>
      <c r="L2994" s="14">
        <f t="shared" si="1315"/>
        <v>0</v>
      </c>
      <c r="M2994" s="50"/>
      <c r="N2994" s="50"/>
    </row>
    <row r="2995" spans="1:14" ht="31.2" x14ac:dyDescent="0.3">
      <c r="A2995" s="8" t="s">
        <v>1433</v>
      </c>
      <c r="B2995" s="62" t="s">
        <v>912</v>
      </c>
      <c r="C2995" s="68" t="s">
        <v>1372</v>
      </c>
      <c r="D2995" s="68" t="s">
        <v>1477</v>
      </c>
      <c r="E2995" s="8" t="s">
        <v>1312</v>
      </c>
      <c r="F2995" s="8"/>
      <c r="G2995" s="13" t="s">
        <v>874</v>
      </c>
      <c r="H2995" s="14">
        <f>H2996+H2998</f>
        <v>1028.9000000000001</v>
      </c>
      <c r="I2995" s="14">
        <f>I2996+I2998</f>
        <v>1028.9000000000001</v>
      </c>
      <c r="J2995" s="14">
        <f t="shared" ref="J2995" si="1316">J2996+J2998</f>
        <v>1028.9000000000001</v>
      </c>
      <c r="K2995" s="78">
        <f t="shared" si="1294"/>
        <v>100</v>
      </c>
      <c r="L2995" s="14">
        <f>L2996+L2998</f>
        <v>0</v>
      </c>
      <c r="M2995" s="50"/>
      <c r="N2995" s="50"/>
    </row>
    <row r="2996" spans="1:14" ht="31.2" x14ac:dyDescent="0.3">
      <c r="A2996" s="8" t="s">
        <v>1433</v>
      </c>
      <c r="B2996" s="62" t="s">
        <v>912</v>
      </c>
      <c r="C2996" s="68" t="s">
        <v>1372</v>
      </c>
      <c r="D2996" s="68" t="s">
        <v>1477</v>
      </c>
      <c r="E2996" s="8" t="s">
        <v>1312</v>
      </c>
      <c r="F2996" s="45" t="s">
        <v>380</v>
      </c>
      <c r="G2996" s="23" t="s">
        <v>809</v>
      </c>
      <c r="H2996" s="14">
        <f t="shared" ref="H2996:L2996" si="1317">H2997</f>
        <v>884.7</v>
      </c>
      <c r="I2996" s="14">
        <f t="shared" si="1317"/>
        <v>1028.9000000000001</v>
      </c>
      <c r="J2996" s="14">
        <f t="shared" si="1317"/>
        <v>1028.9000000000001</v>
      </c>
      <c r="K2996" s="78">
        <f t="shared" si="1294"/>
        <v>100</v>
      </c>
      <c r="L2996" s="14">
        <f t="shared" si="1317"/>
        <v>0</v>
      </c>
      <c r="M2996" s="50"/>
      <c r="N2996" s="50"/>
    </row>
    <row r="2997" spans="1:14" ht="31.2" x14ac:dyDescent="0.3">
      <c r="A2997" s="8" t="s">
        <v>1433</v>
      </c>
      <c r="B2997" s="62" t="s">
        <v>912</v>
      </c>
      <c r="C2997" s="68" t="s">
        <v>1372</v>
      </c>
      <c r="D2997" s="68" t="s">
        <v>1477</v>
      </c>
      <c r="E2997" s="8" t="s">
        <v>1312</v>
      </c>
      <c r="F2997" s="8" t="s">
        <v>247</v>
      </c>
      <c r="G2997" s="23" t="s">
        <v>810</v>
      </c>
      <c r="H2997" s="14">
        <v>884.7</v>
      </c>
      <c r="I2997" s="14">
        <v>1028.9000000000001</v>
      </c>
      <c r="J2997" s="14">
        <v>1028.9000000000001</v>
      </c>
      <c r="K2997" s="78">
        <f t="shared" si="1294"/>
        <v>100</v>
      </c>
      <c r="L2997" s="14"/>
      <c r="M2997" s="50"/>
      <c r="N2997" s="50"/>
    </row>
    <row r="2998" spans="1:14" hidden="1" x14ac:dyDescent="0.3">
      <c r="A2998" s="8" t="s">
        <v>1433</v>
      </c>
      <c r="B2998" s="62" t="s">
        <v>912</v>
      </c>
      <c r="C2998" s="68" t="s">
        <v>1372</v>
      </c>
      <c r="D2998" s="68" t="s">
        <v>1477</v>
      </c>
      <c r="E2998" s="8" t="s">
        <v>1312</v>
      </c>
      <c r="F2998" s="45" t="s">
        <v>464</v>
      </c>
      <c r="G2998" s="23" t="s">
        <v>822</v>
      </c>
      <c r="H2998" s="14">
        <f t="shared" ref="H2998:L2998" si="1318">H2999</f>
        <v>144.19999999999999</v>
      </c>
      <c r="I2998" s="14">
        <f t="shared" si="1318"/>
        <v>0</v>
      </c>
      <c r="J2998" s="14">
        <f t="shared" si="1318"/>
        <v>0</v>
      </c>
      <c r="K2998" s="78" t="e">
        <f t="shared" si="1294"/>
        <v>#DIV/0!</v>
      </c>
      <c r="L2998" s="14">
        <f t="shared" si="1318"/>
        <v>0</v>
      </c>
      <c r="M2998" s="50">
        <v>111</v>
      </c>
      <c r="N2998" s="50"/>
    </row>
    <row r="2999" spans="1:14" hidden="1" x14ac:dyDescent="0.3">
      <c r="A2999" s="8" t="s">
        <v>1433</v>
      </c>
      <c r="B2999" s="62" t="s">
        <v>912</v>
      </c>
      <c r="C2999" s="68" t="s">
        <v>1372</v>
      </c>
      <c r="D2999" s="68" t="s">
        <v>1477</v>
      </c>
      <c r="E2999" s="8" t="s">
        <v>1312</v>
      </c>
      <c r="F2999" s="45" t="s">
        <v>729</v>
      </c>
      <c r="G2999" s="23" t="s">
        <v>824</v>
      </c>
      <c r="H2999" s="14">
        <v>144.19999999999999</v>
      </c>
      <c r="I2999" s="14">
        <v>0</v>
      </c>
      <c r="J2999" s="20">
        <v>0</v>
      </c>
      <c r="K2999" s="77" t="e">
        <f t="shared" si="1294"/>
        <v>#DIV/0!</v>
      </c>
      <c r="L2999" s="14"/>
      <c r="M2999" s="50">
        <v>111</v>
      </c>
      <c r="N2999" s="50"/>
    </row>
    <row r="3000" spans="1:14" s="3" customFormat="1" ht="31.2" x14ac:dyDescent="0.3">
      <c r="A3000" s="10" t="s">
        <v>1433</v>
      </c>
      <c r="B3000" s="43" t="s">
        <v>1391</v>
      </c>
      <c r="C3000" s="43" t="s">
        <v>1391</v>
      </c>
      <c r="D3000" s="43" t="s">
        <v>915</v>
      </c>
      <c r="E3000" s="10"/>
      <c r="F3000" s="10"/>
      <c r="G3000" s="5" t="s">
        <v>1415</v>
      </c>
      <c r="H3000" s="15">
        <f>H3001</f>
        <v>132.19999999999999</v>
      </c>
      <c r="I3000" s="15">
        <f t="shared" ref="I3000:L3000" si="1319">I3001</f>
        <v>143.05499999999998</v>
      </c>
      <c r="J3000" s="15">
        <f t="shared" si="1319"/>
        <v>143.05499999999998</v>
      </c>
      <c r="K3000" s="81">
        <f t="shared" si="1294"/>
        <v>100</v>
      </c>
      <c r="L3000" s="15">
        <f t="shared" si="1319"/>
        <v>0</v>
      </c>
      <c r="M3000" s="65"/>
      <c r="N3000" s="65"/>
    </row>
    <row r="3001" spans="1:14" s="9" customFormat="1" ht="31.2" x14ac:dyDescent="0.3">
      <c r="A3001" s="11" t="s">
        <v>1433</v>
      </c>
      <c r="B3001" s="48" t="s">
        <v>936</v>
      </c>
      <c r="C3001" s="48" t="s">
        <v>1391</v>
      </c>
      <c r="D3001" s="48" t="s">
        <v>1480</v>
      </c>
      <c r="E3001" s="11"/>
      <c r="F3001" s="11"/>
      <c r="G3001" s="7" t="s">
        <v>1421</v>
      </c>
      <c r="H3001" s="16">
        <f>H3002</f>
        <v>132.19999999999999</v>
      </c>
      <c r="I3001" s="16">
        <f>I3002+I3014</f>
        <v>143.05499999999998</v>
      </c>
      <c r="J3001" s="16">
        <f t="shared" ref="J3001:L3001" si="1320">J3002+J3014</f>
        <v>143.05499999999998</v>
      </c>
      <c r="K3001" s="82">
        <f t="shared" si="1294"/>
        <v>100</v>
      </c>
      <c r="L3001" s="16">
        <f t="shared" si="1320"/>
        <v>0</v>
      </c>
      <c r="M3001" s="65"/>
      <c r="N3001" s="65"/>
    </row>
    <row r="3002" spans="1:14" ht="46.8" x14ac:dyDescent="0.3">
      <c r="A3002" s="8" t="s">
        <v>1433</v>
      </c>
      <c r="B3002" s="62" t="s">
        <v>936</v>
      </c>
      <c r="C3002" s="68" t="s">
        <v>1391</v>
      </c>
      <c r="D3002" s="68" t="s">
        <v>1480</v>
      </c>
      <c r="E3002" s="8" t="s">
        <v>381</v>
      </c>
      <c r="F3002" s="8"/>
      <c r="G3002" s="18" t="s">
        <v>1061</v>
      </c>
      <c r="H3002" s="14">
        <f t="shared" ref="H3002:L3006" si="1321">H3003</f>
        <v>132.19999999999999</v>
      </c>
      <c r="I3002" s="14">
        <f t="shared" si="1321"/>
        <v>132.19999999999999</v>
      </c>
      <c r="J3002" s="14">
        <f t="shared" si="1321"/>
        <v>132.19999999999999</v>
      </c>
      <c r="K3002" s="78">
        <f t="shared" si="1294"/>
        <v>100</v>
      </c>
      <c r="L3002" s="14">
        <f t="shared" si="1321"/>
        <v>0</v>
      </c>
      <c r="M3002" s="50"/>
      <c r="N3002" s="50"/>
    </row>
    <row r="3003" spans="1:14" ht="31.2" x14ac:dyDescent="0.3">
      <c r="A3003" s="8" t="s">
        <v>1433</v>
      </c>
      <c r="B3003" s="62" t="s">
        <v>936</v>
      </c>
      <c r="C3003" s="68" t="s">
        <v>1391</v>
      </c>
      <c r="D3003" s="68" t="s">
        <v>1480</v>
      </c>
      <c r="E3003" s="8" t="s">
        <v>435</v>
      </c>
      <c r="F3003" s="8"/>
      <c r="G3003" s="13" t="s">
        <v>1064</v>
      </c>
      <c r="H3003" s="14">
        <f>H3004+H3010</f>
        <v>132.19999999999999</v>
      </c>
      <c r="I3003" s="14">
        <f t="shared" ref="I3003:L3003" si="1322">I3004+I3010</f>
        <v>132.19999999999999</v>
      </c>
      <c r="J3003" s="14">
        <f t="shared" si="1322"/>
        <v>132.19999999999999</v>
      </c>
      <c r="K3003" s="78">
        <f t="shared" si="1294"/>
        <v>100</v>
      </c>
      <c r="L3003" s="14">
        <f t="shared" si="1322"/>
        <v>0</v>
      </c>
      <c r="M3003" s="50"/>
      <c r="N3003" s="50"/>
    </row>
    <row r="3004" spans="1:14" ht="46.8" x14ac:dyDescent="0.3">
      <c r="A3004" s="8" t="s">
        <v>1433</v>
      </c>
      <c r="B3004" s="62" t="s">
        <v>936</v>
      </c>
      <c r="C3004" s="68" t="s">
        <v>1391</v>
      </c>
      <c r="D3004" s="68" t="s">
        <v>1480</v>
      </c>
      <c r="E3004" s="8" t="s">
        <v>436</v>
      </c>
      <c r="F3004" s="8"/>
      <c r="G3004" s="13" t="s">
        <v>1211</v>
      </c>
      <c r="H3004" s="14">
        <f t="shared" si="1321"/>
        <v>112.19999999999999</v>
      </c>
      <c r="I3004" s="14">
        <f t="shared" si="1321"/>
        <v>112.19999999999999</v>
      </c>
      <c r="J3004" s="14">
        <f t="shared" si="1321"/>
        <v>112.19999999999999</v>
      </c>
      <c r="K3004" s="78">
        <f t="shared" si="1294"/>
        <v>100</v>
      </c>
      <c r="L3004" s="14">
        <f t="shared" si="1321"/>
        <v>0</v>
      </c>
      <c r="M3004" s="50"/>
      <c r="N3004" s="50"/>
    </row>
    <row r="3005" spans="1:14" ht="46.8" x14ac:dyDescent="0.3">
      <c r="A3005" s="8" t="s">
        <v>1433</v>
      </c>
      <c r="B3005" s="62" t="s">
        <v>936</v>
      </c>
      <c r="C3005" s="68" t="s">
        <v>1391</v>
      </c>
      <c r="D3005" s="68" t="s">
        <v>1480</v>
      </c>
      <c r="E3005" s="8" t="s">
        <v>437</v>
      </c>
      <c r="F3005" s="8"/>
      <c r="G3005" s="18" t="s">
        <v>19</v>
      </c>
      <c r="H3005" s="14">
        <f>H3006+H3008</f>
        <v>112.19999999999999</v>
      </c>
      <c r="I3005" s="14">
        <f>I3006+I3008</f>
        <v>112.19999999999999</v>
      </c>
      <c r="J3005" s="14">
        <f t="shared" ref="J3005" si="1323">J3006+J3008</f>
        <v>112.19999999999999</v>
      </c>
      <c r="K3005" s="78">
        <f t="shared" si="1294"/>
        <v>100</v>
      </c>
      <c r="L3005" s="14">
        <f>L3006+L3008</f>
        <v>0</v>
      </c>
      <c r="M3005" s="50"/>
      <c r="N3005" s="50"/>
    </row>
    <row r="3006" spans="1:14" ht="31.2" x14ac:dyDescent="0.3">
      <c r="A3006" s="8" t="s">
        <v>1433</v>
      </c>
      <c r="B3006" s="62" t="s">
        <v>936</v>
      </c>
      <c r="C3006" s="68" t="s">
        <v>1391</v>
      </c>
      <c r="D3006" s="68" t="s">
        <v>1480</v>
      </c>
      <c r="E3006" s="8" t="s">
        <v>437</v>
      </c>
      <c r="F3006" s="45" t="s">
        <v>380</v>
      </c>
      <c r="G3006" s="23" t="s">
        <v>809</v>
      </c>
      <c r="H3006" s="14">
        <f t="shared" si="1321"/>
        <v>80.8</v>
      </c>
      <c r="I3006" s="14">
        <f t="shared" si="1321"/>
        <v>80.8</v>
      </c>
      <c r="J3006" s="14">
        <f t="shared" si="1321"/>
        <v>80.8</v>
      </c>
      <c r="K3006" s="78">
        <f t="shared" si="1294"/>
        <v>100</v>
      </c>
      <c r="L3006" s="14">
        <f t="shared" si="1321"/>
        <v>0</v>
      </c>
      <c r="M3006" s="50"/>
      <c r="N3006" s="50"/>
    </row>
    <row r="3007" spans="1:14" ht="31.2" x14ac:dyDescent="0.3">
      <c r="A3007" s="8" t="s">
        <v>1433</v>
      </c>
      <c r="B3007" s="62" t="s">
        <v>936</v>
      </c>
      <c r="C3007" s="68" t="s">
        <v>1391</v>
      </c>
      <c r="D3007" s="68" t="s">
        <v>1480</v>
      </c>
      <c r="E3007" s="8" t="s">
        <v>437</v>
      </c>
      <c r="F3007" s="8" t="s">
        <v>247</v>
      </c>
      <c r="G3007" s="23" t="s">
        <v>810</v>
      </c>
      <c r="H3007" s="14">
        <v>80.8</v>
      </c>
      <c r="I3007" s="14">
        <v>80.8</v>
      </c>
      <c r="J3007" s="14">
        <v>80.8</v>
      </c>
      <c r="K3007" s="78">
        <f t="shared" si="1294"/>
        <v>100</v>
      </c>
      <c r="L3007" s="14"/>
      <c r="M3007" s="50"/>
      <c r="N3007" s="50"/>
    </row>
    <row r="3008" spans="1:14" x14ac:dyDescent="0.3">
      <c r="A3008" s="8" t="s">
        <v>1433</v>
      </c>
      <c r="B3008" s="62" t="s">
        <v>936</v>
      </c>
      <c r="C3008" s="68" t="s">
        <v>1391</v>
      </c>
      <c r="D3008" s="68" t="s">
        <v>1480</v>
      </c>
      <c r="E3008" s="8" t="s">
        <v>437</v>
      </c>
      <c r="F3008" s="45" t="s">
        <v>464</v>
      </c>
      <c r="G3008" s="23" t="s">
        <v>822</v>
      </c>
      <c r="H3008" s="14">
        <f t="shared" ref="H3008:L3008" si="1324">H3009</f>
        <v>31.4</v>
      </c>
      <c r="I3008" s="14">
        <f t="shared" si="1324"/>
        <v>31.4</v>
      </c>
      <c r="J3008" s="14">
        <f t="shared" si="1324"/>
        <v>31.4</v>
      </c>
      <c r="K3008" s="78">
        <f t="shared" si="1294"/>
        <v>100</v>
      </c>
      <c r="L3008" s="14">
        <f t="shared" si="1324"/>
        <v>0</v>
      </c>
      <c r="M3008" s="50"/>
      <c r="N3008" s="50"/>
    </row>
    <row r="3009" spans="1:14" x14ac:dyDescent="0.3">
      <c r="A3009" s="8" t="s">
        <v>1433</v>
      </c>
      <c r="B3009" s="62" t="s">
        <v>936</v>
      </c>
      <c r="C3009" s="68" t="s">
        <v>1391</v>
      </c>
      <c r="D3009" s="68" t="s">
        <v>1480</v>
      </c>
      <c r="E3009" s="8" t="s">
        <v>437</v>
      </c>
      <c r="F3009" s="45" t="s">
        <v>729</v>
      </c>
      <c r="G3009" s="23" t="s">
        <v>824</v>
      </c>
      <c r="H3009" s="14">
        <v>31.4</v>
      </c>
      <c r="I3009" s="14">
        <v>31.4</v>
      </c>
      <c r="J3009" s="14">
        <v>31.4</v>
      </c>
      <c r="K3009" s="78">
        <f t="shared" si="1294"/>
        <v>100</v>
      </c>
      <c r="L3009" s="14"/>
      <c r="M3009" s="50"/>
      <c r="N3009" s="50"/>
    </row>
    <row r="3010" spans="1:14" ht="46.8" x14ac:dyDescent="0.3">
      <c r="A3010" s="8" t="s">
        <v>1433</v>
      </c>
      <c r="B3010" s="62" t="s">
        <v>936</v>
      </c>
      <c r="C3010" s="68" t="s">
        <v>1391</v>
      </c>
      <c r="D3010" s="68" t="s">
        <v>1480</v>
      </c>
      <c r="E3010" s="8" t="s">
        <v>642</v>
      </c>
      <c r="F3010" s="45"/>
      <c r="G3010" s="18" t="s">
        <v>134</v>
      </c>
      <c r="H3010" s="20">
        <f>H3011</f>
        <v>20</v>
      </c>
      <c r="I3010" s="20">
        <f t="shared" ref="I3010:L3012" si="1325">I3011</f>
        <v>20</v>
      </c>
      <c r="J3010" s="20">
        <f t="shared" si="1325"/>
        <v>20</v>
      </c>
      <c r="K3010" s="77">
        <f t="shared" si="1294"/>
        <v>100</v>
      </c>
      <c r="L3010" s="20">
        <f t="shared" si="1325"/>
        <v>0</v>
      </c>
      <c r="M3010" s="50"/>
      <c r="N3010" s="50"/>
    </row>
    <row r="3011" spans="1:14" ht="31.2" x14ac:dyDescent="0.3">
      <c r="A3011" s="8" t="s">
        <v>1433</v>
      </c>
      <c r="B3011" s="62" t="s">
        <v>936</v>
      </c>
      <c r="C3011" s="68" t="s">
        <v>1391</v>
      </c>
      <c r="D3011" s="68" t="s">
        <v>1480</v>
      </c>
      <c r="E3011" s="8" t="s">
        <v>258</v>
      </c>
      <c r="F3011" s="45"/>
      <c r="G3011" s="23" t="s">
        <v>325</v>
      </c>
      <c r="H3011" s="20">
        <f>H3012</f>
        <v>20</v>
      </c>
      <c r="I3011" s="20">
        <f t="shared" si="1325"/>
        <v>20</v>
      </c>
      <c r="J3011" s="20">
        <f t="shared" si="1325"/>
        <v>20</v>
      </c>
      <c r="K3011" s="77">
        <f t="shared" si="1294"/>
        <v>100</v>
      </c>
      <c r="L3011" s="20">
        <f t="shared" si="1325"/>
        <v>0</v>
      </c>
      <c r="M3011" s="50"/>
      <c r="N3011" s="50"/>
    </row>
    <row r="3012" spans="1:14" ht="31.2" x14ac:dyDescent="0.3">
      <c r="A3012" s="8" t="s">
        <v>1433</v>
      </c>
      <c r="B3012" s="62" t="s">
        <v>936</v>
      </c>
      <c r="C3012" s="68" t="s">
        <v>1391</v>
      </c>
      <c r="D3012" s="68" t="s">
        <v>1480</v>
      </c>
      <c r="E3012" s="8" t="s">
        <v>258</v>
      </c>
      <c r="F3012" s="45" t="s">
        <v>380</v>
      </c>
      <c r="G3012" s="23" t="s">
        <v>809</v>
      </c>
      <c r="H3012" s="20">
        <f>H3013</f>
        <v>20</v>
      </c>
      <c r="I3012" s="20">
        <f t="shared" si="1325"/>
        <v>20</v>
      </c>
      <c r="J3012" s="20">
        <f t="shared" si="1325"/>
        <v>20</v>
      </c>
      <c r="K3012" s="77">
        <f t="shared" si="1294"/>
        <v>100</v>
      </c>
      <c r="L3012" s="20">
        <f t="shared" si="1325"/>
        <v>0</v>
      </c>
      <c r="M3012" s="50"/>
      <c r="N3012" s="50"/>
    </row>
    <row r="3013" spans="1:14" ht="31.2" x14ac:dyDescent="0.3">
      <c r="A3013" s="8" t="s">
        <v>1433</v>
      </c>
      <c r="B3013" s="62" t="s">
        <v>936</v>
      </c>
      <c r="C3013" s="68" t="s">
        <v>1391</v>
      </c>
      <c r="D3013" s="68" t="s">
        <v>1480</v>
      </c>
      <c r="E3013" s="8" t="s">
        <v>258</v>
      </c>
      <c r="F3013" s="8" t="s">
        <v>247</v>
      </c>
      <c r="G3013" s="23" t="s">
        <v>810</v>
      </c>
      <c r="H3013" s="20">
        <v>20</v>
      </c>
      <c r="I3013" s="14">
        <v>20</v>
      </c>
      <c r="J3013" s="20">
        <v>20</v>
      </c>
      <c r="K3013" s="77">
        <f t="shared" si="1294"/>
        <v>100</v>
      </c>
      <c r="L3013" s="14"/>
      <c r="M3013" s="50"/>
      <c r="N3013" s="50"/>
    </row>
    <row r="3014" spans="1:14" ht="31.2" x14ac:dyDescent="0.3">
      <c r="A3014" s="8" t="s">
        <v>1433</v>
      </c>
      <c r="B3014" s="62" t="s">
        <v>936</v>
      </c>
      <c r="C3014" s="68" t="s">
        <v>1391</v>
      </c>
      <c r="D3014" s="68" t="s">
        <v>1480</v>
      </c>
      <c r="E3014" s="8" t="s">
        <v>429</v>
      </c>
      <c r="F3014" s="8"/>
      <c r="G3014" s="13" t="s">
        <v>1140</v>
      </c>
      <c r="H3014" s="20">
        <v>0</v>
      </c>
      <c r="I3014" s="14">
        <f>I3015</f>
        <v>10.855</v>
      </c>
      <c r="J3014" s="14">
        <f t="shared" ref="J3014:L3017" si="1326">J3015</f>
        <v>10.855</v>
      </c>
      <c r="K3014" s="78">
        <f t="shared" si="1294"/>
        <v>100</v>
      </c>
      <c r="L3014" s="14">
        <f t="shared" si="1326"/>
        <v>0</v>
      </c>
      <c r="M3014" s="50"/>
      <c r="N3014" s="50"/>
    </row>
    <row r="3015" spans="1:14" x14ac:dyDescent="0.3">
      <c r="A3015" s="8" t="s">
        <v>1433</v>
      </c>
      <c r="B3015" s="62" t="s">
        <v>936</v>
      </c>
      <c r="C3015" s="68" t="s">
        <v>1391</v>
      </c>
      <c r="D3015" s="68" t="s">
        <v>1480</v>
      </c>
      <c r="E3015" s="8" t="s">
        <v>430</v>
      </c>
      <c r="F3015" s="8"/>
      <c r="G3015" s="13" t="s">
        <v>1141</v>
      </c>
      <c r="H3015" s="20">
        <v>0</v>
      </c>
      <c r="I3015" s="14">
        <f>I3016</f>
        <v>10.855</v>
      </c>
      <c r="J3015" s="14">
        <f t="shared" si="1326"/>
        <v>10.855</v>
      </c>
      <c r="K3015" s="78">
        <f t="shared" si="1294"/>
        <v>100</v>
      </c>
      <c r="L3015" s="14">
        <f t="shared" si="1326"/>
        <v>0</v>
      </c>
      <c r="M3015" s="50"/>
      <c r="N3015" s="50"/>
    </row>
    <row r="3016" spans="1:14" ht="31.2" x14ac:dyDescent="0.3">
      <c r="A3016" s="8" t="s">
        <v>1433</v>
      </c>
      <c r="B3016" s="62" t="s">
        <v>936</v>
      </c>
      <c r="C3016" s="68" t="s">
        <v>1391</v>
      </c>
      <c r="D3016" s="68" t="s">
        <v>1480</v>
      </c>
      <c r="E3016" s="8" t="s">
        <v>209</v>
      </c>
      <c r="F3016" s="8"/>
      <c r="G3016" s="13" t="s">
        <v>1147</v>
      </c>
      <c r="H3016" s="20">
        <v>0</v>
      </c>
      <c r="I3016" s="14">
        <f>I3017</f>
        <v>10.855</v>
      </c>
      <c r="J3016" s="14">
        <f t="shared" si="1326"/>
        <v>10.855</v>
      </c>
      <c r="K3016" s="78">
        <f t="shared" ref="K3016:K3079" si="1327">J3016/I3016*100</f>
        <v>100</v>
      </c>
      <c r="L3016" s="14">
        <f t="shared" si="1326"/>
        <v>0</v>
      </c>
      <c r="M3016" s="50"/>
      <c r="N3016" s="50"/>
    </row>
    <row r="3017" spans="1:14" ht="31.2" x14ac:dyDescent="0.3">
      <c r="A3017" s="8" t="s">
        <v>1433</v>
      </c>
      <c r="B3017" s="62" t="s">
        <v>936</v>
      </c>
      <c r="C3017" s="68" t="s">
        <v>1391</v>
      </c>
      <c r="D3017" s="68" t="s">
        <v>1480</v>
      </c>
      <c r="E3017" s="8" t="s">
        <v>209</v>
      </c>
      <c r="F3017" s="45" t="s">
        <v>380</v>
      </c>
      <c r="G3017" s="23" t="s">
        <v>809</v>
      </c>
      <c r="H3017" s="20">
        <v>0</v>
      </c>
      <c r="I3017" s="14">
        <f>I3018</f>
        <v>10.855</v>
      </c>
      <c r="J3017" s="14">
        <f t="shared" si="1326"/>
        <v>10.855</v>
      </c>
      <c r="K3017" s="78">
        <f t="shared" si="1327"/>
        <v>100</v>
      </c>
      <c r="L3017" s="14">
        <f t="shared" si="1326"/>
        <v>0</v>
      </c>
      <c r="M3017" s="50"/>
      <c r="N3017" s="50"/>
    </row>
    <row r="3018" spans="1:14" ht="31.2" x14ac:dyDescent="0.3">
      <c r="A3018" s="8" t="s">
        <v>1433</v>
      </c>
      <c r="B3018" s="62" t="s">
        <v>936</v>
      </c>
      <c r="C3018" s="68" t="s">
        <v>1391</v>
      </c>
      <c r="D3018" s="68" t="s">
        <v>1480</v>
      </c>
      <c r="E3018" s="8" t="s">
        <v>209</v>
      </c>
      <c r="F3018" s="8" t="s">
        <v>247</v>
      </c>
      <c r="G3018" s="23" t="s">
        <v>810</v>
      </c>
      <c r="H3018" s="20">
        <v>0</v>
      </c>
      <c r="I3018" s="14">
        <v>10.855</v>
      </c>
      <c r="J3018" s="14">
        <v>10.855</v>
      </c>
      <c r="K3018" s="78">
        <f t="shared" si="1327"/>
        <v>100</v>
      </c>
      <c r="L3018" s="14"/>
      <c r="M3018" s="50"/>
      <c r="N3018" s="50"/>
    </row>
    <row r="3019" spans="1:14" s="3" customFormat="1" x14ac:dyDescent="0.3">
      <c r="A3019" s="10" t="s">
        <v>1433</v>
      </c>
      <c r="B3019" s="43" t="s">
        <v>1386</v>
      </c>
      <c r="C3019" s="43" t="s">
        <v>1386</v>
      </c>
      <c r="D3019" s="43" t="s">
        <v>915</v>
      </c>
      <c r="E3019" s="10"/>
      <c r="F3019" s="10"/>
      <c r="G3019" s="5" t="s">
        <v>1388</v>
      </c>
      <c r="H3019" s="15">
        <f>H3020+H3055</f>
        <v>25255.391000000003</v>
      </c>
      <c r="I3019" s="15">
        <f>I3020+I3055</f>
        <v>39101.267</v>
      </c>
      <c r="J3019" s="15">
        <f t="shared" ref="J3019" si="1328">J3020+J3055</f>
        <v>39063.48143</v>
      </c>
      <c r="K3019" s="81">
        <f t="shared" si="1327"/>
        <v>99.903364844929456</v>
      </c>
      <c r="L3019" s="15">
        <f>L3020+L3055</f>
        <v>0</v>
      </c>
      <c r="M3019" s="65"/>
      <c r="N3019" s="65"/>
    </row>
    <row r="3020" spans="1:14" s="9" customFormat="1" ht="16.5" customHeight="1" x14ac:dyDescent="0.3">
      <c r="A3020" s="11" t="s">
        <v>1433</v>
      </c>
      <c r="B3020" s="48" t="s">
        <v>937</v>
      </c>
      <c r="C3020" s="48" t="s">
        <v>1386</v>
      </c>
      <c r="D3020" s="48" t="s">
        <v>1398</v>
      </c>
      <c r="E3020" s="11"/>
      <c r="F3020" s="11"/>
      <c r="G3020" s="7" t="s">
        <v>1419</v>
      </c>
      <c r="H3020" s="16">
        <f>H3021+H3033+H3038+H3050+H3044</f>
        <v>25170.891000000003</v>
      </c>
      <c r="I3020" s="16">
        <f t="shared" ref="I3020:L3020" si="1329">I3021+I3033+I3038+I3050+I3044</f>
        <v>39016.767</v>
      </c>
      <c r="J3020" s="16">
        <f t="shared" si="1329"/>
        <v>39016.681429999997</v>
      </c>
      <c r="K3020" s="82">
        <f t="shared" si="1327"/>
        <v>99.999780684032586</v>
      </c>
      <c r="L3020" s="16">
        <f t="shared" si="1329"/>
        <v>0</v>
      </c>
      <c r="M3020" s="65"/>
      <c r="N3020" s="65"/>
    </row>
    <row r="3021" spans="1:14" ht="31.2" x14ac:dyDescent="0.3">
      <c r="A3021" s="8" t="s">
        <v>1433</v>
      </c>
      <c r="B3021" s="62" t="s">
        <v>937</v>
      </c>
      <c r="C3021" s="68" t="s">
        <v>1386</v>
      </c>
      <c r="D3021" s="68" t="s">
        <v>1398</v>
      </c>
      <c r="E3021" s="8" t="s">
        <v>355</v>
      </c>
      <c r="F3021" s="8"/>
      <c r="G3021" s="13" t="s">
        <v>893</v>
      </c>
      <c r="H3021" s="14">
        <f t="shared" ref="H3021:L3022" si="1330">H3022</f>
        <v>24644.878000000001</v>
      </c>
      <c r="I3021" s="14">
        <f t="shared" si="1330"/>
        <v>37525.078000000001</v>
      </c>
      <c r="J3021" s="14">
        <f t="shared" si="1330"/>
        <v>37525.078000000001</v>
      </c>
      <c r="K3021" s="78">
        <f t="shared" si="1327"/>
        <v>100</v>
      </c>
      <c r="L3021" s="14">
        <f t="shared" si="1330"/>
        <v>0</v>
      </c>
      <c r="M3021" s="50"/>
      <c r="N3021" s="50"/>
    </row>
    <row r="3022" spans="1:14" ht="31.2" x14ac:dyDescent="0.3">
      <c r="A3022" s="8" t="s">
        <v>1433</v>
      </c>
      <c r="B3022" s="62" t="s">
        <v>937</v>
      </c>
      <c r="C3022" s="68" t="s">
        <v>1386</v>
      </c>
      <c r="D3022" s="68" t="s">
        <v>1398</v>
      </c>
      <c r="E3022" s="8" t="s">
        <v>356</v>
      </c>
      <c r="F3022" s="8"/>
      <c r="G3022" s="13" t="s">
        <v>894</v>
      </c>
      <c r="H3022" s="14">
        <f t="shared" si="1330"/>
        <v>24644.878000000001</v>
      </c>
      <c r="I3022" s="14">
        <f t="shared" si="1330"/>
        <v>37525.078000000001</v>
      </c>
      <c r="J3022" s="14">
        <f t="shared" si="1330"/>
        <v>37525.078000000001</v>
      </c>
      <c r="K3022" s="78">
        <f t="shared" si="1327"/>
        <v>100</v>
      </c>
      <c r="L3022" s="14">
        <f t="shared" si="1330"/>
        <v>0</v>
      </c>
      <c r="M3022" s="50"/>
      <c r="N3022" s="50"/>
    </row>
    <row r="3023" spans="1:14" ht="46.8" x14ac:dyDescent="0.3">
      <c r="A3023" s="8" t="s">
        <v>1433</v>
      </c>
      <c r="B3023" s="62" t="s">
        <v>937</v>
      </c>
      <c r="C3023" s="68" t="s">
        <v>1386</v>
      </c>
      <c r="D3023" s="68" t="s">
        <v>1398</v>
      </c>
      <c r="E3023" s="8" t="s">
        <v>357</v>
      </c>
      <c r="F3023" s="8"/>
      <c r="G3023" s="18" t="s">
        <v>121</v>
      </c>
      <c r="H3023" s="14">
        <f>H3024+H3027</f>
        <v>24644.878000000001</v>
      </c>
      <c r="I3023" s="14">
        <f>I3024+I3027+I3030</f>
        <v>37525.078000000001</v>
      </c>
      <c r="J3023" s="14">
        <f t="shared" ref="J3023:L3023" si="1331">J3024+J3027+J3030</f>
        <v>37525.078000000001</v>
      </c>
      <c r="K3023" s="78">
        <f t="shared" si="1327"/>
        <v>100</v>
      </c>
      <c r="L3023" s="14">
        <f t="shared" si="1331"/>
        <v>0</v>
      </c>
      <c r="M3023" s="50"/>
      <c r="N3023" s="50"/>
    </row>
    <row r="3024" spans="1:14" x14ac:dyDescent="0.3">
      <c r="A3024" s="8" t="s">
        <v>1433</v>
      </c>
      <c r="B3024" s="62" t="s">
        <v>937</v>
      </c>
      <c r="C3024" s="68" t="s">
        <v>1386</v>
      </c>
      <c r="D3024" s="68" t="s">
        <v>1398</v>
      </c>
      <c r="E3024" s="8" t="s">
        <v>67</v>
      </c>
      <c r="F3024" s="8"/>
      <c r="G3024" s="23" t="s">
        <v>155</v>
      </c>
      <c r="H3024" s="14">
        <f t="shared" ref="H3024:L3025" si="1332">H3025</f>
        <v>23927.916000000001</v>
      </c>
      <c r="I3024" s="14">
        <f t="shared" si="1332"/>
        <v>23927.916000000001</v>
      </c>
      <c r="J3024" s="14">
        <f t="shared" si="1332"/>
        <v>23927.916000000001</v>
      </c>
      <c r="K3024" s="78">
        <f t="shared" si="1327"/>
        <v>100</v>
      </c>
      <c r="L3024" s="14">
        <f t="shared" si="1332"/>
        <v>0</v>
      </c>
      <c r="M3024" s="50"/>
      <c r="N3024" s="50"/>
    </row>
    <row r="3025" spans="1:14" ht="31.2" x14ac:dyDescent="0.3">
      <c r="A3025" s="8" t="s">
        <v>1433</v>
      </c>
      <c r="B3025" s="62" t="s">
        <v>937</v>
      </c>
      <c r="C3025" s="68" t="s">
        <v>1386</v>
      </c>
      <c r="D3025" s="68" t="s">
        <v>1398</v>
      </c>
      <c r="E3025" s="8" t="s">
        <v>67</v>
      </c>
      <c r="F3025" s="45" t="s">
        <v>380</v>
      </c>
      <c r="G3025" s="23" t="s">
        <v>809</v>
      </c>
      <c r="H3025" s="14">
        <f t="shared" si="1332"/>
        <v>23927.916000000001</v>
      </c>
      <c r="I3025" s="14">
        <f t="shared" si="1332"/>
        <v>23927.916000000001</v>
      </c>
      <c r="J3025" s="14">
        <f t="shared" si="1332"/>
        <v>23927.916000000001</v>
      </c>
      <c r="K3025" s="78">
        <f t="shared" si="1327"/>
        <v>100</v>
      </c>
      <c r="L3025" s="14">
        <f t="shared" si="1332"/>
        <v>0</v>
      </c>
      <c r="M3025" s="50"/>
      <c r="N3025" s="50"/>
    </row>
    <row r="3026" spans="1:14" ht="31.2" x14ac:dyDescent="0.3">
      <c r="A3026" s="8" t="s">
        <v>1433</v>
      </c>
      <c r="B3026" s="62" t="s">
        <v>937</v>
      </c>
      <c r="C3026" s="68" t="s">
        <v>1386</v>
      </c>
      <c r="D3026" s="68" t="s">
        <v>1398</v>
      </c>
      <c r="E3026" s="8" t="s">
        <v>67</v>
      </c>
      <c r="F3026" s="8" t="s">
        <v>247</v>
      </c>
      <c r="G3026" s="23" t="s">
        <v>810</v>
      </c>
      <c r="H3026" s="14">
        <f>25031.7-1103.784</f>
        <v>23927.916000000001</v>
      </c>
      <c r="I3026" s="14">
        <v>23927.916000000001</v>
      </c>
      <c r="J3026" s="14">
        <v>23927.916000000001</v>
      </c>
      <c r="K3026" s="78">
        <f t="shared" si="1327"/>
        <v>100</v>
      </c>
      <c r="L3026" s="14"/>
      <c r="M3026" s="50"/>
      <c r="N3026" s="50"/>
    </row>
    <row r="3027" spans="1:14" ht="31.2" x14ac:dyDescent="0.3">
      <c r="A3027" s="8" t="s">
        <v>1433</v>
      </c>
      <c r="B3027" s="62" t="s">
        <v>937</v>
      </c>
      <c r="C3027" s="68" t="s">
        <v>1386</v>
      </c>
      <c r="D3027" s="68" t="s">
        <v>1398</v>
      </c>
      <c r="E3027" s="8" t="s">
        <v>68</v>
      </c>
      <c r="F3027" s="8"/>
      <c r="G3027" s="23" t="s">
        <v>182</v>
      </c>
      <c r="H3027" s="14">
        <f t="shared" ref="H3027:L3028" si="1333">H3028</f>
        <v>716.96199999999999</v>
      </c>
      <c r="I3027" s="14">
        <f t="shared" si="1333"/>
        <v>716.96199999999999</v>
      </c>
      <c r="J3027" s="14">
        <f t="shared" si="1333"/>
        <v>716.96199999999999</v>
      </c>
      <c r="K3027" s="78">
        <f t="shared" si="1327"/>
        <v>100</v>
      </c>
      <c r="L3027" s="14">
        <f t="shared" si="1333"/>
        <v>0</v>
      </c>
      <c r="M3027" s="50"/>
      <c r="N3027" s="50"/>
    </row>
    <row r="3028" spans="1:14" ht="31.2" x14ac:dyDescent="0.3">
      <c r="A3028" s="8" t="s">
        <v>1433</v>
      </c>
      <c r="B3028" s="62" t="s">
        <v>937</v>
      </c>
      <c r="C3028" s="68" t="s">
        <v>1386</v>
      </c>
      <c r="D3028" s="68" t="s">
        <v>1398</v>
      </c>
      <c r="E3028" s="8" t="s">
        <v>68</v>
      </c>
      <c r="F3028" s="45" t="s">
        <v>380</v>
      </c>
      <c r="G3028" s="23" t="s">
        <v>809</v>
      </c>
      <c r="H3028" s="14">
        <f t="shared" si="1333"/>
        <v>716.96199999999999</v>
      </c>
      <c r="I3028" s="14">
        <f t="shared" si="1333"/>
        <v>716.96199999999999</v>
      </c>
      <c r="J3028" s="14">
        <f t="shared" si="1333"/>
        <v>716.96199999999999</v>
      </c>
      <c r="K3028" s="78">
        <f t="shared" si="1327"/>
        <v>100</v>
      </c>
      <c r="L3028" s="14">
        <f t="shared" si="1333"/>
        <v>0</v>
      </c>
      <c r="M3028" s="50"/>
      <c r="N3028" s="50"/>
    </row>
    <row r="3029" spans="1:14" ht="31.2" x14ac:dyDescent="0.3">
      <c r="A3029" s="8" t="s">
        <v>1433</v>
      </c>
      <c r="B3029" s="62" t="s">
        <v>937</v>
      </c>
      <c r="C3029" s="68" t="s">
        <v>1386</v>
      </c>
      <c r="D3029" s="68" t="s">
        <v>1398</v>
      </c>
      <c r="E3029" s="8" t="s">
        <v>68</v>
      </c>
      <c r="F3029" s="8" t="s">
        <v>247</v>
      </c>
      <c r="G3029" s="23" t="s">
        <v>810</v>
      </c>
      <c r="H3029" s="14">
        <f>1031.6-314.638</f>
        <v>716.96199999999999</v>
      </c>
      <c r="I3029" s="14">
        <v>716.96199999999999</v>
      </c>
      <c r="J3029" s="14">
        <v>716.96199999999999</v>
      </c>
      <c r="K3029" s="78">
        <f t="shared" si="1327"/>
        <v>100</v>
      </c>
      <c r="L3029" s="14"/>
      <c r="M3029" s="50"/>
      <c r="N3029" s="50"/>
    </row>
    <row r="3030" spans="1:14" ht="62.4" x14ac:dyDescent="0.3">
      <c r="A3030" s="8" t="s">
        <v>1433</v>
      </c>
      <c r="B3030" s="62" t="s">
        <v>937</v>
      </c>
      <c r="C3030" s="68" t="s">
        <v>1386</v>
      </c>
      <c r="D3030" s="68" t="s">
        <v>1398</v>
      </c>
      <c r="E3030" s="8" t="s">
        <v>963</v>
      </c>
      <c r="F3030" s="8"/>
      <c r="G3030" s="13" t="s">
        <v>964</v>
      </c>
      <c r="H3030" s="20">
        <v>0</v>
      </c>
      <c r="I3030" s="14">
        <f>I3031</f>
        <v>12880.2</v>
      </c>
      <c r="J3030" s="14">
        <f t="shared" ref="J3030:L3031" si="1334">J3031</f>
        <v>12880.2</v>
      </c>
      <c r="K3030" s="78">
        <f t="shared" si="1327"/>
        <v>100</v>
      </c>
      <c r="L3030" s="14">
        <f t="shared" si="1334"/>
        <v>0</v>
      </c>
      <c r="M3030" s="50"/>
      <c r="N3030" s="50"/>
    </row>
    <row r="3031" spans="1:14" ht="31.2" x14ac:dyDescent="0.3">
      <c r="A3031" s="8" t="s">
        <v>1433</v>
      </c>
      <c r="B3031" s="62" t="s">
        <v>937</v>
      </c>
      <c r="C3031" s="68" t="s">
        <v>1386</v>
      </c>
      <c r="D3031" s="68" t="s">
        <v>1398</v>
      </c>
      <c r="E3031" s="8" t="s">
        <v>963</v>
      </c>
      <c r="F3031" s="45" t="s">
        <v>380</v>
      </c>
      <c r="G3031" s="23" t="s">
        <v>809</v>
      </c>
      <c r="H3031" s="20">
        <v>0</v>
      </c>
      <c r="I3031" s="14">
        <f>I3032</f>
        <v>12880.2</v>
      </c>
      <c r="J3031" s="14">
        <f t="shared" si="1334"/>
        <v>12880.2</v>
      </c>
      <c r="K3031" s="78">
        <f t="shared" si="1327"/>
        <v>100</v>
      </c>
      <c r="L3031" s="14">
        <f t="shared" si="1334"/>
        <v>0</v>
      </c>
      <c r="M3031" s="50"/>
      <c r="N3031" s="50"/>
    </row>
    <row r="3032" spans="1:14" ht="31.2" x14ac:dyDescent="0.3">
      <c r="A3032" s="8" t="s">
        <v>1433</v>
      </c>
      <c r="B3032" s="62" t="s">
        <v>937</v>
      </c>
      <c r="C3032" s="68" t="s">
        <v>1386</v>
      </c>
      <c r="D3032" s="68" t="s">
        <v>1398</v>
      </c>
      <c r="E3032" s="8" t="s">
        <v>963</v>
      </c>
      <c r="F3032" s="8" t="s">
        <v>247</v>
      </c>
      <c r="G3032" s="23" t="s">
        <v>810</v>
      </c>
      <c r="H3032" s="20">
        <v>0</v>
      </c>
      <c r="I3032" s="14">
        <v>12880.2</v>
      </c>
      <c r="J3032" s="14">
        <v>12880.2</v>
      </c>
      <c r="K3032" s="78">
        <f t="shared" si="1327"/>
        <v>100</v>
      </c>
      <c r="L3032" s="14"/>
      <c r="M3032" s="50"/>
      <c r="N3032" s="50"/>
    </row>
    <row r="3033" spans="1:14" ht="62.4" x14ac:dyDescent="0.3">
      <c r="A3033" s="8" t="s">
        <v>1433</v>
      </c>
      <c r="B3033" s="62" t="s">
        <v>937</v>
      </c>
      <c r="C3033" s="68" t="s">
        <v>1386</v>
      </c>
      <c r="D3033" s="68" t="s">
        <v>1398</v>
      </c>
      <c r="E3033" s="8" t="s">
        <v>358</v>
      </c>
      <c r="F3033" s="8"/>
      <c r="G3033" s="13" t="s">
        <v>1040</v>
      </c>
      <c r="H3033" s="14">
        <f t="shared" ref="H3033:L3036" si="1335">H3034</f>
        <v>398.113</v>
      </c>
      <c r="I3033" s="14">
        <f t="shared" si="1335"/>
        <v>398.113</v>
      </c>
      <c r="J3033" s="14">
        <f t="shared" si="1335"/>
        <v>398.113</v>
      </c>
      <c r="K3033" s="78">
        <f t="shared" si="1327"/>
        <v>100</v>
      </c>
      <c r="L3033" s="14">
        <f t="shared" si="1335"/>
        <v>0</v>
      </c>
      <c r="M3033" s="50"/>
      <c r="N3033" s="50"/>
    </row>
    <row r="3034" spans="1:14" ht="31.2" x14ac:dyDescent="0.3">
      <c r="A3034" s="8" t="s">
        <v>1433</v>
      </c>
      <c r="B3034" s="62" t="s">
        <v>937</v>
      </c>
      <c r="C3034" s="68" t="s">
        <v>1386</v>
      </c>
      <c r="D3034" s="68" t="s">
        <v>1398</v>
      </c>
      <c r="E3034" s="8" t="s">
        <v>359</v>
      </c>
      <c r="F3034" s="8"/>
      <c r="G3034" s="13" t="s">
        <v>1041</v>
      </c>
      <c r="H3034" s="14">
        <f t="shared" si="1335"/>
        <v>398.113</v>
      </c>
      <c r="I3034" s="14">
        <f t="shared" si="1335"/>
        <v>398.113</v>
      </c>
      <c r="J3034" s="14">
        <f t="shared" si="1335"/>
        <v>398.113</v>
      </c>
      <c r="K3034" s="78">
        <f t="shared" si="1327"/>
        <v>100</v>
      </c>
      <c r="L3034" s="14">
        <f t="shared" si="1335"/>
        <v>0</v>
      </c>
      <c r="M3034" s="50"/>
      <c r="N3034" s="50"/>
    </row>
    <row r="3035" spans="1:14" ht="46.8" x14ac:dyDescent="0.3">
      <c r="A3035" s="8" t="s">
        <v>1433</v>
      </c>
      <c r="B3035" s="62" t="s">
        <v>937</v>
      </c>
      <c r="C3035" s="68" t="s">
        <v>1386</v>
      </c>
      <c r="D3035" s="68" t="s">
        <v>1398</v>
      </c>
      <c r="E3035" s="8" t="s">
        <v>360</v>
      </c>
      <c r="F3035" s="8"/>
      <c r="G3035" s="18" t="s">
        <v>313</v>
      </c>
      <c r="H3035" s="14">
        <f t="shared" si="1335"/>
        <v>398.113</v>
      </c>
      <c r="I3035" s="14">
        <f t="shared" si="1335"/>
        <v>398.113</v>
      </c>
      <c r="J3035" s="14">
        <f t="shared" si="1335"/>
        <v>398.113</v>
      </c>
      <c r="K3035" s="78">
        <f t="shared" si="1327"/>
        <v>100</v>
      </c>
      <c r="L3035" s="14">
        <f t="shared" si="1335"/>
        <v>0</v>
      </c>
      <c r="M3035" s="50"/>
      <c r="N3035" s="50"/>
    </row>
    <row r="3036" spans="1:14" ht="31.2" x14ac:dyDescent="0.3">
      <c r="A3036" s="8" t="s">
        <v>1433</v>
      </c>
      <c r="B3036" s="62" t="s">
        <v>937</v>
      </c>
      <c r="C3036" s="68" t="s">
        <v>1386</v>
      </c>
      <c r="D3036" s="68" t="s">
        <v>1398</v>
      </c>
      <c r="E3036" s="8" t="s">
        <v>360</v>
      </c>
      <c r="F3036" s="45" t="s">
        <v>380</v>
      </c>
      <c r="G3036" s="23" t="s">
        <v>809</v>
      </c>
      <c r="H3036" s="14">
        <f t="shared" si="1335"/>
        <v>398.113</v>
      </c>
      <c r="I3036" s="14">
        <f t="shared" si="1335"/>
        <v>398.113</v>
      </c>
      <c r="J3036" s="14">
        <f t="shared" si="1335"/>
        <v>398.113</v>
      </c>
      <c r="K3036" s="78">
        <f t="shared" si="1327"/>
        <v>100</v>
      </c>
      <c r="L3036" s="14">
        <f t="shared" si="1335"/>
        <v>0</v>
      </c>
      <c r="M3036" s="50"/>
      <c r="N3036" s="50"/>
    </row>
    <row r="3037" spans="1:14" ht="31.2" x14ac:dyDescent="0.3">
      <c r="A3037" s="8" t="s">
        <v>1433</v>
      </c>
      <c r="B3037" s="62" t="s">
        <v>937</v>
      </c>
      <c r="C3037" s="68" t="s">
        <v>1386</v>
      </c>
      <c r="D3037" s="68" t="s">
        <v>1398</v>
      </c>
      <c r="E3037" s="8" t="s">
        <v>360</v>
      </c>
      <c r="F3037" s="8" t="s">
        <v>247</v>
      </c>
      <c r="G3037" s="23" t="s">
        <v>810</v>
      </c>
      <c r="H3037" s="14">
        <f>399.2-1.087</f>
        <v>398.113</v>
      </c>
      <c r="I3037" s="14">
        <v>398.113</v>
      </c>
      <c r="J3037" s="14">
        <v>398.113</v>
      </c>
      <c r="K3037" s="78">
        <f t="shared" si="1327"/>
        <v>100</v>
      </c>
      <c r="L3037" s="14"/>
      <c r="M3037" s="50"/>
      <c r="N3037" s="50"/>
    </row>
    <row r="3038" spans="1:14" ht="62.4" x14ac:dyDescent="0.3">
      <c r="A3038" s="8" t="s">
        <v>1433</v>
      </c>
      <c r="B3038" s="62" t="s">
        <v>937</v>
      </c>
      <c r="C3038" s="68" t="s">
        <v>1386</v>
      </c>
      <c r="D3038" s="68" t="s">
        <v>1398</v>
      </c>
      <c r="E3038" s="8" t="s">
        <v>361</v>
      </c>
      <c r="F3038" s="8"/>
      <c r="G3038" s="18" t="s">
        <v>1191</v>
      </c>
      <c r="H3038" s="14">
        <f t="shared" ref="H3038:L3042" si="1336">H3039</f>
        <v>127.9</v>
      </c>
      <c r="I3038" s="14">
        <f t="shared" si="1336"/>
        <v>127.9</v>
      </c>
      <c r="J3038" s="14">
        <f t="shared" si="1336"/>
        <v>127.81443</v>
      </c>
      <c r="K3038" s="78">
        <f t="shared" si="1327"/>
        <v>99.933096168881946</v>
      </c>
      <c r="L3038" s="14">
        <f t="shared" si="1336"/>
        <v>0</v>
      </c>
      <c r="M3038" s="50"/>
      <c r="N3038" s="50"/>
    </row>
    <row r="3039" spans="1:14" ht="46.8" x14ac:dyDescent="0.3">
      <c r="A3039" s="8" t="s">
        <v>1433</v>
      </c>
      <c r="B3039" s="62" t="s">
        <v>937</v>
      </c>
      <c r="C3039" s="68" t="s">
        <v>1386</v>
      </c>
      <c r="D3039" s="68" t="s">
        <v>1398</v>
      </c>
      <c r="E3039" s="8" t="s">
        <v>362</v>
      </c>
      <c r="F3039" s="8"/>
      <c r="G3039" s="18" t="s">
        <v>1209</v>
      </c>
      <c r="H3039" s="14">
        <f t="shared" si="1336"/>
        <v>127.9</v>
      </c>
      <c r="I3039" s="14">
        <f t="shared" si="1336"/>
        <v>127.9</v>
      </c>
      <c r="J3039" s="14">
        <f t="shared" si="1336"/>
        <v>127.81443</v>
      </c>
      <c r="K3039" s="78">
        <f t="shared" si="1327"/>
        <v>99.933096168881946</v>
      </c>
      <c r="L3039" s="14">
        <f t="shared" si="1336"/>
        <v>0</v>
      </c>
      <c r="M3039" s="50"/>
      <c r="N3039" s="50"/>
    </row>
    <row r="3040" spans="1:14" ht="62.4" x14ac:dyDescent="0.3">
      <c r="A3040" s="8" t="s">
        <v>1433</v>
      </c>
      <c r="B3040" s="62" t="s">
        <v>937</v>
      </c>
      <c r="C3040" s="68" t="s">
        <v>1386</v>
      </c>
      <c r="D3040" s="68" t="s">
        <v>1398</v>
      </c>
      <c r="E3040" s="8" t="s">
        <v>363</v>
      </c>
      <c r="F3040" s="8"/>
      <c r="G3040" s="13" t="s">
        <v>1053</v>
      </c>
      <c r="H3040" s="14">
        <f t="shared" si="1336"/>
        <v>127.9</v>
      </c>
      <c r="I3040" s="14">
        <f t="shared" si="1336"/>
        <v>127.9</v>
      </c>
      <c r="J3040" s="14">
        <f t="shared" si="1336"/>
        <v>127.81443</v>
      </c>
      <c r="K3040" s="78">
        <f t="shared" si="1327"/>
        <v>99.933096168881946</v>
      </c>
      <c r="L3040" s="14">
        <f t="shared" si="1336"/>
        <v>0</v>
      </c>
      <c r="M3040" s="50"/>
      <c r="N3040" s="50"/>
    </row>
    <row r="3041" spans="1:14" x14ac:dyDescent="0.3">
      <c r="A3041" s="8" t="s">
        <v>1433</v>
      </c>
      <c r="B3041" s="62" t="s">
        <v>937</v>
      </c>
      <c r="C3041" s="68" t="s">
        <v>1386</v>
      </c>
      <c r="D3041" s="68" t="s">
        <v>1398</v>
      </c>
      <c r="E3041" s="8" t="s">
        <v>364</v>
      </c>
      <c r="F3041" s="8"/>
      <c r="G3041" s="13" t="s">
        <v>1054</v>
      </c>
      <c r="H3041" s="14">
        <f t="shared" si="1336"/>
        <v>127.9</v>
      </c>
      <c r="I3041" s="14">
        <f t="shared" si="1336"/>
        <v>127.9</v>
      </c>
      <c r="J3041" s="14">
        <f t="shared" si="1336"/>
        <v>127.81443</v>
      </c>
      <c r="K3041" s="78">
        <f t="shared" si="1327"/>
        <v>99.933096168881946</v>
      </c>
      <c r="L3041" s="14">
        <f t="shared" si="1336"/>
        <v>0</v>
      </c>
      <c r="M3041" s="50"/>
      <c r="N3041" s="50"/>
    </row>
    <row r="3042" spans="1:14" ht="31.2" x14ac:dyDescent="0.3">
      <c r="A3042" s="8" t="s">
        <v>1433</v>
      </c>
      <c r="B3042" s="62" t="s">
        <v>937</v>
      </c>
      <c r="C3042" s="68" t="s">
        <v>1386</v>
      </c>
      <c r="D3042" s="68" t="s">
        <v>1398</v>
      </c>
      <c r="E3042" s="8" t="s">
        <v>364</v>
      </c>
      <c r="F3042" s="45" t="s">
        <v>380</v>
      </c>
      <c r="G3042" s="23" t="s">
        <v>809</v>
      </c>
      <c r="H3042" s="14">
        <f t="shared" si="1336"/>
        <v>127.9</v>
      </c>
      <c r="I3042" s="14">
        <f t="shared" si="1336"/>
        <v>127.9</v>
      </c>
      <c r="J3042" s="14">
        <f t="shared" si="1336"/>
        <v>127.81443</v>
      </c>
      <c r="K3042" s="78">
        <f t="shared" si="1327"/>
        <v>99.933096168881946</v>
      </c>
      <c r="L3042" s="14">
        <f t="shared" si="1336"/>
        <v>0</v>
      </c>
      <c r="M3042" s="50"/>
      <c r="N3042" s="50"/>
    </row>
    <row r="3043" spans="1:14" ht="31.2" x14ac:dyDescent="0.3">
      <c r="A3043" s="8" t="s">
        <v>1433</v>
      </c>
      <c r="B3043" s="62" t="s">
        <v>937</v>
      </c>
      <c r="C3043" s="68" t="s">
        <v>1386</v>
      </c>
      <c r="D3043" s="68" t="s">
        <v>1398</v>
      </c>
      <c r="E3043" s="8" t="s">
        <v>364</v>
      </c>
      <c r="F3043" s="8" t="s">
        <v>247</v>
      </c>
      <c r="G3043" s="23" t="s">
        <v>810</v>
      </c>
      <c r="H3043" s="14">
        <v>127.9</v>
      </c>
      <c r="I3043" s="14">
        <v>127.9</v>
      </c>
      <c r="J3043" s="14">
        <v>127.81443</v>
      </c>
      <c r="K3043" s="78">
        <f t="shared" si="1327"/>
        <v>99.933096168881946</v>
      </c>
      <c r="L3043" s="14"/>
      <c r="M3043" s="50"/>
      <c r="N3043" s="50"/>
    </row>
    <row r="3044" spans="1:14" ht="31.2" x14ac:dyDescent="0.3">
      <c r="A3044" s="8" t="s">
        <v>1433</v>
      </c>
      <c r="B3044" s="62" t="s">
        <v>937</v>
      </c>
      <c r="C3044" s="68" t="s">
        <v>1386</v>
      </c>
      <c r="D3044" s="68" t="s">
        <v>1398</v>
      </c>
      <c r="E3044" s="8" t="s">
        <v>368</v>
      </c>
      <c r="F3044" s="8"/>
      <c r="G3044" s="13" t="s">
        <v>1079</v>
      </c>
      <c r="H3044" s="14">
        <f>H3045</f>
        <v>0</v>
      </c>
      <c r="I3044" s="14">
        <f t="shared" ref="I3044:L3048" si="1337">I3045</f>
        <v>655.13599999999997</v>
      </c>
      <c r="J3044" s="14">
        <f t="shared" si="1337"/>
        <v>655.13599999999997</v>
      </c>
      <c r="K3044" s="78">
        <f t="shared" si="1327"/>
        <v>100</v>
      </c>
      <c r="L3044" s="14">
        <f t="shared" si="1337"/>
        <v>0</v>
      </c>
      <c r="M3044" s="50"/>
      <c r="N3044" s="50"/>
    </row>
    <row r="3045" spans="1:14" ht="31.2" x14ac:dyDescent="0.3">
      <c r="A3045" s="8" t="s">
        <v>1433</v>
      </c>
      <c r="B3045" s="62" t="s">
        <v>937</v>
      </c>
      <c r="C3045" s="68" t="s">
        <v>1386</v>
      </c>
      <c r="D3045" s="68" t="s">
        <v>1398</v>
      </c>
      <c r="E3045" s="8" t="s">
        <v>369</v>
      </c>
      <c r="F3045" s="8"/>
      <c r="G3045" s="13" t="s">
        <v>1088</v>
      </c>
      <c r="H3045" s="14">
        <f>H3046</f>
        <v>0</v>
      </c>
      <c r="I3045" s="14">
        <f t="shared" si="1337"/>
        <v>655.13599999999997</v>
      </c>
      <c r="J3045" s="14">
        <f t="shared" si="1337"/>
        <v>655.13599999999997</v>
      </c>
      <c r="K3045" s="78">
        <f t="shared" si="1327"/>
        <v>100</v>
      </c>
      <c r="L3045" s="14">
        <f t="shared" si="1337"/>
        <v>0</v>
      </c>
      <c r="M3045" s="50"/>
      <c r="N3045" s="50"/>
    </row>
    <row r="3046" spans="1:14" ht="46.8" x14ac:dyDescent="0.3">
      <c r="A3046" s="8" t="s">
        <v>1433</v>
      </c>
      <c r="B3046" s="62" t="s">
        <v>937</v>
      </c>
      <c r="C3046" s="68" t="s">
        <v>1386</v>
      </c>
      <c r="D3046" s="68" t="s">
        <v>1398</v>
      </c>
      <c r="E3046" s="8" t="s">
        <v>514</v>
      </c>
      <c r="F3046" s="8"/>
      <c r="G3046" s="18" t="s">
        <v>1090</v>
      </c>
      <c r="H3046" s="14">
        <f>H3047</f>
        <v>0</v>
      </c>
      <c r="I3046" s="14">
        <f t="shared" si="1337"/>
        <v>655.13599999999997</v>
      </c>
      <c r="J3046" s="14">
        <f t="shared" si="1337"/>
        <v>655.13599999999997</v>
      </c>
      <c r="K3046" s="78">
        <f t="shared" si="1327"/>
        <v>100</v>
      </c>
      <c r="L3046" s="14">
        <f t="shared" si="1337"/>
        <v>0</v>
      </c>
      <c r="M3046" s="50"/>
      <c r="N3046" s="50"/>
    </row>
    <row r="3047" spans="1:14" ht="46.8" x14ac:dyDescent="0.3">
      <c r="A3047" s="8" t="s">
        <v>1433</v>
      </c>
      <c r="B3047" s="62" t="s">
        <v>937</v>
      </c>
      <c r="C3047" s="68" t="s">
        <v>1386</v>
      </c>
      <c r="D3047" s="68" t="s">
        <v>1398</v>
      </c>
      <c r="E3047" s="8" t="s">
        <v>69</v>
      </c>
      <c r="F3047" s="8"/>
      <c r="G3047" s="23" t="s">
        <v>1267</v>
      </c>
      <c r="H3047" s="14">
        <f>H3048</f>
        <v>0</v>
      </c>
      <c r="I3047" s="14">
        <f t="shared" si="1337"/>
        <v>655.13599999999997</v>
      </c>
      <c r="J3047" s="14">
        <f t="shared" si="1337"/>
        <v>655.13599999999997</v>
      </c>
      <c r="K3047" s="78">
        <f t="shared" si="1327"/>
        <v>100</v>
      </c>
      <c r="L3047" s="14">
        <f t="shared" si="1337"/>
        <v>0</v>
      </c>
      <c r="M3047" s="50"/>
      <c r="N3047" s="50"/>
    </row>
    <row r="3048" spans="1:14" ht="31.2" x14ac:dyDescent="0.3">
      <c r="A3048" s="8" t="s">
        <v>1433</v>
      </c>
      <c r="B3048" s="62" t="s">
        <v>937</v>
      </c>
      <c r="C3048" s="68" t="s">
        <v>1386</v>
      </c>
      <c r="D3048" s="68" t="s">
        <v>1398</v>
      </c>
      <c r="E3048" s="8" t="s">
        <v>69</v>
      </c>
      <c r="F3048" s="45" t="s">
        <v>402</v>
      </c>
      <c r="G3048" s="23" t="s">
        <v>819</v>
      </c>
      <c r="H3048" s="14">
        <f>H3049</f>
        <v>0</v>
      </c>
      <c r="I3048" s="14">
        <f t="shared" si="1337"/>
        <v>655.13599999999997</v>
      </c>
      <c r="J3048" s="14">
        <f t="shared" si="1337"/>
        <v>655.13599999999997</v>
      </c>
      <c r="K3048" s="78">
        <f t="shared" si="1327"/>
        <v>100</v>
      </c>
      <c r="L3048" s="14">
        <f t="shared" si="1337"/>
        <v>0</v>
      </c>
      <c r="M3048" s="50"/>
      <c r="N3048" s="50"/>
    </row>
    <row r="3049" spans="1:14" ht="46.8" x14ac:dyDescent="0.3">
      <c r="A3049" s="8" t="s">
        <v>1433</v>
      </c>
      <c r="B3049" s="62" t="s">
        <v>937</v>
      </c>
      <c r="C3049" s="68" t="s">
        <v>1386</v>
      </c>
      <c r="D3049" s="68" t="s">
        <v>1398</v>
      </c>
      <c r="E3049" s="8" t="s">
        <v>69</v>
      </c>
      <c r="F3049" s="45" t="s">
        <v>280</v>
      </c>
      <c r="G3049" s="23" t="s">
        <v>821</v>
      </c>
      <c r="H3049" s="20">
        <v>0</v>
      </c>
      <c r="I3049" s="14">
        <v>655.13599999999997</v>
      </c>
      <c r="J3049" s="14">
        <v>655.13599999999997</v>
      </c>
      <c r="K3049" s="78">
        <f t="shared" si="1327"/>
        <v>100</v>
      </c>
      <c r="L3049" s="14"/>
      <c r="M3049" s="50"/>
      <c r="N3049" s="50"/>
    </row>
    <row r="3050" spans="1:14" ht="46.8" x14ac:dyDescent="0.3">
      <c r="A3050" s="8" t="s">
        <v>1433</v>
      </c>
      <c r="B3050" s="62" t="s">
        <v>937</v>
      </c>
      <c r="C3050" s="68" t="s">
        <v>1386</v>
      </c>
      <c r="D3050" s="68" t="s">
        <v>1398</v>
      </c>
      <c r="E3050" s="8" t="s">
        <v>493</v>
      </c>
      <c r="F3050" s="8"/>
      <c r="G3050" s="13" t="s">
        <v>1160</v>
      </c>
      <c r="H3050" s="14">
        <f>H3051</f>
        <v>0</v>
      </c>
      <c r="I3050" s="14">
        <f t="shared" ref="I3050:L3053" si="1338">I3051</f>
        <v>310.54000000000002</v>
      </c>
      <c r="J3050" s="14">
        <f t="shared" si="1338"/>
        <v>310.54000000000002</v>
      </c>
      <c r="K3050" s="78">
        <f t="shared" si="1327"/>
        <v>100</v>
      </c>
      <c r="L3050" s="14">
        <f t="shared" si="1338"/>
        <v>0</v>
      </c>
      <c r="M3050" s="50"/>
      <c r="N3050" s="50"/>
    </row>
    <row r="3051" spans="1:14" x14ac:dyDescent="0.3">
      <c r="A3051" s="8" t="s">
        <v>1433</v>
      </c>
      <c r="B3051" s="62" t="s">
        <v>937</v>
      </c>
      <c r="C3051" s="68" t="s">
        <v>1386</v>
      </c>
      <c r="D3051" s="68" t="s">
        <v>1398</v>
      </c>
      <c r="E3051" s="8" t="s">
        <v>533</v>
      </c>
      <c r="F3051" s="8"/>
      <c r="G3051" s="13" t="s">
        <v>1162</v>
      </c>
      <c r="H3051" s="14">
        <f>H3052</f>
        <v>0</v>
      </c>
      <c r="I3051" s="14">
        <f t="shared" si="1338"/>
        <v>310.54000000000002</v>
      </c>
      <c r="J3051" s="14">
        <f t="shared" si="1338"/>
        <v>310.54000000000002</v>
      </c>
      <c r="K3051" s="78">
        <f t="shared" si="1327"/>
        <v>100</v>
      </c>
      <c r="L3051" s="14">
        <f t="shared" si="1338"/>
        <v>0</v>
      </c>
      <c r="M3051" s="50"/>
      <c r="N3051" s="50"/>
    </row>
    <row r="3052" spans="1:14" x14ac:dyDescent="0.3">
      <c r="A3052" s="8" t="s">
        <v>1433</v>
      </c>
      <c r="B3052" s="62" t="s">
        <v>937</v>
      </c>
      <c r="C3052" s="68" t="s">
        <v>1386</v>
      </c>
      <c r="D3052" s="68" t="s">
        <v>1398</v>
      </c>
      <c r="E3052" s="8" t="s">
        <v>534</v>
      </c>
      <c r="F3052" s="8"/>
      <c r="G3052" s="13" t="s">
        <v>1163</v>
      </c>
      <c r="H3052" s="14">
        <f>H3053</f>
        <v>0</v>
      </c>
      <c r="I3052" s="14">
        <f t="shared" si="1338"/>
        <v>310.54000000000002</v>
      </c>
      <c r="J3052" s="14">
        <f t="shared" si="1338"/>
        <v>310.54000000000002</v>
      </c>
      <c r="K3052" s="78">
        <f t="shared" si="1327"/>
        <v>100</v>
      </c>
      <c r="L3052" s="14">
        <f t="shared" si="1338"/>
        <v>0</v>
      </c>
      <c r="M3052" s="50"/>
      <c r="N3052" s="50"/>
    </row>
    <row r="3053" spans="1:14" ht="31.2" x14ac:dyDescent="0.3">
      <c r="A3053" s="8" t="s">
        <v>1433</v>
      </c>
      <c r="B3053" s="62" t="s">
        <v>937</v>
      </c>
      <c r="C3053" s="68" t="s">
        <v>1386</v>
      </c>
      <c r="D3053" s="68" t="s">
        <v>1398</v>
      </c>
      <c r="E3053" s="8" t="s">
        <v>534</v>
      </c>
      <c r="F3053" s="45" t="s">
        <v>380</v>
      </c>
      <c r="G3053" s="23" t="s">
        <v>809</v>
      </c>
      <c r="H3053" s="14">
        <f>H3054</f>
        <v>0</v>
      </c>
      <c r="I3053" s="14">
        <f t="shared" si="1338"/>
        <v>310.54000000000002</v>
      </c>
      <c r="J3053" s="14">
        <f t="shared" si="1338"/>
        <v>310.54000000000002</v>
      </c>
      <c r="K3053" s="78">
        <f t="shared" si="1327"/>
        <v>100</v>
      </c>
      <c r="L3053" s="14">
        <f t="shared" si="1338"/>
        <v>0</v>
      </c>
      <c r="M3053" s="50"/>
      <c r="N3053" s="50"/>
    </row>
    <row r="3054" spans="1:14" ht="31.2" x14ac:dyDescent="0.3">
      <c r="A3054" s="8" t="s">
        <v>1433</v>
      </c>
      <c r="B3054" s="62" t="s">
        <v>937</v>
      </c>
      <c r="C3054" s="68" t="s">
        <v>1386</v>
      </c>
      <c r="D3054" s="68" t="s">
        <v>1398</v>
      </c>
      <c r="E3054" s="8" t="s">
        <v>534</v>
      </c>
      <c r="F3054" s="8" t="s">
        <v>247</v>
      </c>
      <c r="G3054" s="23" t="s">
        <v>810</v>
      </c>
      <c r="H3054" s="19">
        <v>0</v>
      </c>
      <c r="I3054" s="14">
        <v>310.54000000000002</v>
      </c>
      <c r="J3054" s="20">
        <v>310.54000000000002</v>
      </c>
      <c r="K3054" s="77">
        <f t="shared" si="1327"/>
        <v>100</v>
      </c>
      <c r="L3054" s="14"/>
      <c r="M3054" s="50"/>
      <c r="N3054" s="50"/>
    </row>
    <row r="3055" spans="1:14" s="9" customFormat="1" x14ac:dyDescent="0.3">
      <c r="A3055" s="11" t="s">
        <v>1433</v>
      </c>
      <c r="B3055" s="48" t="s">
        <v>918</v>
      </c>
      <c r="C3055" s="48" t="s">
        <v>1386</v>
      </c>
      <c r="D3055" s="48" t="s">
        <v>1479</v>
      </c>
      <c r="E3055" s="11"/>
      <c r="F3055" s="11"/>
      <c r="G3055" s="7" t="s">
        <v>1389</v>
      </c>
      <c r="H3055" s="16">
        <f>H3056+H3065</f>
        <v>84.5</v>
      </c>
      <c r="I3055" s="16">
        <f>I3056+I3065</f>
        <v>84.5</v>
      </c>
      <c r="J3055" s="16">
        <f t="shared" ref="J3055" si="1339">J3056+J3065</f>
        <v>46.8</v>
      </c>
      <c r="K3055" s="82">
        <f t="shared" si="1327"/>
        <v>55.38461538461538</v>
      </c>
      <c r="L3055" s="16">
        <f>L3056+L3065</f>
        <v>0</v>
      </c>
      <c r="M3055" s="65"/>
      <c r="N3055" s="65"/>
    </row>
    <row r="3056" spans="1:14" ht="31.2" x14ac:dyDescent="0.3">
      <c r="A3056" s="8" t="s">
        <v>1433</v>
      </c>
      <c r="B3056" s="62" t="s">
        <v>918</v>
      </c>
      <c r="C3056" s="68" t="s">
        <v>1386</v>
      </c>
      <c r="D3056" s="68" t="s">
        <v>1479</v>
      </c>
      <c r="E3056" s="8" t="s">
        <v>438</v>
      </c>
      <c r="F3056" s="8"/>
      <c r="G3056" s="18" t="s">
        <v>891</v>
      </c>
      <c r="H3056" s="14">
        <f t="shared" ref="H3056:L3060" si="1340">H3057</f>
        <v>62.5</v>
      </c>
      <c r="I3056" s="14">
        <f t="shared" si="1340"/>
        <v>62.5</v>
      </c>
      <c r="J3056" s="14">
        <f t="shared" si="1340"/>
        <v>24.8</v>
      </c>
      <c r="K3056" s="78">
        <f t="shared" si="1327"/>
        <v>39.68</v>
      </c>
      <c r="L3056" s="14">
        <f t="shared" si="1340"/>
        <v>0</v>
      </c>
      <c r="M3056" s="50"/>
      <c r="N3056" s="50"/>
    </row>
    <row r="3057" spans="1:14" ht="46.8" x14ac:dyDescent="0.3">
      <c r="A3057" s="8" t="s">
        <v>1433</v>
      </c>
      <c r="B3057" s="62" t="s">
        <v>918</v>
      </c>
      <c r="C3057" s="68" t="s">
        <v>1386</v>
      </c>
      <c r="D3057" s="68" t="s">
        <v>1479</v>
      </c>
      <c r="E3057" s="8" t="s">
        <v>439</v>
      </c>
      <c r="F3057" s="8"/>
      <c r="G3057" s="18" t="s">
        <v>119</v>
      </c>
      <c r="H3057" s="14">
        <f t="shared" si="1340"/>
        <v>62.5</v>
      </c>
      <c r="I3057" s="14">
        <f t="shared" si="1340"/>
        <v>62.5</v>
      </c>
      <c r="J3057" s="14">
        <f t="shared" si="1340"/>
        <v>24.8</v>
      </c>
      <c r="K3057" s="78">
        <f t="shared" si="1327"/>
        <v>39.68</v>
      </c>
      <c r="L3057" s="14">
        <f t="shared" si="1340"/>
        <v>0</v>
      </c>
      <c r="M3057" s="50"/>
      <c r="N3057" s="50"/>
    </row>
    <row r="3058" spans="1:14" ht="46.8" x14ac:dyDescent="0.3">
      <c r="A3058" s="8" t="s">
        <v>1433</v>
      </c>
      <c r="B3058" s="62" t="s">
        <v>918</v>
      </c>
      <c r="C3058" s="68" t="s">
        <v>1386</v>
      </c>
      <c r="D3058" s="68" t="s">
        <v>1479</v>
      </c>
      <c r="E3058" s="8" t="s">
        <v>440</v>
      </c>
      <c r="F3058" s="8"/>
      <c r="G3058" s="18" t="s">
        <v>120</v>
      </c>
      <c r="H3058" s="14">
        <f>H3059+H3062</f>
        <v>62.5</v>
      </c>
      <c r="I3058" s="14">
        <f>I3059+I3062</f>
        <v>62.5</v>
      </c>
      <c r="J3058" s="14">
        <f t="shared" ref="J3058" si="1341">J3059+J3062</f>
        <v>24.8</v>
      </c>
      <c r="K3058" s="78">
        <f t="shared" si="1327"/>
        <v>39.68</v>
      </c>
      <c r="L3058" s="14">
        <f>L3059+L3062</f>
        <v>0</v>
      </c>
      <c r="M3058" s="50"/>
      <c r="N3058" s="50"/>
    </row>
    <row r="3059" spans="1:14" ht="46.8" x14ac:dyDescent="0.3">
      <c r="A3059" s="8" t="s">
        <v>1433</v>
      </c>
      <c r="B3059" s="62" t="s">
        <v>918</v>
      </c>
      <c r="C3059" s="68" t="s">
        <v>1386</v>
      </c>
      <c r="D3059" s="68" t="s">
        <v>1479</v>
      </c>
      <c r="E3059" s="8" t="s">
        <v>441</v>
      </c>
      <c r="F3059" s="8"/>
      <c r="G3059" s="18" t="s">
        <v>761</v>
      </c>
      <c r="H3059" s="14">
        <f t="shared" si="1340"/>
        <v>12.5</v>
      </c>
      <c r="I3059" s="14">
        <f t="shared" si="1340"/>
        <v>12.5</v>
      </c>
      <c r="J3059" s="14">
        <f t="shared" si="1340"/>
        <v>0</v>
      </c>
      <c r="K3059" s="78">
        <f t="shared" si="1327"/>
        <v>0</v>
      </c>
      <c r="L3059" s="14">
        <f t="shared" si="1340"/>
        <v>0</v>
      </c>
      <c r="M3059" s="50"/>
      <c r="N3059" s="50"/>
    </row>
    <row r="3060" spans="1:14" ht="31.2" x14ac:dyDescent="0.3">
      <c r="A3060" s="8" t="s">
        <v>1433</v>
      </c>
      <c r="B3060" s="62" t="s">
        <v>918</v>
      </c>
      <c r="C3060" s="68" t="s">
        <v>1386</v>
      </c>
      <c r="D3060" s="68" t="s">
        <v>1479</v>
      </c>
      <c r="E3060" s="8" t="s">
        <v>441</v>
      </c>
      <c r="F3060" s="45" t="s">
        <v>380</v>
      </c>
      <c r="G3060" s="23" t="s">
        <v>809</v>
      </c>
      <c r="H3060" s="14">
        <f t="shared" si="1340"/>
        <v>12.5</v>
      </c>
      <c r="I3060" s="14">
        <f t="shared" si="1340"/>
        <v>12.5</v>
      </c>
      <c r="J3060" s="14">
        <f t="shared" si="1340"/>
        <v>0</v>
      </c>
      <c r="K3060" s="78">
        <f t="shared" si="1327"/>
        <v>0</v>
      </c>
      <c r="L3060" s="14">
        <f t="shared" si="1340"/>
        <v>0</v>
      </c>
      <c r="M3060" s="50"/>
      <c r="N3060" s="50"/>
    </row>
    <row r="3061" spans="1:14" ht="31.2" x14ac:dyDescent="0.3">
      <c r="A3061" s="8" t="s">
        <v>1433</v>
      </c>
      <c r="B3061" s="62" t="s">
        <v>918</v>
      </c>
      <c r="C3061" s="68" t="s">
        <v>1386</v>
      </c>
      <c r="D3061" s="68" t="s">
        <v>1479</v>
      </c>
      <c r="E3061" s="8" t="s">
        <v>441</v>
      </c>
      <c r="F3061" s="8" t="s">
        <v>247</v>
      </c>
      <c r="G3061" s="23" t="s">
        <v>810</v>
      </c>
      <c r="H3061" s="14">
        <v>12.5</v>
      </c>
      <c r="I3061" s="14">
        <v>12.5</v>
      </c>
      <c r="J3061" s="14">
        <v>0</v>
      </c>
      <c r="K3061" s="78">
        <f t="shared" si="1327"/>
        <v>0</v>
      </c>
      <c r="L3061" s="14"/>
      <c r="M3061" s="50"/>
      <c r="N3061" s="50"/>
    </row>
    <row r="3062" spans="1:14" ht="31.2" x14ac:dyDescent="0.3">
      <c r="A3062" s="8" t="s">
        <v>1433</v>
      </c>
      <c r="B3062" s="62" t="s">
        <v>918</v>
      </c>
      <c r="C3062" s="68" t="s">
        <v>1386</v>
      </c>
      <c r="D3062" s="68" t="s">
        <v>1479</v>
      </c>
      <c r="E3062" s="8" t="s">
        <v>246</v>
      </c>
      <c r="F3062" s="8"/>
      <c r="G3062" s="23" t="s">
        <v>305</v>
      </c>
      <c r="H3062" s="14">
        <f t="shared" ref="H3062:L3063" si="1342">H3063</f>
        <v>50</v>
      </c>
      <c r="I3062" s="14">
        <f t="shared" si="1342"/>
        <v>50</v>
      </c>
      <c r="J3062" s="14">
        <f t="shared" si="1342"/>
        <v>24.8</v>
      </c>
      <c r="K3062" s="78">
        <f t="shared" si="1327"/>
        <v>49.6</v>
      </c>
      <c r="L3062" s="14">
        <f t="shared" si="1342"/>
        <v>0</v>
      </c>
      <c r="M3062" s="50"/>
      <c r="N3062" s="50"/>
    </row>
    <row r="3063" spans="1:14" ht="31.2" x14ac:dyDescent="0.3">
      <c r="A3063" s="8" t="s">
        <v>1433</v>
      </c>
      <c r="B3063" s="62" t="s">
        <v>918</v>
      </c>
      <c r="C3063" s="68" t="s">
        <v>1386</v>
      </c>
      <c r="D3063" s="68" t="s">
        <v>1479</v>
      </c>
      <c r="E3063" s="8" t="s">
        <v>246</v>
      </c>
      <c r="F3063" s="45" t="s">
        <v>380</v>
      </c>
      <c r="G3063" s="23" t="s">
        <v>809</v>
      </c>
      <c r="H3063" s="14">
        <f t="shared" si="1342"/>
        <v>50</v>
      </c>
      <c r="I3063" s="14">
        <f t="shared" si="1342"/>
        <v>50</v>
      </c>
      <c r="J3063" s="14">
        <f t="shared" si="1342"/>
        <v>24.8</v>
      </c>
      <c r="K3063" s="78">
        <f t="shared" si="1327"/>
        <v>49.6</v>
      </c>
      <c r="L3063" s="14">
        <f t="shared" si="1342"/>
        <v>0</v>
      </c>
      <c r="M3063" s="50"/>
      <c r="N3063" s="50"/>
    </row>
    <row r="3064" spans="1:14" ht="31.2" x14ac:dyDescent="0.3">
      <c r="A3064" s="8" t="s">
        <v>1433</v>
      </c>
      <c r="B3064" s="62" t="s">
        <v>918</v>
      </c>
      <c r="C3064" s="68" t="s">
        <v>1386</v>
      </c>
      <c r="D3064" s="68" t="s">
        <v>1479</v>
      </c>
      <c r="E3064" s="8" t="s">
        <v>246</v>
      </c>
      <c r="F3064" s="8" t="s">
        <v>247</v>
      </c>
      <c r="G3064" s="23" t="s">
        <v>810</v>
      </c>
      <c r="H3064" s="14">
        <v>50</v>
      </c>
      <c r="I3064" s="14">
        <v>50</v>
      </c>
      <c r="J3064" s="14">
        <v>24.8</v>
      </c>
      <c r="K3064" s="78">
        <f t="shared" si="1327"/>
        <v>49.6</v>
      </c>
      <c r="L3064" s="14"/>
      <c r="M3064" s="50"/>
      <c r="N3064" s="50"/>
    </row>
    <row r="3065" spans="1:14" ht="62.4" x14ac:dyDescent="0.3">
      <c r="A3065" s="8" t="s">
        <v>1433</v>
      </c>
      <c r="B3065" s="62" t="s">
        <v>918</v>
      </c>
      <c r="C3065" s="68" t="s">
        <v>1386</v>
      </c>
      <c r="D3065" s="68" t="s">
        <v>1479</v>
      </c>
      <c r="E3065" s="8" t="s">
        <v>358</v>
      </c>
      <c r="F3065" s="8"/>
      <c r="G3065" s="13" t="s">
        <v>1040</v>
      </c>
      <c r="H3065" s="14">
        <f t="shared" ref="H3065:L3068" si="1343">H3066</f>
        <v>22</v>
      </c>
      <c r="I3065" s="14">
        <f t="shared" si="1343"/>
        <v>22</v>
      </c>
      <c r="J3065" s="14">
        <f t="shared" si="1343"/>
        <v>22</v>
      </c>
      <c r="K3065" s="78">
        <f t="shared" si="1327"/>
        <v>100</v>
      </c>
      <c r="L3065" s="14">
        <f t="shared" si="1343"/>
        <v>0</v>
      </c>
      <c r="M3065" s="50"/>
      <c r="N3065" s="50"/>
    </row>
    <row r="3066" spans="1:14" ht="31.2" x14ac:dyDescent="0.3">
      <c r="A3066" s="8" t="s">
        <v>1433</v>
      </c>
      <c r="B3066" s="62" t="s">
        <v>918</v>
      </c>
      <c r="C3066" s="68" t="s">
        <v>1386</v>
      </c>
      <c r="D3066" s="68" t="s">
        <v>1479</v>
      </c>
      <c r="E3066" s="8" t="s">
        <v>359</v>
      </c>
      <c r="F3066" s="8"/>
      <c r="G3066" s="13" t="s">
        <v>1041</v>
      </c>
      <c r="H3066" s="14">
        <f t="shared" si="1343"/>
        <v>22</v>
      </c>
      <c r="I3066" s="14">
        <f t="shared" si="1343"/>
        <v>22</v>
      </c>
      <c r="J3066" s="14">
        <f t="shared" si="1343"/>
        <v>22</v>
      </c>
      <c r="K3066" s="78">
        <f t="shared" si="1327"/>
        <v>100</v>
      </c>
      <c r="L3066" s="14">
        <f t="shared" si="1343"/>
        <v>0</v>
      </c>
      <c r="M3066" s="50"/>
      <c r="N3066" s="50"/>
    </row>
    <row r="3067" spans="1:14" ht="46.8" x14ac:dyDescent="0.3">
      <c r="A3067" s="8" t="s">
        <v>1433</v>
      </c>
      <c r="B3067" s="62" t="s">
        <v>918</v>
      </c>
      <c r="C3067" s="68" t="s">
        <v>1386</v>
      </c>
      <c r="D3067" s="68" t="s">
        <v>1479</v>
      </c>
      <c r="E3067" s="8" t="s">
        <v>1237</v>
      </c>
      <c r="F3067" s="8"/>
      <c r="G3067" s="18" t="s">
        <v>316</v>
      </c>
      <c r="H3067" s="14">
        <f t="shared" si="1343"/>
        <v>22</v>
      </c>
      <c r="I3067" s="14">
        <f t="shared" si="1343"/>
        <v>22</v>
      </c>
      <c r="J3067" s="14">
        <f t="shared" si="1343"/>
        <v>22</v>
      </c>
      <c r="K3067" s="78">
        <f t="shared" si="1327"/>
        <v>100</v>
      </c>
      <c r="L3067" s="14">
        <f t="shared" si="1343"/>
        <v>0</v>
      </c>
      <c r="M3067" s="50"/>
      <c r="N3067" s="50"/>
    </row>
    <row r="3068" spans="1:14" ht="31.2" x14ac:dyDescent="0.3">
      <c r="A3068" s="8" t="s">
        <v>1433</v>
      </c>
      <c r="B3068" s="62" t="s">
        <v>918</v>
      </c>
      <c r="C3068" s="68" t="s">
        <v>1386</v>
      </c>
      <c r="D3068" s="68" t="s">
        <v>1479</v>
      </c>
      <c r="E3068" s="8" t="s">
        <v>1237</v>
      </c>
      <c r="F3068" s="45" t="s">
        <v>380</v>
      </c>
      <c r="G3068" s="23" t="s">
        <v>809</v>
      </c>
      <c r="H3068" s="14">
        <f t="shared" si="1343"/>
        <v>22</v>
      </c>
      <c r="I3068" s="14">
        <f t="shared" si="1343"/>
        <v>22</v>
      </c>
      <c r="J3068" s="14">
        <f t="shared" si="1343"/>
        <v>22</v>
      </c>
      <c r="K3068" s="78">
        <f t="shared" si="1327"/>
        <v>100</v>
      </c>
      <c r="L3068" s="14">
        <f t="shared" si="1343"/>
        <v>0</v>
      </c>
      <c r="M3068" s="50"/>
      <c r="N3068" s="50"/>
    </row>
    <row r="3069" spans="1:14" ht="31.2" x14ac:dyDescent="0.3">
      <c r="A3069" s="8" t="s">
        <v>1433</v>
      </c>
      <c r="B3069" s="62" t="s">
        <v>918</v>
      </c>
      <c r="C3069" s="68" t="s">
        <v>1386</v>
      </c>
      <c r="D3069" s="68" t="s">
        <v>1479</v>
      </c>
      <c r="E3069" s="8" t="s">
        <v>1237</v>
      </c>
      <c r="F3069" s="8" t="s">
        <v>247</v>
      </c>
      <c r="G3069" s="23" t="s">
        <v>810</v>
      </c>
      <c r="H3069" s="14">
        <f>37.5-15.5</f>
        <v>22</v>
      </c>
      <c r="I3069" s="14">
        <v>22</v>
      </c>
      <c r="J3069" s="14">
        <v>22</v>
      </c>
      <c r="K3069" s="78">
        <f t="shared" si="1327"/>
        <v>100</v>
      </c>
      <c r="L3069" s="14"/>
      <c r="M3069" s="50"/>
      <c r="N3069" s="50"/>
    </row>
    <row r="3070" spans="1:14" s="3" customFormat="1" x14ac:dyDescent="0.3">
      <c r="A3070" s="10" t="s">
        <v>1433</v>
      </c>
      <c r="B3070" s="43" t="s">
        <v>1392</v>
      </c>
      <c r="C3070" s="43" t="s">
        <v>1392</v>
      </c>
      <c r="D3070" s="43" t="s">
        <v>915</v>
      </c>
      <c r="E3070" s="10"/>
      <c r="F3070" s="10"/>
      <c r="G3070" s="5" t="s">
        <v>1416</v>
      </c>
      <c r="H3070" s="15">
        <f>H3078+H3105+H3071</f>
        <v>10381.189999999999</v>
      </c>
      <c r="I3070" s="15">
        <f>I3078+I3105+I3071</f>
        <v>10901.689999999999</v>
      </c>
      <c r="J3070" s="15">
        <f t="shared" ref="J3070" si="1344">J3078+J3105+J3071</f>
        <v>10901.689999999999</v>
      </c>
      <c r="K3070" s="81">
        <f t="shared" si="1327"/>
        <v>100</v>
      </c>
      <c r="L3070" s="15">
        <f>L3078+L3105+L3071</f>
        <v>0</v>
      </c>
      <c r="M3070" s="65"/>
      <c r="N3070" s="65"/>
    </row>
    <row r="3071" spans="1:14" s="9" customFormat="1" x14ac:dyDescent="0.3">
      <c r="A3071" s="11" t="s">
        <v>1433</v>
      </c>
      <c r="B3071" s="48" t="s">
        <v>938</v>
      </c>
      <c r="C3071" s="48" t="s">
        <v>1392</v>
      </c>
      <c r="D3071" s="48" t="s">
        <v>1478</v>
      </c>
      <c r="E3071" s="11"/>
      <c r="F3071" s="11"/>
      <c r="G3071" s="7" t="s">
        <v>1451</v>
      </c>
      <c r="H3071" s="16">
        <f t="shared" ref="H3071:L3076" si="1345">H3072</f>
        <v>7.5</v>
      </c>
      <c r="I3071" s="16">
        <f t="shared" si="1345"/>
        <v>28</v>
      </c>
      <c r="J3071" s="16">
        <f t="shared" si="1345"/>
        <v>28</v>
      </c>
      <c r="K3071" s="82">
        <f t="shared" si="1327"/>
        <v>100</v>
      </c>
      <c r="L3071" s="16">
        <f t="shared" si="1345"/>
        <v>0</v>
      </c>
      <c r="M3071" s="65"/>
      <c r="N3071" s="65"/>
    </row>
    <row r="3072" spans="1:14" ht="31.2" x14ac:dyDescent="0.3">
      <c r="A3072" s="8" t="s">
        <v>1433</v>
      </c>
      <c r="B3072" s="62" t="s">
        <v>938</v>
      </c>
      <c r="C3072" s="68" t="s">
        <v>1392</v>
      </c>
      <c r="D3072" s="68" t="s">
        <v>1478</v>
      </c>
      <c r="E3072" s="8" t="s">
        <v>368</v>
      </c>
      <c r="F3072" s="8"/>
      <c r="G3072" s="13" t="s">
        <v>1079</v>
      </c>
      <c r="H3072" s="14">
        <f t="shared" si="1345"/>
        <v>7.5</v>
      </c>
      <c r="I3072" s="14">
        <f t="shared" si="1345"/>
        <v>28</v>
      </c>
      <c r="J3072" s="14">
        <f t="shared" si="1345"/>
        <v>28</v>
      </c>
      <c r="K3072" s="78">
        <f t="shared" si="1327"/>
        <v>100</v>
      </c>
      <c r="L3072" s="14">
        <f t="shared" si="1345"/>
        <v>0</v>
      </c>
      <c r="M3072" s="50"/>
      <c r="N3072" s="50"/>
    </row>
    <row r="3073" spans="1:14" ht="31.2" x14ac:dyDescent="0.3">
      <c r="A3073" s="8" t="s">
        <v>1433</v>
      </c>
      <c r="B3073" s="62" t="s">
        <v>938</v>
      </c>
      <c r="C3073" s="68" t="s">
        <v>1392</v>
      </c>
      <c r="D3073" s="68" t="s">
        <v>1478</v>
      </c>
      <c r="E3073" s="8" t="s">
        <v>515</v>
      </c>
      <c r="F3073" s="8"/>
      <c r="G3073" s="23" t="s">
        <v>1091</v>
      </c>
      <c r="H3073" s="14">
        <f t="shared" si="1345"/>
        <v>7.5</v>
      </c>
      <c r="I3073" s="14">
        <f t="shared" si="1345"/>
        <v>28</v>
      </c>
      <c r="J3073" s="14">
        <f t="shared" si="1345"/>
        <v>28</v>
      </c>
      <c r="K3073" s="78">
        <f t="shared" si="1327"/>
        <v>100</v>
      </c>
      <c r="L3073" s="14">
        <f t="shared" si="1345"/>
        <v>0</v>
      </c>
      <c r="M3073" s="50"/>
      <c r="N3073" s="50"/>
    </row>
    <row r="3074" spans="1:14" ht="62.4" x14ac:dyDescent="0.3">
      <c r="A3074" s="8" t="s">
        <v>1433</v>
      </c>
      <c r="B3074" s="62" t="s">
        <v>938</v>
      </c>
      <c r="C3074" s="68" t="s">
        <v>1392</v>
      </c>
      <c r="D3074" s="68" t="s">
        <v>1478</v>
      </c>
      <c r="E3074" s="8" t="s">
        <v>516</v>
      </c>
      <c r="F3074" s="8"/>
      <c r="G3074" s="23" t="s">
        <v>1169</v>
      </c>
      <c r="H3074" s="14">
        <f t="shared" si="1345"/>
        <v>7.5</v>
      </c>
      <c r="I3074" s="14">
        <f t="shared" si="1345"/>
        <v>28</v>
      </c>
      <c r="J3074" s="14">
        <f t="shared" si="1345"/>
        <v>28</v>
      </c>
      <c r="K3074" s="78">
        <f t="shared" si="1327"/>
        <v>100</v>
      </c>
      <c r="L3074" s="14">
        <f t="shared" si="1345"/>
        <v>0</v>
      </c>
      <c r="M3074" s="50"/>
      <c r="N3074" s="50"/>
    </row>
    <row r="3075" spans="1:14" ht="31.2" x14ac:dyDescent="0.3">
      <c r="A3075" s="8" t="s">
        <v>1433</v>
      </c>
      <c r="B3075" s="62" t="s">
        <v>938</v>
      </c>
      <c r="C3075" s="68" t="s">
        <v>1392</v>
      </c>
      <c r="D3075" s="68" t="s">
        <v>1478</v>
      </c>
      <c r="E3075" s="8" t="s">
        <v>1245</v>
      </c>
      <c r="F3075" s="8"/>
      <c r="G3075" s="18" t="s">
        <v>1248</v>
      </c>
      <c r="H3075" s="14">
        <f t="shared" si="1345"/>
        <v>7.5</v>
      </c>
      <c r="I3075" s="14">
        <f t="shared" si="1345"/>
        <v>28</v>
      </c>
      <c r="J3075" s="14">
        <f t="shared" si="1345"/>
        <v>28</v>
      </c>
      <c r="K3075" s="78">
        <f t="shared" si="1327"/>
        <v>100</v>
      </c>
      <c r="L3075" s="14">
        <f t="shared" si="1345"/>
        <v>0</v>
      </c>
      <c r="M3075" s="50"/>
      <c r="N3075" s="50"/>
    </row>
    <row r="3076" spans="1:14" ht="31.2" x14ac:dyDescent="0.3">
      <c r="A3076" s="8" t="s">
        <v>1433</v>
      </c>
      <c r="B3076" s="62" t="s">
        <v>938</v>
      </c>
      <c r="C3076" s="68" t="s">
        <v>1392</v>
      </c>
      <c r="D3076" s="68" t="s">
        <v>1478</v>
      </c>
      <c r="E3076" s="8" t="s">
        <v>1245</v>
      </c>
      <c r="F3076" s="45" t="s">
        <v>380</v>
      </c>
      <c r="G3076" s="23" t="s">
        <v>809</v>
      </c>
      <c r="H3076" s="14">
        <f t="shared" si="1345"/>
        <v>7.5</v>
      </c>
      <c r="I3076" s="14">
        <f t="shared" si="1345"/>
        <v>28</v>
      </c>
      <c r="J3076" s="14">
        <f t="shared" si="1345"/>
        <v>28</v>
      </c>
      <c r="K3076" s="78">
        <f t="shared" si="1327"/>
        <v>100</v>
      </c>
      <c r="L3076" s="14">
        <f t="shared" si="1345"/>
        <v>0</v>
      </c>
      <c r="M3076" s="50"/>
      <c r="N3076" s="50"/>
    </row>
    <row r="3077" spans="1:14" ht="31.2" x14ac:dyDescent="0.3">
      <c r="A3077" s="8" t="s">
        <v>1433</v>
      </c>
      <c r="B3077" s="62" t="s">
        <v>938</v>
      </c>
      <c r="C3077" s="68" t="s">
        <v>1392</v>
      </c>
      <c r="D3077" s="68" t="s">
        <v>1478</v>
      </c>
      <c r="E3077" s="8" t="s">
        <v>1245</v>
      </c>
      <c r="F3077" s="8" t="s">
        <v>247</v>
      </c>
      <c r="G3077" s="23" t="s">
        <v>810</v>
      </c>
      <c r="H3077" s="14">
        <v>7.5</v>
      </c>
      <c r="I3077" s="14">
        <v>28</v>
      </c>
      <c r="J3077" s="14">
        <v>28</v>
      </c>
      <c r="K3077" s="78">
        <f t="shared" si="1327"/>
        <v>100</v>
      </c>
      <c r="L3077" s="14"/>
      <c r="M3077" s="50"/>
      <c r="N3077" s="50"/>
    </row>
    <row r="3078" spans="1:14" s="9" customFormat="1" x14ac:dyDescent="0.3">
      <c r="A3078" s="11" t="s">
        <v>1433</v>
      </c>
      <c r="B3078" s="48" t="s">
        <v>939</v>
      </c>
      <c r="C3078" s="48" t="s">
        <v>1392</v>
      </c>
      <c r="D3078" s="48" t="s">
        <v>1391</v>
      </c>
      <c r="E3078" s="11"/>
      <c r="F3078" s="11"/>
      <c r="G3078" s="7" t="s">
        <v>1423</v>
      </c>
      <c r="H3078" s="16">
        <f>H3085+H3095+H3079</f>
        <v>4502.6579999999994</v>
      </c>
      <c r="I3078" s="16">
        <f>I3085+I3095+I3079+I3101</f>
        <v>5002.6579999999994</v>
      </c>
      <c r="J3078" s="16">
        <f t="shared" ref="J3078:L3078" si="1346">J3085+J3095+J3079+J3101</f>
        <v>5002.6579999999994</v>
      </c>
      <c r="K3078" s="82">
        <f t="shared" si="1327"/>
        <v>100</v>
      </c>
      <c r="L3078" s="16">
        <f t="shared" si="1346"/>
        <v>0</v>
      </c>
      <c r="M3078" s="65"/>
      <c r="N3078" s="65"/>
    </row>
    <row r="3079" spans="1:14" ht="31.2" x14ac:dyDescent="0.3">
      <c r="A3079" s="8" t="s">
        <v>1433</v>
      </c>
      <c r="B3079" s="62" t="s">
        <v>939</v>
      </c>
      <c r="C3079" s="68" t="s">
        <v>1392</v>
      </c>
      <c r="D3079" s="68" t="s">
        <v>1391</v>
      </c>
      <c r="E3079" s="8" t="s">
        <v>438</v>
      </c>
      <c r="F3079" s="8"/>
      <c r="G3079" s="18" t="s">
        <v>891</v>
      </c>
      <c r="H3079" s="14">
        <f t="shared" ref="H3079:L3083" si="1347">H3080</f>
        <v>641.27</v>
      </c>
      <c r="I3079" s="14">
        <f t="shared" si="1347"/>
        <v>641.27</v>
      </c>
      <c r="J3079" s="14">
        <f t="shared" si="1347"/>
        <v>641.27</v>
      </c>
      <c r="K3079" s="78">
        <f t="shared" si="1327"/>
        <v>100</v>
      </c>
      <c r="L3079" s="14">
        <f t="shared" si="1347"/>
        <v>0</v>
      </c>
      <c r="M3079" s="50"/>
      <c r="N3079" s="50"/>
    </row>
    <row r="3080" spans="1:14" ht="46.8" x14ac:dyDescent="0.3">
      <c r="A3080" s="8" t="s">
        <v>1433</v>
      </c>
      <c r="B3080" s="62" t="s">
        <v>939</v>
      </c>
      <c r="C3080" s="68" t="s">
        <v>1392</v>
      </c>
      <c r="D3080" s="68" t="s">
        <v>1391</v>
      </c>
      <c r="E3080" s="8" t="s">
        <v>439</v>
      </c>
      <c r="F3080" s="8"/>
      <c r="G3080" s="18" t="s">
        <v>119</v>
      </c>
      <c r="H3080" s="14">
        <f t="shared" si="1347"/>
        <v>641.27</v>
      </c>
      <c r="I3080" s="14">
        <f t="shared" si="1347"/>
        <v>641.27</v>
      </c>
      <c r="J3080" s="14">
        <f t="shared" si="1347"/>
        <v>641.27</v>
      </c>
      <c r="K3080" s="78">
        <f t="shared" ref="K3080:K3143" si="1348">J3080/I3080*100</f>
        <v>100</v>
      </c>
      <c r="L3080" s="14">
        <f t="shared" si="1347"/>
        <v>0</v>
      </c>
      <c r="M3080" s="50"/>
      <c r="N3080" s="50"/>
    </row>
    <row r="3081" spans="1:14" ht="46.8" x14ac:dyDescent="0.3">
      <c r="A3081" s="8" t="s">
        <v>1433</v>
      </c>
      <c r="B3081" s="62" t="s">
        <v>939</v>
      </c>
      <c r="C3081" s="68" t="s">
        <v>1392</v>
      </c>
      <c r="D3081" s="68" t="s">
        <v>1391</v>
      </c>
      <c r="E3081" s="8" t="s">
        <v>442</v>
      </c>
      <c r="F3081" s="8"/>
      <c r="G3081" s="18" t="s">
        <v>1207</v>
      </c>
      <c r="H3081" s="14">
        <f t="shared" si="1347"/>
        <v>641.27</v>
      </c>
      <c r="I3081" s="14">
        <f t="shared" si="1347"/>
        <v>641.27</v>
      </c>
      <c r="J3081" s="14">
        <f t="shared" si="1347"/>
        <v>641.27</v>
      </c>
      <c r="K3081" s="78">
        <f t="shared" si="1348"/>
        <v>100</v>
      </c>
      <c r="L3081" s="14">
        <f t="shared" si="1347"/>
        <v>0</v>
      </c>
      <c r="M3081" s="50"/>
      <c r="N3081" s="50"/>
    </row>
    <row r="3082" spans="1:14" ht="31.2" x14ac:dyDescent="0.3">
      <c r="A3082" s="8" t="s">
        <v>1433</v>
      </c>
      <c r="B3082" s="62" t="s">
        <v>939</v>
      </c>
      <c r="C3082" s="68" t="s">
        <v>1392</v>
      </c>
      <c r="D3082" s="68" t="s">
        <v>1391</v>
      </c>
      <c r="E3082" s="8" t="s">
        <v>443</v>
      </c>
      <c r="F3082" s="8"/>
      <c r="G3082" s="18" t="s">
        <v>181</v>
      </c>
      <c r="H3082" s="14">
        <f t="shared" si="1347"/>
        <v>641.27</v>
      </c>
      <c r="I3082" s="14">
        <f t="shared" si="1347"/>
        <v>641.27</v>
      </c>
      <c r="J3082" s="14">
        <f t="shared" si="1347"/>
        <v>641.27</v>
      </c>
      <c r="K3082" s="78">
        <f t="shared" si="1348"/>
        <v>100</v>
      </c>
      <c r="L3082" s="14">
        <f t="shared" si="1347"/>
        <v>0</v>
      </c>
      <c r="M3082" s="50"/>
      <c r="N3082" s="50"/>
    </row>
    <row r="3083" spans="1:14" ht="31.2" x14ac:dyDescent="0.3">
      <c r="A3083" s="8" t="s">
        <v>1433</v>
      </c>
      <c r="B3083" s="62" t="s">
        <v>939</v>
      </c>
      <c r="C3083" s="68" t="s">
        <v>1392</v>
      </c>
      <c r="D3083" s="68" t="s">
        <v>1391</v>
      </c>
      <c r="E3083" s="8" t="s">
        <v>443</v>
      </c>
      <c r="F3083" s="45" t="s">
        <v>380</v>
      </c>
      <c r="G3083" s="23" t="s">
        <v>809</v>
      </c>
      <c r="H3083" s="14">
        <f t="shared" si="1347"/>
        <v>641.27</v>
      </c>
      <c r="I3083" s="14">
        <f t="shared" si="1347"/>
        <v>641.27</v>
      </c>
      <c r="J3083" s="14">
        <f t="shared" si="1347"/>
        <v>641.27</v>
      </c>
      <c r="K3083" s="78">
        <f t="shared" si="1348"/>
        <v>100</v>
      </c>
      <c r="L3083" s="14">
        <f t="shared" si="1347"/>
        <v>0</v>
      </c>
      <c r="M3083" s="50"/>
      <c r="N3083" s="50"/>
    </row>
    <row r="3084" spans="1:14" ht="31.2" x14ac:dyDescent="0.3">
      <c r="A3084" s="8" t="s">
        <v>1433</v>
      </c>
      <c r="B3084" s="62" t="s">
        <v>939</v>
      </c>
      <c r="C3084" s="68" t="s">
        <v>1392</v>
      </c>
      <c r="D3084" s="68" t="s">
        <v>1391</v>
      </c>
      <c r="E3084" s="8" t="s">
        <v>443</v>
      </c>
      <c r="F3084" s="8" t="s">
        <v>247</v>
      </c>
      <c r="G3084" s="23" t="s">
        <v>810</v>
      </c>
      <c r="H3084" s="14">
        <f>765.1-123.83</f>
        <v>641.27</v>
      </c>
      <c r="I3084" s="14">
        <v>641.27</v>
      </c>
      <c r="J3084" s="14">
        <v>641.27</v>
      </c>
      <c r="K3084" s="78">
        <f t="shared" si="1348"/>
        <v>100</v>
      </c>
      <c r="L3084" s="14"/>
      <c r="M3084" s="50"/>
      <c r="N3084" s="50"/>
    </row>
    <row r="3085" spans="1:14" ht="62.4" x14ac:dyDescent="0.3">
      <c r="A3085" s="8" t="s">
        <v>1433</v>
      </c>
      <c r="B3085" s="62" t="s">
        <v>939</v>
      </c>
      <c r="C3085" s="68" t="s">
        <v>1392</v>
      </c>
      <c r="D3085" s="68" t="s">
        <v>1391</v>
      </c>
      <c r="E3085" s="8" t="s">
        <v>358</v>
      </c>
      <c r="F3085" s="8"/>
      <c r="G3085" s="13" t="s">
        <v>1040</v>
      </c>
      <c r="H3085" s="14">
        <f t="shared" ref="H3085:L3085" si="1349">H3086</f>
        <v>3633.59</v>
      </c>
      <c r="I3085" s="14">
        <f t="shared" si="1349"/>
        <v>3633.59</v>
      </c>
      <c r="J3085" s="14">
        <f t="shared" si="1349"/>
        <v>3633.59</v>
      </c>
      <c r="K3085" s="78">
        <f t="shared" si="1348"/>
        <v>100</v>
      </c>
      <c r="L3085" s="14">
        <f t="shared" si="1349"/>
        <v>0</v>
      </c>
      <c r="M3085" s="50"/>
      <c r="N3085" s="50"/>
    </row>
    <row r="3086" spans="1:14" ht="31.2" x14ac:dyDescent="0.3">
      <c r="A3086" s="8" t="s">
        <v>1433</v>
      </c>
      <c r="B3086" s="62" t="s">
        <v>939</v>
      </c>
      <c r="C3086" s="68" t="s">
        <v>1392</v>
      </c>
      <c r="D3086" s="68" t="s">
        <v>1391</v>
      </c>
      <c r="E3086" s="8" t="s">
        <v>359</v>
      </c>
      <c r="F3086" s="8"/>
      <c r="G3086" s="13" t="s">
        <v>1041</v>
      </c>
      <c r="H3086" s="14">
        <f>H3087+H3092</f>
        <v>3633.59</v>
      </c>
      <c r="I3086" s="14">
        <f>I3087+I3092</f>
        <v>3633.59</v>
      </c>
      <c r="J3086" s="14">
        <f t="shared" ref="J3086" si="1350">J3087+J3092</f>
        <v>3633.59</v>
      </c>
      <c r="K3086" s="78">
        <f t="shared" si="1348"/>
        <v>100</v>
      </c>
      <c r="L3086" s="14">
        <f>L3087+L3092</f>
        <v>0</v>
      </c>
      <c r="M3086" s="50"/>
      <c r="N3086" s="50"/>
    </row>
    <row r="3087" spans="1:14" ht="31.2" x14ac:dyDescent="0.3">
      <c r="A3087" s="8" t="s">
        <v>1433</v>
      </c>
      <c r="B3087" s="62" t="s">
        <v>939</v>
      </c>
      <c r="C3087" s="68" t="s">
        <v>1392</v>
      </c>
      <c r="D3087" s="68" t="s">
        <v>1391</v>
      </c>
      <c r="E3087" s="8" t="s">
        <v>370</v>
      </c>
      <c r="F3087" s="8"/>
      <c r="G3087" s="18" t="s">
        <v>125</v>
      </c>
      <c r="H3087" s="14">
        <f>H3088+H3090</f>
        <v>1613.1979999999999</v>
      </c>
      <c r="I3087" s="14">
        <f>I3088+I3090</f>
        <v>1613.1979999999999</v>
      </c>
      <c r="J3087" s="14">
        <f t="shared" ref="J3087" si="1351">J3088+J3090</f>
        <v>1613.1979999999999</v>
      </c>
      <c r="K3087" s="78">
        <f t="shared" si="1348"/>
        <v>100</v>
      </c>
      <c r="L3087" s="14">
        <f>L3088+L3090</f>
        <v>0</v>
      </c>
      <c r="M3087" s="50"/>
      <c r="N3087" s="50"/>
    </row>
    <row r="3088" spans="1:14" ht="31.2" x14ac:dyDescent="0.3">
      <c r="A3088" s="8" t="s">
        <v>1433</v>
      </c>
      <c r="B3088" s="62" t="s">
        <v>939</v>
      </c>
      <c r="C3088" s="68" t="s">
        <v>1392</v>
      </c>
      <c r="D3088" s="68" t="s">
        <v>1391</v>
      </c>
      <c r="E3088" s="8" t="s">
        <v>370</v>
      </c>
      <c r="F3088" s="45" t="s">
        <v>380</v>
      </c>
      <c r="G3088" s="23" t="s">
        <v>809</v>
      </c>
      <c r="H3088" s="14">
        <f t="shared" ref="H3088:L3088" si="1352">H3089</f>
        <v>1582.598</v>
      </c>
      <c r="I3088" s="14">
        <f t="shared" si="1352"/>
        <v>1582.598</v>
      </c>
      <c r="J3088" s="14">
        <f t="shared" si="1352"/>
        <v>1582.598</v>
      </c>
      <c r="K3088" s="78">
        <f t="shared" si="1348"/>
        <v>100</v>
      </c>
      <c r="L3088" s="14">
        <f t="shared" si="1352"/>
        <v>0</v>
      </c>
      <c r="M3088" s="50"/>
      <c r="N3088" s="50"/>
    </row>
    <row r="3089" spans="1:14" ht="31.2" x14ac:dyDescent="0.3">
      <c r="A3089" s="8" t="s">
        <v>1433</v>
      </c>
      <c r="B3089" s="62" t="s">
        <v>939</v>
      </c>
      <c r="C3089" s="68" t="s">
        <v>1392</v>
      </c>
      <c r="D3089" s="68" t="s">
        <v>1391</v>
      </c>
      <c r="E3089" s="8" t="s">
        <v>370</v>
      </c>
      <c r="F3089" s="8" t="s">
        <v>247</v>
      </c>
      <c r="G3089" s="23" t="s">
        <v>810</v>
      </c>
      <c r="H3089" s="14">
        <f>1794.6-212.002</f>
        <v>1582.598</v>
      </c>
      <c r="I3089" s="14">
        <v>1582.598</v>
      </c>
      <c r="J3089" s="14">
        <v>1582.598</v>
      </c>
      <c r="K3089" s="78">
        <f t="shared" si="1348"/>
        <v>100</v>
      </c>
      <c r="L3089" s="14"/>
      <c r="M3089" s="50"/>
      <c r="N3089" s="50"/>
    </row>
    <row r="3090" spans="1:14" x14ac:dyDescent="0.3">
      <c r="A3090" s="8" t="s">
        <v>1433</v>
      </c>
      <c r="B3090" s="62" t="s">
        <v>939</v>
      </c>
      <c r="C3090" s="68" t="s">
        <v>1392</v>
      </c>
      <c r="D3090" s="68" t="s">
        <v>1391</v>
      </c>
      <c r="E3090" s="8" t="s">
        <v>370</v>
      </c>
      <c r="F3090" s="45" t="s">
        <v>464</v>
      </c>
      <c r="G3090" s="23" t="s">
        <v>822</v>
      </c>
      <c r="H3090" s="14">
        <f t="shared" ref="H3090:L3090" si="1353">H3091</f>
        <v>30.6</v>
      </c>
      <c r="I3090" s="14">
        <f t="shared" si="1353"/>
        <v>30.6</v>
      </c>
      <c r="J3090" s="14">
        <f t="shared" si="1353"/>
        <v>30.6</v>
      </c>
      <c r="K3090" s="78">
        <f t="shared" si="1348"/>
        <v>100</v>
      </c>
      <c r="L3090" s="14">
        <f t="shared" si="1353"/>
        <v>0</v>
      </c>
      <c r="M3090" s="50"/>
      <c r="N3090" s="50"/>
    </row>
    <row r="3091" spans="1:14" x14ac:dyDescent="0.3">
      <c r="A3091" s="8" t="s">
        <v>1433</v>
      </c>
      <c r="B3091" s="62" t="s">
        <v>939</v>
      </c>
      <c r="C3091" s="68" t="s">
        <v>1392</v>
      </c>
      <c r="D3091" s="68" t="s">
        <v>1391</v>
      </c>
      <c r="E3091" s="8" t="s">
        <v>370</v>
      </c>
      <c r="F3091" s="45" t="s">
        <v>729</v>
      </c>
      <c r="G3091" s="23" t="s">
        <v>824</v>
      </c>
      <c r="H3091" s="14">
        <v>30.6</v>
      </c>
      <c r="I3091" s="14">
        <v>30.6</v>
      </c>
      <c r="J3091" s="19">
        <v>30.6</v>
      </c>
      <c r="K3091" s="75">
        <f t="shared" si="1348"/>
        <v>100</v>
      </c>
      <c r="L3091" s="14"/>
      <c r="M3091" s="50"/>
      <c r="N3091" s="50"/>
    </row>
    <row r="3092" spans="1:14" ht="31.2" x14ac:dyDescent="0.3">
      <c r="A3092" s="8" t="s">
        <v>1433</v>
      </c>
      <c r="B3092" s="62" t="s">
        <v>939</v>
      </c>
      <c r="C3092" s="68" t="s">
        <v>1392</v>
      </c>
      <c r="D3092" s="68" t="s">
        <v>1391</v>
      </c>
      <c r="E3092" s="8" t="s">
        <v>371</v>
      </c>
      <c r="F3092" s="8"/>
      <c r="G3092" s="18" t="s">
        <v>126</v>
      </c>
      <c r="H3092" s="14">
        <f t="shared" ref="H3092:L3093" si="1354">H3093</f>
        <v>2020.3920000000001</v>
      </c>
      <c r="I3092" s="14">
        <f t="shared" si="1354"/>
        <v>2020.3920000000001</v>
      </c>
      <c r="J3092" s="14">
        <f t="shared" si="1354"/>
        <v>2020.3920000000001</v>
      </c>
      <c r="K3092" s="78">
        <f t="shared" si="1348"/>
        <v>100</v>
      </c>
      <c r="L3092" s="14">
        <f t="shared" si="1354"/>
        <v>0</v>
      </c>
      <c r="M3092" s="50"/>
      <c r="N3092" s="50"/>
    </row>
    <row r="3093" spans="1:14" ht="31.2" x14ac:dyDescent="0.3">
      <c r="A3093" s="8" t="s">
        <v>1433</v>
      </c>
      <c r="B3093" s="62" t="s">
        <v>939</v>
      </c>
      <c r="C3093" s="68" t="s">
        <v>1392</v>
      </c>
      <c r="D3093" s="68" t="s">
        <v>1391</v>
      </c>
      <c r="E3093" s="8" t="s">
        <v>371</v>
      </c>
      <c r="F3093" s="45" t="s">
        <v>380</v>
      </c>
      <c r="G3093" s="23" t="s">
        <v>809</v>
      </c>
      <c r="H3093" s="14">
        <f t="shared" si="1354"/>
        <v>2020.3920000000001</v>
      </c>
      <c r="I3093" s="14">
        <f t="shared" si="1354"/>
        <v>2020.3920000000001</v>
      </c>
      <c r="J3093" s="14">
        <f t="shared" si="1354"/>
        <v>2020.3920000000001</v>
      </c>
      <c r="K3093" s="78">
        <f t="shared" si="1348"/>
        <v>100</v>
      </c>
      <c r="L3093" s="14">
        <f t="shared" si="1354"/>
        <v>0</v>
      </c>
      <c r="M3093" s="50"/>
      <c r="N3093" s="50"/>
    </row>
    <row r="3094" spans="1:14" ht="31.2" x14ac:dyDescent="0.3">
      <c r="A3094" s="8" t="s">
        <v>1433</v>
      </c>
      <c r="B3094" s="62" t="s">
        <v>939</v>
      </c>
      <c r="C3094" s="68" t="s">
        <v>1392</v>
      </c>
      <c r="D3094" s="68" t="s">
        <v>1391</v>
      </c>
      <c r="E3094" s="8" t="s">
        <v>371</v>
      </c>
      <c r="F3094" s="8" t="s">
        <v>247</v>
      </c>
      <c r="G3094" s="23" t="s">
        <v>810</v>
      </c>
      <c r="H3094" s="14">
        <f>2040.8-20.408</f>
        <v>2020.3920000000001</v>
      </c>
      <c r="I3094" s="14">
        <v>2020.3920000000001</v>
      </c>
      <c r="J3094" s="14">
        <v>2020.3920000000001</v>
      </c>
      <c r="K3094" s="78">
        <f t="shared" si="1348"/>
        <v>100</v>
      </c>
      <c r="L3094" s="14"/>
      <c r="M3094" s="50"/>
      <c r="N3094" s="50"/>
    </row>
    <row r="3095" spans="1:14" ht="31.2" x14ac:dyDescent="0.3">
      <c r="A3095" s="8" t="s">
        <v>1433</v>
      </c>
      <c r="B3095" s="62" t="s">
        <v>939</v>
      </c>
      <c r="C3095" s="68" t="s">
        <v>1392</v>
      </c>
      <c r="D3095" s="68" t="s">
        <v>1391</v>
      </c>
      <c r="E3095" s="8" t="s">
        <v>368</v>
      </c>
      <c r="F3095" s="8"/>
      <c r="G3095" s="13" t="s">
        <v>1079</v>
      </c>
      <c r="H3095" s="14">
        <f t="shared" ref="H3095:L3099" si="1355">H3096</f>
        <v>227.798</v>
      </c>
      <c r="I3095" s="14">
        <f t="shared" si="1355"/>
        <v>227.798</v>
      </c>
      <c r="J3095" s="14">
        <f t="shared" si="1355"/>
        <v>227.798</v>
      </c>
      <c r="K3095" s="78">
        <f t="shared" si="1348"/>
        <v>100</v>
      </c>
      <c r="L3095" s="14">
        <f t="shared" si="1355"/>
        <v>0</v>
      </c>
      <c r="M3095" s="50"/>
      <c r="N3095" s="50"/>
    </row>
    <row r="3096" spans="1:14" ht="31.2" x14ac:dyDescent="0.3">
      <c r="A3096" s="8" t="s">
        <v>1433</v>
      </c>
      <c r="B3096" s="62" t="s">
        <v>939</v>
      </c>
      <c r="C3096" s="68" t="s">
        <v>1392</v>
      </c>
      <c r="D3096" s="68" t="s">
        <v>1391</v>
      </c>
      <c r="E3096" s="8" t="s">
        <v>372</v>
      </c>
      <c r="F3096" s="8"/>
      <c r="G3096" s="13" t="s">
        <v>193</v>
      </c>
      <c r="H3096" s="14">
        <f t="shared" si="1355"/>
        <v>227.798</v>
      </c>
      <c r="I3096" s="14">
        <f t="shared" si="1355"/>
        <v>227.798</v>
      </c>
      <c r="J3096" s="14">
        <f t="shared" si="1355"/>
        <v>227.798</v>
      </c>
      <c r="K3096" s="78">
        <f t="shared" si="1348"/>
        <v>100</v>
      </c>
      <c r="L3096" s="14">
        <f t="shared" si="1355"/>
        <v>0</v>
      </c>
      <c r="M3096" s="50"/>
      <c r="N3096" s="50"/>
    </row>
    <row r="3097" spans="1:14" ht="46.8" x14ac:dyDescent="0.3">
      <c r="A3097" s="8" t="s">
        <v>1433</v>
      </c>
      <c r="B3097" s="62" t="s">
        <v>939</v>
      </c>
      <c r="C3097" s="68" t="s">
        <v>1392</v>
      </c>
      <c r="D3097" s="68" t="s">
        <v>1391</v>
      </c>
      <c r="E3097" s="8" t="s">
        <v>511</v>
      </c>
      <c r="F3097" s="8"/>
      <c r="G3097" s="18" t="s">
        <v>1192</v>
      </c>
      <c r="H3097" s="14">
        <f t="shared" si="1355"/>
        <v>227.798</v>
      </c>
      <c r="I3097" s="14">
        <f t="shared" si="1355"/>
        <v>227.798</v>
      </c>
      <c r="J3097" s="14">
        <f t="shared" si="1355"/>
        <v>227.798</v>
      </c>
      <c r="K3097" s="78">
        <f t="shared" si="1348"/>
        <v>100</v>
      </c>
      <c r="L3097" s="14">
        <f t="shared" si="1355"/>
        <v>0</v>
      </c>
      <c r="M3097" s="50"/>
      <c r="N3097" s="50"/>
    </row>
    <row r="3098" spans="1:14" ht="31.2" x14ac:dyDescent="0.3">
      <c r="A3098" s="8" t="s">
        <v>1433</v>
      </c>
      <c r="B3098" s="62" t="s">
        <v>939</v>
      </c>
      <c r="C3098" s="68" t="s">
        <v>1392</v>
      </c>
      <c r="D3098" s="68" t="s">
        <v>1391</v>
      </c>
      <c r="E3098" s="8" t="s">
        <v>70</v>
      </c>
      <c r="F3098" s="8"/>
      <c r="G3098" s="13" t="s">
        <v>164</v>
      </c>
      <c r="H3098" s="14">
        <f t="shared" si="1355"/>
        <v>227.798</v>
      </c>
      <c r="I3098" s="14">
        <f t="shared" si="1355"/>
        <v>227.798</v>
      </c>
      <c r="J3098" s="14">
        <f t="shared" si="1355"/>
        <v>227.798</v>
      </c>
      <c r="K3098" s="78">
        <f t="shared" si="1348"/>
        <v>100</v>
      </c>
      <c r="L3098" s="14">
        <f t="shared" si="1355"/>
        <v>0</v>
      </c>
      <c r="M3098" s="50"/>
      <c r="N3098" s="50"/>
    </row>
    <row r="3099" spans="1:14" ht="31.2" x14ac:dyDescent="0.3">
      <c r="A3099" s="8" t="s">
        <v>1433</v>
      </c>
      <c r="B3099" s="62" t="s">
        <v>939</v>
      </c>
      <c r="C3099" s="68" t="s">
        <v>1392</v>
      </c>
      <c r="D3099" s="68" t="s">
        <v>1391</v>
      </c>
      <c r="E3099" s="8" t="s">
        <v>70</v>
      </c>
      <c r="F3099" s="45" t="s">
        <v>380</v>
      </c>
      <c r="G3099" s="23" t="s">
        <v>809</v>
      </c>
      <c r="H3099" s="14">
        <f t="shared" si="1355"/>
        <v>227.798</v>
      </c>
      <c r="I3099" s="14">
        <f t="shared" si="1355"/>
        <v>227.798</v>
      </c>
      <c r="J3099" s="14">
        <f t="shared" si="1355"/>
        <v>227.798</v>
      </c>
      <c r="K3099" s="78">
        <f t="shared" si="1348"/>
        <v>100</v>
      </c>
      <c r="L3099" s="14">
        <f t="shared" si="1355"/>
        <v>0</v>
      </c>
      <c r="M3099" s="50"/>
      <c r="N3099" s="50"/>
    </row>
    <row r="3100" spans="1:14" ht="31.2" x14ac:dyDescent="0.3">
      <c r="A3100" s="8" t="s">
        <v>1433</v>
      </c>
      <c r="B3100" s="62" t="s">
        <v>939</v>
      </c>
      <c r="C3100" s="68" t="s">
        <v>1392</v>
      </c>
      <c r="D3100" s="68" t="s">
        <v>1391</v>
      </c>
      <c r="E3100" s="8" t="s">
        <v>70</v>
      </c>
      <c r="F3100" s="8" t="s">
        <v>247</v>
      </c>
      <c r="G3100" s="23" t="s">
        <v>810</v>
      </c>
      <c r="H3100" s="14">
        <f>230.1-2.302</f>
        <v>227.798</v>
      </c>
      <c r="I3100" s="14">
        <v>227.798</v>
      </c>
      <c r="J3100" s="14">
        <v>227.798</v>
      </c>
      <c r="K3100" s="78">
        <f t="shared" si="1348"/>
        <v>100</v>
      </c>
      <c r="L3100" s="14"/>
      <c r="M3100" s="50"/>
      <c r="N3100" s="50"/>
    </row>
    <row r="3101" spans="1:14" ht="31.2" x14ac:dyDescent="0.3">
      <c r="A3101" s="8" t="s">
        <v>1433</v>
      </c>
      <c r="B3101" s="62" t="s">
        <v>939</v>
      </c>
      <c r="C3101" s="68" t="s">
        <v>1392</v>
      </c>
      <c r="D3101" s="68" t="s">
        <v>1391</v>
      </c>
      <c r="E3101" s="8" t="s">
        <v>429</v>
      </c>
      <c r="F3101" s="8"/>
      <c r="G3101" s="13" t="s">
        <v>1140</v>
      </c>
      <c r="H3101" s="20">
        <v>0</v>
      </c>
      <c r="I3101" s="14">
        <f>I3102</f>
        <v>500</v>
      </c>
      <c r="J3101" s="14">
        <f t="shared" ref="J3101:L3103" si="1356">J3102</f>
        <v>500</v>
      </c>
      <c r="K3101" s="78">
        <f t="shared" si="1348"/>
        <v>100</v>
      </c>
      <c r="L3101" s="14">
        <f t="shared" si="1356"/>
        <v>0</v>
      </c>
      <c r="M3101" s="50"/>
      <c r="N3101" s="50"/>
    </row>
    <row r="3102" spans="1:14" ht="46.8" x14ac:dyDescent="0.3">
      <c r="A3102" s="8" t="s">
        <v>1433</v>
      </c>
      <c r="B3102" s="62" t="s">
        <v>939</v>
      </c>
      <c r="C3102" s="68" t="s">
        <v>1392</v>
      </c>
      <c r="D3102" s="68" t="s">
        <v>1391</v>
      </c>
      <c r="E3102" s="8" t="s">
        <v>535</v>
      </c>
      <c r="F3102" s="8"/>
      <c r="G3102" s="13" t="s">
        <v>176</v>
      </c>
      <c r="H3102" s="20">
        <v>0</v>
      </c>
      <c r="I3102" s="14">
        <f>I3103</f>
        <v>500</v>
      </c>
      <c r="J3102" s="14">
        <f t="shared" si="1356"/>
        <v>500</v>
      </c>
      <c r="K3102" s="78">
        <f t="shared" si="1348"/>
        <v>100</v>
      </c>
      <c r="L3102" s="14">
        <f t="shared" si="1356"/>
        <v>0</v>
      </c>
      <c r="M3102" s="50"/>
      <c r="N3102" s="50"/>
    </row>
    <row r="3103" spans="1:14" ht="31.2" x14ac:dyDescent="0.3">
      <c r="A3103" s="8" t="s">
        <v>1433</v>
      </c>
      <c r="B3103" s="62" t="s">
        <v>939</v>
      </c>
      <c r="C3103" s="68" t="s">
        <v>1392</v>
      </c>
      <c r="D3103" s="68" t="s">
        <v>1391</v>
      </c>
      <c r="E3103" s="8" t="s">
        <v>535</v>
      </c>
      <c r="F3103" s="45" t="s">
        <v>380</v>
      </c>
      <c r="G3103" s="23" t="s">
        <v>809</v>
      </c>
      <c r="H3103" s="20">
        <v>0</v>
      </c>
      <c r="I3103" s="14">
        <f>I3104</f>
        <v>500</v>
      </c>
      <c r="J3103" s="14">
        <f t="shared" si="1356"/>
        <v>500</v>
      </c>
      <c r="K3103" s="78">
        <f t="shared" si="1348"/>
        <v>100</v>
      </c>
      <c r="L3103" s="14">
        <f t="shared" si="1356"/>
        <v>0</v>
      </c>
      <c r="M3103" s="50"/>
      <c r="N3103" s="50"/>
    </row>
    <row r="3104" spans="1:14" ht="31.2" x14ac:dyDescent="0.3">
      <c r="A3104" s="8" t="s">
        <v>1433</v>
      </c>
      <c r="B3104" s="62" t="s">
        <v>939</v>
      </c>
      <c r="C3104" s="68" t="s">
        <v>1392</v>
      </c>
      <c r="D3104" s="68" t="s">
        <v>1391</v>
      </c>
      <c r="E3104" s="8" t="s">
        <v>535</v>
      </c>
      <c r="F3104" s="8" t="s">
        <v>247</v>
      </c>
      <c r="G3104" s="23" t="s">
        <v>810</v>
      </c>
      <c r="H3104" s="20">
        <v>0</v>
      </c>
      <c r="I3104" s="14">
        <v>500</v>
      </c>
      <c r="J3104" s="14">
        <v>500</v>
      </c>
      <c r="K3104" s="78">
        <f t="shared" si="1348"/>
        <v>100</v>
      </c>
      <c r="L3104" s="14"/>
      <c r="M3104" s="50"/>
      <c r="N3104" s="50"/>
    </row>
    <row r="3105" spans="1:14" s="9" customFormat="1" ht="31.2" x14ac:dyDescent="0.3">
      <c r="A3105" s="11" t="s">
        <v>1433</v>
      </c>
      <c r="B3105" s="48" t="s">
        <v>940</v>
      </c>
      <c r="C3105" s="48" t="s">
        <v>1392</v>
      </c>
      <c r="D3105" s="48" t="s">
        <v>1392</v>
      </c>
      <c r="E3105" s="11"/>
      <c r="F3105" s="11"/>
      <c r="G3105" s="7" t="s">
        <v>1424</v>
      </c>
      <c r="H3105" s="16">
        <f t="shared" ref="H3105:L3108" si="1357">H3106</f>
        <v>5871.0320000000002</v>
      </c>
      <c r="I3105" s="16">
        <f t="shared" si="1357"/>
        <v>5871.0320000000002</v>
      </c>
      <c r="J3105" s="16">
        <f t="shared" si="1357"/>
        <v>5871.0320000000002</v>
      </c>
      <c r="K3105" s="82">
        <f t="shared" si="1348"/>
        <v>100</v>
      </c>
      <c r="L3105" s="16">
        <f t="shared" si="1357"/>
        <v>0</v>
      </c>
      <c r="M3105" s="65"/>
      <c r="N3105" s="65"/>
    </row>
    <row r="3106" spans="1:14" ht="31.2" x14ac:dyDescent="0.3">
      <c r="A3106" s="8" t="s">
        <v>1433</v>
      </c>
      <c r="B3106" s="62" t="s">
        <v>940</v>
      </c>
      <c r="C3106" s="68" t="s">
        <v>1392</v>
      </c>
      <c r="D3106" s="68" t="s">
        <v>1392</v>
      </c>
      <c r="E3106" s="8" t="s">
        <v>355</v>
      </c>
      <c r="F3106" s="8"/>
      <c r="G3106" s="13" t="s">
        <v>893</v>
      </c>
      <c r="H3106" s="14">
        <f t="shared" si="1357"/>
        <v>5871.0320000000002</v>
      </c>
      <c r="I3106" s="14">
        <f t="shared" si="1357"/>
        <v>5871.0320000000002</v>
      </c>
      <c r="J3106" s="14">
        <f t="shared" si="1357"/>
        <v>5871.0320000000002</v>
      </c>
      <c r="K3106" s="78">
        <f t="shared" si="1348"/>
        <v>100</v>
      </c>
      <c r="L3106" s="14">
        <f t="shared" si="1357"/>
        <v>0</v>
      </c>
      <c r="M3106" s="50"/>
      <c r="N3106" s="50"/>
    </row>
    <row r="3107" spans="1:14" ht="31.2" x14ac:dyDescent="0.3">
      <c r="A3107" s="8" t="s">
        <v>1433</v>
      </c>
      <c r="B3107" s="62" t="s">
        <v>940</v>
      </c>
      <c r="C3107" s="68" t="s">
        <v>1392</v>
      </c>
      <c r="D3107" s="68" t="s">
        <v>1392</v>
      </c>
      <c r="E3107" s="8" t="s">
        <v>373</v>
      </c>
      <c r="F3107" s="8"/>
      <c r="G3107" s="13" t="s">
        <v>1038</v>
      </c>
      <c r="H3107" s="14">
        <f t="shared" si="1357"/>
        <v>5871.0320000000002</v>
      </c>
      <c r="I3107" s="14">
        <f t="shared" si="1357"/>
        <v>5871.0320000000002</v>
      </c>
      <c r="J3107" s="14">
        <f t="shared" si="1357"/>
        <v>5871.0320000000002</v>
      </c>
      <c r="K3107" s="78">
        <f t="shared" si="1348"/>
        <v>100</v>
      </c>
      <c r="L3107" s="14">
        <f t="shared" si="1357"/>
        <v>0</v>
      </c>
      <c r="M3107" s="50"/>
      <c r="N3107" s="50"/>
    </row>
    <row r="3108" spans="1:14" ht="31.2" x14ac:dyDescent="0.3">
      <c r="A3108" s="8" t="s">
        <v>1433</v>
      </c>
      <c r="B3108" s="62" t="s">
        <v>940</v>
      </c>
      <c r="C3108" s="68" t="s">
        <v>1392</v>
      </c>
      <c r="D3108" s="68" t="s">
        <v>1392</v>
      </c>
      <c r="E3108" s="8" t="s">
        <v>374</v>
      </c>
      <c r="F3108" s="8"/>
      <c r="G3108" s="13" t="s">
        <v>1039</v>
      </c>
      <c r="H3108" s="14">
        <f t="shared" si="1357"/>
        <v>5871.0320000000002</v>
      </c>
      <c r="I3108" s="14">
        <f t="shared" si="1357"/>
        <v>5871.0320000000002</v>
      </c>
      <c r="J3108" s="14">
        <f t="shared" si="1357"/>
        <v>5871.0320000000002</v>
      </c>
      <c r="K3108" s="78">
        <f t="shared" si="1348"/>
        <v>100</v>
      </c>
      <c r="L3108" s="14">
        <f t="shared" si="1357"/>
        <v>0</v>
      </c>
      <c r="M3108" s="50"/>
      <c r="N3108" s="50"/>
    </row>
    <row r="3109" spans="1:14" ht="62.4" x14ac:dyDescent="0.3">
      <c r="A3109" s="8" t="s">
        <v>1433</v>
      </c>
      <c r="B3109" s="62" t="s">
        <v>940</v>
      </c>
      <c r="C3109" s="68" t="s">
        <v>1392</v>
      </c>
      <c r="D3109" s="68" t="s">
        <v>1392</v>
      </c>
      <c r="E3109" s="8" t="s">
        <v>375</v>
      </c>
      <c r="F3109" s="8"/>
      <c r="G3109" s="23" t="s">
        <v>1291</v>
      </c>
      <c r="H3109" s="14">
        <f>H3110+H3112+H3114</f>
        <v>5871.0320000000002</v>
      </c>
      <c r="I3109" s="14">
        <f>I3110+I3112+I3114</f>
        <v>5871.0320000000002</v>
      </c>
      <c r="J3109" s="14">
        <f t="shared" ref="J3109" si="1358">J3110+J3112+J3114</f>
        <v>5871.0320000000002</v>
      </c>
      <c r="K3109" s="78">
        <f t="shared" si="1348"/>
        <v>100</v>
      </c>
      <c r="L3109" s="14">
        <f>L3110+L3112+L3114</f>
        <v>0</v>
      </c>
      <c r="M3109" s="50"/>
      <c r="N3109" s="50"/>
    </row>
    <row r="3110" spans="1:14" ht="78" x14ac:dyDescent="0.3">
      <c r="A3110" s="8" t="s">
        <v>1433</v>
      </c>
      <c r="B3110" s="62" t="s">
        <v>940</v>
      </c>
      <c r="C3110" s="68" t="s">
        <v>1392</v>
      </c>
      <c r="D3110" s="68" t="s">
        <v>1392</v>
      </c>
      <c r="E3110" s="8" t="s">
        <v>375</v>
      </c>
      <c r="F3110" s="45" t="s">
        <v>431</v>
      </c>
      <c r="G3110" s="23" t="s">
        <v>806</v>
      </c>
      <c r="H3110" s="14">
        <f t="shared" ref="H3110:L3110" si="1359">H3111</f>
        <v>4819.2</v>
      </c>
      <c r="I3110" s="14">
        <f t="shared" si="1359"/>
        <v>4820.6680699999997</v>
      </c>
      <c r="J3110" s="14">
        <f t="shared" si="1359"/>
        <v>4820.6680699999997</v>
      </c>
      <c r="K3110" s="78">
        <f t="shared" si="1348"/>
        <v>100</v>
      </c>
      <c r="L3110" s="14">
        <f t="shared" si="1359"/>
        <v>0</v>
      </c>
      <c r="M3110" s="50"/>
      <c r="N3110" s="50"/>
    </row>
    <row r="3111" spans="1:14" x14ac:dyDescent="0.3">
      <c r="A3111" s="8" t="s">
        <v>1433</v>
      </c>
      <c r="B3111" s="62" t="s">
        <v>940</v>
      </c>
      <c r="C3111" s="68" t="s">
        <v>1392</v>
      </c>
      <c r="D3111" s="68" t="s">
        <v>1392</v>
      </c>
      <c r="E3111" s="8" t="s">
        <v>375</v>
      </c>
      <c r="F3111" s="8" t="s">
        <v>719</v>
      </c>
      <c r="G3111" s="23" t="s">
        <v>807</v>
      </c>
      <c r="H3111" s="14">
        <v>4819.2</v>
      </c>
      <c r="I3111" s="14">
        <v>4820.6680699999997</v>
      </c>
      <c r="J3111" s="14">
        <v>4820.6680699999997</v>
      </c>
      <c r="K3111" s="78">
        <f t="shared" si="1348"/>
        <v>100</v>
      </c>
      <c r="L3111" s="14"/>
      <c r="M3111" s="50"/>
      <c r="N3111" s="50"/>
    </row>
    <row r="3112" spans="1:14" ht="31.2" x14ac:dyDescent="0.3">
      <c r="A3112" s="8" t="s">
        <v>1433</v>
      </c>
      <c r="B3112" s="62" t="s">
        <v>940</v>
      </c>
      <c r="C3112" s="68" t="s">
        <v>1392</v>
      </c>
      <c r="D3112" s="68" t="s">
        <v>1392</v>
      </c>
      <c r="E3112" s="8" t="s">
        <v>375</v>
      </c>
      <c r="F3112" s="45" t="s">
        <v>380</v>
      </c>
      <c r="G3112" s="23" t="s">
        <v>809</v>
      </c>
      <c r="H3112" s="14">
        <f t="shared" ref="H3112:L3112" si="1360">H3113</f>
        <v>1048.6320000000001</v>
      </c>
      <c r="I3112" s="14">
        <f t="shared" si="1360"/>
        <v>1046.72</v>
      </c>
      <c r="J3112" s="14">
        <f t="shared" si="1360"/>
        <v>1046.72</v>
      </c>
      <c r="K3112" s="78">
        <f t="shared" si="1348"/>
        <v>100</v>
      </c>
      <c r="L3112" s="14">
        <f t="shared" si="1360"/>
        <v>0</v>
      </c>
      <c r="M3112" s="50"/>
      <c r="N3112" s="50"/>
    </row>
    <row r="3113" spans="1:14" ht="31.2" x14ac:dyDescent="0.3">
      <c r="A3113" s="8" t="s">
        <v>1433</v>
      </c>
      <c r="B3113" s="62" t="s">
        <v>940</v>
      </c>
      <c r="C3113" s="68" t="s">
        <v>1392</v>
      </c>
      <c r="D3113" s="68" t="s">
        <v>1392</v>
      </c>
      <c r="E3113" s="8" t="s">
        <v>375</v>
      </c>
      <c r="F3113" s="8" t="s">
        <v>247</v>
      </c>
      <c r="G3113" s="23" t="s">
        <v>810</v>
      </c>
      <c r="H3113" s="14">
        <f>1208.9-160.268</f>
        <v>1048.6320000000001</v>
      </c>
      <c r="I3113" s="14">
        <v>1046.72</v>
      </c>
      <c r="J3113" s="14">
        <v>1046.72</v>
      </c>
      <c r="K3113" s="78">
        <f t="shared" si="1348"/>
        <v>100</v>
      </c>
      <c r="L3113" s="14"/>
      <c r="M3113" s="50"/>
      <c r="N3113" s="50"/>
    </row>
    <row r="3114" spans="1:14" x14ac:dyDescent="0.3">
      <c r="A3114" s="8" t="s">
        <v>1433</v>
      </c>
      <c r="B3114" s="62" t="s">
        <v>940</v>
      </c>
      <c r="C3114" s="68" t="s">
        <v>1392</v>
      </c>
      <c r="D3114" s="68" t="s">
        <v>1392</v>
      </c>
      <c r="E3114" s="8" t="s">
        <v>375</v>
      </c>
      <c r="F3114" s="45" t="s">
        <v>464</v>
      </c>
      <c r="G3114" s="23" t="s">
        <v>822</v>
      </c>
      <c r="H3114" s="14">
        <f t="shared" ref="H3114:L3114" si="1361">H3115</f>
        <v>3.2</v>
      </c>
      <c r="I3114" s="14">
        <f t="shared" si="1361"/>
        <v>3.6439300000000001</v>
      </c>
      <c r="J3114" s="14">
        <f t="shared" si="1361"/>
        <v>3.6439300000000001</v>
      </c>
      <c r="K3114" s="78">
        <f t="shared" si="1348"/>
        <v>100</v>
      </c>
      <c r="L3114" s="14">
        <f t="shared" si="1361"/>
        <v>0</v>
      </c>
      <c r="M3114" s="50"/>
      <c r="N3114" s="50"/>
    </row>
    <row r="3115" spans="1:14" x14ac:dyDescent="0.3">
      <c r="A3115" s="8" t="s">
        <v>1433</v>
      </c>
      <c r="B3115" s="62" t="s">
        <v>940</v>
      </c>
      <c r="C3115" s="68" t="s">
        <v>1392</v>
      </c>
      <c r="D3115" s="68" t="s">
        <v>1392</v>
      </c>
      <c r="E3115" s="8" t="s">
        <v>375</v>
      </c>
      <c r="F3115" s="45" t="s">
        <v>729</v>
      </c>
      <c r="G3115" s="23" t="s">
        <v>824</v>
      </c>
      <c r="H3115" s="14">
        <v>3.2</v>
      </c>
      <c r="I3115" s="14">
        <v>3.6439300000000001</v>
      </c>
      <c r="J3115" s="14">
        <v>3.6439300000000001</v>
      </c>
      <c r="K3115" s="78">
        <f t="shared" si="1348"/>
        <v>100</v>
      </c>
      <c r="L3115" s="14"/>
      <c r="M3115" s="50"/>
      <c r="N3115" s="50"/>
    </row>
    <row r="3116" spans="1:14" s="3" customFormat="1" x14ac:dyDescent="0.3">
      <c r="A3116" s="10" t="s">
        <v>1433</v>
      </c>
      <c r="B3116" s="43" t="s">
        <v>1374</v>
      </c>
      <c r="C3116" s="43" t="s">
        <v>1374</v>
      </c>
      <c r="D3116" s="43" t="s">
        <v>915</v>
      </c>
      <c r="E3116" s="10"/>
      <c r="F3116" s="10"/>
      <c r="G3116" s="5" t="s">
        <v>1378</v>
      </c>
      <c r="H3116" s="15">
        <f t="shared" ref="H3116:L3118" si="1362">H3117</f>
        <v>276.10000000000002</v>
      </c>
      <c r="I3116" s="15">
        <f t="shared" si="1362"/>
        <v>276.10000000000002</v>
      </c>
      <c r="J3116" s="15">
        <f t="shared" si="1362"/>
        <v>276.10000000000002</v>
      </c>
      <c r="K3116" s="81">
        <f t="shared" si="1348"/>
        <v>100</v>
      </c>
      <c r="L3116" s="15">
        <f t="shared" si="1362"/>
        <v>0</v>
      </c>
      <c r="M3116" s="65"/>
      <c r="N3116" s="65"/>
    </row>
    <row r="3117" spans="1:14" s="9" customFormat="1" x14ac:dyDescent="0.3">
      <c r="A3117" s="11" t="s">
        <v>1433</v>
      </c>
      <c r="B3117" s="48" t="s">
        <v>924</v>
      </c>
      <c r="C3117" s="48" t="s">
        <v>1374</v>
      </c>
      <c r="D3117" s="48" t="s">
        <v>1374</v>
      </c>
      <c r="E3117" s="11"/>
      <c r="F3117" s="11"/>
      <c r="G3117" s="7" t="s">
        <v>1221</v>
      </c>
      <c r="H3117" s="16">
        <f t="shared" si="1362"/>
        <v>276.10000000000002</v>
      </c>
      <c r="I3117" s="16">
        <f t="shared" si="1362"/>
        <v>276.10000000000002</v>
      </c>
      <c r="J3117" s="16">
        <f t="shared" si="1362"/>
        <v>276.10000000000002</v>
      </c>
      <c r="K3117" s="82">
        <f t="shared" si="1348"/>
        <v>100</v>
      </c>
      <c r="L3117" s="16">
        <f t="shared" si="1362"/>
        <v>0</v>
      </c>
      <c r="M3117" s="65"/>
      <c r="N3117" s="65"/>
    </row>
    <row r="3118" spans="1:14" x14ac:dyDescent="0.3">
      <c r="A3118" s="8" t="s">
        <v>1433</v>
      </c>
      <c r="B3118" s="62" t="s">
        <v>924</v>
      </c>
      <c r="C3118" s="68" t="s">
        <v>1374</v>
      </c>
      <c r="D3118" s="68" t="s">
        <v>1374</v>
      </c>
      <c r="E3118" s="8" t="s">
        <v>390</v>
      </c>
      <c r="F3118" s="8"/>
      <c r="G3118" s="13" t="s">
        <v>862</v>
      </c>
      <c r="H3118" s="14">
        <f t="shared" si="1362"/>
        <v>276.10000000000002</v>
      </c>
      <c r="I3118" s="14">
        <f t="shared" si="1362"/>
        <v>276.10000000000002</v>
      </c>
      <c r="J3118" s="14">
        <f t="shared" si="1362"/>
        <v>276.10000000000002</v>
      </c>
      <c r="K3118" s="78">
        <f t="shared" si="1348"/>
        <v>100</v>
      </c>
      <c r="L3118" s="14">
        <f t="shared" si="1362"/>
        <v>0</v>
      </c>
      <c r="M3118" s="50"/>
      <c r="N3118" s="50"/>
    </row>
    <row r="3119" spans="1:14" ht="46.8" x14ac:dyDescent="0.3">
      <c r="A3119" s="8" t="s">
        <v>1433</v>
      </c>
      <c r="B3119" s="62" t="s">
        <v>924</v>
      </c>
      <c r="C3119" s="68" t="s">
        <v>1374</v>
      </c>
      <c r="D3119" s="68" t="s">
        <v>1374</v>
      </c>
      <c r="E3119" s="8" t="s">
        <v>59</v>
      </c>
      <c r="F3119" s="8"/>
      <c r="G3119" s="23" t="s">
        <v>1295</v>
      </c>
      <c r="H3119" s="14">
        <f t="shared" ref="H3119:L3122" si="1363">H3120</f>
        <v>276.10000000000002</v>
      </c>
      <c r="I3119" s="14">
        <f t="shared" si="1363"/>
        <v>276.10000000000002</v>
      </c>
      <c r="J3119" s="14">
        <f t="shared" si="1363"/>
        <v>276.10000000000002</v>
      </c>
      <c r="K3119" s="78">
        <f t="shared" si="1348"/>
        <v>100</v>
      </c>
      <c r="L3119" s="14">
        <f t="shared" si="1363"/>
        <v>0</v>
      </c>
      <c r="M3119" s="50"/>
      <c r="N3119" s="50"/>
    </row>
    <row r="3120" spans="1:14" ht="31.2" x14ac:dyDescent="0.3">
      <c r="A3120" s="8" t="s">
        <v>1433</v>
      </c>
      <c r="B3120" s="62" t="s">
        <v>924</v>
      </c>
      <c r="C3120" s="68" t="s">
        <v>1374</v>
      </c>
      <c r="D3120" s="68" t="s">
        <v>1374</v>
      </c>
      <c r="E3120" s="8" t="s">
        <v>60</v>
      </c>
      <c r="F3120" s="8"/>
      <c r="G3120" s="23" t="s">
        <v>1296</v>
      </c>
      <c r="H3120" s="14">
        <f t="shared" si="1363"/>
        <v>276.10000000000002</v>
      </c>
      <c r="I3120" s="14">
        <f t="shared" si="1363"/>
        <v>276.10000000000002</v>
      </c>
      <c r="J3120" s="14">
        <f t="shared" si="1363"/>
        <v>276.10000000000002</v>
      </c>
      <c r="K3120" s="78">
        <f t="shared" si="1348"/>
        <v>100</v>
      </c>
      <c r="L3120" s="14">
        <f t="shared" si="1363"/>
        <v>0</v>
      </c>
      <c r="M3120" s="50"/>
      <c r="N3120" s="50"/>
    </row>
    <row r="3121" spans="1:14" ht="62.4" x14ac:dyDescent="0.3">
      <c r="A3121" s="8" t="s">
        <v>1433</v>
      </c>
      <c r="B3121" s="62" t="s">
        <v>924</v>
      </c>
      <c r="C3121" s="68" t="s">
        <v>1374</v>
      </c>
      <c r="D3121" s="68" t="s">
        <v>1374</v>
      </c>
      <c r="E3121" s="8" t="s">
        <v>62</v>
      </c>
      <c r="F3121" s="8"/>
      <c r="G3121" s="18" t="s">
        <v>298</v>
      </c>
      <c r="H3121" s="14">
        <f t="shared" si="1363"/>
        <v>276.10000000000002</v>
      </c>
      <c r="I3121" s="14">
        <f t="shared" si="1363"/>
        <v>276.10000000000002</v>
      </c>
      <c r="J3121" s="14">
        <f t="shared" si="1363"/>
        <v>276.10000000000002</v>
      </c>
      <c r="K3121" s="78">
        <f t="shared" si="1348"/>
        <v>100</v>
      </c>
      <c r="L3121" s="14">
        <f t="shared" si="1363"/>
        <v>0</v>
      </c>
      <c r="M3121" s="50"/>
      <c r="N3121" s="50"/>
    </row>
    <row r="3122" spans="1:14" ht="31.2" x14ac:dyDescent="0.3">
      <c r="A3122" s="8" t="s">
        <v>1433</v>
      </c>
      <c r="B3122" s="62" t="s">
        <v>924</v>
      </c>
      <c r="C3122" s="68" t="s">
        <v>1374</v>
      </c>
      <c r="D3122" s="68" t="s">
        <v>1374</v>
      </c>
      <c r="E3122" s="8" t="s">
        <v>62</v>
      </c>
      <c r="F3122" s="45" t="s">
        <v>402</v>
      </c>
      <c r="G3122" s="23" t="s">
        <v>819</v>
      </c>
      <c r="H3122" s="14">
        <f t="shared" si="1363"/>
        <v>276.10000000000002</v>
      </c>
      <c r="I3122" s="14">
        <f t="shared" si="1363"/>
        <v>276.10000000000002</v>
      </c>
      <c r="J3122" s="14">
        <f t="shared" si="1363"/>
        <v>276.10000000000002</v>
      </c>
      <c r="K3122" s="78">
        <f t="shared" si="1348"/>
        <v>100</v>
      </c>
      <c r="L3122" s="14">
        <f t="shared" si="1363"/>
        <v>0</v>
      </c>
      <c r="M3122" s="50"/>
      <c r="N3122" s="50"/>
    </row>
    <row r="3123" spans="1:14" ht="46.8" x14ac:dyDescent="0.3">
      <c r="A3123" s="8" t="s">
        <v>1433</v>
      </c>
      <c r="B3123" s="62" t="s">
        <v>924</v>
      </c>
      <c r="C3123" s="68" t="s">
        <v>1374</v>
      </c>
      <c r="D3123" s="68" t="s">
        <v>1374</v>
      </c>
      <c r="E3123" s="8" t="s">
        <v>62</v>
      </c>
      <c r="F3123" s="45" t="s">
        <v>280</v>
      </c>
      <c r="G3123" s="23" t="s">
        <v>821</v>
      </c>
      <c r="H3123" s="14">
        <f>150.6+125.5</f>
        <v>276.10000000000002</v>
      </c>
      <c r="I3123" s="14">
        <v>276.10000000000002</v>
      </c>
      <c r="J3123" s="14">
        <v>276.10000000000002</v>
      </c>
      <c r="K3123" s="78">
        <f t="shared" si="1348"/>
        <v>100</v>
      </c>
      <c r="L3123" s="14"/>
      <c r="M3123" s="50"/>
      <c r="N3123" s="50"/>
    </row>
    <row r="3124" spans="1:14" s="3" customFormat="1" x14ac:dyDescent="0.3">
      <c r="A3124" s="10" t="s">
        <v>1433</v>
      </c>
      <c r="B3124" s="43" t="s">
        <v>1402</v>
      </c>
      <c r="C3124" s="43" t="s">
        <v>1402</v>
      </c>
      <c r="D3124" s="43" t="s">
        <v>915</v>
      </c>
      <c r="E3124" s="10"/>
      <c r="F3124" s="10"/>
      <c r="G3124" s="5" t="s">
        <v>1405</v>
      </c>
      <c r="H3124" s="15">
        <f t="shared" ref="H3124:L3126" si="1364">H3125</f>
        <v>1045.694</v>
      </c>
      <c r="I3124" s="15">
        <f t="shared" si="1364"/>
        <v>1405.694</v>
      </c>
      <c r="J3124" s="15">
        <f t="shared" si="1364"/>
        <v>1405.5549899999999</v>
      </c>
      <c r="K3124" s="81">
        <f t="shared" si="1348"/>
        <v>99.990110934527706</v>
      </c>
      <c r="L3124" s="15">
        <f t="shared" si="1364"/>
        <v>0</v>
      </c>
      <c r="M3124" s="65"/>
      <c r="N3124" s="65"/>
    </row>
    <row r="3125" spans="1:14" s="9" customFormat="1" x14ac:dyDescent="0.3">
      <c r="A3125" s="11" t="s">
        <v>1433</v>
      </c>
      <c r="B3125" s="48" t="s">
        <v>926</v>
      </c>
      <c r="C3125" s="48" t="s">
        <v>1402</v>
      </c>
      <c r="D3125" s="48" t="s">
        <v>1372</v>
      </c>
      <c r="E3125" s="11"/>
      <c r="F3125" s="11"/>
      <c r="G3125" s="7" t="s">
        <v>1406</v>
      </c>
      <c r="H3125" s="16">
        <f t="shared" si="1364"/>
        <v>1045.694</v>
      </c>
      <c r="I3125" s="16">
        <f>I3126+I3132</f>
        <v>1405.694</v>
      </c>
      <c r="J3125" s="16">
        <f t="shared" ref="J3125:L3125" si="1365">J3126+J3132</f>
        <v>1405.5549899999999</v>
      </c>
      <c r="K3125" s="82">
        <f t="shared" si="1348"/>
        <v>99.990110934527706</v>
      </c>
      <c r="L3125" s="16">
        <f t="shared" si="1365"/>
        <v>0</v>
      </c>
      <c r="M3125" s="65"/>
      <c r="N3125" s="65"/>
    </row>
    <row r="3126" spans="1:14" x14ac:dyDescent="0.3">
      <c r="A3126" s="8" t="s">
        <v>1433</v>
      </c>
      <c r="B3126" s="62" t="s">
        <v>926</v>
      </c>
      <c r="C3126" s="68" t="s">
        <v>1402</v>
      </c>
      <c r="D3126" s="68" t="s">
        <v>1372</v>
      </c>
      <c r="E3126" s="8" t="s">
        <v>387</v>
      </c>
      <c r="F3126" s="8"/>
      <c r="G3126" s="18" t="s">
        <v>851</v>
      </c>
      <c r="H3126" s="14">
        <f t="shared" si="1364"/>
        <v>1045.694</v>
      </c>
      <c r="I3126" s="14">
        <f t="shared" si="1364"/>
        <v>1045.694</v>
      </c>
      <c r="J3126" s="14">
        <f t="shared" si="1364"/>
        <v>1045.6485399999999</v>
      </c>
      <c r="K3126" s="78">
        <f t="shared" si="1348"/>
        <v>99.995652647906553</v>
      </c>
      <c r="L3126" s="14">
        <f t="shared" si="1364"/>
        <v>0</v>
      </c>
      <c r="M3126" s="50"/>
      <c r="N3126" s="50"/>
    </row>
    <row r="3127" spans="1:14" ht="31.2" x14ac:dyDescent="0.3">
      <c r="A3127" s="8" t="s">
        <v>1433</v>
      </c>
      <c r="B3127" s="62" t="s">
        <v>926</v>
      </c>
      <c r="C3127" s="68" t="s">
        <v>1402</v>
      </c>
      <c r="D3127" s="68" t="s">
        <v>1372</v>
      </c>
      <c r="E3127" s="8" t="s">
        <v>410</v>
      </c>
      <c r="F3127" s="8"/>
      <c r="G3127" s="13" t="s">
        <v>852</v>
      </c>
      <c r="H3127" s="14">
        <f t="shared" ref="H3127:L3130" si="1366">H3128</f>
        <v>1045.694</v>
      </c>
      <c r="I3127" s="14">
        <f t="shared" si="1366"/>
        <v>1045.694</v>
      </c>
      <c r="J3127" s="14">
        <f t="shared" si="1366"/>
        <v>1045.6485399999999</v>
      </c>
      <c r="K3127" s="78">
        <f t="shared" si="1348"/>
        <v>99.995652647906553</v>
      </c>
      <c r="L3127" s="14">
        <f t="shared" si="1366"/>
        <v>0</v>
      </c>
      <c r="M3127" s="50"/>
      <c r="N3127" s="50"/>
    </row>
    <row r="3128" spans="1:14" ht="31.2" x14ac:dyDescent="0.3">
      <c r="A3128" s="8" t="s">
        <v>1433</v>
      </c>
      <c r="B3128" s="62" t="s">
        <v>926</v>
      </c>
      <c r="C3128" s="68" t="s">
        <v>1402</v>
      </c>
      <c r="D3128" s="68" t="s">
        <v>1372</v>
      </c>
      <c r="E3128" s="8" t="s">
        <v>411</v>
      </c>
      <c r="F3128" s="8"/>
      <c r="G3128" s="13" t="s">
        <v>853</v>
      </c>
      <c r="H3128" s="14">
        <f t="shared" si="1366"/>
        <v>1045.694</v>
      </c>
      <c r="I3128" s="14">
        <f t="shared" si="1366"/>
        <v>1045.694</v>
      </c>
      <c r="J3128" s="14">
        <f t="shared" si="1366"/>
        <v>1045.6485399999999</v>
      </c>
      <c r="K3128" s="78">
        <f t="shared" si="1348"/>
        <v>99.995652647906553</v>
      </c>
      <c r="L3128" s="14">
        <f t="shared" si="1366"/>
        <v>0</v>
      </c>
      <c r="M3128" s="50"/>
      <c r="N3128" s="50"/>
    </row>
    <row r="3129" spans="1:14" ht="31.2" x14ac:dyDescent="0.3">
      <c r="A3129" s="8" t="s">
        <v>1433</v>
      </c>
      <c r="B3129" s="62" t="s">
        <v>926</v>
      </c>
      <c r="C3129" s="68" t="s">
        <v>1402</v>
      </c>
      <c r="D3129" s="68" t="s">
        <v>1372</v>
      </c>
      <c r="E3129" s="8" t="s">
        <v>413</v>
      </c>
      <c r="F3129" s="8"/>
      <c r="G3129" s="13" t="s">
        <v>855</v>
      </c>
      <c r="H3129" s="14">
        <f t="shared" si="1366"/>
        <v>1045.694</v>
      </c>
      <c r="I3129" s="14">
        <f t="shared" si="1366"/>
        <v>1045.694</v>
      </c>
      <c r="J3129" s="14">
        <f t="shared" si="1366"/>
        <v>1045.6485399999999</v>
      </c>
      <c r="K3129" s="78">
        <f t="shared" si="1348"/>
        <v>99.995652647906553</v>
      </c>
      <c r="L3129" s="14">
        <f t="shared" si="1366"/>
        <v>0</v>
      </c>
      <c r="M3129" s="50"/>
      <c r="N3129" s="50"/>
    </row>
    <row r="3130" spans="1:14" ht="31.2" x14ac:dyDescent="0.3">
      <c r="A3130" s="8" t="s">
        <v>1433</v>
      </c>
      <c r="B3130" s="62" t="s">
        <v>926</v>
      </c>
      <c r="C3130" s="68" t="s">
        <v>1402</v>
      </c>
      <c r="D3130" s="68" t="s">
        <v>1372</v>
      </c>
      <c r="E3130" s="8" t="s">
        <v>413</v>
      </c>
      <c r="F3130" s="45" t="s">
        <v>380</v>
      </c>
      <c r="G3130" s="23" t="s">
        <v>809</v>
      </c>
      <c r="H3130" s="14">
        <f t="shared" si="1366"/>
        <v>1045.694</v>
      </c>
      <c r="I3130" s="14">
        <f t="shared" si="1366"/>
        <v>1045.694</v>
      </c>
      <c r="J3130" s="14">
        <f t="shared" si="1366"/>
        <v>1045.6485399999999</v>
      </c>
      <c r="K3130" s="78">
        <f t="shared" si="1348"/>
        <v>99.995652647906553</v>
      </c>
      <c r="L3130" s="14">
        <f t="shared" si="1366"/>
        <v>0</v>
      </c>
      <c r="M3130" s="50"/>
      <c r="N3130" s="50"/>
    </row>
    <row r="3131" spans="1:14" ht="31.2" x14ac:dyDescent="0.3">
      <c r="A3131" s="8" t="s">
        <v>1433</v>
      </c>
      <c r="B3131" s="62" t="s">
        <v>926</v>
      </c>
      <c r="C3131" s="68" t="s">
        <v>1402</v>
      </c>
      <c r="D3131" s="68" t="s">
        <v>1372</v>
      </c>
      <c r="E3131" s="8" t="s">
        <v>413</v>
      </c>
      <c r="F3131" s="8" t="s">
        <v>247</v>
      </c>
      <c r="G3131" s="23" t="s">
        <v>810</v>
      </c>
      <c r="H3131" s="14">
        <f>1071.5-25.806</f>
        <v>1045.694</v>
      </c>
      <c r="I3131" s="14">
        <v>1045.694</v>
      </c>
      <c r="J3131" s="14">
        <v>1045.6485399999999</v>
      </c>
      <c r="K3131" s="78">
        <f t="shared" si="1348"/>
        <v>99.995652647906553</v>
      </c>
      <c r="L3131" s="14"/>
      <c r="M3131" s="50"/>
      <c r="N3131" s="50"/>
    </row>
    <row r="3132" spans="1:14" ht="31.2" x14ac:dyDescent="0.3">
      <c r="A3132" s="8" t="s">
        <v>1433</v>
      </c>
      <c r="B3132" s="62" t="s">
        <v>926</v>
      </c>
      <c r="C3132" s="68" t="s">
        <v>1402</v>
      </c>
      <c r="D3132" s="68" t="s">
        <v>1372</v>
      </c>
      <c r="E3132" s="8" t="s">
        <v>429</v>
      </c>
      <c r="F3132" s="8"/>
      <c r="G3132" s="13" t="s">
        <v>1140</v>
      </c>
      <c r="H3132" s="20">
        <v>0</v>
      </c>
      <c r="I3132" s="14">
        <f>I3133</f>
        <v>360</v>
      </c>
      <c r="J3132" s="14">
        <f t="shared" ref="J3132:L3134" si="1367">J3133</f>
        <v>359.90645000000001</v>
      </c>
      <c r="K3132" s="78">
        <f t="shared" si="1348"/>
        <v>99.974013888888891</v>
      </c>
      <c r="L3132" s="14">
        <f t="shared" si="1367"/>
        <v>0</v>
      </c>
      <c r="M3132" s="50"/>
      <c r="N3132" s="50"/>
    </row>
    <row r="3133" spans="1:14" ht="46.8" x14ac:dyDescent="0.3">
      <c r="A3133" s="8" t="s">
        <v>1433</v>
      </c>
      <c r="B3133" s="62" t="s">
        <v>926</v>
      </c>
      <c r="C3133" s="68" t="s">
        <v>1402</v>
      </c>
      <c r="D3133" s="68" t="s">
        <v>1372</v>
      </c>
      <c r="E3133" s="8" t="s">
        <v>535</v>
      </c>
      <c r="F3133" s="8"/>
      <c r="G3133" s="13" t="s">
        <v>176</v>
      </c>
      <c r="H3133" s="20">
        <v>0</v>
      </c>
      <c r="I3133" s="14">
        <f>I3134</f>
        <v>360</v>
      </c>
      <c r="J3133" s="14">
        <f t="shared" si="1367"/>
        <v>359.90645000000001</v>
      </c>
      <c r="K3133" s="78">
        <f t="shared" si="1348"/>
        <v>99.974013888888891</v>
      </c>
      <c r="L3133" s="14">
        <f t="shared" si="1367"/>
        <v>0</v>
      </c>
      <c r="M3133" s="50"/>
      <c r="N3133" s="50"/>
    </row>
    <row r="3134" spans="1:14" ht="31.2" x14ac:dyDescent="0.3">
      <c r="A3134" s="8" t="s">
        <v>1433</v>
      </c>
      <c r="B3134" s="62" t="s">
        <v>926</v>
      </c>
      <c r="C3134" s="68" t="s">
        <v>1402</v>
      </c>
      <c r="D3134" s="68" t="s">
        <v>1372</v>
      </c>
      <c r="E3134" s="8" t="s">
        <v>535</v>
      </c>
      <c r="F3134" s="45" t="s">
        <v>380</v>
      </c>
      <c r="G3134" s="23" t="s">
        <v>809</v>
      </c>
      <c r="H3134" s="20">
        <v>0</v>
      </c>
      <c r="I3134" s="14">
        <f>I3135</f>
        <v>360</v>
      </c>
      <c r="J3134" s="14">
        <f t="shared" si="1367"/>
        <v>359.90645000000001</v>
      </c>
      <c r="K3134" s="78">
        <f t="shared" si="1348"/>
        <v>99.974013888888891</v>
      </c>
      <c r="L3134" s="14">
        <f t="shared" si="1367"/>
        <v>0</v>
      </c>
      <c r="M3134" s="50"/>
      <c r="N3134" s="50"/>
    </row>
    <row r="3135" spans="1:14" ht="31.2" x14ac:dyDescent="0.3">
      <c r="A3135" s="8" t="s">
        <v>1433</v>
      </c>
      <c r="B3135" s="62" t="s">
        <v>926</v>
      </c>
      <c r="C3135" s="68" t="s">
        <v>1402</v>
      </c>
      <c r="D3135" s="68" t="s">
        <v>1372</v>
      </c>
      <c r="E3135" s="8" t="s">
        <v>535</v>
      </c>
      <c r="F3135" s="8" t="s">
        <v>247</v>
      </c>
      <c r="G3135" s="23" t="s">
        <v>810</v>
      </c>
      <c r="H3135" s="20">
        <v>0</v>
      </c>
      <c r="I3135" s="14">
        <v>360</v>
      </c>
      <c r="J3135" s="14">
        <v>359.90645000000001</v>
      </c>
      <c r="K3135" s="78">
        <f t="shared" si="1348"/>
        <v>99.974013888888891</v>
      </c>
      <c r="L3135" s="14"/>
      <c r="M3135" s="50"/>
      <c r="N3135" s="50"/>
    </row>
    <row r="3136" spans="1:14" s="3" customFormat="1" x14ac:dyDescent="0.3">
      <c r="A3136" s="10" t="s">
        <v>1433</v>
      </c>
      <c r="B3136" s="43" t="s">
        <v>1382</v>
      </c>
      <c r="C3136" s="43" t="s">
        <v>1382</v>
      </c>
      <c r="D3136" s="43" t="s">
        <v>915</v>
      </c>
      <c r="E3136" s="10"/>
      <c r="F3136" s="10"/>
      <c r="G3136" s="5" t="s">
        <v>1417</v>
      </c>
      <c r="H3136" s="15">
        <f t="shared" ref="H3136:L3141" si="1368">H3137</f>
        <v>89.4</v>
      </c>
      <c r="I3136" s="15">
        <f t="shared" si="1368"/>
        <v>119.4</v>
      </c>
      <c r="J3136" s="15">
        <f t="shared" si="1368"/>
        <v>119.4</v>
      </c>
      <c r="K3136" s="81">
        <f t="shared" si="1348"/>
        <v>100</v>
      </c>
      <c r="L3136" s="15">
        <f t="shared" si="1368"/>
        <v>0</v>
      </c>
      <c r="M3136" s="65"/>
      <c r="N3136" s="65"/>
    </row>
    <row r="3137" spans="1:14" s="9" customFormat="1" x14ac:dyDescent="0.3">
      <c r="A3137" s="11" t="s">
        <v>1433</v>
      </c>
      <c r="B3137" s="48" t="s">
        <v>914</v>
      </c>
      <c r="C3137" s="48" t="s">
        <v>1382</v>
      </c>
      <c r="D3137" s="48" t="s">
        <v>1478</v>
      </c>
      <c r="E3137" s="11"/>
      <c r="F3137" s="11"/>
      <c r="G3137" s="7" t="s">
        <v>1425</v>
      </c>
      <c r="H3137" s="16">
        <f t="shared" si="1368"/>
        <v>89.4</v>
      </c>
      <c r="I3137" s="16">
        <f>I3138+I3143</f>
        <v>119.4</v>
      </c>
      <c r="J3137" s="16">
        <f t="shared" ref="J3137:L3137" si="1369">J3138+J3143</f>
        <v>119.4</v>
      </c>
      <c r="K3137" s="82">
        <f t="shared" si="1348"/>
        <v>100</v>
      </c>
      <c r="L3137" s="16">
        <f t="shared" si="1369"/>
        <v>0</v>
      </c>
      <c r="M3137" s="65"/>
      <c r="N3137" s="65"/>
    </row>
    <row r="3138" spans="1:14" ht="31.2" x14ac:dyDescent="0.3">
      <c r="A3138" s="8" t="s">
        <v>1433</v>
      </c>
      <c r="B3138" s="62" t="s">
        <v>914</v>
      </c>
      <c r="C3138" s="68" t="s">
        <v>1382</v>
      </c>
      <c r="D3138" s="68" t="s">
        <v>1478</v>
      </c>
      <c r="E3138" s="8" t="s">
        <v>446</v>
      </c>
      <c r="F3138" s="8"/>
      <c r="G3138" s="23" t="s">
        <v>864</v>
      </c>
      <c r="H3138" s="14">
        <f t="shared" si="1368"/>
        <v>89.4</v>
      </c>
      <c r="I3138" s="14">
        <f t="shared" si="1368"/>
        <v>89.4</v>
      </c>
      <c r="J3138" s="14">
        <f t="shared" si="1368"/>
        <v>89.4</v>
      </c>
      <c r="K3138" s="78">
        <f t="shared" si="1348"/>
        <v>100</v>
      </c>
      <c r="L3138" s="14">
        <f t="shared" si="1368"/>
        <v>0</v>
      </c>
      <c r="M3138" s="50"/>
      <c r="N3138" s="50"/>
    </row>
    <row r="3139" spans="1:14" ht="31.2" x14ac:dyDescent="0.3">
      <c r="A3139" s="8" t="s">
        <v>1433</v>
      </c>
      <c r="B3139" s="62" t="s">
        <v>914</v>
      </c>
      <c r="C3139" s="68" t="s">
        <v>1382</v>
      </c>
      <c r="D3139" s="68" t="s">
        <v>1478</v>
      </c>
      <c r="E3139" s="8" t="s">
        <v>666</v>
      </c>
      <c r="F3139" s="8"/>
      <c r="G3139" s="13" t="s">
        <v>1167</v>
      </c>
      <c r="H3139" s="14">
        <f t="shared" si="1368"/>
        <v>89.4</v>
      </c>
      <c r="I3139" s="14">
        <f t="shared" si="1368"/>
        <v>89.4</v>
      </c>
      <c r="J3139" s="14">
        <f t="shared" si="1368"/>
        <v>89.4</v>
      </c>
      <c r="K3139" s="78">
        <f t="shared" si="1348"/>
        <v>100</v>
      </c>
      <c r="L3139" s="14">
        <f t="shared" si="1368"/>
        <v>0</v>
      </c>
      <c r="M3139" s="50"/>
      <c r="N3139" s="50"/>
    </row>
    <row r="3140" spans="1:14" ht="62.4" x14ac:dyDescent="0.3">
      <c r="A3140" s="8" t="s">
        <v>1433</v>
      </c>
      <c r="B3140" s="62" t="s">
        <v>914</v>
      </c>
      <c r="C3140" s="68" t="s">
        <v>1382</v>
      </c>
      <c r="D3140" s="68" t="s">
        <v>1478</v>
      </c>
      <c r="E3140" s="8" t="s">
        <v>674</v>
      </c>
      <c r="F3140" s="8"/>
      <c r="G3140" s="18" t="s">
        <v>1184</v>
      </c>
      <c r="H3140" s="14">
        <f t="shared" si="1368"/>
        <v>89.4</v>
      </c>
      <c r="I3140" s="14">
        <f t="shared" si="1368"/>
        <v>89.4</v>
      </c>
      <c r="J3140" s="14">
        <f t="shared" si="1368"/>
        <v>89.4</v>
      </c>
      <c r="K3140" s="78">
        <f t="shared" si="1348"/>
        <v>100</v>
      </c>
      <c r="L3140" s="14">
        <f t="shared" si="1368"/>
        <v>0</v>
      </c>
      <c r="M3140" s="50"/>
      <c r="N3140" s="50"/>
    </row>
    <row r="3141" spans="1:14" ht="31.2" x14ac:dyDescent="0.3">
      <c r="A3141" s="8" t="s">
        <v>1433</v>
      </c>
      <c r="B3141" s="62" t="s">
        <v>914</v>
      </c>
      <c r="C3141" s="68" t="s">
        <v>1382</v>
      </c>
      <c r="D3141" s="68" t="s">
        <v>1478</v>
      </c>
      <c r="E3141" s="8" t="s">
        <v>674</v>
      </c>
      <c r="F3141" s="45" t="s">
        <v>380</v>
      </c>
      <c r="G3141" s="23" t="s">
        <v>809</v>
      </c>
      <c r="H3141" s="14">
        <f t="shared" si="1368"/>
        <v>89.4</v>
      </c>
      <c r="I3141" s="14">
        <f t="shared" si="1368"/>
        <v>89.4</v>
      </c>
      <c r="J3141" s="14">
        <f t="shared" si="1368"/>
        <v>89.4</v>
      </c>
      <c r="K3141" s="78">
        <f t="shared" si="1348"/>
        <v>100</v>
      </c>
      <c r="L3141" s="14">
        <f t="shared" si="1368"/>
        <v>0</v>
      </c>
      <c r="M3141" s="50"/>
      <c r="N3141" s="50"/>
    </row>
    <row r="3142" spans="1:14" ht="31.2" x14ac:dyDescent="0.3">
      <c r="A3142" s="8" t="s">
        <v>1433</v>
      </c>
      <c r="B3142" s="62" t="s">
        <v>914</v>
      </c>
      <c r="C3142" s="68" t="s">
        <v>1382</v>
      </c>
      <c r="D3142" s="68" t="s">
        <v>1478</v>
      </c>
      <c r="E3142" s="8" t="s">
        <v>674</v>
      </c>
      <c r="F3142" s="8" t="s">
        <v>247</v>
      </c>
      <c r="G3142" s="23" t="s">
        <v>810</v>
      </c>
      <c r="H3142" s="14">
        <v>89.4</v>
      </c>
      <c r="I3142" s="14">
        <v>89.4</v>
      </c>
      <c r="J3142" s="14">
        <v>89.4</v>
      </c>
      <c r="K3142" s="78">
        <f t="shared" si="1348"/>
        <v>100</v>
      </c>
      <c r="L3142" s="14"/>
      <c r="M3142" s="50"/>
      <c r="N3142" s="50"/>
    </row>
    <row r="3143" spans="1:14" ht="31.2" x14ac:dyDescent="0.3">
      <c r="A3143" s="8" t="s">
        <v>1433</v>
      </c>
      <c r="B3143" s="62" t="s">
        <v>914</v>
      </c>
      <c r="C3143" s="68" t="s">
        <v>1382</v>
      </c>
      <c r="D3143" s="68" t="s">
        <v>1478</v>
      </c>
      <c r="E3143" s="8" t="s">
        <v>429</v>
      </c>
      <c r="F3143" s="8"/>
      <c r="G3143" s="13" t="s">
        <v>1140</v>
      </c>
      <c r="H3143" s="20">
        <v>0</v>
      </c>
      <c r="I3143" s="14">
        <f>I3144</f>
        <v>30</v>
      </c>
      <c r="J3143" s="14">
        <f t="shared" ref="J3143:L3145" si="1370">J3144</f>
        <v>30</v>
      </c>
      <c r="K3143" s="78">
        <f t="shared" si="1348"/>
        <v>100</v>
      </c>
      <c r="L3143" s="14">
        <f t="shared" si="1370"/>
        <v>0</v>
      </c>
      <c r="M3143" s="50"/>
      <c r="N3143" s="50"/>
    </row>
    <row r="3144" spans="1:14" ht="46.8" x14ac:dyDescent="0.3">
      <c r="A3144" s="8" t="s">
        <v>1433</v>
      </c>
      <c r="B3144" s="62" t="s">
        <v>914</v>
      </c>
      <c r="C3144" s="68" t="s">
        <v>1382</v>
      </c>
      <c r="D3144" s="68" t="s">
        <v>1478</v>
      </c>
      <c r="E3144" s="8" t="s">
        <v>535</v>
      </c>
      <c r="F3144" s="8"/>
      <c r="G3144" s="13" t="s">
        <v>176</v>
      </c>
      <c r="H3144" s="20">
        <v>0</v>
      </c>
      <c r="I3144" s="14">
        <f>I3145</f>
        <v>30</v>
      </c>
      <c r="J3144" s="14">
        <f t="shared" si="1370"/>
        <v>30</v>
      </c>
      <c r="K3144" s="78">
        <f t="shared" ref="K3144:K3207" si="1371">J3144/I3144*100</f>
        <v>100</v>
      </c>
      <c r="L3144" s="14">
        <f t="shared" si="1370"/>
        <v>0</v>
      </c>
      <c r="M3144" s="50"/>
      <c r="N3144" s="50"/>
    </row>
    <row r="3145" spans="1:14" ht="31.2" x14ac:dyDescent="0.3">
      <c r="A3145" s="8" t="s">
        <v>1433</v>
      </c>
      <c r="B3145" s="62" t="s">
        <v>914</v>
      </c>
      <c r="C3145" s="68" t="s">
        <v>1382</v>
      </c>
      <c r="D3145" s="68" t="s">
        <v>1478</v>
      </c>
      <c r="E3145" s="8" t="s">
        <v>535</v>
      </c>
      <c r="F3145" s="45" t="s">
        <v>380</v>
      </c>
      <c r="G3145" s="23" t="s">
        <v>809</v>
      </c>
      <c r="H3145" s="20">
        <v>0</v>
      </c>
      <c r="I3145" s="14">
        <f>I3146</f>
        <v>30</v>
      </c>
      <c r="J3145" s="14">
        <f t="shared" si="1370"/>
        <v>30</v>
      </c>
      <c r="K3145" s="78">
        <f t="shared" si="1371"/>
        <v>100</v>
      </c>
      <c r="L3145" s="14">
        <f t="shared" si="1370"/>
        <v>0</v>
      </c>
      <c r="M3145" s="50"/>
      <c r="N3145" s="50"/>
    </row>
    <row r="3146" spans="1:14" ht="31.2" x14ac:dyDescent="0.3">
      <c r="A3146" s="8" t="s">
        <v>1433</v>
      </c>
      <c r="B3146" s="62" t="s">
        <v>914</v>
      </c>
      <c r="C3146" s="68" t="s">
        <v>1382</v>
      </c>
      <c r="D3146" s="68" t="s">
        <v>1478</v>
      </c>
      <c r="E3146" s="8" t="s">
        <v>535</v>
      </c>
      <c r="F3146" s="8" t="s">
        <v>247</v>
      </c>
      <c r="G3146" s="23" t="s">
        <v>810</v>
      </c>
      <c r="H3146" s="20">
        <v>0</v>
      </c>
      <c r="I3146" s="14">
        <v>30</v>
      </c>
      <c r="J3146" s="14">
        <v>30</v>
      </c>
      <c r="K3146" s="78">
        <f t="shared" si="1371"/>
        <v>100</v>
      </c>
      <c r="L3146" s="14"/>
      <c r="M3146" s="50"/>
      <c r="N3146" s="50"/>
    </row>
    <row r="3147" spans="1:14" s="3" customFormat="1" ht="31.2" x14ac:dyDescent="0.3">
      <c r="A3147" s="10" t="s">
        <v>1435</v>
      </c>
      <c r="B3147" s="43" t="s">
        <v>915</v>
      </c>
      <c r="C3147" s="43" t="s">
        <v>915</v>
      </c>
      <c r="D3147" s="43" t="s">
        <v>915</v>
      </c>
      <c r="E3147" s="10"/>
      <c r="F3147" s="10"/>
      <c r="G3147" s="5" t="s">
        <v>1437</v>
      </c>
      <c r="H3147" s="15">
        <f t="shared" ref="H3147:L3147" si="1372">H3148+H3323</f>
        <v>471212.41599999991</v>
      </c>
      <c r="I3147" s="15">
        <f t="shared" si="1372"/>
        <v>475086.79624999996</v>
      </c>
      <c r="J3147" s="15">
        <f t="shared" si="1372"/>
        <v>350284.05203000002</v>
      </c>
      <c r="K3147" s="81">
        <f t="shared" si="1371"/>
        <v>73.730538250040894</v>
      </c>
      <c r="L3147" s="15">
        <f t="shared" si="1372"/>
        <v>0</v>
      </c>
      <c r="M3147" s="65"/>
      <c r="N3147" s="65"/>
    </row>
    <row r="3148" spans="1:14" s="3" customFormat="1" x14ac:dyDescent="0.3">
      <c r="A3148" s="10" t="s">
        <v>1435</v>
      </c>
      <c r="B3148" s="43" t="s">
        <v>1392</v>
      </c>
      <c r="C3148" s="43" t="s">
        <v>1392</v>
      </c>
      <c r="D3148" s="43" t="s">
        <v>915</v>
      </c>
      <c r="E3148" s="10"/>
      <c r="F3148" s="10"/>
      <c r="G3148" s="5" t="s">
        <v>1416</v>
      </c>
      <c r="H3148" s="15">
        <f t="shared" ref="H3148" si="1373">H3149+H3185+H3244+H3275</f>
        <v>467507.11599999992</v>
      </c>
      <c r="I3148" s="15">
        <f>I3149+I3185+I3244+I3275+I3268</f>
        <v>471381.46852999995</v>
      </c>
      <c r="J3148" s="15">
        <f t="shared" ref="J3148:L3148" si="1374">J3149+J3185+J3244+J3275+J3268</f>
        <v>350185.48626000003</v>
      </c>
      <c r="K3148" s="81">
        <f t="shared" si="1371"/>
        <v>74.289192435173831</v>
      </c>
      <c r="L3148" s="15">
        <f t="shared" si="1374"/>
        <v>0</v>
      </c>
      <c r="M3148" s="65"/>
      <c r="N3148" s="65"/>
    </row>
    <row r="3149" spans="1:14" s="9" customFormat="1" x14ac:dyDescent="0.3">
      <c r="A3149" s="11" t="s">
        <v>1435</v>
      </c>
      <c r="B3149" s="48" t="s">
        <v>941</v>
      </c>
      <c r="C3149" s="48" t="s">
        <v>1392</v>
      </c>
      <c r="D3149" s="48" t="s">
        <v>1372</v>
      </c>
      <c r="E3149" s="11"/>
      <c r="F3149" s="11"/>
      <c r="G3149" s="7" t="s">
        <v>1422</v>
      </c>
      <c r="H3149" s="16">
        <f>H3150+H3170</f>
        <v>140871.35499999998</v>
      </c>
      <c r="I3149" s="16">
        <f>I3150+I3170</f>
        <v>157297.25391</v>
      </c>
      <c r="J3149" s="16">
        <f t="shared" ref="J3149" si="1375">J3150+J3170</f>
        <v>134569.49953</v>
      </c>
      <c r="K3149" s="82">
        <f t="shared" si="1371"/>
        <v>85.551079999779262</v>
      </c>
      <c r="L3149" s="16">
        <f>L3150+L3170</f>
        <v>0</v>
      </c>
      <c r="M3149" s="65"/>
      <c r="N3149" s="65"/>
    </row>
    <row r="3150" spans="1:14" ht="31.2" x14ac:dyDescent="0.3">
      <c r="A3150" s="8" t="s">
        <v>1435</v>
      </c>
      <c r="B3150" s="62" t="s">
        <v>941</v>
      </c>
      <c r="C3150" s="68" t="s">
        <v>1392</v>
      </c>
      <c r="D3150" s="68" t="s">
        <v>1372</v>
      </c>
      <c r="E3150" s="8" t="s">
        <v>368</v>
      </c>
      <c r="F3150" s="8"/>
      <c r="G3150" s="13" t="s">
        <v>1079</v>
      </c>
      <c r="H3150" s="14">
        <f>H3156+H3151</f>
        <v>53285.694999999992</v>
      </c>
      <c r="I3150" s="14">
        <f>I3156+I3151</f>
        <v>53285.694999999992</v>
      </c>
      <c r="J3150" s="14">
        <f t="shared" ref="J3150" si="1376">J3156+J3151</f>
        <v>52317.501029999999</v>
      </c>
      <c r="K3150" s="78">
        <f t="shared" si="1371"/>
        <v>98.183013339696529</v>
      </c>
      <c r="L3150" s="14">
        <f>L3156+L3151</f>
        <v>0</v>
      </c>
      <c r="M3150" s="50"/>
      <c r="N3150" s="50"/>
    </row>
    <row r="3151" spans="1:14" ht="31.2" x14ac:dyDescent="0.3">
      <c r="A3151" s="8" t="s">
        <v>1435</v>
      </c>
      <c r="B3151" s="62" t="s">
        <v>941</v>
      </c>
      <c r="C3151" s="68" t="s">
        <v>1392</v>
      </c>
      <c r="D3151" s="68" t="s">
        <v>1372</v>
      </c>
      <c r="E3151" s="8" t="s">
        <v>369</v>
      </c>
      <c r="F3151" s="8"/>
      <c r="G3151" s="13" t="s">
        <v>1088</v>
      </c>
      <c r="H3151" s="14">
        <f t="shared" ref="H3151:L3154" si="1377">H3152</f>
        <v>6.839999999999975</v>
      </c>
      <c r="I3151" s="14">
        <f t="shared" si="1377"/>
        <v>6.84</v>
      </c>
      <c r="J3151" s="14">
        <f t="shared" si="1377"/>
        <v>0</v>
      </c>
      <c r="K3151" s="78">
        <f t="shared" si="1371"/>
        <v>0</v>
      </c>
      <c r="L3151" s="14">
        <f t="shared" si="1377"/>
        <v>0</v>
      </c>
      <c r="M3151" s="50"/>
      <c r="N3151" s="50"/>
    </row>
    <row r="3152" spans="1:14" ht="46.8" x14ac:dyDescent="0.3">
      <c r="A3152" s="8" t="s">
        <v>1435</v>
      </c>
      <c r="B3152" s="62" t="s">
        <v>941</v>
      </c>
      <c r="C3152" s="68" t="s">
        <v>1392</v>
      </c>
      <c r="D3152" s="68" t="s">
        <v>1372</v>
      </c>
      <c r="E3152" s="8" t="s">
        <v>248</v>
      </c>
      <c r="F3152" s="8"/>
      <c r="G3152" s="13" t="s">
        <v>331</v>
      </c>
      <c r="H3152" s="14">
        <f t="shared" si="1377"/>
        <v>6.839999999999975</v>
      </c>
      <c r="I3152" s="14">
        <f t="shared" si="1377"/>
        <v>6.84</v>
      </c>
      <c r="J3152" s="14">
        <f t="shared" si="1377"/>
        <v>0</v>
      </c>
      <c r="K3152" s="78">
        <f t="shared" si="1371"/>
        <v>0</v>
      </c>
      <c r="L3152" s="14">
        <f t="shared" si="1377"/>
        <v>0</v>
      </c>
      <c r="M3152" s="50"/>
      <c r="N3152" s="50"/>
    </row>
    <row r="3153" spans="1:14" ht="46.8" x14ac:dyDescent="0.3">
      <c r="A3153" s="8" t="s">
        <v>1435</v>
      </c>
      <c r="B3153" s="62" t="s">
        <v>941</v>
      </c>
      <c r="C3153" s="68" t="s">
        <v>1392</v>
      </c>
      <c r="D3153" s="68" t="s">
        <v>1372</v>
      </c>
      <c r="E3153" s="8" t="s">
        <v>249</v>
      </c>
      <c r="F3153" s="8"/>
      <c r="G3153" s="13" t="s">
        <v>1317</v>
      </c>
      <c r="H3153" s="14">
        <f t="shared" si="1377"/>
        <v>6.839999999999975</v>
      </c>
      <c r="I3153" s="14">
        <f t="shared" si="1377"/>
        <v>6.84</v>
      </c>
      <c r="J3153" s="14">
        <f t="shared" si="1377"/>
        <v>0</v>
      </c>
      <c r="K3153" s="78">
        <f t="shared" si="1371"/>
        <v>0</v>
      </c>
      <c r="L3153" s="14">
        <f t="shared" si="1377"/>
        <v>0</v>
      </c>
      <c r="M3153" s="50"/>
      <c r="N3153" s="50"/>
    </row>
    <row r="3154" spans="1:14" x14ac:dyDescent="0.3">
      <c r="A3154" s="8" t="s">
        <v>1435</v>
      </c>
      <c r="B3154" s="62" t="s">
        <v>941</v>
      </c>
      <c r="C3154" s="68" t="s">
        <v>1392</v>
      </c>
      <c r="D3154" s="68" t="s">
        <v>1372</v>
      </c>
      <c r="E3154" s="8" t="s">
        <v>249</v>
      </c>
      <c r="F3154" s="45" t="s">
        <v>464</v>
      </c>
      <c r="G3154" s="23" t="s">
        <v>822</v>
      </c>
      <c r="H3154" s="14">
        <f t="shared" si="1377"/>
        <v>6.839999999999975</v>
      </c>
      <c r="I3154" s="14">
        <f t="shared" si="1377"/>
        <v>6.84</v>
      </c>
      <c r="J3154" s="14">
        <f t="shared" si="1377"/>
        <v>0</v>
      </c>
      <c r="K3154" s="78">
        <f t="shared" si="1371"/>
        <v>0</v>
      </c>
      <c r="L3154" s="14">
        <f t="shared" si="1377"/>
        <v>0</v>
      </c>
      <c r="M3154" s="50"/>
      <c r="N3154" s="50"/>
    </row>
    <row r="3155" spans="1:14" ht="62.4" x14ac:dyDescent="0.3">
      <c r="A3155" s="8" t="s">
        <v>1435</v>
      </c>
      <c r="B3155" s="62" t="s">
        <v>941</v>
      </c>
      <c r="C3155" s="68" t="s">
        <v>1392</v>
      </c>
      <c r="D3155" s="68" t="s">
        <v>1372</v>
      </c>
      <c r="E3155" s="8" t="s">
        <v>249</v>
      </c>
      <c r="F3155" s="45" t="s">
        <v>727</v>
      </c>
      <c r="G3155" s="18" t="s">
        <v>830</v>
      </c>
      <c r="H3155" s="14">
        <f>350-343.16</f>
        <v>6.839999999999975</v>
      </c>
      <c r="I3155" s="14">
        <v>6.84</v>
      </c>
      <c r="J3155" s="14">
        <v>0</v>
      </c>
      <c r="K3155" s="78">
        <f t="shared" si="1371"/>
        <v>0</v>
      </c>
      <c r="L3155" s="14"/>
      <c r="M3155" s="50"/>
      <c r="N3155" s="50"/>
    </row>
    <row r="3156" spans="1:14" ht="62.4" x14ac:dyDescent="0.3">
      <c r="A3156" s="8" t="s">
        <v>1435</v>
      </c>
      <c r="B3156" s="62" t="s">
        <v>941</v>
      </c>
      <c r="C3156" s="68" t="s">
        <v>1392</v>
      </c>
      <c r="D3156" s="68" t="s">
        <v>1372</v>
      </c>
      <c r="E3156" s="8" t="s">
        <v>71</v>
      </c>
      <c r="F3156" s="8"/>
      <c r="G3156" s="13" t="s">
        <v>167</v>
      </c>
      <c r="H3156" s="14">
        <f>H3157+H3161</f>
        <v>53278.854999999996</v>
      </c>
      <c r="I3156" s="14">
        <f>I3157+I3161</f>
        <v>53278.854999999996</v>
      </c>
      <c r="J3156" s="14">
        <f t="shared" ref="J3156" si="1378">J3157+J3161</f>
        <v>52317.501029999999</v>
      </c>
      <c r="K3156" s="78">
        <f t="shared" si="1371"/>
        <v>98.195618186614567</v>
      </c>
      <c r="L3156" s="14">
        <f>L3157+L3161</f>
        <v>0</v>
      </c>
      <c r="M3156" s="50"/>
      <c r="N3156" s="50"/>
    </row>
    <row r="3157" spans="1:14" ht="78" x14ac:dyDescent="0.3">
      <c r="A3157" s="8" t="s">
        <v>1435</v>
      </c>
      <c r="B3157" s="62" t="s">
        <v>941</v>
      </c>
      <c r="C3157" s="68" t="s">
        <v>1392</v>
      </c>
      <c r="D3157" s="68" t="s">
        <v>1372</v>
      </c>
      <c r="E3157" s="8" t="s">
        <v>72</v>
      </c>
      <c r="F3157" s="8"/>
      <c r="G3157" s="13" t="s">
        <v>168</v>
      </c>
      <c r="H3157" s="14">
        <f t="shared" ref="H3157:L3159" si="1379">H3158</f>
        <v>50280.2</v>
      </c>
      <c r="I3157" s="14">
        <f t="shared" si="1379"/>
        <v>50280.2</v>
      </c>
      <c r="J3157" s="14">
        <f t="shared" si="1379"/>
        <v>50280.07559</v>
      </c>
      <c r="K3157" s="78">
        <f t="shared" si="1371"/>
        <v>99.999752566616678</v>
      </c>
      <c r="L3157" s="14">
        <f t="shared" si="1379"/>
        <v>0</v>
      </c>
      <c r="M3157" s="50"/>
      <c r="N3157" s="50"/>
    </row>
    <row r="3158" spans="1:14" ht="46.8" x14ac:dyDescent="0.3">
      <c r="A3158" s="8" t="s">
        <v>1435</v>
      </c>
      <c r="B3158" s="62" t="s">
        <v>941</v>
      </c>
      <c r="C3158" s="68" t="s">
        <v>1392</v>
      </c>
      <c r="D3158" s="68" t="s">
        <v>1372</v>
      </c>
      <c r="E3158" s="8" t="s">
        <v>73</v>
      </c>
      <c r="F3158" s="8"/>
      <c r="G3158" s="13" t="s">
        <v>169</v>
      </c>
      <c r="H3158" s="14">
        <f t="shared" si="1379"/>
        <v>50280.2</v>
      </c>
      <c r="I3158" s="14">
        <f t="shared" si="1379"/>
        <v>50280.2</v>
      </c>
      <c r="J3158" s="14">
        <f t="shared" si="1379"/>
        <v>50280.07559</v>
      </c>
      <c r="K3158" s="78">
        <f t="shared" si="1371"/>
        <v>99.999752566616678</v>
      </c>
      <c r="L3158" s="14">
        <f t="shared" si="1379"/>
        <v>0</v>
      </c>
      <c r="M3158" s="50"/>
      <c r="N3158" s="50"/>
    </row>
    <row r="3159" spans="1:14" ht="31.2" x14ac:dyDescent="0.3">
      <c r="A3159" s="8" t="s">
        <v>1435</v>
      </c>
      <c r="B3159" s="62" t="s">
        <v>941</v>
      </c>
      <c r="C3159" s="68" t="s">
        <v>1392</v>
      </c>
      <c r="D3159" s="68" t="s">
        <v>1372</v>
      </c>
      <c r="E3159" s="8" t="s">
        <v>73</v>
      </c>
      <c r="F3159" s="45" t="s">
        <v>380</v>
      </c>
      <c r="G3159" s="23" t="s">
        <v>809</v>
      </c>
      <c r="H3159" s="14">
        <f t="shared" si="1379"/>
        <v>50280.2</v>
      </c>
      <c r="I3159" s="14">
        <f t="shared" si="1379"/>
        <v>50280.2</v>
      </c>
      <c r="J3159" s="14">
        <f t="shared" si="1379"/>
        <v>50280.07559</v>
      </c>
      <c r="K3159" s="78">
        <f t="shared" si="1371"/>
        <v>99.999752566616678</v>
      </c>
      <c r="L3159" s="14">
        <f t="shared" si="1379"/>
        <v>0</v>
      </c>
      <c r="M3159" s="50"/>
      <c r="N3159" s="50"/>
    </row>
    <row r="3160" spans="1:14" ht="31.2" x14ac:dyDescent="0.3">
      <c r="A3160" s="8" t="s">
        <v>1435</v>
      </c>
      <c r="B3160" s="62" t="s">
        <v>941</v>
      </c>
      <c r="C3160" s="68" t="s">
        <v>1392</v>
      </c>
      <c r="D3160" s="68" t="s">
        <v>1372</v>
      </c>
      <c r="E3160" s="8" t="s">
        <v>73</v>
      </c>
      <c r="F3160" s="8" t="s">
        <v>247</v>
      </c>
      <c r="G3160" s="23" t="s">
        <v>810</v>
      </c>
      <c r="H3160" s="14">
        <v>50280.2</v>
      </c>
      <c r="I3160" s="14">
        <v>50280.2</v>
      </c>
      <c r="J3160" s="14">
        <v>50280.07559</v>
      </c>
      <c r="K3160" s="78">
        <f t="shared" si="1371"/>
        <v>99.999752566616678</v>
      </c>
      <c r="L3160" s="14"/>
      <c r="M3160" s="50"/>
      <c r="N3160" s="50"/>
    </row>
    <row r="3161" spans="1:14" ht="46.8" x14ac:dyDescent="0.3">
      <c r="A3161" s="8" t="s">
        <v>1435</v>
      </c>
      <c r="B3161" s="62" t="s">
        <v>941</v>
      </c>
      <c r="C3161" s="68" t="s">
        <v>1392</v>
      </c>
      <c r="D3161" s="68" t="s">
        <v>1372</v>
      </c>
      <c r="E3161" s="8" t="s">
        <v>1238</v>
      </c>
      <c r="F3161" s="8"/>
      <c r="G3161" s="23" t="s">
        <v>738</v>
      </c>
      <c r="H3161" s="14">
        <f>H3165+H3162</f>
        <v>2998.6549999999993</v>
      </c>
      <c r="I3161" s="14">
        <f>I3165+I3162</f>
        <v>2998.6549999999997</v>
      </c>
      <c r="J3161" s="14">
        <f t="shared" ref="J3161" si="1380">J3165+J3162</f>
        <v>2037.42544</v>
      </c>
      <c r="K3161" s="78">
        <f t="shared" si="1371"/>
        <v>67.944643181693138</v>
      </c>
      <c r="L3161" s="14">
        <f>L3165+L3162</f>
        <v>0</v>
      </c>
      <c r="M3161" s="50"/>
      <c r="N3161" s="50"/>
    </row>
    <row r="3162" spans="1:14" x14ac:dyDescent="0.3">
      <c r="A3162" s="8" t="s">
        <v>1435</v>
      </c>
      <c r="B3162" s="62" t="s">
        <v>941</v>
      </c>
      <c r="C3162" s="68" t="s">
        <v>1392</v>
      </c>
      <c r="D3162" s="68" t="s">
        <v>1372</v>
      </c>
      <c r="E3162" s="8" t="s">
        <v>779</v>
      </c>
      <c r="F3162" s="8"/>
      <c r="G3162" s="23" t="s">
        <v>804</v>
      </c>
      <c r="H3162" s="14">
        <f t="shared" ref="H3162:L3163" si="1381">H3163</f>
        <v>2037.4270000000001</v>
      </c>
      <c r="I3162" s="14">
        <f t="shared" si="1381"/>
        <v>2037.4269999999999</v>
      </c>
      <c r="J3162" s="14">
        <f t="shared" si="1381"/>
        <v>2037.42544</v>
      </c>
      <c r="K3162" s="78">
        <f t="shared" si="1371"/>
        <v>99.999923432839566</v>
      </c>
      <c r="L3162" s="14">
        <f t="shared" si="1381"/>
        <v>0</v>
      </c>
      <c r="M3162" s="50"/>
      <c r="N3162" s="50"/>
    </row>
    <row r="3163" spans="1:14" ht="31.2" x14ac:dyDescent="0.3">
      <c r="A3163" s="8" t="s">
        <v>1435</v>
      </c>
      <c r="B3163" s="62" t="s">
        <v>941</v>
      </c>
      <c r="C3163" s="68" t="s">
        <v>1392</v>
      </c>
      <c r="D3163" s="68" t="s">
        <v>1372</v>
      </c>
      <c r="E3163" s="8" t="s">
        <v>779</v>
      </c>
      <c r="F3163" s="45" t="s">
        <v>380</v>
      </c>
      <c r="G3163" s="23" t="s">
        <v>809</v>
      </c>
      <c r="H3163" s="14">
        <f t="shared" si="1381"/>
        <v>2037.4270000000001</v>
      </c>
      <c r="I3163" s="14">
        <f t="shared" si="1381"/>
        <v>2037.4269999999999</v>
      </c>
      <c r="J3163" s="14">
        <f t="shared" si="1381"/>
        <v>2037.42544</v>
      </c>
      <c r="K3163" s="78">
        <f t="shared" si="1371"/>
        <v>99.999923432839566</v>
      </c>
      <c r="L3163" s="14">
        <f t="shared" si="1381"/>
        <v>0</v>
      </c>
      <c r="M3163" s="50"/>
      <c r="N3163" s="50"/>
    </row>
    <row r="3164" spans="1:14" ht="31.2" x14ac:dyDescent="0.3">
      <c r="A3164" s="8" t="s">
        <v>1435</v>
      </c>
      <c r="B3164" s="62" t="s">
        <v>941</v>
      </c>
      <c r="C3164" s="68" t="s">
        <v>1392</v>
      </c>
      <c r="D3164" s="68" t="s">
        <v>1372</v>
      </c>
      <c r="E3164" s="8" t="s">
        <v>779</v>
      </c>
      <c r="F3164" s="8" t="s">
        <v>247</v>
      </c>
      <c r="G3164" s="23" t="s">
        <v>810</v>
      </c>
      <c r="H3164" s="14">
        <f>2128.721-269.626+178.332</f>
        <v>2037.4270000000001</v>
      </c>
      <c r="I3164" s="14">
        <v>2037.4269999999999</v>
      </c>
      <c r="J3164" s="14">
        <v>2037.42544</v>
      </c>
      <c r="K3164" s="78">
        <f t="shared" si="1371"/>
        <v>99.999923432839566</v>
      </c>
      <c r="L3164" s="14"/>
      <c r="M3164" s="50"/>
      <c r="N3164" s="50"/>
    </row>
    <row r="3165" spans="1:14" ht="46.8" x14ac:dyDescent="0.3">
      <c r="A3165" s="8" t="s">
        <v>1435</v>
      </c>
      <c r="B3165" s="62" t="s">
        <v>941</v>
      </c>
      <c r="C3165" s="68" t="s">
        <v>1392</v>
      </c>
      <c r="D3165" s="68" t="s">
        <v>1372</v>
      </c>
      <c r="E3165" s="8" t="s">
        <v>194</v>
      </c>
      <c r="F3165" s="8"/>
      <c r="G3165" s="23" t="s">
        <v>195</v>
      </c>
      <c r="H3165" s="14">
        <f>H3168</f>
        <v>961.22799999999916</v>
      </c>
      <c r="I3165" s="14">
        <f>I3168+I3166</f>
        <v>961.22799999999995</v>
      </c>
      <c r="J3165" s="14">
        <f t="shared" ref="J3165:L3165" si="1382">J3168+J3166</f>
        <v>0</v>
      </c>
      <c r="K3165" s="78">
        <f t="shared" si="1371"/>
        <v>0</v>
      </c>
      <c r="L3165" s="14">
        <f t="shared" si="1382"/>
        <v>0</v>
      </c>
      <c r="M3165" s="50"/>
      <c r="N3165" s="50"/>
    </row>
    <row r="3166" spans="1:14" ht="31.2" x14ac:dyDescent="0.3">
      <c r="A3166" s="8" t="s">
        <v>1435</v>
      </c>
      <c r="B3166" s="62" t="s">
        <v>941</v>
      </c>
      <c r="C3166" s="68" t="s">
        <v>1392</v>
      </c>
      <c r="D3166" s="68" t="s">
        <v>1372</v>
      </c>
      <c r="E3166" s="8" t="s">
        <v>194</v>
      </c>
      <c r="F3166" s="45" t="s">
        <v>402</v>
      </c>
      <c r="G3166" s="23" t="s">
        <v>819</v>
      </c>
      <c r="H3166" s="19">
        <v>0</v>
      </c>
      <c r="I3166" s="14">
        <f>I3167</f>
        <v>961.22799999999995</v>
      </c>
      <c r="J3166" s="14">
        <f t="shared" ref="J3166:L3166" si="1383">J3167</f>
        <v>0</v>
      </c>
      <c r="K3166" s="78">
        <f t="shared" si="1371"/>
        <v>0</v>
      </c>
      <c r="L3166" s="14">
        <f t="shared" si="1383"/>
        <v>0</v>
      </c>
      <c r="M3166" s="50"/>
      <c r="N3166" s="50"/>
    </row>
    <row r="3167" spans="1:14" ht="46.8" x14ac:dyDescent="0.3">
      <c r="A3167" s="8" t="s">
        <v>1435</v>
      </c>
      <c r="B3167" s="62" t="s">
        <v>941</v>
      </c>
      <c r="C3167" s="68" t="s">
        <v>1392</v>
      </c>
      <c r="D3167" s="68" t="s">
        <v>1372</v>
      </c>
      <c r="E3167" s="8" t="s">
        <v>194</v>
      </c>
      <c r="F3167" s="45" t="s">
        <v>280</v>
      </c>
      <c r="G3167" s="23" t="s">
        <v>821</v>
      </c>
      <c r="H3167" s="19">
        <v>0</v>
      </c>
      <c r="I3167" s="14">
        <v>961.22799999999995</v>
      </c>
      <c r="J3167" s="20">
        <v>0</v>
      </c>
      <c r="K3167" s="77">
        <f t="shared" si="1371"/>
        <v>0</v>
      </c>
      <c r="L3167" s="14"/>
      <c r="M3167" s="50"/>
      <c r="N3167" s="50"/>
    </row>
    <row r="3168" spans="1:14" hidden="1" x14ac:dyDescent="0.3">
      <c r="A3168" s="8" t="s">
        <v>1435</v>
      </c>
      <c r="B3168" s="62" t="s">
        <v>941</v>
      </c>
      <c r="C3168" s="68" t="s">
        <v>1392</v>
      </c>
      <c r="D3168" s="68" t="s">
        <v>1372</v>
      </c>
      <c r="E3168" s="8" t="s">
        <v>194</v>
      </c>
      <c r="F3168" s="45" t="s">
        <v>464</v>
      </c>
      <c r="G3168" s="23" t="s">
        <v>822</v>
      </c>
      <c r="H3168" s="14">
        <f t="shared" ref="H3168:L3168" si="1384">H3169</f>
        <v>961.22799999999916</v>
      </c>
      <c r="I3168" s="14">
        <f t="shared" si="1384"/>
        <v>0</v>
      </c>
      <c r="J3168" s="14">
        <f t="shared" si="1384"/>
        <v>0</v>
      </c>
      <c r="K3168" s="78" t="e">
        <f t="shared" si="1371"/>
        <v>#DIV/0!</v>
      </c>
      <c r="L3168" s="14">
        <f t="shared" si="1384"/>
        <v>0</v>
      </c>
      <c r="M3168" s="50">
        <v>111</v>
      </c>
      <c r="N3168" s="50"/>
    </row>
    <row r="3169" spans="1:14" ht="62.4" hidden="1" x14ac:dyDescent="0.3">
      <c r="A3169" s="8" t="s">
        <v>1435</v>
      </c>
      <c r="B3169" s="62" t="s">
        <v>941</v>
      </c>
      <c r="C3169" s="68" t="s">
        <v>1392</v>
      </c>
      <c r="D3169" s="68" t="s">
        <v>1372</v>
      </c>
      <c r="E3169" s="8" t="s">
        <v>194</v>
      </c>
      <c r="F3169" s="45" t="s">
        <v>727</v>
      </c>
      <c r="G3169" s="18" t="s">
        <v>830</v>
      </c>
      <c r="H3169" s="14">
        <f>20000-19038.772</f>
        <v>961.22799999999916</v>
      </c>
      <c r="I3169" s="14">
        <v>0</v>
      </c>
      <c r="J3169" s="14">
        <v>0</v>
      </c>
      <c r="K3169" s="78" t="e">
        <f t="shared" si="1371"/>
        <v>#DIV/0!</v>
      </c>
      <c r="L3169" s="14"/>
      <c r="M3169" s="50">
        <v>111</v>
      </c>
      <c r="N3169" s="50"/>
    </row>
    <row r="3170" spans="1:14" ht="46.8" x14ac:dyDescent="0.3">
      <c r="A3170" s="8" t="s">
        <v>1435</v>
      </c>
      <c r="B3170" s="62" t="s">
        <v>941</v>
      </c>
      <c r="C3170" s="68" t="s">
        <v>1392</v>
      </c>
      <c r="D3170" s="68" t="s">
        <v>1372</v>
      </c>
      <c r="E3170" s="8" t="s">
        <v>493</v>
      </c>
      <c r="F3170" s="8"/>
      <c r="G3170" s="23" t="s">
        <v>1160</v>
      </c>
      <c r="H3170" s="14">
        <f>H3179+H3171</f>
        <v>87585.66</v>
      </c>
      <c r="I3170" s="14">
        <f>I3179+I3171+I3175</f>
        <v>104011.55891000001</v>
      </c>
      <c r="J3170" s="14">
        <f t="shared" ref="J3170:L3170" si="1385">J3179+J3171+J3175</f>
        <v>82251.998500000002</v>
      </c>
      <c r="K3170" s="78">
        <f t="shared" si="1371"/>
        <v>79.0796709153948</v>
      </c>
      <c r="L3170" s="14">
        <f t="shared" si="1385"/>
        <v>0</v>
      </c>
      <c r="M3170" s="50"/>
      <c r="N3170" s="50"/>
    </row>
    <row r="3171" spans="1:14" ht="31.2" hidden="1" x14ac:dyDescent="0.3">
      <c r="A3171" s="8" t="s">
        <v>1435</v>
      </c>
      <c r="B3171" s="62" t="s">
        <v>941</v>
      </c>
      <c r="C3171" s="68" t="s">
        <v>1392</v>
      </c>
      <c r="D3171" s="68" t="s">
        <v>1372</v>
      </c>
      <c r="E3171" s="8" t="s">
        <v>494</v>
      </c>
      <c r="F3171" s="8"/>
      <c r="G3171" s="23" t="s">
        <v>1161</v>
      </c>
      <c r="H3171" s="14">
        <f t="shared" ref="H3171:L3173" si="1386">H3172</f>
        <v>1000</v>
      </c>
      <c r="I3171" s="14">
        <f t="shared" si="1386"/>
        <v>0</v>
      </c>
      <c r="J3171" s="14">
        <f t="shared" si="1386"/>
        <v>0</v>
      </c>
      <c r="K3171" s="78" t="e">
        <f t="shared" si="1371"/>
        <v>#DIV/0!</v>
      </c>
      <c r="L3171" s="14">
        <f t="shared" si="1386"/>
        <v>0</v>
      </c>
      <c r="M3171" s="50">
        <v>111</v>
      </c>
      <c r="N3171" s="50"/>
    </row>
    <row r="3172" spans="1:14" ht="31.2" hidden="1" x14ac:dyDescent="0.3">
      <c r="A3172" s="8" t="s">
        <v>1435</v>
      </c>
      <c r="B3172" s="62" t="s">
        <v>941</v>
      </c>
      <c r="C3172" s="68" t="s">
        <v>1392</v>
      </c>
      <c r="D3172" s="68" t="s">
        <v>1372</v>
      </c>
      <c r="E3172" s="8" t="s">
        <v>495</v>
      </c>
      <c r="F3172" s="8"/>
      <c r="G3172" s="23" t="s">
        <v>687</v>
      </c>
      <c r="H3172" s="14">
        <f t="shared" si="1386"/>
        <v>1000</v>
      </c>
      <c r="I3172" s="14">
        <f t="shared" si="1386"/>
        <v>0</v>
      </c>
      <c r="J3172" s="14">
        <f t="shared" si="1386"/>
        <v>0</v>
      </c>
      <c r="K3172" s="78" t="e">
        <f t="shared" si="1371"/>
        <v>#DIV/0!</v>
      </c>
      <c r="L3172" s="14">
        <f t="shared" si="1386"/>
        <v>0</v>
      </c>
      <c r="M3172" s="50">
        <v>111</v>
      </c>
      <c r="N3172" s="50"/>
    </row>
    <row r="3173" spans="1:14" hidden="1" x14ac:dyDescent="0.3">
      <c r="A3173" s="8" t="s">
        <v>1435</v>
      </c>
      <c r="B3173" s="62" t="s">
        <v>941</v>
      </c>
      <c r="C3173" s="68" t="s">
        <v>1392</v>
      </c>
      <c r="D3173" s="68" t="s">
        <v>1372</v>
      </c>
      <c r="E3173" s="8" t="s">
        <v>495</v>
      </c>
      <c r="F3173" s="45" t="s">
        <v>464</v>
      </c>
      <c r="G3173" s="23" t="s">
        <v>822</v>
      </c>
      <c r="H3173" s="14">
        <f t="shared" si="1386"/>
        <v>1000</v>
      </c>
      <c r="I3173" s="14">
        <f t="shared" si="1386"/>
        <v>0</v>
      </c>
      <c r="J3173" s="14">
        <f t="shared" si="1386"/>
        <v>0</v>
      </c>
      <c r="K3173" s="78" t="e">
        <f t="shared" si="1371"/>
        <v>#DIV/0!</v>
      </c>
      <c r="L3173" s="14">
        <f t="shared" si="1386"/>
        <v>0</v>
      </c>
      <c r="M3173" s="50">
        <v>111</v>
      </c>
      <c r="N3173" s="50"/>
    </row>
    <row r="3174" spans="1:14" hidden="1" x14ac:dyDescent="0.3">
      <c r="A3174" s="8" t="s">
        <v>1435</v>
      </c>
      <c r="B3174" s="62" t="s">
        <v>941</v>
      </c>
      <c r="C3174" s="68" t="s">
        <v>1392</v>
      </c>
      <c r="D3174" s="68" t="s">
        <v>1372</v>
      </c>
      <c r="E3174" s="8" t="s">
        <v>495</v>
      </c>
      <c r="F3174" s="45" t="s">
        <v>728</v>
      </c>
      <c r="G3174" s="23" t="s">
        <v>823</v>
      </c>
      <c r="H3174" s="14">
        <v>1000</v>
      </c>
      <c r="I3174" s="14">
        <v>0</v>
      </c>
      <c r="J3174" s="14">
        <v>0</v>
      </c>
      <c r="K3174" s="78" t="e">
        <f t="shared" si="1371"/>
        <v>#DIV/0!</v>
      </c>
      <c r="L3174" s="14"/>
      <c r="M3174" s="50">
        <v>111</v>
      </c>
      <c r="N3174" s="50"/>
    </row>
    <row r="3175" spans="1:14" x14ac:dyDescent="0.3">
      <c r="A3175" s="8" t="s">
        <v>1435</v>
      </c>
      <c r="B3175" s="62" t="s">
        <v>941</v>
      </c>
      <c r="C3175" s="68" t="s">
        <v>1392</v>
      </c>
      <c r="D3175" s="68" t="s">
        <v>1372</v>
      </c>
      <c r="E3175" s="8" t="s">
        <v>533</v>
      </c>
      <c r="F3175" s="8"/>
      <c r="G3175" s="13" t="s">
        <v>1162</v>
      </c>
      <c r="H3175" s="20">
        <v>0</v>
      </c>
      <c r="I3175" s="14">
        <f>I3176</f>
        <v>17425.899809999999</v>
      </c>
      <c r="J3175" s="14">
        <f t="shared" ref="J3175:L3177" si="1387">J3176</f>
        <v>17425.899809999999</v>
      </c>
      <c r="K3175" s="78">
        <f t="shared" si="1371"/>
        <v>100</v>
      </c>
      <c r="L3175" s="14">
        <f t="shared" si="1387"/>
        <v>0</v>
      </c>
      <c r="M3175" s="50"/>
      <c r="N3175" s="50"/>
    </row>
    <row r="3176" spans="1:14" x14ac:dyDescent="0.3">
      <c r="A3176" s="8" t="s">
        <v>1435</v>
      </c>
      <c r="B3176" s="62" t="s">
        <v>941</v>
      </c>
      <c r="C3176" s="68" t="s">
        <v>1392</v>
      </c>
      <c r="D3176" s="68" t="s">
        <v>1372</v>
      </c>
      <c r="E3176" s="8" t="s">
        <v>534</v>
      </c>
      <c r="F3176" s="8"/>
      <c r="G3176" s="13" t="s">
        <v>1163</v>
      </c>
      <c r="H3176" s="20">
        <v>0</v>
      </c>
      <c r="I3176" s="14">
        <f>I3177</f>
        <v>17425.899809999999</v>
      </c>
      <c r="J3176" s="14">
        <f t="shared" si="1387"/>
        <v>17425.899809999999</v>
      </c>
      <c r="K3176" s="78">
        <f t="shared" si="1371"/>
        <v>100</v>
      </c>
      <c r="L3176" s="14">
        <f t="shared" si="1387"/>
        <v>0</v>
      </c>
      <c r="M3176" s="50"/>
      <c r="N3176" s="50"/>
    </row>
    <row r="3177" spans="1:14" ht="31.2" x14ac:dyDescent="0.3">
      <c r="A3177" s="8" t="s">
        <v>1435</v>
      </c>
      <c r="B3177" s="62" t="s">
        <v>941</v>
      </c>
      <c r="C3177" s="68" t="s">
        <v>1392</v>
      </c>
      <c r="D3177" s="68" t="s">
        <v>1372</v>
      </c>
      <c r="E3177" s="8" t="s">
        <v>534</v>
      </c>
      <c r="F3177" s="45" t="s">
        <v>380</v>
      </c>
      <c r="G3177" s="23" t="s">
        <v>809</v>
      </c>
      <c r="H3177" s="20">
        <v>0</v>
      </c>
      <c r="I3177" s="14">
        <f>I3178</f>
        <v>17425.899809999999</v>
      </c>
      <c r="J3177" s="14">
        <f t="shared" si="1387"/>
        <v>17425.899809999999</v>
      </c>
      <c r="K3177" s="78">
        <f t="shared" si="1371"/>
        <v>100</v>
      </c>
      <c r="L3177" s="14">
        <f t="shared" si="1387"/>
        <v>0</v>
      </c>
      <c r="M3177" s="50"/>
      <c r="N3177" s="50"/>
    </row>
    <row r="3178" spans="1:14" ht="31.2" x14ac:dyDescent="0.3">
      <c r="A3178" s="8" t="s">
        <v>1435</v>
      </c>
      <c r="B3178" s="62" t="s">
        <v>941</v>
      </c>
      <c r="C3178" s="68" t="s">
        <v>1392</v>
      </c>
      <c r="D3178" s="68" t="s">
        <v>1372</v>
      </c>
      <c r="E3178" s="8" t="s">
        <v>534</v>
      </c>
      <c r="F3178" s="8" t="s">
        <v>247</v>
      </c>
      <c r="G3178" s="23" t="s">
        <v>810</v>
      </c>
      <c r="H3178" s="20">
        <v>0</v>
      </c>
      <c r="I3178" s="14">
        <v>17425.899809999999</v>
      </c>
      <c r="J3178" s="14">
        <v>17425.899809999999</v>
      </c>
      <c r="K3178" s="78">
        <f t="shared" si="1371"/>
        <v>100</v>
      </c>
      <c r="L3178" s="14"/>
      <c r="M3178" s="50"/>
      <c r="N3178" s="50"/>
    </row>
    <row r="3179" spans="1:14" x14ac:dyDescent="0.3">
      <c r="A3179" s="8" t="s">
        <v>1435</v>
      </c>
      <c r="B3179" s="62" t="s">
        <v>941</v>
      </c>
      <c r="C3179" s="68" t="s">
        <v>1392</v>
      </c>
      <c r="D3179" s="68" t="s">
        <v>1372</v>
      </c>
      <c r="E3179" s="8" t="s">
        <v>1172</v>
      </c>
      <c r="F3179" s="8"/>
      <c r="G3179" s="23" t="s">
        <v>1174</v>
      </c>
      <c r="H3179" s="14">
        <f t="shared" ref="H3179:L3181" si="1388">H3180</f>
        <v>86585.66</v>
      </c>
      <c r="I3179" s="14">
        <f t="shared" si="1388"/>
        <v>86585.659100000004</v>
      </c>
      <c r="J3179" s="14">
        <f t="shared" si="1388"/>
        <v>64826.098689999999</v>
      </c>
      <c r="K3179" s="78">
        <f t="shared" si="1371"/>
        <v>74.869325202145404</v>
      </c>
      <c r="L3179" s="14">
        <f t="shared" si="1388"/>
        <v>0</v>
      </c>
      <c r="M3179" s="50"/>
      <c r="N3179" s="50"/>
    </row>
    <row r="3180" spans="1:14" ht="31.2" x14ac:dyDescent="0.3">
      <c r="A3180" s="8" t="s">
        <v>1435</v>
      </c>
      <c r="B3180" s="62" t="s">
        <v>941</v>
      </c>
      <c r="C3180" s="68" t="s">
        <v>1392</v>
      </c>
      <c r="D3180" s="68" t="s">
        <v>1372</v>
      </c>
      <c r="E3180" s="8" t="s">
        <v>1173</v>
      </c>
      <c r="F3180" s="8"/>
      <c r="G3180" s="23" t="s">
        <v>687</v>
      </c>
      <c r="H3180" s="14">
        <f t="shared" si="1388"/>
        <v>86585.66</v>
      </c>
      <c r="I3180" s="14">
        <f>I3181+I3183</f>
        <v>86585.659100000004</v>
      </c>
      <c r="J3180" s="14">
        <f t="shared" ref="J3180:L3180" si="1389">J3181+J3183</f>
        <v>64826.098689999999</v>
      </c>
      <c r="K3180" s="78">
        <f t="shared" si="1371"/>
        <v>74.869325202145404</v>
      </c>
      <c r="L3180" s="14">
        <f t="shared" si="1389"/>
        <v>0</v>
      </c>
      <c r="M3180" s="50"/>
      <c r="N3180" s="50"/>
    </row>
    <row r="3181" spans="1:14" ht="31.2" x14ac:dyDescent="0.3">
      <c r="A3181" s="8" t="s">
        <v>1435</v>
      </c>
      <c r="B3181" s="62" t="s">
        <v>941</v>
      </c>
      <c r="C3181" s="68" t="s">
        <v>1392</v>
      </c>
      <c r="D3181" s="68" t="s">
        <v>1372</v>
      </c>
      <c r="E3181" s="8" t="s">
        <v>1173</v>
      </c>
      <c r="F3181" s="45" t="s">
        <v>380</v>
      </c>
      <c r="G3181" s="23" t="s">
        <v>809</v>
      </c>
      <c r="H3181" s="14">
        <f t="shared" si="1388"/>
        <v>86585.66</v>
      </c>
      <c r="I3181" s="14">
        <f t="shared" si="1388"/>
        <v>84899.009210000004</v>
      </c>
      <c r="J3181" s="14">
        <f t="shared" si="1388"/>
        <v>63139.448799999998</v>
      </c>
      <c r="K3181" s="78">
        <f t="shared" si="1371"/>
        <v>74.370065549084146</v>
      </c>
      <c r="L3181" s="14">
        <f t="shared" si="1388"/>
        <v>0</v>
      </c>
      <c r="M3181" s="50"/>
      <c r="N3181" s="50"/>
    </row>
    <row r="3182" spans="1:14" ht="31.2" x14ac:dyDescent="0.3">
      <c r="A3182" s="8" t="s">
        <v>1435</v>
      </c>
      <c r="B3182" s="62" t="s">
        <v>941</v>
      </c>
      <c r="C3182" s="68" t="s">
        <v>1392</v>
      </c>
      <c r="D3182" s="68" t="s">
        <v>1372</v>
      </c>
      <c r="E3182" s="8" t="s">
        <v>1173</v>
      </c>
      <c r="F3182" s="8" t="s">
        <v>247</v>
      </c>
      <c r="G3182" s="23" t="s">
        <v>810</v>
      </c>
      <c r="H3182" s="14">
        <f>133206.054-32228.739-7347.209-91.836-6952.61</f>
        <v>86585.66</v>
      </c>
      <c r="I3182" s="14">
        <v>84899.009210000004</v>
      </c>
      <c r="J3182" s="14">
        <v>63139.448799999998</v>
      </c>
      <c r="K3182" s="78">
        <f t="shared" si="1371"/>
        <v>74.370065549084146</v>
      </c>
      <c r="L3182" s="14"/>
      <c r="M3182" s="50"/>
      <c r="N3182" s="50"/>
    </row>
    <row r="3183" spans="1:14" x14ac:dyDescent="0.3">
      <c r="A3183" s="8" t="s">
        <v>1435</v>
      </c>
      <c r="B3183" s="62" t="s">
        <v>941</v>
      </c>
      <c r="C3183" s="68" t="s">
        <v>1392</v>
      </c>
      <c r="D3183" s="68" t="s">
        <v>1372</v>
      </c>
      <c r="E3183" s="8" t="s">
        <v>1173</v>
      </c>
      <c r="F3183" s="45" t="s">
        <v>464</v>
      </c>
      <c r="G3183" s="23" t="s">
        <v>822</v>
      </c>
      <c r="H3183" s="19">
        <v>0</v>
      </c>
      <c r="I3183" s="14">
        <f>I3184</f>
        <v>1686.6498899999999</v>
      </c>
      <c r="J3183" s="14">
        <f t="shared" ref="J3183:L3183" si="1390">J3184</f>
        <v>1686.6498899999999</v>
      </c>
      <c r="K3183" s="78">
        <f t="shared" si="1371"/>
        <v>100</v>
      </c>
      <c r="L3183" s="14">
        <f t="shared" si="1390"/>
        <v>0</v>
      </c>
      <c r="M3183" s="50"/>
      <c r="N3183" s="50"/>
    </row>
    <row r="3184" spans="1:14" x14ac:dyDescent="0.3">
      <c r="A3184" s="8" t="s">
        <v>1435</v>
      </c>
      <c r="B3184" s="62" t="s">
        <v>941</v>
      </c>
      <c r="C3184" s="68" t="s">
        <v>1392</v>
      </c>
      <c r="D3184" s="68" t="s">
        <v>1372</v>
      </c>
      <c r="E3184" s="8" t="s">
        <v>1173</v>
      </c>
      <c r="F3184" s="45" t="s">
        <v>728</v>
      </c>
      <c r="G3184" s="23" t="s">
        <v>823</v>
      </c>
      <c r="H3184" s="19">
        <v>0</v>
      </c>
      <c r="I3184" s="14">
        <v>1686.6498899999999</v>
      </c>
      <c r="J3184" s="14">
        <v>1686.6498899999999</v>
      </c>
      <c r="K3184" s="78">
        <f t="shared" si="1371"/>
        <v>100</v>
      </c>
      <c r="L3184" s="14"/>
      <c r="M3184" s="50"/>
      <c r="N3184" s="50"/>
    </row>
    <row r="3185" spans="1:14" s="9" customFormat="1" x14ac:dyDescent="0.3">
      <c r="A3185" s="11" t="s">
        <v>1435</v>
      </c>
      <c r="B3185" s="48" t="s">
        <v>938</v>
      </c>
      <c r="C3185" s="48" t="s">
        <v>1392</v>
      </c>
      <c r="D3185" s="48" t="s">
        <v>1478</v>
      </c>
      <c r="E3185" s="11"/>
      <c r="F3185" s="11"/>
      <c r="G3185" s="7" t="s">
        <v>1451</v>
      </c>
      <c r="H3185" s="16">
        <f>H3186</f>
        <v>187684.27599999995</v>
      </c>
      <c r="I3185" s="16">
        <f>I3186+I3239</f>
        <v>181743.24624000001</v>
      </c>
      <c r="J3185" s="16">
        <f t="shared" ref="J3185:L3185" si="1391">J3186+J3239</f>
        <v>86225.723430000013</v>
      </c>
      <c r="K3185" s="82">
        <f t="shared" si="1371"/>
        <v>47.443701603158956</v>
      </c>
      <c r="L3185" s="16">
        <f t="shared" si="1391"/>
        <v>0</v>
      </c>
      <c r="M3185" s="65"/>
      <c r="N3185" s="65"/>
    </row>
    <row r="3186" spans="1:14" ht="31.2" x14ac:dyDescent="0.3">
      <c r="A3186" s="8" t="s">
        <v>1435</v>
      </c>
      <c r="B3186" s="62" t="s">
        <v>938</v>
      </c>
      <c r="C3186" s="68" t="s">
        <v>1392</v>
      </c>
      <c r="D3186" s="68" t="s">
        <v>1478</v>
      </c>
      <c r="E3186" s="8" t="s">
        <v>368</v>
      </c>
      <c r="F3186" s="8"/>
      <c r="G3186" s="13" t="s">
        <v>1079</v>
      </c>
      <c r="H3186" s="14">
        <f t="shared" ref="H3186:L3186" si="1392">H3187+H3232</f>
        <v>187684.27599999995</v>
      </c>
      <c r="I3186" s="14">
        <f t="shared" si="1392"/>
        <v>177140.74002</v>
      </c>
      <c r="J3186" s="14">
        <f t="shared" si="1392"/>
        <v>81668.094970000006</v>
      </c>
      <c r="K3186" s="78">
        <f t="shared" si="1371"/>
        <v>46.103507843977226</v>
      </c>
      <c r="L3186" s="14">
        <f t="shared" si="1392"/>
        <v>0</v>
      </c>
      <c r="M3186" s="50"/>
      <c r="N3186" s="50"/>
    </row>
    <row r="3187" spans="1:14" ht="31.2" x14ac:dyDescent="0.3">
      <c r="A3187" s="8" t="s">
        <v>1435</v>
      </c>
      <c r="B3187" s="62" t="s">
        <v>938</v>
      </c>
      <c r="C3187" s="68" t="s">
        <v>1392</v>
      </c>
      <c r="D3187" s="68" t="s">
        <v>1478</v>
      </c>
      <c r="E3187" s="8" t="s">
        <v>496</v>
      </c>
      <c r="F3187" s="8"/>
      <c r="G3187" s="13" t="s">
        <v>1080</v>
      </c>
      <c r="H3187" s="14">
        <f>H3188+H3210+H3214+H3221+H3228</f>
        <v>152966.19899999996</v>
      </c>
      <c r="I3187" s="14">
        <f>I3188+I3210+I3214+I3221+I3228</f>
        <v>142422.66378999999</v>
      </c>
      <c r="J3187" s="14">
        <f t="shared" ref="J3187:L3187" si="1393">J3188+J3210+J3214+J3221+J3228</f>
        <v>46967.506399999998</v>
      </c>
      <c r="K3187" s="78">
        <f t="shared" si="1371"/>
        <v>32.977550868766826</v>
      </c>
      <c r="L3187" s="14">
        <f t="shared" si="1393"/>
        <v>0</v>
      </c>
      <c r="M3187" s="50"/>
      <c r="N3187" s="50"/>
    </row>
    <row r="3188" spans="1:14" ht="46.8" x14ac:dyDescent="0.3">
      <c r="A3188" s="8" t="s">
        <v>1435</v>
      </c>
      <c r="B3188" s="62" t="s">
        <v>938</v>
      </c>
      <c r="C3188" s="68" t="s">
        <v>1392</v>
      </c>
      <c r="D3188" s="68" t="s">
        <v>1478</v>
      </c>
      <c r="E3188" s="8" t="s">
        <v>497</v>
      </c>
      <c r="F3188" s="8"/>
      <c r="G3188" s="13" t="s">
        <v>1081</v>
      </c>
      <c r="H3188" s="14">
        <f>H3189+H3192+H3195+H3201+H3204+H3207+H3198</f>
        <v>75712.694999999978</v>
      </c>
      <c r="I3188" s="14">
        <f>I3189+I3192+I3195+I3201+I3204+I3207+I3198</f>
        <v>75712.69352999999</v>
      </c>
      <c r="J3188" s="14">
        <f t="shared" ref="J3188" si="1394">J3189+J3192+J3195+J3201+J3204+J3207+J3198</f>
        <v>9084.3460599999999</v>
      </c>
      <c r="K3188" s="78">
        <f t="shared" si="1371"/>
        <v>11.998445222927471</v>
      </c>
      <c r="L3188" s="14">
        <f>L3189+L3192+L3195+L3201+L3204+L3207+L3198</f>
        <v>0</v>
      </c>
      <c r="M3188" s="50"/>
      <c r="N3188" s="50"/>
    </row>
    <row r="3189" spans="1:14" ht="31.2" x14ac:dyDescent="0.3">
      <c r="A3189" s="8" t="s">
        <v>1435</v>
      </c>
      <c r="B3189" s="62" t="s">
        <v>938</v>
      </c>
      <c r="C3189" s="68" t="s">
        <v>1392</v>
      </c>
      <c r="D3189" s="68" t="s">
        <v>1478</v>
      </c>
      <c r="E3189" s="8" t="s">
        <v>498</v>
      </c>
      <c r="F3189" s="8"/>
      <c r="G3189" s="13" t="s">
        <v>739</v>
      </c>
      <c r="H3189" s="14">
        <f t="shared" ref="H3189:L3190" si="1395">H3190</f>
        <v>45449.546999999991</v>
      </c>
      <c r="I3189" s="14">
        <f t="shared" si="1395"/>
        <v>45449.546860000002</v>
      </c>
      <c r="J3189" s="14">
        <f t="shared" si="1395"/>
        <v>0</v>
      </c>
      <c r="K3189" s="78">
        <f t="shared" si="1371"/>
        <v>0</v>
      </c>
      <c r="L3189" s="14">
        <f t="shared" si="1395"/>
        <v>0</v>
      </c>
      <c r="M3189" s="50"/>
      <c r="N3189" s="50"/>
    </row>
    <row r="3190" spans="1:14" ht="31.2" x14ac:dyDescent="0.3">
      <c r="A3190" s="8" t="s">
        <v>1435</v>
      </c>
      <c r="B3190" s="62" t="s">
        <v>938</v>
      </c>
      <c r="C3190" s="68" t="s">
        <v>1392</v>
      </c>
      <c r="D3190" s="68" t="s">
        <v>1478</v>
      </c>
      <c r="E3190" s="8" t="s">
        <v>498</v>
      </c>
      <c r="F3190" s="45" t="s">
        <v>478</v>
      </c>
      <c r="G3190" s="23" t="s">
        <v>817</v>
      </c>
      <c r="H3190" s="14">
        <f t="shared" si="1395"/>
        <v>45449.546999999991</v>
      </c>
      <c r="I3190" s="14">
        <f t="shared" si="1395"/>
        <v>45449.546860000002</v>
      </c>
      <c r="J3190" s="14">
        <f t="shared" si="1395"/>
        <v>0</v>
      </c>
      <c r="K3190" s="78">
        <f t="shared" si="1371"/>
        <v>0</v>
      </c>
      <c r="L3190" s="14">
        <f t="shared" si="1395"/>
        <v>0</v>
      </c>
      <c r="M3190" s="50"/>
      <c r="N3190" s="50"/>
    </row>
    <row r="3191" spans="1:14" x14ac:dyDescent="0.3">
      <c r="A3191" s="8" t="s">
        <v>1435</v>
      </c>
      <c r="B3191" s="62" t="s">
        <v>938</v>
      </c>
      <c r="C3191" s="68" t="s">
        <v>1392</v>
      </c>
      <c r="D3191" s="68" t="s">
        <v>1478</v>
      </c>
      <c r="E3191" s="8" t="s">
        <v>498</v>
      </c>
      <c r="F3191" s="45" t="s">
        <v>1273</v>
      </c>
      <c r="G3191" s="23" t="s">
        <v>818</v>
      </c>
      <c r="H3191" s="14">
        <v>45449.546999999991</v>
      </c>
      <c r="I3191" s="14">
        <v>45449.546860000002</v>
      </c>
      <c r="J3191" s="19">
        <v>0</v>
      </c>
      <c r="K3191" s="75">
        <f t="shared" si="1371"/>
        <v>0</v>
      </c>
      <c r="L3191" s="14"/>
      <c r="M3191" s="50"/>
      <c r="N3191" s="50"/>
    </row>
    <row r="3192" spans="1:14" ht="31.2" x14ac:dyDescent="0.3">
      <c r="A3192" s="8" t="s">
        <v>1435</v>
      </c>
      <c r="B3192" s="62" t="s">
        <v>938</v>
      </c>
      <c r="C3192" s="68" t="s">
        <v>1392</v>
      </c>
      <c r="D3192" s="68" t="s">
        <v>1478</v>
      </c>
      <c r="E3192" s="8" t="s">
        <v>499</v>
      </c>
      <c r="F3192" s="8"/>
      <c r="G3192" s="13" t="s">
        <v>1082</v>
      </c>
      <c r="H3192" s="14">
        <f t="shared" ref="H3192:L3193" si="1396">H3193</f>
        <v>7955.8179999999993</v>
      </c>
      <c r="I3192" s="14">
        <f t="shared" si="1396"/>
        <v>7955.8174399999998</v>
      </c>
      <c r="J3192" s="14">
        <f t="shared" si="1396"/>
        <v>0</v>
      </c>
      <c r="K3192" s="78">
        <f t="shared" si="1371"/>
        <v>0</v>
      </c>
      <c r="L3192" s="14">
        <f t="shared" si="1396"/>
        <v>0</v>
      </c>
      <c r="M3192" s="50"/>
      <c r="N3192" s="50"/>
    </row>
    <row r="3193" spans="1:14" ht="31.2" x14ac:dyDescent="0.3">
      <c r="A3193" s="8" t="s">
        <v>1435</v>
      </c>
      <c r="B3193" s="62" t="s">
        <v>938</v>
      </c>
      <c r="C3193" s="68" t="s">
        <v>1392</v>
      </c>
      <c r="D3193" s="68" t="s">
        <v>1478</v>
      </c>
      <c r="E3193" s="8" t="s">
        <v>499</v>
      </c>
      <c r="F3193" s="45" t="s">
        <v>478</v>
      </c>
      <c r="G3193" s="23" t="s">
        <v>817</v>
      </c>
      <c r="H3193" s="14">
        <f t="shared" si="1396"/>
        <v>7955.8179999999993</v>
      </c>
      <c r="I3193" s="14">
        <f t="shared" si="1396"/>
        <v>7955.8174399999998</v>
      </c>
      <c r="J3193" s="14">
        <f t="shared" si="1396"/>
        <v>0</v>
      </c>
      <c r="K3193" s="78">
        <f t="shared" si="1371"/>
        <v>0</v>
      </c>
      <c r="L3193" s="14">
        <f t="shared" si="1396"/>
        <v>0</v>
      </c>
      <c r="M3193" s="50"/>
      <c r="N3193" s="50"/>
    </row>
    <row r="3194" spans="1:14" x14ac:dyDescent="0.3">
      <c r="A3194" s="8" t="s">
        <v>1435</v>
      </c>
      <c r="B3194" s="62" t="s">
        <v>938</v>
      </c>
      <c r="C3194" s="68" t="s">
        <v>1392</v>
      </c>
      <c r="D3194" s="68" t="s">
        <v>1478</v>
      </c>
      <c r="E3194" s="8" t="s">
        <v>499</v>
      </c>
      <c r="F3194" s="45" t="s">
        <v>1273</v>
      </c>
      <c r="G3194" s="23" t="s">
        <v>818</v>
      </c>
      <c r="H3194" s="14">
        <f>92458.318-84502.5</f>
        <v>7955.8179999999993</v>
      </c>
      <c r="I3194" s="14">
        <v>7955.8174399999998</v>
      </c>
      <c r="J3194" s="14">
        <v>0</v>
      </c>
      <c r="K3194" s="78">
        <f t="shared" si="1371"/>
        <v>0</v>
      </c>
      <c r="L3194" s="14"/>
      <c r="M3194" s="50"/>
      <c r="N3194" s="50"/>
    </row>
    <row r="3195" spans="1:14" ht="46.8" x14ac:dyDescent="0.3">
      <c r="A3195" s="8" t="s">
        <v>1435</v>
      </c>
      <c r="B3195" s="62" t="s">
        <v>938</v>
      </c>
      <c r="C3195" s="68" t="s">
        <v>1392</v>
      </c>
      <c r="D3195" s="68" t="s">
        <v>1478</v>
      </c>
      <c r="E3195" s="8" t="s">
        <v>500</v>
      </c>
      <c r="F3195" s="8"/>
      <c r="G3195" s="13" t="s">
        <v>732</v>
      </c>
      <c r="H3195" s="14">
        <f t="shared" ref="H3195:L3196" si="1397">H3196</f>
        <v>14125.817999999996</v>
      </c>
      <c r="I3195" s="14">
        <f t="shared" si="1397"/>
        <v>14125.817359999999</v>
      </c>
      <c r="J3195" s="14">
        <f t="shared" si="1397"/>
        <v>4775.8170399999999</v>
      </c>
      <c r="K3195" s="78">
        <f t="shared" si="1371"/>
        <v>33.809137682352144</v>
      </c>
      <c r="L3195" s="14">
        <f t="shared" si="1397"/>
        <v>0</v>
      </c>
      <c r="M3195" s="50"/>
      <c r="N3195" s="50"/>
    </row>
    <row r="3196" spans="1:14" ht="31.2" x14ac:dyDescent="0.3">
      <c r="A3196" s="8" t="s">
        <v>1435</v>
      </c>
      <c r="B3196" s="62" t="s">
        <v>938</v>
      </c>
      <c r="C3196" s="68" t="s">
        <v>1392</v>
      </c>
      <c r="D3196" s="68" t="s">
        <v>1478</v>
      </c>
      <c r="E3196" s="8" t="s">
        <v>500</v>
      </c>
      <c r="F3196" s="45" t="s">
        <v>478</v>
      </c>
      <c r="G3196" s="23" t="s">
        <v>817</v>
      </c>
      <c r="H3196" s="14">
        <f t="shared" si="1397"/>
        <v>14125.817999999996</v>
      </c>
      <c r="I3196" s="14">
        <f t="shared" si="1397"/>
        <v>14125.817359999999</v>
      </c>
      <c r="J3196" s="14">
        <f t="shared" si="1397"/>
        <v>4775.8170399999999</v>
      </c>
      <c r="K3196" s="78">
        <f t="shared" si="1371"/>
        <v>33.809137682352144</v>
      </c>
      <c r="L3196" s="14">
        <f t="shared" si="1397"/>
        <v>0</v>
      </c>
      <c r="M3196" s="50"/>
      <c r="N3196" s="50"/>
    </row>
    <row r="3197" spans="1:14" x14ac:dyDescent="0.3">
      <c r="A3197" s="8" t="s">
        <v>1435</v>
      </c>
      <c r="B3197" s="62" t="s">
        <v>938</v>
      </c>
      <c r="C3197" s="68" t="s">
        <v>1392</v>
      </c>
      <c r="D3197" s="68" t="s">
        <v>1478</v>
      </c>
      <c r="E3197" s="8" t="s">
        <v>500</v>
      </c>
      <c r="F3197" s="45" t="s">
        <v>1273</v>
      </c>
      <c r="G3197" s="23" t="s">
        <v>818</v>
      </c>
      <c r="H3197" s="14">
        <f>73490.583-54813.3-4551.465</f>
        <v>14125.817999999996</v>
      </c>
      <c r="I3197" s="14">
        <v>14125.817359999999</v>
      </c>
      <c r="J3197" s="14">
        <v>4775.8170399999999</v>
      </c>
      <c r="K3197" s="78">
        <f t="shared" si="1371"/>
        <v>33.809137682352144</v>
      </c>
      <c r="L3197" s="14"/>
      <c r="M3197" s="50"/>
      <c r="N3197" s="50"/>
    </row>
    <row r="3198" spans="1:14" ht="46.8" x14ac:dyDescent="0.3">
      <c r="A3198" s="8" t="s">
        <v>1435</v>
      </c>
      <c r="B3198" s="62" t="s">
        <v>938</v>
      </c>
      <c r="C3198" s="68" t="s">
        <v>1392</v>
      </c>
      <c r="D3198" s="68" t="s">
        <v>1478</v>
      </c>
      <c r="E3198" s="8" t="s">
        <v>780</v>
      </c>
      <c r="F3198" s="45"/>
      <c r="G3198" s="18" t="s">
        <v>976</v>
      </c>
      <c r="H3198" s="14">
        <f t="shared" ref="H3198:L3199" si="1398">H3199</f>
        <v>3596.3359999999998</v>
      </c>
      <c r="I3198" s="14">
        <f t="shared" si="1398"/>
        <v>3596.3358699999999</v>
      </c>
      <c r="J3198" s="14">
        <f t="shared" si="1398"/>
        <v>3485.5351099999998</v>
      </c>
      <c r="K3198" s="78">
        <f t="shared" si="1371"/>
        <v>96.919065292975532</v>
      </c>
      <c r="L3198" s="14">
        <f t="shared" si="1398"/>
        <v>0</v>
      </c>
      <c r="M3198" s="50"/>
      <c r="N3198" s="50"/>
    </row>
    <row r="3199" spans="1:14" ht="31.2" x14ac:dyDescent="0.3">
      <c r="A3199" s="8" t="s">
        <v>1435</v>
      </c>
      <c r="B3199" s="62" t="s">
        <v>938</v>
      </c>
      <c r="C3199" s="68" t="s">
        <v>1392</v>
      </c>
      <c r="D3199" s="68" t="s">
        <v>1478</v>
      </c>
      <c r="E3199" s="8" t="s">
        <v>780</v>
      </c>
      <c r="F3199" s="45" t="s">
        <v>478</v>
      </c>
      <c r="G3199" s="23" t="s">
        <v>817</v>
      </c>
      <c r="H3199" s="14">
        <f t="shared" si="1398"/>
        <v>3596.3359999999998</v>
      </c>
      <c r="I3199" s="14">
        <f t="shared" si="1398"/>
        <v>3596.3358699999999</v>
      </c>
      <c r="J3199" s="14">
        <f t="shared" si="1398"/>
        <v>3485.5351099999998</v>
      </c>
      <c r="K3199" s="78">
        <f t="shared" si="1371"/>
        <v>96.919065292975532</v>
      </c>
      <c r="L3199" s="14">
        <f t="shared" si="1398"/>
        <v>0</v>
      </c>
      <c r="M3199" s="50"/>
      <c r="N3199" s="50"/>
    </row>
    <row r="3200" spans="1:14" x14ac:dyDescent="0.3">
      <c r="A3200" s="8" t="s">
        <v>1435</v>
      </c>
      <c r="B3200" s="62" t="s">
        <v>938</v>
      </c>
      <c r="C3200" s="68" t="s">
        <v>1392</v>
      </c>
      <c r="D3200" s="68" t="s">
        <v>1478</v>
      </c>
      <c r="E3200" s="8" t="s">
        <v>780</v>
      </c>
      <c r="F3200" s="45" t="s">
        <v>1273</v>
      </c>
      <c r="G3200" s="23" t="s">
        <v>818</v>
      </c>
      <c r="H3200" s="14">
        <v>3596.3359999999998</v>
      </c>
      <c r="I3200" s="14">
        <v>3596.3358699999999</v>
      </c>
      <c r="J3200" s="14">
        <v>3485.5351099999998</v>
      </c>
      <c r="K3200" s="78">
        <f t="shared" si="1371"/>
        <v>96.919065292975532</v>
      </c>
      <c r="L3200" s="14"/>
      <c r="M3200" s="50"/>
      <c r="N3200" s="50"/>
    </row>
    <row r="3201" spans="1:14" ht="31.2" x14ac:dyDescent="0.3">
      <c r="A3201" s="8" t="s">
        <v>1435</v>
      </c>
      <c r="B3201" s="62" t="s">
        <v>938</v>
      </c>
      <c r="C3201" s="68" t="s">
        <v>1392</v>
      </c>
      <c r="D3201" s="68" t="s">
        <v>1478</v>
      </c>
      <c r="E3201" s="8" t="s">
        <v>501</v>
      </c>
      <c r="F3201" s="8"/>
      <c r="G3201" s="13" t="s">
        <v>740</v>
      </c>
      <c r="H3201" s="14">
        <f t="shared" ref="H3201:L3202" si="1399">H3202</f>
        <v>2284.5</v>
      </c>
      <c r="I3201" s="14">
        <f t="shared" si="1399"/>
        <v>2284.5</v>
      </c>
      <c r="J3201" s="14">
        <f t="shared" si="1399"/>
        <v>0</v>
      </c>
      <c r="K3201" s="78">
        <f t="shared" si="1371"/>
        <v>0</v>
      </c>
      <c r="L3201" s="14">
        <f t="shared" si="1399"/>
        <v>0</v>
      </c>
      <c r="M3201" s="50"/>
      <c r="N3201" s="50"/>
    </row>
    <row r="3202" spans="1:14" ht="31.2" x14ac:dyDescent="0.3">
      <c r="A3202" s="8" t="s">
        <v>1435</v>
      </c>
      <c r="B3202" s="62" t="s">
        <v>938</v>
      </c>
      <c r="C3202" s="68" t="s">
        <v>1392</v>
      </c>
      <c r="D3202" s="68" t="s">
        <v>1478</v>
      </c>
      <c r="E3202" s="8" t="s">
        <v>501</v>
      </c>
      <c r="F3202" s="45" t="s">
        <v>478</v>
      </c>
      <c r="G3202" s="23" t="s">
        <v>817</v>
      </c>
      <c r="H3202" s="14">
        <f t="shared" si="1399"/>
        <v>2284.5</v>
      </c>
      <c r="I3202" s="14">
        <f t="shared" si="1399"/>
        <v>2284.5</v>
      </c>
      <c r="J3202" s="14">
        <f t="shared" si="1399"/>
        <v>0</v>
      </c>
      <c r="K3202" s="78">
        <f t="shared" si="1371"/>
        <v>0</v>
      </c>
      <c r="L3202" s="14">
        <f t="shared" si="1399"/>
        <v>0</v>
      </c>
      <c r="M3202" s="50"/>
      <c r="N3202" s="50"/>
    </row>
    <row r="3203" spans="1:14" x14ac:dyDescent="0.3">
      <c r="A3203" s="8" t="s">
        <v>1435</v>
      </c>
      <c r="B3203" s="62" t="s">
        <v>938</v>
      </c>
      <c r="C3203" s="68" t="s">
        <v>1392</v>
      </c>
      <c r="D3203" s="68" t="s">
        <v>1478</v>
      </c>
      <c r="E3203" s="8" t="s">
        <v>501</v>
      </c>
      <c r="F3203" s="45" t="s">
        <v>1273</v>
      </c>
      <c r="G3203" s="23" t="s">
        <v>818</v>
      </c>
      <c r="H3203" s="14">
        <f>2954.5-670</f>
        <v>2284.5</v>
      </c>
      <c r="I3203" s="14">
        <v>2284.5</v>
      </c>
      <c r="J3203" s="14">
        <v>0</v>
      </c>
      <c r="K3203" s="78">
        <f t="shared" si="1371"/>
        <v>0</v>
      </c>
      <c r="L3203" s="14"/>
      <c r="M3203" s="50"/>
      <c r="N3203" s="50"/>
    </row>
    <row r="3204" spans="1:14" ht="31.2" x14ac:dyDescent="0.3">
      <c r="A3204" s="8" t="s">
        <v>1435</v>
      </c>
      <c r="B3204" s="62" t="s">
        <v>938</v>
      </c>
      <c r="C3204" s="68" t="s">
        <v>1392</v>
      </c>
      <c r="D3204" s="68" t="s">
        <v>1478</v>
      </c>
      <c r="E3204" s="8" t="s">
        <v>502</v>
      </c>
      <c r="F3204" s="8"/>
      <c r="G3204" s="13" t="s">
        <v>741</v>
      </c>
      <c r="H3204" s="14">
        <f t="shared" ref="H3204:L3205" si="1400">H3205</f>
        <v>1206.4760000000001</v>
      </c>
      <c r="I3204" s="14">
        <f t="shared" si="1400"/>
        <v>1206.4760000000001</v>
      </c>
      <c r="J3204" s="14">
        <f t="shared" si="1400"/>
        <v>822.99391000000003</v>
      </c>
      <c r="K3204" s="78">
        <f t="shared" si="1371"/>
        <v>68.214693868754949</v>
      </c>
      <c r="L3204" s="14">
        <f t="shared" si="1400"/>
        <v>0</v>
      </c>
      <c r="M3204" s="50"/>
      <c r="N3204" s="50"/>
    </row>
    <row r="3205" spans="1:14" ht="31.2" x14ac:dyDescent="0.3">
      <c r="A3205" s="8" t="s">
        <v>1435</v>
      </c>
      <c r="B3205" s="62" t="s">
        <v>938</v>
      </c>
      <c r="C3205" s="68" t="s">
        <v>1392</v>
      </c>
      <c r="D3205" s="68" t="s">
        <v>1478</v>
      </c>
      <c r="E3205" s="8" t="s">
        <v>502</v>
      </c>
      <c r="F3205" s="45" t="s">
        <v>478</v>
      </c>
      <c r="G3205" s="23" t="s">
        <v>817</v>
      </c>
      <c r="H3205" s="14">
        <f t="shared" si="1400"/>
        <v>1206.4760000000001</v>
      </c>
      <c r="I3205" s="14">
        <f t="shared" si="1400"/>
        <v>1206.4760000000001</v>
      </c>
      <c r="J3205" s="14">
        <f t="shared" si="1400"/>
        <v>822.99391000000003</v>
      </c>
      <c r="K3205" s="78">
        <f t="shared" si="1371"/>
        <v>68.214693868754949</v>
      </c>
      <c r="L3205" s="14">
        <f t="shared" si="1400"/>
        <v>0</v>
      </c>
      <c r="M3205" s="50"/>
      <c r="N3205" s="50"/>
    </row>
    <row r="3206" spans="1:14" x14ac:dyDescent="0.3">
      <c r="A3206" s="8" t="s">
        <v>1435</v>
      </c>
      <c r="B3206" s="62" t="s">
        <v>938</v>
      </c>
      <c r="C3206" s="68" t="s">
        <v>1392</v>
      </c>
      <c r="D3206" s="68" t="s">
        <v>1478</v>
      </c>
      <c r="E3206" s="8" t="s">
        <v>502</v>
      </c>
      <c r="F3206" s="45" t="s">
        <v>1273</v>
      </c>
      <c r="G3206" s="23" t="s">
        <v>818</v>
      </c>
      <c r="H3206" s="14">
        <f>2021.2-814.724</f>
        <v>1206.4760000000001</v>
      </c>
      <c r="I3206" s="14">
        <v>1206.4760000000001</v>
      </c>
      <c r="J3206" s="14">
        <v>822.99391000000003</v>
      </c>
      <c r="K3206" s="78">
        <f t="shared" si="1371"/>
        <v>68.214693868754949</v>
      </c>
      <c r="L3206" s="14"/>
      <c r="M3206" s="50"/>
      <c r="N3206" s="50"/>
    </row>
    <row r="3207" spans="1:14" ht="46.8" x14ac:dyDescent="0.3">
      <c r="A3207" s="8" t="s">
        <v>1435</v>
      </c>
      <c r="B3207" s="62" t="s">
        <v>938</v>
      </c>
      <c r="C3207" s="68" t="s">
        <v>1392</v>
      </c>
      <c r="D3207" s="68" t="s">
        <v>1478</v>
      </c>
      <c r="E3207" s="8" t="s">
        <v>189</v>
      </c>
      <c r="F3207" s="45"/>
      <c r="G3207" s="23" t="s">
        <v>704</v>
      </c>
      <c r="H3207" s="14">
        <f t="shared" ref="H3207:L3208" si="1401">H3208</f>
        <v>1094.2</v>
      </c>
      <c r="I3207" s="14">
        <f t="shared" si="1401"/>
        <v>1094.2</v>
      </c>
      <c r="J3207" s="14">
        <f t="shared" si="1401"/>
        <v>0</v>
      </c>
      <c r="K3207" s="78">
        <f t="shared" si="1371"/>
        <v>0</v>
      </c>
      <c r="L3207" s="14">
        <f t="shared" si="1401"/>
        <v>0</v>
      </c>
      <c r="M3207" s="50"/>
      <c r="N3207" s="50"/>
    </row>
    <row r="3208" spans="1:14" ht="31.2" x14ac:dyDescent="0.3">
      <c r="A3208" s="8" t="s">
        <v>1435</v>
      </c>
      <c r="B3208" s="62" t="s">
        <v>938</v>
      </c>
      <c r="C3208" s="68" t="s">
        <v>1392</v>
      </c>
      <c r="D3208" s="68" t="s">
        <v>1478</v>
      </c>
      <c r="E3208" s="8" t="s">
        <v>189</v>
      </c>
      <c r="F3208" s="45" t="s">
        <v>478</v>
      </c>
      <c r="G3208" s="23" t="s">
        <v>817</v>
      </c>
      <c r="H3208" s="14">
        <f t="shared" si="1401"/>
        <v>1094.2</v>
      </c>
      <c r="I3208" s="14">
        <f t="shared" si="1401"/>
        <v>1094.2</v>
      </c>
      <c r="J3208" s="14">
        <f t="shared" si="1401"/>
        <v>0</v>
      </c>
      <c r="K3208" s="78">
        <f t="shared" ref="K3208:K3271" si="1402">J3208/I3208*100</f>
        <v>0</v>
      </c>
      <c r="L3208" s="14">
        <f t="shared" si="1401"/>
        <v>0</v>
      </c>
      <c r="M3208" s="50"/>
      <c r="N3208" s="50"/>
    </row>
    <row r="3209" spans="1:14" x14ac:dyDescent="0.3">
      <c r="A3209" s="8" t="s">
        <v>1435</v>
      </c>
      <c r="B3209" s="62" t="s">
        <v>938</v>
      </c>
      <c r="C3209" s="68" t="s">
        <v>1392</v>
      </c>
      <c r="D3209" s="68" t="s">
        <v>1478</v>
      </c>
      <c r="E3209" s="8" t="s">
        <v>189</v>
      </c>
      <c r="F3209" s="45" t="s">
        <v>1273</v>
      </c>
      <c r="G3209" s="23" t="s">
        <v>818</v>
      </c>
      <c r="H3209" s="14">
        <v>1094.2</v>
      </c>
      <c r="I3209" s="14">
        <v>1094.2</v>
      </c>
      <c r="J3209" s="14">
        <v>0</v>
      </c>
      <c r="K3209" s="78">
        <f t="shared" si="1402"/>
        <v>0</v>
      </c>
      <c r="L3209" s="14"/>
      <c r="M3209" s="50"/>
      <c r="N3209" s="50"/>
    </row>
    <row r="3210" spans="1:14" ht="46.8" x14ac:dyDescent="0.3">
      <c r="A3210" s="8" t="s">
        <v>1435</v>
      </c>
      <c r="B3210" s="62" t="s">
        <v>938</v>
      </c>
      <c r="C3210" s="68" t="s">
        <v>1392</v>
      </c>
      <c r="D3210" s="68" t="s">
        <v>1478</v>
      </c>
      <c r="E3210" s="8" t="s">
        <v>503</v>
      </c>
      <c r="F3210" s="8"/>
      <c r="G3210" s="13" t="s">
        <v>1083</v>
      </c>
      <c r="H3210" s="14">
        <f t="shared" ref="H3210:L3212" si="1403">H3211</f>
        <v>35343.481999999996</v>
      </c>
      <c r="I3210" s="14">
        <f t="shared" si="1403"/>
        <v>23801.98013</v>
      </c>
      <c r="J3210" s="14">
        <f t="shared" si="1403"/>
        <v>2734.9623900000001</v>
      </c>
      <c r="K3210" s="78">
        <f t="shared" si="1402"/>
        <v>11.490482619775214</v>
      </c>
      <c r="L3210" s="14">
        <f t="shared" si="1403"/>
        <v>0</v>
      </c>
      <c r="M3210" s="50"/>
      <c r="N3210" s="50"/>
    </row>
    <row r="3211" spans="1:14" ht="31.2" x14ac:dyDescent="0.3">
      <c r="A3211" s="8" t="s">
        <v>1435</v>
      </c>
      <c r="B3211" s="62" t="s">
        <v>938</v>
      </c>
      <c r="C3211" s="68" t="s">
        <v>1392</v>
      </c>
      <c r="D3211" s="68" t="s">
        <v>1478</v>
      </c>
      <c r="E3211" s="8" t="s">
        <v>504</v>
      </c>
      <c r="F3211" s="8"/>
      <c r="G3211" s="13" t="s">
        <v>1217</v>
      </c>
      <c r="H3211" s="14">
        <f t="shared" si="1403"/>
        <v>35343.481999999996</v>
      </c>
      <c r="I3211" s="14">
        <f t="shared" si="1403"/>
        <v>23801.98013</v>
      </c>
      <c r="J3211" s="14">
        <f t="shared" si="1403"/>
        <v>2734.9623900000001</v>
      </c>
      <c r="K3211" s="78">
        <f t="shared" si="1402"/>
        <v>11.490482619775214</v>
      </c>
      <c r="L3211" s="14">
        <f t="shared" si="1403"/>
        <v>0</v>
      </c>
      <c r="M3211" s="50"/>
      <c r="N3211" s="50"/>
    </row>
    <row r="3212" spans="1:14" ht="31.2" x14ac:dyDescent="0.3">
      <c r="A3212" s="8" t="s">
        <v>1435</v>
      </c>
      <c r="B3212" s="62" t="s">
        <v>938</v>
      </c>
      <c r="C3212" s="68" t="s">
        <v>1392</v>
      </c>
      <c r="D3212" s="68" t="s">
        <v>1478</v>
      </c>
      <c r="E3212" s="8" t="s">
        <v>504</v>
      </c>
      <c r="F3212" s="45" t="s">
        <v>478</v>
      </c>
      <c r="G3212" s="23" t="s">
        <v>817</v>
      </c>
      <c r="H3212" s="14">
        <f t="shared" si="1403"/>
        <v>35343.481999999996</v>
      </c>
      <c r="I3212" s="14">
        <f t="shared" si="1403"/>
        <v>23801.98013</v>
      </c>
      <c r="J3212" s="14">
        <f t="shared" si="1403"/>
        <v>2734.9623900000001</v>
      </c>
      <c r="K3212" s="78">
        <f t="shared" si="1402"/>
        <v>11.490482619775214</v>
      </c>
      <c r="L3212" s="14">
        <f t="shared" si="1403"/>
        <v>0</v>
      </c>
      <c r="M3212" s="50"/>
      <c r="N3212" s="50"/>
    </row>
    <row r="3213" spans="1:14" x14ac:dyDescent="0.3">
      <c r="A3213" s="8" t="s">
        <v>1435</v>
      </c>
      <c r="B3213" s="62" t="s">
        <v>938</v>
      </c>
      <c r="C3213" s="68" t="s">
        <v>1392</v>
      </c>
      <c r="D3213" s="68" t="s">
        <v>1478</v>
      </c>
      <c r="E3213" s="8" t="s">
        <v>504</v>
      </c>
      <c r="F3213" s="45" t="s">
        <v>1273</v>
      </c>
      <c r="G3213" s="23" t="s">
        <v>818</v>
      </c>
      <c r="H3213" s="14">
        <f>47839.608-1999.421-10496.705</f>
        <v>35343.481999999996</v>
      </c>
      <c r="I3213" s="14">
        <v>23801.98013</v>
      </c>
      <c r="J3213" s="14">
        <v>2734.9623900000001</v>
      </c>
      <c r="K3213" s="78">
        <f t="shared" si="1402"/>
        <v>11.490482619775214</v>
      </c>
      <c r="L3213" s="14"/>
      <c r="M3213" s="50"/>
      <c r="N3213" s="50"/>
    </row>
    <row r="3214" spans="1:14" ht="78" x14ac:dyDescent="0.3">
      <c r="A3214" s="8" t="s">
        <v>1435</v>
      </c>
      <c r="B3214" s="62" t="s">
        <v>938</v>
      </c>
      <c r="C3214" s="68" t="s">
        <v>1392</v>
      </c>
      <c r="D3214" s="68" t="s">
        <v>1478</v>
      </c>
      <c r="E3214" s="8" t="s">
        <v>507</v>
      </c>
      <c r="F3214" s="8"/>
      <c r="G3214" s="13" t="s">
        <v>1085</v>
      </c>
      <c r="H3214" s="14">
        <f>H3215+H3218</f>
        <v>15401.856999999998</v>
      </c>
      <c r="I3214" s="14">
        <f>I3215+I3218</f>
        <v>26943.35802</v>
      </c>
      <c r="J3214" s="14">
        <f t="shared" ref="J3214" si="1404">J3215+J3218</f>
        <v>23834.563139999998</v>
      </c>
      <c r="K3214" s="78">
        <f t="shared" si="1402"/>
        <v>88.461739335934482</v>
      </c>
      <c r="L3214" s="14">
        <f>L3215+L3218</f>
        <v>0</v>
      </c>
      <c r="M3214" s="50"/>
      <c r="N3214" s="50"/>
    </row>
    <row r="3215" spans="1:14" ht="62.4" x14ac:dyDescent="0.3">
      <c r="A3215" s="8" t="s">
        <v>1435</v>
      </c>
      <c r="B3215" s="62" t="s">
        <v>938</v>
      </c>
      <c r="C3215" s="68" t="s">
        <v>1392</v>
      </c>
      <c r="D3215" s="68" t="s">
        <v>1478</v>
      </c>
      <c r="E3215" s="8" t="s">
        <v>508</v>
      </c>
      <c r="F3215" s="8"/>
      <c r="G3215" s="13" t="s">
        <v>1086</v>
      </c>
      <c r="H3215" s="14">
        <f t="shared" ref="H3215:L3216" si="1405">H3216</f>
        <v>6964.5569999999989</v>
      </c>
      <c r="I3215" s="14">
        <f t="shared" si="1405"/>
        <v>18506.05802</v>
      </c>
      <c r="J3215" s="14">
        <f t="shared" si="1405"/>
        <v>15403.430840000001</v>
      </c>
      <c r="K3215" s="78">
        <f t="shared" si="1402"/>
        <v>83.234532299385933</v>
      </c>
      <c r="L3215" s="14">
        <f t="shared" si="1405"/>
        <v>0</v>
      </c>
      <c r="M3215" s="50"/>
      <c r="N3215" s="50"/>
    </row>
    <row r="3216" spans="1:14" ht="31.2" x14ac:dyDescent="0.3">
      <c r="A3216" s="8" t="s">
        <v>1435</v>
      </c>
      <c r="B3216" s="62" t="s">
        <v>938</v>
      </c>
      <c r="C3216" s="68" t="s">
        <v>1392</v>
      </c>
      <c r="D3216" s="68" t="s">
        <v>1478</v>
      </c>
      <c r="E3216" s="8" t="s">
        <v>508</v>
      </c>
      <c r="F3216" s="45" t="s">
        <v>380</v>
      </c>
      <c r="G3216" s="23" t="s">
        <v>809</v>
      </c>
      <c r="H3216" s="14">
        <f t="shared" si="1405"/>
        <v>6964.5569999999989</v>
      </c>
      <c r="I3216" s="14">
        <f t="shared" si="1405"/>
        <v>18506.05802</v>
      </c>
      <c r="J3216" s="14">
        <f t="shared" si="1405"/>
        <v>15403.430840000001</v>
      </c>
      <c r="K3216" s="78">
        <f t="shared" si="1402"/>
        <v>83.234532299385933</v>
      </c>
      <c r="L3216" s="14">
        <f t="shared" si="1405"/>
        <v>0</v>
      </c>
      <c r="M3216" s="50"/>
      <c r="N3216" s="50"/>
    </row>
    <row r="3217" spans="1:14" ht="31.2" x14ac:dyDescent="0.3">
      <c r="A3217" s="8" t="s">
        <v>1435</v>
      </c>
      <c r="B3217" s="62" t="s">
        <v>938</v>
      </c>
      <c r="C3217" s="68" t="s">
        <v>1392</v>
      </c>
      <c r="D3217" s="68" t="s">
        <v>1478</v>
      </c>
      <c r="E3217" s="8" t="s">
        <v>508</v>
      </c>
      <c r="F3217" s="8" t="s">
        <v>247</v>
      </c>
      <c r="G3217" s="23" t="s">
        <v>810</v>
      </c>
      <c r="H3217" s="14">
        <f>10208.765-3012.304-231.904</f>
        <v>6964.5569999999989</v>
      </c>
      <c r="I3217" s="14">
        <v>18506.05802</v>
      </c>
      <c r="J3217" s="14">
        <v>15403.430840000001</v>
      </c>
      <c r="K3217" s="78">
        <f t="shared" si="1402"/>
        <v>83.234532299385933</v>
      </c>
      <c r="L3217" s="14"/>
      <c r="M3217" s="50"/>
      <c r="N3217" s="50"/>
    </row>
    <row r="3218" spans="1:14" ht="46.8" x14ac:dyDescent="0.3">
      <c r="A3218" s="8" t="s">
        <v>1435</v>
      </c>
      <c r="B3218" s="62" t="s">
        <v>938</v>
      </c>
      <c r="C3218" s="68" t="s">
        <v>1392</v>
      </c>
      <c r="D3218" s="68" t="s">
        <v>1478</v>
      </c>
      <c r="E3218" s="8" t="s">
        <v>509</v>
      </c>
      <c r="F3218" s="8"/>
      <c r="G3218" s="13" t="s">
        <v>1087</v>
      </c>
      <c r="H3218" s="14">
        <f t="shared" ref="H3218:L3219" si="1406">H3219</f>
        <v>8437.2999999999993</v>
      </c>
      <c r="I3218" s="14">
        <f t="shared" si="1406"/>
        <v>8437.2999999999993</v>
      </c>
      <c r="J3218" s="14">
        <f t="shared" si="1406"/>
        <v>8431.1322999999993</v>
      </c>
      <c r="K3218" s="78">
        <f t="shared" si="1402"/>
        <v>99.926899600583127</v>
      </c>
      <c r="L3218" s="14">
        <f t="shared" si="1406"/>
        <v>0</v>
      </c>
      <c r="M3218" s="50"/>
      <c r="N3218" s="50"/>
    </row>
    <row r="3219" spans="1:14" x14ac:dyDescent="0.3">
      <c r="A3219" s="8" t="s">
        <v>1435</v>
      </c>
      <c r="B3219" s="62" t="s">
        <v>938</v>
      </c>
      <c r="C3219" s="68" t="s">
        <v>1392</v>
      </c>
      <c r="D3219" s="68" t="s">
        <v>1478</v>
      </c>
      <c r="E3219" s="8" t="s">
        <v>509</v>
      </c>
      <c r="F3219" s="45" t="s">
        <v>464</v>
      </c>
      <c r="G3219" s="23" t="s">
        <v>822</v>
      </c>
      <c r="H3219" s="14">
        <f t="shared" si="1406"/>
        <v>8437.2999999999993</v>
      </c>
      <c r="I3219" s="14">
        <f t="shared" si="1406"/>
        <v>8437.2999999999993</v>
      </c>
      <c r="J3219" s="14">
        <f t="shared" si="1406"/>
        <v>8431.1322999999993</v>
      </c>
      <c r="K3219" s="78">
        <f t="shared" si="1402"/>
        <v>99.926899600583127</v>
      </c>
      <c r="L3219" s="14">
        <f t="shared" si="1406"/>
        <v>0</v>
      </c>
      <c r="M3219" s="50"/>
      <c r="N3219" s="50"/>
    </row>
    <row r="3220" spans="1:14" x14ac:dyDescent="0.3">
      <c r="A3220" s="8" t="s">
        <v>1435</v>
      </c>
      <c r="B3220" s="62" t="s">
        <v>938</v>
      </c>
      <c r="C3220" s="68" t="s">
        <v>1392</v>
      </c>
      <c r="D3220" s="68" t="s">
        <v>1478</v>
      </c>
      <c r="E3220" s="8" t="s">
        <v>509</v>
      </c>
      <c r="F3220" s="45" t="s">
        <v>729</v>
      </c>
      <c r="G3220" s="23" t="s">
        <v>824</v>
      </c>
      <c r="H3220" s="14">
        <v>8437.2999999999993</v>
      </c>
      <c r="I3220" s="14">
        <v>8437.2999999999993</v>
      </c>
      <c r="J3220" s="14">
        <v>8431.1322999999993</v>
      </c>
      <c r="K3220" s="78">
        <f t="shared" si="1402"/>
        <v>99.926899600583127</v>
      </c>
      <c r="L3220" s="14"/>
      <c r="M3220" s="50"/>
      <c r="N3220" s="50"/>
    </row>
    <row r="3221" spans="1:14" ht="46.8" x14ac:dyDescent="0.3">
      <c r="A3221" s="8" t="s">
        <v>1435</v>
      </c>
      <c r="B3221" s="62" t="s">
        <v>938</v>
      </c>
      <c r="C3221" s="68" t="s">
        <v>1392</v>
      </c>
      <c r="D3221" s="68" t="s">
        <v>1478</v>
      </c>
      <c r="E3221" s="8" t="s">
        <v>510</v>
      </c>
      <c r="F3221" s="8"/>
      <c r="G3221" s="31" t="s">
        <v>1212</v>
      </c>
      <c r="H3221" s="14">
        <f>H3222+H3225</f>
        <v>6027.5930000000017</v>
      </c>
      <c r="I3221" s="14">
        <f>I3222+I3225</f>
        <v>6027.5929999999998</v>
      </c>
      <c r="J3221" s="14">
        <f t="shared" ref="J3221" si="1407">J3222+J3225</f>
        <v>5324.6348099999996</v>
      </c>
      <c r="K3221" s="78">
        <f t="shared" si="1402"/>
        <v>88.337663309384013</v>
      </c>
      <c r="L3221" s="14">
        <f>L3222+L3225</f>
        <v>0</v>
      </c>
      <c r="M3221" s="50"/>
      <c r="N3221" s="50"/>
    </row>
    <row r="3222" spans="1:14" ht="31.2" x14ac:dyDescent="0.3">
      <c r="A3222" s="8" t="s">
        <v>1435</v>
      </c>
      <c r="B3222" s="62" t="s">
        <v>938</v>
      </c>
      <c r="C3222" s="68" t="s">
        <v>1392</v>
      </c>
      <c r="D3222" s="68" t="s">
        <v>1478</v>
      </c>
      <c r="E3222" s="8" t="s">
        <v>190</v>
      </c>
      <c r="F3222" s="8"/>
      <c r="G3222" s="23" t="s">
        <v>163</v>
      </c>
      <c r="H3222" s="14">
        <f t="shared" ref="H3222:L3223" si="1408">H3223</f>
        <v>6027.5930000000017</v>
      </c>
      <c r="I3222" s="14">
        <f t="shared" si="1408"/>
        <v>6027.5929999999998</v>
      </c>
      <c r="J3222" s="14">
        <f t="shared" si="1408"/>
        <v>5324.6348099999996</v>
      </c>
      <c r="K3222" s="78">
        <f t="shared" si="1402"/>
        <v>88.337663309384013</v>
      </c>
      <c r="L3222" s="14">
        <f t="shared" si="1408"/>
        <v>0</v>
      </c>
      <c r="M3222" s="50"/>
      <c r="N3222" s="50"/>
    </row>
    <row r="3223" spans="1:14" ht="31.2" x14ac:dyDescent="0.3">
      <c r="A3223" s="8" t="s">
        <v>1435</v>
      </c>
      <c r="B3223" s="62" t="s">
        <v>938</v>
      </c>
      <c r="C3223" s="68" t="s">
        <v>1392</v>
      </c>
      <c r="D3223" s="68" t="s">
        <v>1478</v>
      </c>
      <c r="E3223" s="8" t="s">
        <v>190</v>
      </c>
      <c r="F3223" s="45" t="s">
        <v>478</v>
      </c>
      <c r="G3223" s="23" t="s">
        <v>817</v>
      </c>
      <c r="H3223" s="14">
        <f t="shared" si="1408"/>
        <v>6027.5930000000017</v>
      </c>
      <c r="I3223" s="14">
        <f t="shared" si="1408"/>
        <v>6027.5929999999998</v>
      </c>
      <c r="J3223" s="14">
        <f t="shared" si="1408"/>
        <v>5324.6348099999996</v>
      </c>
      <c r="K3223" s="78">
        <f t="shared" si="1402"/>
        <v>88.337663309384013</v>
      </c>
      <c r="L3223" s="14">
        <f t="shared" si="1408"/>
        <v>0</v>
      </c>
      <c r="M3223" s="50"/>
      <c r="N3223" s="50"/>
    </row>
    <row r="3224" spans="1:14" x14ac:dyDescent="0.3">
      <c r="A3224" s="8" t="s">
        <v>1435</v>
      </c>
      <c r="B3224" s="62" t="s">
        <v>938</v>
      </c>
      <c r="C3224" s="68" t="s">
        <v>1392</v>
      </c>
      <c r="D3224" s="68" t="s">
        <v>1478</v>
      </c>
      <c r="E3224" s="8" t="s">
        <v>190</v>
      </c>
      <c r="F3224" s="45" t="s">
        <v>1273</v>
      </c>
      <c r="G3224" s="23" t="s">
        <v>818</v>
      </c>
      <c r="H3224" s="14">
        <f>37000+2330.266-32818.4-484.273</f>
        <v>6027.5930000000017</v>
      </c>
      <c r="I3224" s="14">
        <v>6027.5929999999998</v>
      </c>
      <c r="J3224" s="14">
        <v>5324.6348099999996</v>
      </c>
      <c r="K3224" s="78">
        <f t="shared" si="1402"/>
        <v>88.337663309384013</v>
      </c>
      <c r="L3224" s="14"/>
      <c r="M3224" s="50"/>
      <c r="N3224" s="50"/>
    </row>
    <row r="3225" spans="1:14" ht="31.2" hidden="1" x14ac:dyDescent="0.3">
      <c r="A3225" s="8" t="s">
        <v>1435</v>
      </c>
      <c r="B3225" s="62" t="s">
        <v>938</v>
      </c>
      <c r="C3225" s="68" t="s">
        <v>1392</v>
      </c>
      <c r="D3225" s="68" t="s">
        <v>1478</v>
      </c>
      <c r="E3225" s="8" t="s">
        <v>191</v>
      </c>
      <c r="F3225" s="8"/>
      <c r="G3225" s="23" t="s">
        <v>1345</v>
      </c>
      <c r="H3225" s="14">
        <f t="shared" ref="H3225:L3226" si="1409">H3226</f>
        <v>0</v>
      </c>
      <c r="I3225" s="14">
        <f t="shared" si="1409"/>
        <v>0</v>
      </c>
      <c r="J3225" s="14">
        <f t="shared" si="1409"/>
        <v>0</v>
      </c>
      <c r="K3225" s="78" t="e">
        <f t="shared" si="1402"/>
        <v>#DIV/0!</v>
      </c>
      <c r="L3225" s="14">
        <f t="shared" si="1409"/>
        <v>0</v>
      </c>
      <c r="M3225" s="50">
        <v>111</v>
      </c>
      <c r="N3225" s="50"/>
    </row>
    <row r="3226" spans="1:14" ht="31.2" hidden="1" x14ac:dyDescent="0.3">
      <c r="A3226" s="8" t="s">
        <v>1435</v>
      </c>
      <c r="B3226" s="62" t="s">
        <v>938</v>
      </c>
      <c r="C3226" s="68" t="s">
        <v>1392</v>
      </c>
      <c r="D3226" s="68" t="s">
        <v>1478</v>
      </c>
      <c r="E3226" s="8" t="s">
        <v>191</v>
      </c>
      <c r="F3226" s="45" t="s">
        <v>478</v>
      </c>
      <c r="G3226" s="23" t="s">
        <v>817</v>
      </c>
      <c r="H3226" s="14">
        <f t="shared" si="1409"/>
        <v>0</v>
      </c>
      <c r="I3226" s="14">
        <f t="shared" si="1409"/>
        <v>0</v>
      </c>
      <c r="J3226" s="14">
        <f t="shared" si="1409"/>
        <v>0</v>
      </c>
      <c r="K3226" s="78" t="e">
        <f t="shared" si="1402"/>
        <v>#DIV/0!</v>
      </c>
      <c r="L3226" s="14">
        <f t="shared" si="1409"/>
        <v>0</v>
      </c>
      <c r="M3226" s="50">
        <v>111</v>
      </c>
      <c r="N3226" s="50"/>
    </row>
    <row r="3227" spans="1:14" hidden="1" x14ac:dyDescent="0.3">
      <c r="A3227" s="8" t="s">
        <v>1435</v>
      </c>
      <c r="B3227" s="62" t="s">
        <v>938</v>
      </c>
      <c r="C3227" s="68" t="s">
        <v>1392</v>
      </c>
      <c r="D3227" s="68" t="s">
        <v>1478</v>
      </c>
      <c r="E3227" s="8" t="s">
        <v>191</v>
      </c>
      <c r="F3227" s="45" t="s">
        <v>1273</v>
      </c>
      <c r="G3227" s="23" t="s">
        <v>818</v>
      </c>
      <c r="H3227" s="14">
        <v>0</v>
      </c>
      <c r="I3227" s="14">
        <v>0</v>
      </c>
      <c r="J3227" s="19">
        <v>0</v>
      </c>
      <c r="K3227" s="75" t="e">
        <f t="shared" si="1402"/>
        <v>#DIV/0!</v>
      </c>
      <c r="L3227" s="14"/>
      <c r="M3227" s="50">
        <v>111</v>
      </c>
      <c r="N3227" s="50"/>
    </row>
    <row r="3228" spans="1:14" ht="46.8" x14ac:dyDescent="0.3">
      <c r="A3228" s="8" t="s">
        <v>1435</v>
      </c>
      <c r="B3228" s="62" t="s">
        <v>938</v>
      </c>
      <c r="C3228" s="68" t="s">
        <v>1392</v>
      </c>
      <c r="D3228" s="68" t="s">
        <v>1478</v>
      </c>
      <c r="E3228" s="8" t="s">
        <v>54</v>
      </c>
      <c r="F3228" s="8"/>
      <c r="G3228" s="23" t="s">
        <v>742</v>
      </c>
      <c r="H3228" s="14">
        <f t="shared" ref="H3228:L3230" si="1410">H3229</f>
        <v>20480.572</v>
      </c>
      <c r="I3228" s="14">
        <f t="shared" si="1410"/>
        <v>9937.0391099999997</v>
      </c>
      <c r="J3228" s="14">
        <f t="shared" si="1410"/>
        <v>5989</v>
      </c>
      <c r="K3228" s="78">
        <f t="shared" si="1402"/>
        <v>60.269461896079832</v>
      </c>
      <c r="L3228" s="14">
        <f t="shared" si="1410"/>
        <v>0</v>
      </c>
      <c r="M3228" s="50"/>
      <c r="N3228" s="50"/>
    </row>
    <row r="3229" spans="1:14" ht="31.2" x14ac:dyDescent="0.3">
      <c r="A3229" s="8" t="s">
        <v>1435</v>
      </c>
      <c r="B3229" s="62" t="s">
        <v>938</v>
      </c>
      <c r="C3229" s="68" t="s">
        <v>1392</v>
      </c>
      <c r="D3229" s="68" t="s">
        <v>1478</v>
      </c>
      <c r="E3229" s="8" t="s">
        <v>192</v>
      </c>
      <c r="F3229" s="8"/>
      <c r="G3229" s="23" t="s">
        <v>1276</v>
      </c>
      <c r="H3229" s="14">
        <f t="shared" si="1410"/>
        <v>20480.572</v>
      </c>
      <c r="I3229" s="14">
        <f t="shared" si="1410"/>
        <v>9937.0391099999997</v>
      </c>
      <c r="J3229" s="14">
        <f t="shared" si="1410"/>
        <v>5989</v>
      </c>
      <c r="K3229" s="78">
        <f t="shared" si="1402"/>
        <v>60.269461896079832</v>
      </c>
      <c r="L3229" s="14">
        <f t="shared" si="1410"/>
        <v>0</v>
      </c>
      <c r="M3229" s="50"/>
      <c r="N3229" s="50"/>
    </row>
    <row r="3230" spans="1:14" ht="31.2" x14ac:dyDescent="0.3">
      <c r="A3230" s="8" t="s">
        <v>1435</v>
      </c>
      <c r="B3230" s="62" t="s">
        <v>938</v>
      </c>
      <c r="C3230" s="68" t="s">
        <v>1392</v>
      </c>
      <c r="D3230" s="68" t="s">
        <v>1478</v>
      </c>
      <c r="E3230" s="8" t="s">
        <v>192</v>
      </c>
      <c r="F3230" s="45" t="s">
        <v>380</v>
      </c>
      <c r="G3230" s="23" t="s">
        <v>809</v>
      </c>
      <c r="H3230" s="14">
        <f t="shared" si="1410"/>
        <v>20480.572</v>
      </c>
      <c r="I3230" s="14">
        <f t="shared" si="1410"/>
        <v>9937.0391099999997</v>
      </c>
      <c r="J3230" s="14">
        <f t="shared" si="1410"/>
        <v>5989</v>
      </c>
      <c r="K3230" s="78">
        <f t="shared" si="1402"/>
        <v>60.269461896079832</v>
      </c>
      <c r="L3230" s="14">
        <f t="shared" si="1410"/>
        <v>0</v>
      </c>
      <c r="M3230" s="50"/>
      <c r="N3230" s="50"/>
    </row>
    <row r="3231" spans="1:14" ht="31.2" x14ac:dyDescent="0.3">
      <c r="A3231" s="8" t="s">
        <v>1435</v>
      </c>
      <c r="B3231" s="62" t="s">
        <v>938</v>
      </c>
      <c r="C3231" s="68" t="s">
        <v>1392</v>
      </c>
      <c r="D3231" s="68" t="s">
        <v>1478</v>
      </c>
      <c r="E3231" s="8" t="s">
        <v>192</v>
      </c>
      <c r="F3231" s="8" t="s">
        <v>247</v>
      </c>
      <c r="G3231" s="23" t="s">
        <v>810</v>
      </c>
      <c r="H3231" s="14">
        <f>22983.4-2288.162-214.666</f>
        <v>20480.572</v>
      </c>
      <c r="I3231" s="14">
        <v>9937.0391099999997</v>
      </c>
      <c r="J3231" s="14">
        <v>5989</v>
      </c>
      <c r="K3231" s="78">
        <f t="shared" si="1402"/>
        <v>60.269461896079832</v>
      </c>
      <c r="L3231" s="14"/>
      <c r="M3231" s="50"/>
      <c r="N3231" s="50"/>
    </row>
    <row r="3232" spans="1:14" ht="31.2" x14ac:dyDescent="0.3">
      <c r="A3232" s="8" t="s">
        <v>1435</v>
      </c>
      <c r="B3232" s="62" t="s">
        <v>938</v>
      </c>
      <c r="C3232" s="68" t="s">
        <v>1392</v>
      </c>
      <c r="D3232" s="68" t="s">
        <v>1478</v>
      </c>
      <c r="E3232" s="8" t="s">
        <v>515</v>
      </c>
      <c r="F3232" s="8"/>
      <c r="G3232" s="23" t="s">
        <v>1091</v>
      </c>
      <c r="H3232" s="14">
        <f t="shared" ref="H3232:L3233" si="1411">H3233</f>
        <v>34718.076999999997</v>
      </c>
      <c r="I3232" s="14">
        <f t="shared" si="1411"/>
        <v>34718.076230000006</v>
      </c>
      <c r="J3232" s="14">
        <f t="shared" si="1411"/>
        <v>34700.58857</v>
      </c>
      <c r="K3232" s="78">
        <f t="shared" si="1402"/>
        <v>99.949629524734746</v>
      </c>
      <c r="L3232" s="14">
        <f t="shared" si="1411"/>
        <v>0</v>
      </c>
      <c r="M3232" s="50"/>
      <c r="N3232" s="50"/>
    </row>
    <row r="3233" spans="1:14" ht="62.4" x14ac:dyDescent="0.3">
      <c r="A3233" s="8" t="s">
        <v>1435</v>
      </c>
      <c r="B3233" s="62" t="s">
        <v>938</v>
      </c>
      <c r="C3233" s="68" t="s">
        <v>1392</v>
      </c>
      <c r="D3233" s="68" t="s">
        <v>1478</v>
      </c>
      <c r="E3233" s="8" t="s">
        <v>516</v>
      </c>
      <c r="F3233" s="8"/>
      <c r="G3233" s="23" t="s">
        <v>1169</v>
      </c>
      <c r="H3233" s="14">
        <f>H3234</f>
        <v>34718.076999999997</v>
      </c>
      <c r="I3233" s="14">
        <f t="shared" si="1411"/>
        <v>34718.076230000006</v>
      </c>
      <c r="J3233" s="14">
        <f t="shared" si="1411"/>
        <v>34700.58857</v>
      </c>
      <c r="K3233" s="78">
        <f t="shared" si="1402"/>
        <v>99.949629524734746</v>
      </c>
      <c r="L3233" s="14">
        <f t="shared" si="1411"/>
        <v>0</v>
      </c>
      <c r="M3233" s="50"/>
      <c r="N3233" s="50"/>
    </row>
    <row r="3234" spans="1:14" ht="31.2" x14ac:dyDescent="0.3">
      <c r="A3234" s="8" t="s">
        <v>1435</v>
      </c>
      <c r="B3234" s="62" t="s">
        <v>938</v>
      </c>
      <c r="C3234" s="68" t="s">
        <v>1392</v>
      </c>
      <c r="D3234" s="68" t="s">
        <v>1478</v>
      </c>
      <c r="E3234" s="8" t="s">
        <v>1092</v>
      </c>
      <c r="F3234" s="8"/>
      <c r="G3234" s="13" t="s">
        <v>1093</v>
      </c>
      <c r="H3234" s="14">
        <f t="shared" ref="H3234:L3235" si="1412">H3235</f>
        <v>34718.076999999997</v>
      </c>
      <c r="I3234" s="14">
        <f>I3235+I3237</f>
        <v>34718.076230000006</v>
      </c>
      <c r="J3234" s="14">
        <f t="shared" ref="J3234:L3234" si="1413">J3235+J3237</f>
        <v>34700.58857</v>
      </c>
      <c r="K3234" s="78">
        <f t="shared" si="1402"/>
        <v>99.949629524734746</v>
      </c>
      <c r="L3234" s="14">
        <f t="shared" si="1413"/>
        <v>0</v>
      </c>
      <c r="M3234" s="50"/>
      <c r="N3234" s="50"/>
    </row>
    <row r="3235" spans="1:14" ht="31.2" x14ac:dyDescent="0.3">
      <c r="A3235" s="8" t="s">
        <v>1435</v>
      </c>
      <c r="B3235" s="62" t="s">
        <v>938</v>
      </c>
      <c r="C3235" s="68" t="s">
        <v>1392</v>
      </c>
      <c r="D3235" s="68" t="s">
        <v>1478</v>
      </c>
      <c r="E3235" s="8" t="s">
        <v>1092</v>
      </c>
      <c r="F3235" s="45" t="s">
        <v>380</v>
      </c>
      <c r="G3235" s="23" t="s">
        <v>809</v>
      </c>
      <c r="H3235" s="14">
        <f t="shared" si="1412"/>
        <v>34718.076999999997</v>
      </c>
      <c r="I3235" s="14">
        <f t="shared" si="1412"/>
        <v>34443.090320000003</v>
      </c>
      <c r="J3235" s="14">
        <f t="shared" si="1412"/>
        <v>34425.602659999997</v>
      </c>
      <c r="K3235" s="78">
        <f t="shared" si="1402"/>
        <v>99.949227378154703</v>
      </c>
      <c r="L3235" s="14">
        <f t="shared" si="1412"/>
        <v>0</v>
      </c>
      <c r="M3235" s="50"/>
      <c r="N3235" s="50"/>
    </row>
    <row r="3236" spans="1:14" ht="31.2" x14ac:dyDescent="0.3">
      <c r="A3236" s="8" t="s">
        <v>1435</v>
      </c>
      <c r="B3236" s="62" t="s">
        <v>938</v>
      </c>
      <c r="C3236" s="68" t="s">
        <v>1392</v>
      </c>
      <c r="D3236" s="68" t="s">
        <v>1478</v>
      </c>
      <c r="E3236" s="8" t="s">
        <v>1092</v>
      </c>
      <c r="F3236" s="8" t="s">
        <v>247</v>
      </c>
      <c r="G3236" s="23" t="s">
        <v>810</v>
      </c>
      <c r="H3236" s="14">
        <f>34990.128-142.534-129.517</f>
        <v>34718.076999999997</v>
      </c>
      <c r="I3236" s="14">
        <v>34443.090320000003</v>
      </c>
      <c r="J3236" s="14">
        <v>34425.602659999997</v>
      </c>
      <c r="K3236" s="78">
        <f t="shared" si="1402"/>
        <v>99.949227378154703</v>
      </c>
      <c r="L3236" s="14"/>
      <c r="M3236" s="50"/>
      <c r="N3236" s="50"/>
    </row>
    <row r="3237" spans="1:14" x14ac:dyDescent="0.3">
      <c r="A3237" s="8" t="s">
        <v>1435</v>
      </c>
      <c r="B3237" s="62" t="s">
        <v>938</v>
      </c>
      <c r="C3237" s="68" t="s">
        <v>1392</v>
      </c>
      <c r="D3237" s="68" t="s">
        <v>1478</v>
      </c>
      <c r="E3237" s="8" t="s">
        <v>1092</v>
      </c>
      <c r="F3237" s="45" t="s">
        <v>464</v>
      </c>
      <c r="G3237" s="23" t="s">
        <v>822</v>
      </c>
      <c r="H3237" s="19">
        <v>0</v>
      </c>
      <c r="I3237" s="14">
        <f>I3238</f>
        <v>274.98590999999999</v>
      </c>
      <c r="J3237" s="14">
        <f t="shared" ref="J3237:L3237" si="1414">J3238</f>
        <v>274.98590999999999</v>
      </c>
      <c r="K3237" s="78">
        <f t="shared" si="1402"/>
        <v>100</v>
      </c>
      <c r="L3237" s="14">
        <f t="shared" si="1414"/>
        <v>0</v>
      </c>
      <c r="M3237" s="50"/>
      <c r="N3237" s="50"/>
    </row>
    <row r="3238" spans="1:14" x14ac:dyDescent="0.3">
      <c r="A3238" s="8" t="s">
        <v>1435</v>
      </c>
      <c r="B3238" s="62" t="s">
        <v>938</v>
      </c>
      <c r="C3238" s="68" t="s">
        <v>1392</v>
      </c>
      <c r="D3238" s="68" t="s">
        <v>1478</v>
      </c>
      <c r="E3238" s="8" t="s">
        <v>1092</v>
      </c>
      <c r="F3238" s="45" t="s">
        <v>728</v>
      </c>
      <c r="G3238" s="23" t="s">
        <v>823</v>
      </c>
      <c r="H3238" s="19">
        <v>0</v>
      </c>
      <c r="I3238" s="14">
        <v>274.98590999999999</v>
      </c>
      <c r="J3238" s="14">
        <v>274.98590999999999</v>
      </c>
      <c r="K3238" s="78">
        <f t="shared" si="1402"/>
        <v>100</v>
      </c>
      <c r="L3238" s="14"/>
      <c r="M3238" s="50"/>
      <c r="N3238" s="50"/>
    </row>
    <row r="3239" spans="1:14" ht="46.8" x14ac:dyDescent="0.3">
      <c r="A3239" s="8" t="s">
        <v>1435</v>
      </c>
      <c r="B3239" s="62" t="s">
        <v>938</v>
      </c>
      <c r="C3239" s="68" t="s">
        <v>1392</v>
      </c>
      <c r="D3239" s="68" t="s">
        <v>1478</v>
      </c>
      <c r="E3239" s="8" t="s">
        <v>493</v>
      </c>
      <c r="F3239" s="8"/>
      <c r="G3239" s="13" t="s">
        <v>1160</v>
      </c>
      <c r="H3239" s="19">
        <v>0</v>
      </c>
      <c r="I3239" s="14">
        <f>I3240</f>
        <v>4602.5062200000002</v>
      </c>
      <c r="J3239" s="14">
        <f t="shared" ref="J3239:L3242" si="1415">J3240</f>
        <v>4557.6284599999999</v>
      </c>
      <c r="K3239" s="78">
        <f t="shared" si="1402"/>
        <v>99.024927770765728</v>
      </c>
      <c r="L3239" s="14">
        <f t="shared" si="1415"/>
        <v>0</v>
      </c>
      <c r="M3239" s="50"/>
      <c r="N3239" s="50"/>
    </row>
    <row r="3240" spans="1:14" x14ac:dyDescent="0.3">
      <c r="A3240" s="8" t="s">
        <v>1435</v>
      </c>
      <c r="B3240" s="62" t="s">
        <v>938</v>
      </c>
      <c r="C3240" s="68" t="s">
        <v>1392</v>
      </c>
      <c r="D3240" s="68" t="s">
        <v>1478</v>
      </c>
      <c r="E3240" s="8" t="s">
        <v>533</v>
      </c>
      <c r="F3240" s="8"/>
      <c r="G3240" s="13" t="s">
        <v>1162</v>
      </c>
      <c r="H3240" s="19">
        <v>0</v>
      </c>
      <c r="I3240" s="14">
        <f>I3241</f>
        <v>4602.5062200000002</v>
      </c>
      <c r="J3240" s="14">
        <f t="shared" si="1415"/>
        <v>4557.6284599999999</v>
      </c>
      <c r="K3240" s="78">
        <f t="shared" si="1402"/>
        <v>99.024927770765728</v>
      </c>
      <c r="L3240" s="14">
        <f t="shared" si="1415"/>
        <v>0</v>
      </c>
      <c r="M3240" s="50"/>
      <c r="N3240" s="50"/>
    </row>
    <row r="3241" spans="1:14" x14ac:dyDescent="0.3">
      <c r="A3241" s="8" t="s">
        <v>1435</v>
      </c>
      <c r="B3241" s="62" t="s">
        <v>938</v>
      </c>
      <c r="C3241" s="68" t="s">
        <v>1392</v>
      </c>
      <c r="D3241" s="68" t="s">
        <v>1478</v>
      </c>
      <c r="E3241" s="8" t="s">
        <v>534</v>
      </c>
      <c r="F3241" s="8"/>
      <c r="G3241" s="13" t="s">
        <v>1163</v>
      </c>
      <c r="H3241" s="19">
        <v>0</v>
      </c>
      <c r="I3241" s="14">
        <f>I3242</f>
        <v>4602.5062200000002</v>
      </c>
      <c r="J3241" s="14">
        <f t="shared" si="1415"/>
        <v>4557.6284599999999</v>
      </c>
      <c r="K3241" s="78">
        <f t="shared" si="1402"/>
        <v>99.024927770765728</v>
      </c>
      <c r="L3241" s="14">
        <f t="shared" si="1415"/>
        <v>0</v>
      </c>
      <c r="M3241" s="50"/>
      <c r="N3241" s="50"/>
    </row>
    <row r="3242" spans="1:14" ht="31.2" x14ac:dyDescent="0.3">
      <c r="A3242" s="8" t="s">
        <v>1435</v>
      </c>
      <c r="B3242" s="62" t="s">
        <v>938</v>
      </c>
      <c r="C3242" s="68" t="s">
        <v>1392</v>
      </c>
      <c r="D3242" s="68" t="s">
        <v>1478</v>
      </c>
      <c r="E3242" s="8" t="s">
        <v>534</v>
      </c>
      <c r="F3242" s="45" t="s">
        <v>380</v>
      </c>
      <c r="G3242" s="23" t="s">
        <v>809</v>
      </c>
      <c r="H3242" s="19">
        <v>0</v>
      </c>
      <c r="I3242" s="14">
        <f>I3243</f>
        <v>4602.5062200000002</v>
      </c>
      <c r="J3242" s="14">
        <f t="shared" si="1415"/>
        <v>4557.6284599999999</v>
      </c>
      <c r="K3242" s="78">
        <f t="shared" si="1402"/>
        <v>99.024927770765728</v>
      </c>
      <c r="L3242" s="14">
        <f t="shared" si="1415"/>
        <v>0</v>
      </c>
      <c r="M3242" s="50"/>
      <c r="N3242" s="50"/>
    </row>
    <row r="3243" spans="1:14" ht="31.2" x14ac:dyDescent="0.3">
      <c r="A3243" s="8" t="s">
        <v>1435</v>
      </c>
      <c r="B3243" s="62" t="s">
        <v>938</v>
      </c>
      <c r="C3243" s="68" t="s">
        <v>1392</v>
      </c>
      <c r="D3243" s="68" t="s">
        <v>1478</v>
      </c>
      <c r="E3243" s="8" t="s">
        <v>534</v>
      </c>
      <c r="F3243" s="8" t="s">
        <v>247</v>
      </c>
      <c r="G3243" s="23" t="s">
        <v>810</v>
      </c>
      <c r="H3243" s="19">
        <v>0</v>
      </c>
      <c r="I3243" s="14">
        <v>4602.5062200000002</v>
      </c>
      <c r="J3243" s="14">
        <v>4557.6284599999999</v>
      </c>
      <c r="K3243" s="78">
        <f t="shared" si="1402"/>
        <v>99.024927770765728</v>
      </c>
      <c r="L3243" s="14"/>
      <c r="M3243" s="50"/>
      <c r="N3243" s="50"/>
    </row>
    <row r="3244" spans="1:14" s="9" customFormat="1" x14ac:dyDescent="0.3">
      <c r="A3244" s="11" t="s">
        <v>1435</v>
      </c>
      <c r="B3244" s="48" t="s">
        <v>939</v>
      </c>
      <c r="C3244" s="48" t="s">
        <v>1392</v>
      </c>
      <c r="D3244" s="48" t="s">
        <v>1391</v>
      </c>
      <c r="E3244" s="11"/>
      <c r="F3244" s="11"/>
      <c r="G3244" s="7" t="s">
        <v>1423</v>
      </c>
      <c r="H3244" s="16">
        <f t="shared" ref="H3244:L3244" si="1416">H3256+H3245+H3262</f>
        <v>54231.977000000006</v>
      </c>
      <c r="I3244" s="16">
        <f t="shared" si="1416"/>
        <v>32509.204569999998</v>
      </c>
      <c r="J3244" s="16">
        <f t="shared" si="1416"/>
        <v>29883.648219999999</v>
      </c>
      <c r="K3244" s="82">
        <f t="shared" si="1402"/>
        <v>91.923652440198723</v>
      </c>
      <c r="L3244" s="16">
        <f t="shared" si="1416"/>
        <v>0</v>
      </c>
      <c r="M3244" s="65"/>
      <c r="N3244" s="65"/>
    </row>
    <row r="3245" spans="1:14" ht="31.2" x14ac:dyDescent="0.3">
      <c r="A3245" s="8" t="s">
        <v>1435</v>
      </c>
      <c r="B3245" s="62" t="s">
        <v>939</v>
      </c>
      <c r="C3245" s="68" t="s">
        <v>1392</v>
      </c>
      <c r="D3245" s="68" t="s">
        <v>1391</v>
      </c>
      <c r="E3245" s="8" t="s">
        <v>368</v>
      </c>
      <c r="F3245" s="8"/>
      <c r="G3245" s="13" t="s">
        <v>1079</v>
      </c>
      <c r="H3245" s="14">
        <f>H3251+H3246</f>
        <v>944.38699999999994</v>
      </c>
      <c r="I3245" s="14">
        <f>I3251+I3246</f>
        <v>944.38699999999994</v>
      </c>
      <c r="J3245" s="14">
        <f t="shared" ref="J3245" si="1417">J3251+J3246</f>
        <v>794.38188000000002</v>
      </c>
      <c r="K3245" s="78">
        <f t="shared" si="1402"/>
        <v>84.116138828679354</v>
      </c>
      <c r="L3245" s="14">
        <f>L3251+L3246</f>
        <v>0</v>
      </c>
      <c r="M3245" s="50"/>
      <c r="N3245" s="50"/>
    </row>
    <row r="3246" spans="1:14" ht="31.2" x14ac:dyDescent="0.3">
      <c r="A3246" s="8" t="s">
        <v>1435</v>
      </c>
      <c r="B3246" s="62" t="s">
        <v>939</v>
      </c>
      <c r="C3246" s="68" t="s">
        <v>1392</v>
      </c>
      <c r="D3246" s="68" t="s">
        <v>1391</v>
      </c>
      <c r="E3246" s="8" t="s">
        <v>496</v>
      </c>
      <c r="F3246" s="8"/>
      <c r="G3246" s="13" t="s">
        <v>1080</v>
      </c>
      <c r="H3246" s="14">
        <f t="shared" ref="H3246:L3249" si="1418">H3247</f>
        <v>146.61700000000002</v>
      </c>
      <c r="I3246" s="14">
        <f t="shared" si="1418"/>
        <v>146.61699999999999</v>
      </c>
      <c r="J3246" s="14">
        <f t="shared" si="1418"/>
        <v>0</v>
      </c>
      <c r="K3246" s="78">
        <f t="shared" si="1402"/>
        <v>0</v>
      </c>
      <c r="L3246" s="14">
        <f t="shared" si="1418"/>
        <v>0</v>
      </c>
      <c r="M3246" s="50"/>
      <c r="N3246" s="50"/>
    </row>
    <row r="3247" spans="1:14" ht="31.2" x14ac:dyDescent="0.3">
      <c r="A3247" s="8" t="s">
        <v>1435</v>
      </c>
      <c r="B3247" s="62" t="s">
        <v>939</v>
      </c>
      <c r="C3247" s="68" t="s">
        <v>1392</v>
      </c>
      <c r="D3247" s="68" t="s">
        <v>1391</v>
      </c>
      <c r="E3247" s="8" t="s">
        <v>794</v>
      </c>
      <c r="F3247" s="8"/>
      <c r="G3247" s="13" t="s">
        <v>795</v>
      </c>
      <c r="H3247" s="14">
        <f t="shared" si="1418"/>
        <v>146.61700000000002</v>
      </c>
      <c r="I3247" s="14">
        <f t="shared" si="1418"/>
        <v>146.61699999999999</v>
      </c>
      <c r="J3247" s="14">
        <f t="shared" si="1418"/>
        <v>0</v>
      </c>
      <c r="K3247" s="78">
        <f t="shared" si="1402"/>
        <v>0</v>
      </c>
      <c r="L3247" s="14">
        <f t="shared" si="1418"/>
        <v>0</v>
      </c>
      <c r="M3247" s="50"/>
      <c r="N3247" s="50"/>
    </row>
    <row r="3248" spans="1:14" ht="46.8" x14ac:dyDescent="0.3">
      <c r="A3248" s="8" t="s">
        <v>1435</v>
      </c>
      <c r="B3248" s="62" t="s">
        <v>939</v>
      </c>
      <c r="C3248" s="68" t="s">
        <v>1392</v>
      </c>
      <c r="D3248" s="68" t="s">
        <v>1391</v>
      </c>
      <c r="E3248" s="8" t="s">
        <v>903</v>
      </c>
      <c r="F3248" s="8"/>
      <c r="G3248" s="13" t="s">
        <v>796</v>
      </c>
      <c r="H3248" s="14">
        <f t="shared" si="1418"/>
        <v>146.61700000000002</v>
      </c>
      <c r="I3248" s="14">
        <f t="shared" si="1418"/>
        <v>146.61699999999999</v>
      </c>
      <c r="J3248" s="14">
        <f t="shared" si="1418"/>
        <v>0</v>
      </c>
      <c r="K3248" s="78">
        <f t="shared" si="1402"/>
        <v>0</v>
      </c>
      <c r="L3248" s="14">
        <f t="shared" si="1418"/>
        <v>0</v>
      </c>
      <c r="M3248" s="50"/>
      <c r="N3248" s="50"/>
    </row>
    <row r="3249" spans="1:14" ht="31.2" x14ac:dyDescent="0.3">
      <c r="A3249" s="8" t="s">
        <v>1435</v>
      </c>
      <c r="B3249" s="62" t="s">
        <v>939</v>
      </c>
      <c r="C3249" s="68" t="s">
        <v>1392</v>
      </c>
      <c r="D3249" s="68" t="s">
        <v>1391</v>
      </c>
      <c r="E3249" s="8" t="s">
        <v>903</v>
      </c>
      <c r="F3249" s="45" t="s">
        <v>380</v>
      </c>
      <c r="G3249" s="23" t="s">
        <v>809</v>
      </c>
      <c r="H3249" s="14">
        <f t="shared" si="1418"/>
        <v>146.61700000000002</v>
      </c>
      <c r="I3249" s="14">
        <f t="shared" si="1418"/>
        <v>146.61699999999999</v>
      </c>
      <c r="J3249" s="14">
        <f t="shared" si="1418"/>
        <v>0</v>
      </c>
      <c r="K3249" s="78">
        <f t="shared" si="1402"/>
        <v>0</v>
      </c>
      <c r="L3249" s="14">
        <f t="shared" si="1418"/>
        <v>0</v>
      </c>
      <c r="M3249" s="50"/>
      <c r="N3249" s="50"/>
    </row>
    <row r="3250" spans="1:14" ht="31.2" x14ac:dyDescent="0.3">
      <c r="A3250" s="8" t="s">
        <v>1435</v>
      </c>
      <c r="B3250" s="62" t="s">
        <v>939</v>
      </c>
      <c r="C3250" s="68" t="s">
        <v>1392</v>
      </c>
      <c r="D3250" s="68" t="s">
        <v>1391</v>
      </c>
      <c r="E3250" s="8" t="s">
        <v>903</v>
      </c>
      <c r="F3250" s="8" t="s">
        <v>247</v>
      </c>
      <c r="G3250" s="23" t="s">
        <v>810</v>
      </c>
      <c r="H3250" s="14">
        <f>225.562-78.945</f>
        <v>146.61700000000002</v>
      </c>
      <c r="I3250" s="14">
        <v>146.61699999999999</v>
      </c>
      <c r="J3250" s="14">
        <v>0</v>
      </c>
      <c r="K3250" s="78">
        <f t="shared" si="1402"/>
        <v>0</v>
      </c>
      <c r="L3250" s="14"/>
      <c r="M3250" s="50"/>
      <c r="N3250" s="50"/>
    </row>
    <row r="3251" spans="1:14" ht="31.2" x14ac:dyDescent="0.3">
      <c r="A3251" s="8" t="s">
        <v>1435</v>
      </c>
      <c r="B3251" s="62" t="s">
        <v>939</v>
      </c>
      <c r="C3251" s="68" t="s">
        <v>1392</v>
      </c>
      <c r="D3251" s="68" t="s">
        <v>1391</v>
      </c>
      <c r="E3251" s="8" t="s">
        <v>369</v>
      </c>
      <c r="F3251" s="8"/>
      <c r="G3251" s="13" t="s">
        <v>1088</v>
      </c>
      <c r="H3251" s="14">
        <f t="shared" ref="H3251:L3254" si="1419">H3252</f>
        <v>797.77</v>
      </c>
      <c r="I3251" s="14">
        <f t="shared" si="1419"/>
        <v>797.77</v>
      </c>
      <c r="J3251" s="14">
        <f t="shared" si="1419"/>
        <v>794.38188000000002</v>
      </c>
      <c r="K3251" s="78">
        <f t="shared" si="1402"/>
        <v>99.575301151961099</v>
      </c>
      <c r="L3251" s="14">
        <f t="shared" si="1419"/>
        <v>0</v>
      </c>
      <c r="M3251" s="50"/>
      <c r="N3251" s="50"/>
    </row>
    <row r="3252" spans="1:14" ht="46.8" x14ac:dyDescent="0.3">
      <c r="A3252" s="8" t="s">
        <v>1435</v>
      </c>
      <c r="B3252" s="62" t="s">
        <v>939</v>
      </c>
      <c r="C3252" s="68" t="s">
        <v>1392</v>
      </c>
      <c r="D3252" s="68" t="s">
        <v>1391</v>
      </c>
      <c r="E3252" s="8" t="s">
        <v>512</v>
      </c>
      <c r="F3252" s="8"/>
      <c r="G3252" s="18" t="s">
        <v>980</v>
      </c>
      <c r="H3252" s="14">
        <f t="shared" si="1419"/>
        <v>797.77</v>
      </c>
      <c r="I3252" s="14">
        <f t="shared" si="1419"/>
        <v>797.77</v>
      </c>
      <c r="J3252" s="14">
        <f t="shared" si="1419"/>
        <v>794.38188000000002</v>
      </c>
      <c r="K3252" s="78">
        <f t="shared" si="1402"/>
        <v>99.575301151961099</v>
      </c>
      <c r="L3252" s="14">
        <f t="shared" si="1419"/>
        <v>0</v>
      </c>
      <c r="M3252" s="50"/>
      <c r="N3252" s="50"/>
    </row>
    <row r="3253" spans="1:14" ht="31.2" x14ac:dyDescent="0.3">
      <c r="A3253" s="8" t="s">
        <v>1435</v>
      </c>
      <c r="B3253" s="62" t="s">
        <v>939</v>
      </c>
      <c r="C3253" s="68" t="s">
        <v>1392</v>
      </c>
      <c r="D3253" s="68" t="s">
        <v>1391</v>
      </c>
      <c r="E3253" s="8" t="s">
        <v>250</v>
      </c>
      <c r="F3253" s="8"/>
      <c r="G3253" s="32" t="s">
        <v>330</v>
      </c>
      <c r="H3253" s="14">
        <f t="shared" si="1419"/>
        <v>797.77</v>
      </c>
      <c r="I3253" s="14">
        <f t="shared" si="1419"/>
        <v>797.77</v>
      </c>
      <c r="J3253" s="14">
        <f t="shared" si="1419"/>
        <v>794.38188000000002</v>
      </c>
      <c r="K3253" s="78">
        <f t="shared" si="1402"/>
        <v>99.575301151961099</v>
      </c>
      <c r="L3253" s="14">
        <f t="shared" si="1419"/>
        <v>0</v>
      </c>
      <c r="M3253" s="50"/>
      <c r="N3253" s="50"/>
    </row>
    <row r="3254" spans="1:14" ht="31.2" x14ac:dyDescent="0.3">
      <c r="A3254" s="8" t="s">
        <v>1435</v>
      </c>
      <c r="B3254" s="62" t="s">
        <v>939</v>
      </c>
      <c r="C3254" s="68" t="s">
        <v>1392</v>
      </c>
      <c r="D3254" s="68" t="s">
        <v>1391</v>
      </c>
      <c r="E3254" s="8" t="s">
        <v>250</v>
      </c>
      <c r="F3254" s="45" t="s">
        <v>380</v>
      </c>
      <c r="G3254" s="23" t="s">
        <v>809</v>
      </c>
      <c r="H3254" s="14">
        <f t="shared" si="1419"/>
        <v>797.77</v>
      </c>
      <c r="I3254" s="14">
        <f t="shared" si="1419"/>
        <v>797.77</v>
      </c>
      <c r="J3254" s="14">
        <f t="shared" si="1419"/>
        <v>794.38188000000002</v>
      </c>
      <c r="K3254" s="78">
        <f t="shared" si="1402"/>
        <v>99.575301151961099</v>
      </c>
      <c r="L3254" s="14">
        <f t="shared" si="1419"/>
        <v>0</v>
      </c>
      <c r="M3254" s="50"/>
      <c r="N3254" s="50"/>
    </row>
    <row r="3255" spans="1:14" ht="31.2" x14ac:dyDescent="0.3">
      <c r="A3255" s="8" t="s">
        <v>1435</v>
      </c>
      <c r="B3255" s="62" t="s">
        <v>939</v>
      </c>
      <c r="C3255" s="68" t="s">
        <v>1392</v>
      </c>
      <c r="D3255" s="68" t="s">
        <v>1391</v>
      </c>
      <c r="E3255" s="8" t="s">
        <v>250</v>
      </c>
      <c r="F3255" s="8" t="s">
        <v>247</v>
      </c>
      <c r="G3255" s="23" t="s">
        <v>810</v>
      </c>
      <c r="H3255" s="14">
        <f>1000-202.23</f>
        <v>797.77</v>
      </c>
      <c r="I3255" s="14">
        <v>797.77</v>
      </c>
      <c r="J3255" s="14">
        <v>794.38188000000002</v>
      </c>
      <c r="K3255" s="78">
        <f t="shared" si="1402"/>
        <v>99.575301151961099</v>
      </c>
      <c r="L3255" s="14"/>
      <c r="M3255" s="50"/>
      <c r="N3255" s="50"/>
    </row>
    <row r="3256" spans="1:14" ht="31.2" hidden="1" x14ac:dyDescent="0.3">
      <c r="A3256" s="8" t="s">
        <v>1435</v>
      </c>
      <c r="B3256" s="62" t="s">
        <v>939</v>
      </c>
      <c r="C3256" s="68" t="s">
        <v>1392</v>
      </c>
      <c r="D3256" s="68" t="s">
        <v>1391</v>
      </c>
      <c r="E3256" s="8" t="s">
        <v>1256</v>
      </c>
      <c r="F3256" s="8"/>
      <c r="G3256" s="23" t="s">
        <v>743</v>
      </c>
      <c r="H3256" s="14">
        <f t="shared" ref="H3256:L3259" si="1420">H3257</f>
        <v>52228.739000000001</v>
      </c>
      <c r="I3256" s="14">
        <f t="shared" si="1420"/>
        <v>0</v>
      </c>
      <c r="J3256" s="14">
        <f t="shared" si="1420"/>
        <v>0</v>
      </c>
      <c r="K3256" s="78" t="e">
        <f t="shared" si="1402"/>
        <v>#DIV/0!</v>
      </c>
      <c r="L3256" s="14">
        <f t="shared" si="1420"/>
        <v>0</v>
      </c>
      <c r="M3256" s="50">
        <v>111</v>
      </c>
      <c r="N3256" s="50"/>
    </row>
    <row r="3257" spans="1:14" ht="46.8" hidden="1" x14ac:dyDescent="0.3">
      <c r="A3257" s="8" t="s">
        <v>1435</v>
      </c>
      <c r="B3257" s="62" t="s">
        <v>939</v>
      </c>
      <c r="C3257" s="68" t="s">
        <v>1392</v>
      </c>
      <c r="D3257" s="68" t="s">
        <v>1391</v>
      </c>
      <c r="E3257" s="8" t="s">
        <v>1260</v>
      </c>
      <c r="F3257" s="8"/>
      <c r="G3257" s="23" t="s">
        <v>744</v>
      </c>
      <c r="H3257" s="14">
        <f t="shared" si="1420"/>
        <v>52228.739000000001</v>
      </c>
      <c r="I3257" s="14">
        <f t="shared" si="1420"/>
        <v>0</v>
      </c>
      <c r="J3257" s="14">
        <f t="shared" si="1420"/>
        <v>0</v>
      </c>
      <c r="K3257" s="78" t="e">
        <f t="shared" si="1402"/>
        <v>#DIV/0!</v>
      </c>
      <c r="L3257" s="14">
        <f t="shared" si="1420"/>
        <v>0</v>
      </c>
      <c r="M3257" s="50">
        <v>111</v>
      </c>
      <c r="N3257" s="50"/>
    </row>
    <row r="3258" spans="1:14" ht="31.2" hidden="1" x14ac:dyDescent="0.3">
      <c r="A3258" s="8" t="s">
        <v>1435</v>
      </c>
      <c r="B3258" s="62" t="s">
        <v>939</v>
      </c>
      <c r="C3258" s="68" t="s">
        <v>1392</v>
      </c>
      <c r="D3258" s="68" t="s">
        <v>1391</v>
      </c>
      <c r="E3258" s="8" t="s">
        <v>1261</v>
      </c>
      <c r="F3258" s="8"/>
      <c r="G3258" s="23" t="s">
        <v>745</v>
      </c>
      <c r="H3258" s="14">
        <f t="shared" si="1420"/>
        <v>52228.739000000001</v>
      </c>
      <c r="I3258" s="14">
        <f t="shared" si="1420"/>
        <v>0</v>
      </c>
      <c r="J3258" s="14">
        <f t="shared" si="1420"/>
        <v>0</v>
      </c>
      <c r="K3258" s="78" t="e">
        <f t="shared" si="1402"/>
        <v>#DIV/0!</v>
      </c>
      <c r="L3258" s="14">
        <f t="shared" si="1420"/>
        <v>0</v>
      </c>
      <c r="M3258" s="50">
        <v>111</v>
      </c>
      <c r="N3258" s="50"/>
    </row>
    <row r="3259" spans="1:14" ht="31.2" hidden="1" x14ac:dyDescent="0.3">
      <c r="A3259" s="8" t="s">
        <v>1435</v>
      </c>
      <c r="B3259" s="62" t="s">
        <v>939</v>
      </c>
      <c r="C3259" s="68" t="s">
        <v>1392</v>
      </c>
      <c r="D3259" s="68" t="s">
        <v>1391</v>
      </c>
      <c r="E3259" s="8" t="s">
        <v>1262</v>
      </c>
      <c r="F3259" s="8"/>
      <c r="G3259" s="23" t="s">
        <v>691</v>
      </c>
      <c r="H3259" s="14">
        <f>H3260</f>
        <v>52228.739000000001</v>
      </c>
      <c r="I3259" s="14">
        <f t="shared" si="1420"/>
        <v>0</v>
      </c>
      <c r="J3259" s="14">
        <f t="shared" si="1420"/>
        <v>0</v>
      </c>
      <c r="K3259" s="78" t="e">
        <f t="shared" si="1402"/>
        <v>#DIV/0!</v>
      </c>
      <c r="L3259" s="14">
        <f t="shared" si="1420"/>
        <v>0</v>
      </c>
      <c r="M3259" s="50">
        <v>111</v>
      </c>
      <c r="N3259" s="50"/>
    </row>
    <row r="3260" spans="1:14" hidden="1" x14ac:dyDescent="0.3">
      <c r="A3260" s="8" t="s">
        <v>1435</v>
      </c>
      <c r="B3260" s="62" t="s">
        <v>939</v>
      </c>
      <c r="C3260" s="68" t="s">
        <v>1392</v>
      </c>
      <c r="D3260" s="68" t="s">
        <v>1391</v>
      </c>
      <c r="E3260" s="8" t="s">
        <v>1262</v>
      </c>
      <c r="F3260" s="45" t="s">
        <v>464</v>
      </c>
      <c r="G3260" s="23" t="s">
        <v>822</v>
      </c>
      <c r="H3260" s="14">
        <f t="shared" ref="H3260:L3260" si="1421">H3261</f>
        <v>52228.739000000001</v>
      </c>
      <c r="I3260" s="14">
        <f t="shared" si="1421"/>
        <v>0</v>
      </c>
      <c r="J3260" s="14">
        <f t="shared" si="1421"/>
        <v>0</v>
      </c>
      <c r="K3260" s="78" t="e">
        <f t="shared" si="1402"/>
        <v>#DIV/0!</v>
      </c>
      <c r="L3260" s="14">
        <f t="shared" si="1421"/>
        <v>0</v>
      </c>
      <c r="M3260" s="50">
        <v>111</v>
      </c>
      <c r="N3260" s="50"/>
    </row>
    <row r="3261" spans="1:14" ht="62.4" hidden="1" x14ac:dyDescent="0.3">
      <c r="A3261" s="8" t="s">
        <v>1435</v>
      </c>
      <c r="B3261" s="62" t="s">
        <v>939</v>
      </c>
      <c r="C3261" s="68" t="s">
        <v>1392</v>
      </c>
      <c r="D3261" s="68" t="s">
        <v>1391</v>
      </c>
      <c r="E3261" s="8" t="s">
        <v>1262</v>
      </c>
      <c r="F3261" s="45" t="s">
        <v>727</v>
      </c>
      <c r="G3261" s="18" t="s">
        <v>830</v>
      </c>
      <c r="H3261" s="14">
        <f>20000+32228.739</f>
        <v>52228.739000000001</v>
      </c>
      <c r="I3261" s="14">
        <v>0</v>
      </c>
      <c r="J3261" s="14">
        <v>0</v>
      </c>
      <c r="K3261" s="78" t="e">
        <f t="shared" si="1402"/>
        <v>#DIV/0!</v>
      </c>
      <c r="L3261" s="14"/>
      <c r="M3261" s="50">
        <v>111</v>
      </c>
      <c r="N3261" s="50"/>
    </row>
    <row r="3262" spans="1:14" ht="31.2" x14ac:dyDescent="0.3">
      <c r="A3262" s="8" t="s">
        <v>1435</v>
      </c>
      <c r="B3262" s="62" t="s">
        <v>939</v>
      </c>
      <c r="C3262" s="68" t="s">
        <v>1392</v>
      </c>
      <c r="D3262" s="68" t="s">
        <v>1391</v>
      </c>
      <c r="E3262" s="8" t="s">
        <v>429</v>
      </c>
      <c r="F3262" s="45"/>
      <c r="G3262" s="23" t="s">
        <v>1140</v>
      </c>
      <c r="H3262" s="14">
        <f t="shared" ref="H3262:L3262" si="1422">H3263</f>
        <v>1058.8510000000001</v>
      </c>
      <c r="I3262" s="14">
        <f t="shared" si="1422"/>
        <v>31564.817569999999</v>
      </c>
      <c r="J3262" s="14">
        <f t="shared" si="1422"/>
        <v>29089.266339999998</v>
      </c>
      <c r="K3262" s="78">
        <f t="shared" si="1402"/>
        <v>92.15724524778237</v>
      </c>
      <c r="L3262" s="14">
        <f t="shared" si="1422"/>
        <v>0</v>
      </c>
      <c r="M3262" s="50"/>
      <c r="N3262" s="50"/>
    </row>
    <row r="3263" spans="1:14" ht="46.8" x14ac:dyDescent="0.3">
      <c r="A3263" s="8" t="s">
        <v>1435</v>
      </c>
      <c r="B3263" s="62" t="s">
        <v>939</v>
      </c>
      <c r="C3263" s="68" t="s">
        <v>1392</v>
      </c>
      <c r="D3263" s="68" t="s">
        <v>1391</v>
      </c>
      <c r="E3263" s="8" t="s">
        <v>535</v>
      </c>
      <c r="F3263" s="45"/>
      <c r="G3263" s="31" t="s">
        <v>176</v>
      </c>
      <c r="H3263" s="14">
        <f>H3266</f>
        <v>1058.8510000000001</v>
      </c>
      <c r="I3263" s="14">
        <f>I3266+I3264</f>
        <v>31564.817569999999</v>
      </c>
      <c r="J3263" s="14">
        <f t="shared" ref="J3263:L3263" si="1423">J3266+J3264</f>
        <v>29089.266339999998</v>
      </c>
      <c r="K3263" s="78">
        <f t="shared" si="1402"/>
        <v>92.15724524778237</v>
      </c>
      <c r="L3263" s="14">
        <f t="shared" si="1423"/>
        <v>0</v>
      </c>
      <c r="M3263" s="50"/>
      <c r="N3263" s="50"/>
    </row>
    <row r="3264" spans="1:14" ht="31.2" x14ac:dyDescent="0.3">
      <c r="A3264" s="8" t="s">
        <v>1435</v>
      </c>
      <c r="B3264" s="62" t="s">
        <v>939</v>
      </c>
      <c r="C3264" s="68" t="s">
        <v>1392</v>
      </c>
      <c r="D3264" s="68" t="s">
        <v>1391</v>
      </c>
      <c r="E3264" s="8" t="s">
        <v>535</v>
      </c>
      <c r="F3264" s="45" t="s">
        <v>402</v>
      </c>
      <c r="G3264" s="23" t="s">
        <v>819</v>
      </c>
      <c r="H3264" s="20">
        <v>0</v>
      </c>
      <c r="I3264" s="14">
        <f>I3265</f>
        <v>9583.5202499999996</v>
      </c>
      <c r="J3264" s="14">
        <f t="shared" ref="J3264:L3264" si="1424">J3265</f>
        <v>9360.7739099999999</v>
      </c>
      <c r="K3264" s="78">
        <f t="shared" si="1402"/>
        <v>97.675735698476771</v>
      </c>
      <c r="L3264" s="14">
        <f t="shared" si="1424"/>
        <v>0</v>
      </c>
      <c r="M3264" s="50"/>
      <c r="N3264" s="50"/>
    </row>
    <row r="3265" spans="1:14" ht="46.8" x14ac:dyDescent="0.3">
      <c r="A3265" s="8" t="s">
        <v>1435</v>
      </c>
      <c r="B3265" s="62" t="s">
        <v>939</v>
      </c>
      <c r="C3265" s="68" t="s">
        <v>1392</v>
      </c>
      <c r="D3265" s="68" t="s">
        <v>1391</v>
      </c>
      <c r="E3265" s="8" t="s">
        <v>535</v>
      </c>
      <c r="F3265" s="45" t="s">
        <v>280</v>
      </c>
      <c r="G3265" s="23" t="s">
        <v>821</v>
      </c>
      <c r="H3265" s="20">
        <v>0</v>
      </c>
      <c r="I3265" s="14">
        <v>9583.5202499999996</v>
      </c>
      <c r="J3265" s="14">
        <v>9360.7739099999999</v>
      </c>
      <c r="K3265" s="78">
        <f t="shared" si="1402"/>
        <v>97.675735698476771</v>
      </c>
      <c r="L3265" s="14"/>
      <c r="M3265" s="50"/>
      <c r="N3265" s="50"/>
    </row>
    <row r="3266" spans="1:14" x14ac:dyDescent="0.3">
      <c r="A3266" s="8" t="s">
        <v>1435</v>
      </c>
      <c r="B3266" s="62" t="s">
        <v>939</v>
      </c>
      <c r="C3266" s="68" t="s">
        <v>1392</v>
      </c>
      <c r="D3266" s="68" t="s">
        <v>1391</v>
      </c>
      <c r="E3266" s="8" t="s">
        <v>535</v>
      </c>
      <c r="F3266" s="45" t="s">
        <v>464</v>
      </c>
      <c r="G3266" s="23" t="s">
        <v>822</v>
      </c>
      <c r="H3266" s="14">
        <f t="shared" ref="H3266:L3266" si="1425">H3267</f>
        <v>1058.8510000000001</v>
      </c>
      <c r="I3266" s="14">
        <f t="shared" si="1425"/>
        <v>21981.297320000001</v>
      </c>
      <c r="J3266" s="14">
        <f t="shared" si="1425"/>
        <v>19728.492429999998</v>
      </c>
      <c r="K3266" s="78">
        <f t="shared" si="1402"/>
        <v>89.751265099579641</v>
      </c>
      <c r="L3266" s="14">
        <f t="shared" si="1425"/>
        <v>0</v>
      </c>
      <c r="M3266" s="50"/>
      <c r="N3266" s="50"/>
    </row>
    <row r="3267" spans="1:14" ht="62.4" x14ac:dyDescent="0.3">
      <c r="A3267" s="8" t="s">
        <v>1435</v>
      </c>
      <c r="B3267" s="62" t="s">
        <v>939</v>
      </c>
      <c r="C3267" s="68" t="s">
        <v>1392</v>
      </c>
      <c r="D3267" s="68" t="s">
        <v>1391</v>
      </c>
      <c r="E3267" s="8" t="s">
        <v>535</v>
      </c>
      <c r="F3267" s="45" t="s">
        <v>727</v>
      </c>
      <c r="G3267" s="18" t="s">
        <v>830</v>
      </c>
      <c r="H3267" s="14">
        <v>1058.8510000000001</v>
      </c>
      <c r="I3267" s="14">
        <v>21981.297320000001</v>
      </c>
      <c r="J3267" s="14">
        <v>19728.492429999998</v>
      </c>
      <c r="K3267" s="78">
        <f t="shared" si="1402"/>
        <v>89.751265099579641</v>
      </c>
      <c r="L3267" s="14"/>
      <c r="M3267" s="50"/>
      <c r="N3267" s="50"/>
    </row>
    <row r="3268" spans="1:14" ht="31.2" x14ac:dyDescent="0.3">
      <c r="A3268" s="11" t="s">
        <v>1435</v>
      </c>
      <c r="B3268" s="6" t="s">
        <v>1461</v>
      </c>
      <c r="C3268" s="6" t="s">
        <v>1392</v>
      </c>
      <c r="D3268" s="6" t="s">
        <v>1386</v>
      </c>
      <c r="E3268" s="8"/>
      <c r="F3268" s="45"/>
      <c r="G3268" s="7" t="s">
        <v>1460</v>
      </c>
      <c r="H3268" s="14">
        <f t="shared" ref="H3268:H3273" si="1426">H3269</f>
        <v>0</v>
      </c>
      <c r="I3268" s="14">
        <f t="shared" ref="I3268:L3273" si="1427">I3269</f>
        <v>7552.0339999999997</v>
      </c>
      <c r="J3268" s="14">
        <f t="shared" si="1427"/>
        <v>7552</v>
      </c>
      <c r="K3268" s="78">
        <f t="shared" si="1402"/>
        <v>99.999549790162504</v>
      </c>
      <c r="L3268" s="14">
        <f t="shared" si="1427"/>
        <v>0</v>
      </c>
      <c r="M3268" s="65"/>
      <c r="N3268" s="65"/>
    </row>
    <row r="3269" spans="1:14" ht="31.2" x14ac:dyDescent="0.3">
      <c r="A3269" s="8" t="s">
        <v>1435</v>
      </c>
      <c r="B3269" s="64" t="s">
        <v>1461</v>
      </c>
      <c r="C3269" s="69" t="s">
        <v>1392</v>
      </c>
      <c r="D3269" s="69" t="s">
        <v>1386</v>
      </c>
      <c r="E3269" s="8" t="s">
        <v>368</v>
      </c>
      <c r="F3269" s="8"/>
      <c r="G3269" s="13" t="s">
        <v>1079</v>
      </c>
      <c r="H3269" s="14">
        <f t="shared" si="1426"/>
        <v>0</v>
      </c>
      <c r="I3269" s="14">
        <f t="shared" si="1427"/>
        <v>7552.0339999999997</v>
      </c>
      <c r="J3269" s="14">
        <f t="shared" si="1427"/>
        <v>7552</v>
      </c>
      <c r="K3269" s="78">
        <f t="shared" si="1402"/>
        <v>99.999549790162504</v>
      </c>
      <c r="L3269" s="14">
        <f t="shared" si="1427"/>
        <v>0</v>
      </c>
      <c r="M3269" s="50"/>
      <c r="N3269" s="50"/>
    </row>
    <row r="3270" spans="1:14" ht="31.2" x14ac:dyDescent="0.3">
      <c r="A3270" s="8" t="s">
        <v>1435</v>
      </c>
      <c r="B3270" s="64" t="s">
        <v>1461</v>
      </c>
      <c r="C3270" s="69" t="s">
        <v>1392</v>
      </c>
      <c r="D3270" s="69" t="s">
        <v>1386</v>
      </c>
      <c r="E3270" s="8" t="s">
        <v>496</v>
      </c>
      <c r="F3270" s="8"/>
      <c r="G3270" s="13" t="s">
        <v>1080</v>
      </c>
      <c r="H3270" s="14">
        <f t="shared" si="1426"/>
        <v>0</v>
      </c>
      <c r="I3270" s="14">
        <f t="shared" si="1427"/>
        <v>7552.0339999999997</v>
      </c>
      <c r="J3270" s="14">
        <f t="shared" si="1427"/>
        <v>7552</v>
      </c>
      <c r="K3270" s="78">
        <f t="shared" si="1402"/>
        <v>99.999549790162504</v>
      </c>
      <c r="L3270" s="14">
        <f t="shared" si="1427"/>
        <v>0</v>
      </c>
      <c r="M3270" s="50"/>
      <c r="N3270" s="50"/>
    </row>
    <row r="3271" spans="1:14" ht="46.8" x14ac:dyDescent="0.3">
      <c r="A3271" s="8" t="s">
        <v>1435</v>
      </c>
      <c r="B3271" s="64" t="s">
        <v>1461</v>
      </c>
      <c r="C3271" s="69" t="s">
        <v>1392</v>
      </c>
      <c r="D3271" s="69" t="s">
        <v>1386</v>
      </c>
      <c r="E3271" s="8" t="s">
        <v>54</v>
      </c>
      <c r="F3271" s="8"/>
      <c r="G3271" s="23" t="s">
        <v>742</v>
      </c>
      <c r="H3271" s="14">
        <f t="shared" si="1426"/>
        <v>0</v>
      </c>
      <c r="I3271" s="14">
        <f t="shared" si="1427"/>
        <v>7552.0339999999997</v>
      </c>
      <c r="J3271" s="14">
        <f t="shared" si="1427"/>
        <v>7552</v>
      </c>
      <c r="K3271" s="78">
        <f t="shared" si="1402"/>
        <v>99.999549790162504</v>
      </c>
      <c r="L3271" s="14">
        <f t="shared" si="1427"/>
        <v>0</v>
      </c>
      <c r="M3271" s="50"/>
      <c r="N3271" s="50"/>
    </row>
    <row r="3272" spans="1:14" ht="31.2" x14ac:dyDescent="0.3">
      <c r="A3272" s="8" t="s">
        <v>1435</v>
      </c>
      <c r="B3272" s="64" t="s">
        <v>1461</v>
      </c>
      <c r="C3272" s="69" t="s">
        <v>1392</v>
      </c>
      <c r="D3272" s="69" t="s">
        <v>1386</v>
      </c>
      <c r="E3272" s="8" t="s">
        <v>192</v>
      </c>
      <c r="F3272" s="8"/>
      <c r="G3272" s="23" t="s">
        <v>1276</v>
      </c>
      <c r="H3272" s="14">
        <f t="shared" si="1426"/>
        <v>0</v>
      </c>
      <c r="I3272" s="14">
        <f t="shared" si="1427"/>
        <v>7552.0339999999997</v>
      </c>
      <c r="J3272" s="14">
        <f t="shared" si="1427"/>
        <v>7552</v>
      </c>
      <c r="K3272" s="78">
        <f t="shared" ref="K3272:K3335" si="1428">J3272/I3272*100</f>
        <v>99.999549790162504</v>
      </c>
      <c r="L3272" s="14">
        <f t="shared" si="1427"/>
        <v>0</v>
      </c>
      <c r="M3272" s="50"/>
      <c r="N3272" s="50"/>
    </row>
    <row r="3273" spans="1:14" ht="31.2" x14ac:dyDescent="0.3">
      <c r="A3273" s="8" t="s">
        <v>1435</v>
      </c>
      <c r="B3273" s="64" t="s">
        <v>1461</v>
      </c>
      <c r="C3273" s="69" t="s">
        <v>1392</v>
      </c>
      <c r="D3273" s="69" t="s">
        <v>1386</v>
      </c>
      <c r="E3273" s="8" t="s">
        <v>192</v>
      </c>
      <c r="F3273" s="45" t="s">
        <v>380</v>
      </c>
      <c r="G3273" s="23" t="s">
        <v>809</v>
      </c>
      <c r="H3273" s="14">
        <f t="shared" si="1426"/>
        <v>0</v>
      </c>
      <c r="I3273" s="14">
        <f t="shared" si="1427"/>
        <v>7552.0339999999997</v>
      </c>
      <c r="J3273" s="14">
        <f t="shared" si="1427"/>
        <v>7552</v>
      </c>
      <c r="K3273" s="78">
        <f t="shared" si="1428"/>
        <v>99.999549790162504</v>
      </c>
      <c r="L3273" s="14">
        <f t="shared" si="1427"/>
        <v>0</v>
      </c>
      <c r="M3273" s="50"/>
      <c r="N3273" s="50"/>
    </row>
    <row r="3274" spans="1:14" ht="31.2" x14ac:dyDescent="0.3">
      <c r="A3274" s="8" t="s">
        <v>1435</v>
      </c>
      <c r="B3274" s="64" t="s">
        <v>1461</v>
      </c>
      <c r="C3274" s="69" t="s">
        <v>1392</v>
      </c>
      <c r="D3274" s="69" t="s">
        <v>1386</v>
      </c>
      <c r="E3274" s="8" t="s">
        <v>192</v>
      </c>
      <c r="F3274" s="8" t="s">
        <v>247</v>
      </c>
      <c r="G3274" s="23" t="s">
        <v>810</v>
      </c>
      <c r="H3274" s="19">
        <v>0</v>
      </c>
      <c r="I3274" s="14">
        <v>7552.0339999999997</v>
      </c>
      <c r="J3274" s="14">
        <v>7552</v>
      </c>
      <c r="K3274" s="78">
        <f t="shared" si="1428"/>
        <v>99.999549790162504</v>
      </c>
      <c r="L3274" s="14"/>
      <c r="M3274" s="50"/>
      <c r="N3274" s="50"/>
    </row>
    <row r="3275" spans="1:14" s="9" customFormat="1" ht="31.2" x14ac:dyDescent="0.3">
      <c r="A3275" s="11" t="s">
        <v>1435</v>
      </c>
      <c r="B3275" s="48" t="s">
        <v>940</v>
      </c>
      <c r="C3275" s="48" t="s">
        <v>1392</v>
      </c>
      <c r="D3275" s="48" t="s">
        <v>1392</v>
      </c>
      <c r="E3275" s="11"/>
      <c r="F3275" s="11"/>
      <c r="G3275" s="7" t="s">
        <v>1424</v>
      </c>
      <c r="H3275" s="16">
        <f>H3276+H3303</f>
        <v>84719.508000000002</v>
      </c>
      <c r="I3275" s="16">
        <f>I3276+I3303+I3315</f>
        <v>92279.72980999999</v>
      </c>
      <c r="J3275" s="16">
        <f t="shared" ref="J3275:L3275" si="1429">J3276+J3303+J3315</f>
        <v>91954.615079999989</v>
      </c>
      <c r="K3275" s="82">
        <f t="shared" si="1428"/>
        <v>99.647685650283762</v>
      </c>
      <c r="L3275" s="16">
        <f t="shared" si="1429"/>
        <v>0</v>
      </c>
      <c r="M3275" s="65"/>
      <c r="N3275" s="65"/>
    </row>
    <row r="3276" spans="1:14" ht="31.2" x14ac:dyDescent="0.3">
      <c r="A3276" s="8" t="s">
        <v>1435</v>
      </c>
      <c r="B3276" s="62" t="s">
        <v>940</v>
      </c>
      <c r="C3276" s="68" t="s">
        <v>1392</v>
      </c>
      <c r="D3276" s="68" t="s">
        <v>1392</v>
      </c>
      <c r="E3276" s="8" t="s">
        <v>368</v>
      </c>
      <c r="F3276" s="8"/>
      <c r="G3276" s="13" t="s">
        <v>1079</v>
      </c>
      <c r="H3276" s="14">
        <f>H3277+H3293</f>
        <v>33155.608</v>
      </c>
      <c r="I3276" s="14">
        <f>I3277+I3293</f>
        <v>33155.608</v>
      </c>
      <c r="J3276" s="14">
        <f t="shared" ref="J3276" si="1430">J3277+J3293</f>
        <v>33119.667329999997</v>
      </c>
      <c r="K3276" s="78">
        <f t="shared" si="1428"/>
        <v>99.891600027361875</v>
      </c>
      <c r="L3276" s="14">
        <f>L3277+L3293</f>
        <v>0</v>
      </c>
      <c r="M3276" s="50"/>
      <c r="N3276" s="50"/>
    </row>
    <row r="3277" spans="1:14" ht="31.2" x14ac:dyDescent="0.3">
      <c r="A3277" s="8" t="s">
        <v>1435</v>
      </c>
      <c r="B3277" s="62" t="s">
        <v>940</v>
      </c>
      <c r="C3277" s="68" t="s">
        <v>1392</v>
      </c>
      <c r="D3277" s="68" t="s">
        <v>1392</v>
      </c>
      <c r="E3277" s="8" t="s">
        <v>369</v>
      </c>
      <c r="F3277" s="8"/>
      <c r="G3277" s="13" t="s">
        <v>1088</v>
      </c>
      <c r="H3277" s="14">
        <f>H3285+H3278</f>
        <v>21247.759999999998</v>
      </c>
      <c r="I3277" s="14">
        <f>I3285+I3278</f>
        <v>21247.759999999998</v>
      </c>
      <c r="J3277" s="14">
        <f t="shared" ref="J3277" si="1431">J3285+J3278</f>
        <v>21212.30041</v>
      </c>
      <c r="K3277" s="78">
        <f t="shared" si="1428"/>
        <v>99.833113749402287</v>
      </c>
      <c r="L3277" s="14">
        <f>L3285+L3278</f>
        <v>0</v>
      </c>
      <c r="M3277" s="50"/>
      <c r="N3277" s="50"/>
    </row>
    <row r="3278" spans="1:14" ht="62.4" x14ac:dyDescent="0.3">
      <c r="A3278" s="8" t="s">
        <v>1435</v>
      </c>
      <c r="B3278" s="62" t="s">
        <v>940</v>
      </c>
      <c r="C3278" s="68" t="s">
        <v>1392</v>
      </c>
      <c r="D3278" s="68" t="s">
        <v>1392</v>
      </c>
      <c r="E3278" s="8" t="s">
        <v>616</v>
      </c>
      <c r="F3278" s="8"/>
      <c r="G3278" s="18" t="s">
        <v>1089</v>
      </c>
      <c r="H3278" s="14">
        <f>H3282+H3279</f>
        <v>2827.3869999999997</v>
      </c>
      <c r="I3278" s="14">
        <f>I3282+I3279</f>
        <v>2827.3869999999997</v>
      </c>
      <c r="J3278" s="14">
        <f t="shared" ref="J3278" si="1432">J3282+J3279</f>
        <v>2827</v>
      </c>
      <c r="K3278" s="78">
        <f t="shared" si="1428"/>
        <v>99.986312450329592</v>
      </c>
      <c r="L3278" s="14">
        <f>L3282+L3279</f>
        <v>0</v>
      </c>
      <c r="M3278" s="50"/>
      <c r="N3278" s="50"/>
    </row>
    <row r="3279" spans="1:14" ht="46.8" x14ac:dyDescent="0.3">
      <c r="A3279" s="8" t="s">
        <v>1435</v>
      </c>
      <c r="B3279" s="62" t="s">
        <v>940</v>
      </c>
      <c r="C3279" s="68" t="s">
        <v>1392</v>
      </c>
      <c r="D3279" s="68" t="s">
        <v>1392</v>
      </c>
      <c r="E3279" s="8" t="s">
        <v>1252</v>
      </c>
      <c r="F3279" s="8"/>
      <c r="G3279" s="18" t="s">
        <v>1253</v>
      </c>
      <c r="H3279" s="14">
        <f t="shared" ref="H3279:L3280" si="1433">H3280</f>
        <v>887</v>
      </c>
      <c r="I3279" s="14">
        <f t="shared" si="1433"/>
        <v>887</v>
      </c>
      <c r="J3279" s="14">
        <f t="shared" si="1433"/>
        <v>887</v>
      </c>
      <c r="K3279" s="78">
        <f t="shared" si="1428"/>
        <v>100</v>
      </c>
      <c r="L3279" s="14">
        <f t="shared" si="1433"/>
        <v>0</v>
      </c>
      <c r="M3279" s="50"/>
      <c r="N3279" s="50"/>
    </row>
    <row r="3280" spans="1:14" ht="31.2" x14ac:dyDescent="0.3">
      <c r="A3280" s="8" t="s">
        <v>1435</v>
      </c>
      <c r="B3280" s="62" t="s">
        <v>940</v>
      </c>
      <c r="C3280" s="68" t="s">
        <v>1392</v>
      </c>
      <c r="D3280" s="68" t="s">
        <v>1392</v>
      </c>
      <c r="E3280" s="8" t="s">
        <v>1252</v>
      </c>
      <c r="F3280" s="45" t="s">
        <v>380</v>
      </c>
      <c r="G3280" s="23" t="s">
        <v>809</v>
      </c>
      <c r="H3280" s="14">
        <f t="shared" si="1433"/>
        <v>887</v>
      </c>
      <c r="I3280" s="14">
        <f t="shared" si="1433"/>
        <v>887</v>
      </c>
      <c r="J3280" s="14">
        <f t="shared" si="1433"/>
        <v>887</v>
      </c>
      <c r="K3280" s="78">
        <f t="shared" si="1428"/>
        <v>100</v>
      </c>
      <c r="L3280" s="14">
        <f t="shared" si="1433"/>
        <v>0</v>
      </c>
      <c r="M3280" s="50"/>
      <c r="N3280" s="50"/>
    </row>
    <row r="3281" spans="1:14" ht="31.2" x14ac:dyDescent="0.3">
      <c r="A3281" s="8" t="s">
        <v>1435</v>
      </c>
      <c r="B3281" s="62" t="s">
        <v>940</v>
      </c>
      <c r="C3281" s="68" t="s">
        <v>1392</v>
      </c>
      <c r="D3281" s="68" t="s">
        <v>1392</v>
      </c>
      <c r="E3281" s="8" t="s">
        <v>1252</v>
      </c>
      <c r="F3281" s="8" t="s">
        <v>247</v>
      </c>
      <c r="G3281" s="23" t="s">
        <v>810</v>
      </c>
      <c r="H3281" s="14">
        <f>1000-113</f>
        <v>887</v>
      </c>
      <c r="I3281" s="14">
        <v>887</v>
      </c>
      <c r="J3281" s="14">
        <v>887</v>
      </c>
      <c r="K3281" s="78">
        <f t="shared" si="1428"/>
        <v>100</v>
      </c>
      <c r="L3281" s="14"/>
      <c r="M3281" s="50"/>
      <c r="N3281" s="50"/>
    </row>
    <row r="3282" spans="1:14" ht="46.8" x14ac:dyDescent="0.3">
      <c r="A3282" s="8" t="s">
        <v>1435</v>
      </c>
      <c r="B3282" s="62" t="s">
        <v>940</v>
      </c>
      <c r="C3282" s="68" t="s">
        <v>1392</v>
      </c>
      <c r="D3282" s="68" t="s">
        <v>1392</v>
      </c>
      <c r="E3282" s="8" t="s">
        <v>74</v>
      </c>
      <c r="F3282" s="8"/>
      <c r="G3282" s="13" t="s">
        <v>165</v>
      </c>
      <c r="H3282" s="14">
        <f t="shared" ref="H3282:L3283" si="1434">H3283</f>
        <v>1940.3869999999999</v>
      </c>
      <c r="I3282" s="14">
        <f t="shared" si="1434"/>
        <v>1940.3869999999999</v>
      </c>
      <c r="J3282" s="14">
        <f t="shared" si="1434"/>
        <v>1940</v>
      </c>
      <c r="K3282" s="78">
        <f t="shared" si="1428"/>
        <v>99.980055525006094</v>
      </c>
      <c r="L3282" s="14">
        <f t="shared" si="1434"/>
        <v>0</v>
      </c>
      <c r="M3282" s="50"/>
      <c r="N3282" s="50"/>
    </row>
    <row r="3283" spans="1:14" ht="31.2" x14ac:dyDescent="0.3">
      <c r="A3283" s="8" t="s">
        <v>1435</v>
      </c>
      <c r="B3283" s="62" t="s">
        <v>940</v>
      </c>
      <c r="C3283" s="68" t="s">
        <v>1392</v>
      </c>
      <c r="D3283" s="68" t="s">
        <v>1392</v>
      </c>
      <c r="E3283" s="8" t="s">
        <v>74</v>
      </c>
      <c r="F3283" s="45" t="s">
        <v>380</v>
      </c>
      <c r="G3283" s="23" t="s">
        <v>809</v>
      </c>
      <c r="H3283" s="14">
        <f t="shared" si="1434"/>
        <v>1940.3869999999999</v>
      </c>
      <c r="I3283" s="14">
        <f t="shared" si="1434"/>
        <v>1940.3869999999999</v>
      </c>
      <c r="J3283" s="14">
        <f t="shared" si="1434"/>
        <v>1940</v>
      </c>
      <c r="K3283" s="78">
        <f t="shared" si="1428"/>
        <v>99.980055525006094</v>
      </c>
      <c r="L3283" s="14">
        <f t="shared" si="1434"/>
        <v>0</v>
      </c>
      <c r="M3283" s="50"/>
      <c r="N3283" s="50"/>
    </row>
    <row r="3284" spans="1:14" ht="31.2" x14ac:dyDescent="0.3">
      <c r="A3284" s="8" t="s">
        <v>1435</v>
      </c>
      <c r="B3284" s="62" t="s">
        <v>940</v>
      </c>
      <c r="C3284" s="68" t="s">
        <v>1392</v>
      </c>
      <c r="D3284" s="68" t="s">
        <v>1392</v>
      </c>
      <c r="E3284" s="8" t="s">
        <v>74</v>
      </c>
      <c r="F3284" s="8" t="s">
        <v>247</v>
      </c>
      <c r="G3284" s="23" t="s">
        <v>810</v>
      </c>
      <c r="H3284" s="14">
        <f>2013.2-72.813</f>
        <v>1940.3869999999999</v>
      </c>
      <c r="I3284" s="14">
        <v>1940.3869999999999</v>
      </c>
      <c r="J3284" s="14">
        <v>1940</v>
      </c>
      <c r="K3284" s="78">
        <f t="shared" si="1428"/>
        <v>99.980055525006094</v>
      </c>
      <c r="L3284" s="14"/>
      <c r="M3284" s="50"/>
      <c r="N3284" s="50"/>
    </row>
    <row r="3285" spans="1:14" ht="46.8" x14ac:dyDescent="0.3">
      <c r="A3285" s="8" t="s">
        <v>1435</v>
      </c>
      <c r="B3285" s="62" t="s">
        <v>940</v>
      </c>
      <c r="C3285" s="68" t="s">
        <v>1392</v>
      </c>
      <c r="D3285" s="68" t="s">
        <v>1392</v>
      </c>
      <c r="E3285" s="8" t="s">
        <v>512</v>
      </c>
      <c r="F3285" s="8"/>
      <c r="G3285" s="18" t="s">
        <v>980</v>
      </c>
      <c r="H3285" s="14">
        <f t="shared" ref="H3285:L3285" si="1435">H3286</f>
        <v>18420.373</v>
      </c>
      <c r="I3285" s="14">
        <f t="shared" si="1435"/>
        <v>18420.373</v>
      </c>
      <c r="J3285" s="14">
        <f t="shared" si="1435"/>
        <v>18385.30041</v>
      </c>
      <c r="K3285" s="78">
        <f t="shared" si="1428"/>
        <v>99.809598915287978</v>
      </c>
      <c r="L3285" s="14">
        <f t="shared" si="1435"/>
        <v>0</v>
      </c>
      <c r="M3285" s="50"/>
      <c r="N3285" s="50"/>
    </row>
    <row r="3286" spans="1:14" ht="62.4" x14ac:dyDescent="0.3">
      <c r="A3286" s="8" t="s">
        <v>1435</v>
      </c>
      <c r="B3286" s="62" t="s">
        <v>940</v>
      </c>
      <c r="C3286" s="68" t="s">
        <v>1392</v>
      </c>
      <c r="D3286" s="68" t="s">
        <v>1392</v>
      </c>
      <c r="E3286" s="8" t="s">
        <v>75</v>
      </c>
      <c r="F3286" s="8"/>
      <c r="G3286" s="23" t="s">
        <v>1291</v>
      </c>
      <c r="H3286" s="14">
        <f>H3287+H3289+H3291</f>
        <v>18420.373</v>
      </c>
      <c r="I3286" s="14">
        <f>I3287+I3289+I3291</f>
        <v>18420.373</v>
      </c>
      <c r="J3286" s="14">
        <f t="shared" ref="J3286" si="1436">J3287+J3289+J3291</f>
        <v>18385.30041</v>
      </c>
      <c r="K3286" s="78">
        <f t="shared" si="1428"/>
        <v>99.809598915287978</v>
      </c>
      <c r="L3286" s="14">
        <f>L3287+L3289+L3291</f>
        <v>0</v>
      </c>
      <c r="M3286" s="50"/>
      <c r="N3286" s="50"/>
    </row>
    <row r="3287" spans="1:14" ht="78" x14ac:dyDescent="0.3">
      <c r="A3287" s="8" t="s">
        <v>1435</v>
      </c>
      <c r="B3287" s="62" t="s">
        <v>940</v>
      </c>
      <c r="C3287" s="68" t="s">
        <v>1392</v>
      </c>
      <c r="D3287" s="68" t="s">
        <v>1392</v>
      </c>
      <c r="E3287" s="8" t="s">
        <v>75</v>
      </c>
      <c r="F3287" s="45" t="s">
        <v>431</v>
      </c>
      <c r="G3287" s="23" t="s">
        <v>806</v>
      </c>
      <c r="H3287" s="14">
        <f t="shared" ref="H3287:L3287" si="1437">H3288</f>
        <v>15889.8</v>
      </c>
      <c r="I3287" s="14">
        <f t="shared" si="1437"/>
        <v>15926.498</v>
      </c>
      <c r="J3287" s="14">
        <f t="shared" si="1437"/>
        <v>15923.30395</v>
      </c>
      <c r="K3287" s="78">
        <f t="shared" si="1428"/>
        <v>99.979945057601498</v>
      </c>
      <c r="L3287" s="14">
        <f t="shared" si="1437"/>
        <v>0</v>
      </c>
      <c r="M3287" s="50"/>
      <c r="N3287" s="50"/>
    </row>
    <row r="3288" spans="1:14" x14ac:dyDescent="0.3">
      <c r="A3288" s="8" t="s">
        <v>1435</v>
      </c>
      <c r="B3288" s="62" t="s">
        <v>940</v>
      </c>
      <c r="C3288" s="68" t="s">
        <v>1392</v>
      </c>
      <c r="D3288" s="68" t="s">
        <v>1392</v>
      </c>
      <c r="E3288" s="8" t="s">
        <v>75</v>
      </c>
      <c r="F3288" s="8" t="s">
        <v>719</v>
      </c>
      <c r="G3288" s="23" t="s">
        <v>807</v>
      </c>
      <c r="H3288" s="14">
        <v>15889.8</v>
      </c>
      <c r="I3288" s="14">
        <v>15926.498</v>
      </c>
      <c r="J3288" s="14">
        <v>15923.30395</v>
      </c>
      <c r="K3288" s="78">
        <f t="shared" si="1428"/>
        <v>99.979945057601498</v>
      </c>
      <c r="L3288" s="14"/>
      <c r="M3288" s="50"/>
      <c r="N3288" s="50"/>
    </row>
    <row r="3289" spans="1:14" ht="31.2" x14ac:dyDescent="0.3">
      <c r="A3289" s="8" t="s">
        <v>1435</v>
      </c>
      <c r="B3289" s="62" t="s">
        <v>940</v>
      </c>
      <c r="C3289" s="68" t="s">
        <v>1392</v>
      </c>
      <c r="D3289" s="68" t="s">
        <v>1392</v>
      </c>
      <c r="E3289" s="8" t="s">
        <v>75</v>
      </c>
      <c r="F3289" s="45" t="s">
        <v>380</v>
      </c>
      <c r="G3289" s="23" t="s">
        <v>809</v>
      </c>
      <c r="H3289" s="14">
        <f t="shared" ref="H3289:L3289" si="1438">H3290</f>
        <v>2500.0729999999999</v>
      </c>
      <c r="I3289" s="14">
        <f t="shared" si="1438"/>
        <v>2448.42938</v>
      </c>
      <c r="J3289" s="14">
        <f t="shared" si="1438"/>
        <v>2417.8330799999999</v>
      </c>
      <c r="K3289" s="78">
        <f t="shared" si="1428"/>
        <v>98.750370329243466</v>
      </c>
      <c r="L3289" s="14">
        <f t="shared" si="1438"/>
        <v>0</v>
      </c>
      <c r="M3289" s="50"/>
      <c r="N3289" s="50"/>
    </row>
    <row r="3290" spans="1:14" ht="31.2" x14ac:dyDescent="0.3">
      <c r="A3290" s="8" t="s">
        <v>1435</v>
      </c>
      <c r="B3290" s="62" t="s">
        <v>940</v>
      </c>
      <c r="C3290" s="68" t="s">
        <v>1392</v>
      </c>
      <c r="D3290" s="68" t="s">
        <v>1392</v>
      </c>
      <c r="E3290" s="8" t="s">
        <v>75</v>
      </c>
      <c r="F3290" s="8" t="s">
        <v>247</v>
      </c>
      <c r="G3290" s="23" t="s">
        <v>810</v>
      </c>
      <c r="H3290" s="14">
        <f>2503.1-3.027</f>
        <v>2500.0729999999999</v>
      </c>
      <c r="I3290" s="14">
        <v>2448.42938</v>
      </c>
      <c r="J3290" s="14">
        <v>2417.8330799999999</v>
      </c>
      <c r="K3290" s="78">
        <f t="shared" si="1428"/>
        <v>98.750370329243466</v>
      </c>
      <c r="L3290" s="14"/>
      <c r="M3290" s="50"/>
      <c r="N3290" s="50"/>
    </row>
    <row r="3291" spans="1:14" x14ac:dyDescent="0.3">
      <c r="A3291" s="8" t="s">
        <v>1435</v>
      </c>
      <c r="B3291" s="62" t="s">
        <v>940</v>
      </c>
      <c r="C3291" s="68" t="s">
        <v>1392</v>
      </c>
      <c r="D3291" s="68" t="s">
        <v>1392</v>
      </c>
      <c r="E3291" s="8" t="s">
        <v>75</v>
      </c>
      <c r="F3291" s="45" t="s">
        <v>464</v>
      </c>
      <c r="G3291" s="23" t="s">
        <v>822</v>
      </c>
      <c r="H3291" s="14">
        <f t="shared" ref="H3291:L3291" si="1439">H3292</f>
        <v>30.5</v>
      </c>
      <c r="I3291" s="14">
        <f t="shared" si="1439"/>
        <v>45.445619999999998</v>
      </c>
      <c r="J3291" s="14">
        <f t="shared" si="1439"/>
        <v>44.163379999999997</v>
      </c>
      <c r="K3291" s="78">
        <f t="shared" si="1428"/>
        <v>97.178517973789326</v>
      </c>
      <c r="L3291" s="14">
        <f t="shared" si="1439"/>
        <v>0</v>
      </c>
      <c r="M3291" s="50"/>
      <c r="N3291" s="50"/>
    </row>
    <row r="3292" spans="1:14" x14ac:dyDescent="0.3">
      <c r="A3292" s="8" t="s">
        <v>1435</v>
      </c>
      <c r="B3292" s="62" t="s">
        <v>940</v>
      </c>
      <c r="C3292" s="68" t="s">
        <v>1392</v>
      </c>
      <c r="D3292" s="68" t="s">
        <v>1392</v>
      </c>
      <c r="E3292" s="8" t="s">
        <v>75</v>
      </c>
      <c r="F3292" s="45" t="s">
        <v>729</v>
      </c>
      <c r="G3292" s="23" t="s">
        <v>824</v>
      </c>
      <c r="H3292" s="14">
        <v>30.5</v>
      </c>
      <c r="I3292" s="14">
        <v>45.445619999999998</v>
      </c>
      <c r="J3292" s="14">
        <v>44.163379999999997</v>
      </c>
      <c r="K3292" s="78">
        <f t="shared" si="1428"/>
        <v>97.178517973789326</v>
      </c>
      <c r="L3292" s="14"/>
      <c r="M3292" s="50"/>
      <c r="N3292" s="50"/>
    </row>
    <row r="3293" spans="1:14" ht="31.2" x14ac:dyDescent="0.3">
      <c r="A3293" s="8" t="s">
        <v>1435</v>
      </c>
      <c r="B3293" s="62" t="s">
        <v>940</v>
      </c>
      <c r="C3293" s="68" t="s">
        <v>1392</v>
      </c>
      <c r="D3293" s="68" t="s">
        <v>1392</v>
      </c>
      <c r="E3293" s="8" t="s">
        <v>515</v>
      </c>
      <c r="F3293" s="8"/>
      <c r="G3293" s="13" t="s">
        <v>1091</v>
      </c>
      <c r="H3293" s="14">
        <f t="shared" ref="H3293:L3294" si="1440">H3294</f>
        <v>11907.848</v>
      </c>
      <c r="I3293" s="14">
        <f t="shared" si="1440"/>
        <v>11907.848</v>
      </c>
      <c r="J3293" s="14">
        <f t="shared" si="1440"/>
        <v>11907.366919999999</v>
      </c>
      <c r="K3293" s="78">
        <f t="shared" si="1428"/>
        <v>99.995959975303677</v>
      </c>
      <c r="L3293" s="14">
        <f t="shared" si="1440"/>
        <v>0</v>
      </c>
      <c r="M3293" s="50"/>
      <c r="N3293" s="50"/>
    </row>
    <row r="3294" spans="1:14" ht="62.4" x14ac:dyDescent="0.3">
      <c r="A3294" s="8" t="s">
        <v>1435</v>
      </c>
      <c r="B3294" s="62" t="s">
        <v>940</v>
      </c>
      <c r="C3294" s="68" t="s">
        <v>1392</v>
      </c>
      <c r="D3294" s="68" t="s">
        <v>1392</v>
      </c>
      <c r="E3294" s="8" t="s">
        <v>516</v>
      </c>
      <c r="F3294" s="8"/>
      <c r="G3294" s="13" t="s">
        <v>1169</v>
      </c>
      <c r="H3294" s="14">
        <f t="shared" si="1440"/>
        <v>11907.848</v>
      </c>
      <c r="I3294" s="14">
        <f t="shared" si="1440"/>
        <v>11907.848</v>
      </c>
      <c r="J3294" s="14">
        <f t="shared" si="1440"/>
        <v>11907.366919999999</v>
      </c>
      <c r="K3294" s="78">
        <f t="shared" si="1428"/>
        <v>99.995959975303677</v>
      </c>
      <c r="L3294" s="14">
        <f t="shared" si="1440"/>
        <v>0</v>
      </c>
      <c r="M3294" s="50"/>
      <c r="N3294" s="50"/>
    </row>
    <row r="3295" spans="1:14" ht="62.4" x14ac:dyDescent="0.3">
      <c r="A3295" s="8" t="s">
        <v>1435</v>
      </c>
      <c r="B3295" s="62" t="s">
        <v>940</v>
      </c>
      <c r="C3295" s="68" t="s">
        <v>1392</v>
      </c>
      <c r="D3295" s="68" t="s">
        <v>1392</v>
      </c>
      <c r="E3295" s="8" t="s">
        <v>517</v>
      </c>
      <c r="F3295" s="8"/>
      <c r="G3295" s="23" t="s">
        <v>1291</v>
      </c>
      <c r="H3295" s="14">
        <f>H3296+H3298+H3300</f>
        <v>11907.848</v>
      </c>
      <c r="I3295" s="14">
        <f>I3296+I3298+I3300</f>
        <v>11907.848</v>
      </c>
      <c r="J3295" s="14">
        <f t="shared" ref="J3295" si="1441">J3296+J3298+J3300</f>
        <v>11907.366919999999</v>
      </c>
      <c r="K3295" s="78">
        <f t="shared" si="1428"/>
        <v>99.995959975303677</v>
      </c>
      <c r="L3295" s="14">
        <f>L3296+L3298+L3300</f>
        <v>0</v>
      </c>
      <c r="M3295" s="50"/>
      <c r="N3295" s="50"/>
    </row>
    <row r="3296" spans="1:14" ht="78" x14ac:dyDescent="0.3">
      <c r="A3296" s="8" t="s">
        <v>1435</v>
      </c>
      <c r="B3296" s="62" t="s">
        <v>940</v>
      </c>
      <c r="C3296" s="68" t="s">
        <v>1392</v>
      </c>
      <c r="D3296" s="68" t="s">
        <v>1392</v>
      </c>
      <c r="E3296" s="8" t="s">
        <v>517</v>
      </c>
      <c r="F3296" s="45" t="s">
        <v>431</v>
      </c>
      <c r="G3296" s="23" t="s">
        <v>806</v>
      </c>
      <c r="H3296" s="14">
        <f t="shared" ref="H3296:L3296" si="1442">H3297</f>
        <v>10064.200000000001</v>
      </c>
      <c r="I3296" s="14">
        <f t="shared" si="1442"/>
        <v>10153.572459999999</v>
      </c>
      <c r="J3296" s="14">
        <f t="shared" si="1442"/>
        <v>10153.57238</v>
      </c>
      <c r="K3296" s="78">
        <f t="shared" si="1428"/>
        <v>99.999999212099979</v>
      </c>
      <c r="L3296" s="14">
        <f t="shared" si="1442"/>
        <v>0</v>
      </c>
      <c r="M3296" s="50"/>
      <c r="N3296" s="50"/>
    </row>
    <row r="3297" spans="1:14" x14ac:dyDescent="0.3">
      <c r="A3297" s="8" t="s">
        <v>1435</v>
      </c>
      <c r="B3297" s="62" t="s">
        <v>940</v>
      </c>
      <c r="C3297" s="68" t="s">
        <v>1392</v>
      </c>
      <c r="D3297" s="68" t="s">
        <v>1392</v>
      </c>
      <c r="E3297" s="8" t="s">
        <v>517</v>
      </c>
      <c r="F3297" s="8" t="s">
        <v>719</v>
      </c>
      <c r="G3297" s="23" t="s">
        <v>807</v>
      </c>
      <c r="H3297" s="14">
        <v>10064.200000000001</v>
      </c>
      <c r="I3297" s="14">
        <v>10153.572459999999</v>
      </c>
      <c r="J3297" s="14">
        <v>10153.57238</v>
      </c>
      <c r="K3297" s="78">
        <f t="shared" si="1428"/>
        <v>99.999999212099979</v>
      </c>
      <c r="L3297" s="14"/>
      <c r="M3297" s="50"/>
      <c r="N3297" s="50"/>
    </row>
    <row r="3298" spans="1:14" ht="31.2" x14ac:dyDescent="0.3">
      <c r="A3298" s="8" t="s">
        <v>1435</v>
      </c>
      <c r="B3298" s="62" t="s">
        <v>940</v>
      </c>
      <c r="C3298" s="68" t="s">
        <v>1392</v>
      </c>
      <c r="D3298" s="68" t="s">
        <v>1392</v>
      </c>
      <c r="E3298" s="8" t="s">
        <v>517</v>
      </c>
      <c r="F3298" s="45" t="s">
        <v>380</v>
      </c>
      <c r="G3298" s="23" t="s">
        <v>809</v>
      </c>
      <c r="H3298" s="14">
        <f t="shared" ref="H3298:L3298" si="1443">H3299</f>
        <v>1781.848</v>
      </c>
      <c r="I3298" s="14">
        <f t="shared" si="1443"/>
        <v>1609.4123099999999</v>
      </c>
      <c r="J3298" s="14">
        <f t="shared" si="1443"/>
        <v>1609.4123099999999</v>
      </c>
      <c r="K3298" s="78">
        <f t="shared" si="1428"/>
        <v>100</v>
      </c>
      <c r="L3298" s="14">
        <f t="shared" si="1443"/>
        <v>0</v>
      </c>
      <c r="M3298" s="50"/>
      <c r="N3298" s="50"/>
    </row>
    <row r="3299" spans="1:14" ht="31.2" x14ac:dyDescent="0.3">
      <c r="A3299" s="8" t="s">
        <v>1435</v>
      </c>
      <c r="B3299" s="62" t="s">
        <v>940</v>
      </c>
      <c r="C3299" s="68" t="s">
        <v>1392</v>
      </c>
      <c r="D3299" s="68" t="s">
        <v>1392</v>
      </c>
      <c r="E3299" s="8" t="s">
        <v>517</v>
      </c>
      <c r="F3299" s="8" t="s">
        <v>247</v>
      </c>
      <c r="G3299" s="23" t="s">
        <v>810</v>
      </c>
      <c r="H3299" s="14">
        <f>1783.5-1.652</f>
        <v>1781.848</v>
      </c>
      <c r="I3299" s="14">
        <v>1609.4123099999999</v>
      </c>
      <c r="J3299" s="14">
        <v>1609.4123099999999</v>
      </c>
      <c r="K3299" s="78">
        <f t="shared" si="1428"/>
        <v>100</v>
      </c>
      <c r="L3299" s="14"/>
      <c r="M3299" s="50"/>
      <c r="N3299" s="50"/>
    </row>
    <row r="3300" spans="1:14" x14ac:dyDescent="0.3">
      <c r="A3300" s="8" t="s">
        <v>1435</v>
      </c>
      <c r="B3300" s="62" t="s">
        <v>940</v>
      </c>
      <c r="C3300" s="68" t="s">
        <v>1392</v>
      </c>
      <c r="D3300" s="68" t="s">
        <v>1392</v>
      </c>
      <c r="E3300" s="8" t="s">
        <v>517</v>
      </c>
      <c r="F3300" s="45" t="s">
        <v>464</v>
      </c>
      <c r="G3300" s="23" t="s">
        <v>822</v>
      </c>
      <c r="H3300" s="14">
        <f>H3302</f>
        <v>61.8</v>
      </c>
      <c r="I3300" s="14">
        <f>I3302+I3301</f>
        <v>144.86322999999999</v>
      </c>
      <c r="J3300" s="14">
        <f t="shared" ref="J3300:L3300" si="1444">J3302+J3301</f>
        <v>144.38222999999999</v>
      </c>
      <c r="K3300" s="78">
        <f t="shared" si="1428"/>
        <v>99.667962670720527</v>
      </c>
      <c r="L3300" s="14">
        <f t="shared" si="1444"/>
        <v>0</v>
      </c>
      <c r="M3300" s="50"/>
      <c r="N3300" s="50"/>
    </row>
    <row r="3301" spans="1:14" x14ac:dyDescent="0.3">
      <c r="A3301" s="8" t="s">
        <v>1435</v>
      </c>
      <c r="B3301" s="62" t="s">
        <v>940</v>
      </c>
      <c r="C3301" s="68" t="s">
        <v>1392</v>
      </c>
      <c r="D3301" s="68" t="s">
        <v>1392</v>
      </c>
      <c r="E3301" s="8" t="s">
        <v>517</v>
      </c>
      <c r="F3301" s="8" t="s">
        <v>728</v>
      </c>
      <c r="G3301" s="13" t="s">
        <v>823</v>
      </c>
      <c r="H3301" s="19">
        <v>0</v>
      </c>
      <c r="I3301" s="14">
        <v>72.394559999999998</v>
      </c>
      <c r="J3301" s="14">
        <v>71.913560000000004</v>
      </c>
      <c r="K3301" s="78">
        <f t="shared" si="1428"/>
        <v>99.33558543625378</v>
      </c>
      <c r="L3301" s="14"/>
      <c r="M3301" s="50"/>
      <c r="N3301" s="50"/>
    </row>
    <row r="3302" spans="1:14" x14ac:dyDescent="0.3">
      <c r="A3302" s="8" t="s">
        <v>1435</v>
      </c>
      <c r="B3302" s="62" t="s">
        <v>940</v>
      </c>
      <c r="C3302" s="68" t="s">
        <v>1392</v>
      </c>
      <c r="D3302" s="68" t="s">
        <v>1392</v>
      </c>
      <c r="E3302" s="8" t="s">
        <v>517</v>
      </c>
      <c r="F3302" s="45" t="s">
        <v>729</v>
      </c>
      <c r="G3302" s="23" t="s">
        <v>824</v>
      </c>
      <c r="H3302" s="14">
        <v>61.8</v>
      </c>
      <c r="I3302" s="14">
        <v>72.468670000000003</v>
      </c>
      <c r="J3302" s="14">
        <v>72.468670000000003</v>
      </c>
      <c r="K3302" s="78">
        <f t="shared" si="1428"/>
        <v>100</v>
      </c>
      <c r="L3302" s="14"/>
      <c r="M3302" s="50"/>
      <c r="N3302" s="50"/>
    </row>
    <row r="3303" spans="1:14" ht="31.2" x14ac:dyDescent="0.3">
      <c r="A3303" s="8" t="s">
        <v>1435</v>
      </c>
      <c r="B3303" s="62" t="s">
        <v>940</v>
      </c>
      <c r="C3303" s="68" t="s">
        <v>1392</v>
      </c>
      <c r="D3303" s="68" t="s">
        <v>1392</v>
      </c>
      <c r="E3303" s="8" t="s">
        <v>343</v>
      </c>
      <c r="F3303" s="8"/>
      <c r="G3303" s="23" t="s">
        <v>1157</v>
      </c>
      <c r="H3303" s="14">
        <f t="shared" ref="H3303:L3303" si="1445">H3304</f>
        <v>51563.899999999994</v>
      </c>
      <c r="I3303" s="14">
        <f t="shared" si="1445"/>
        <v>51346.3</v>
      </c>
      <c r="J3303" s="14">
        <f t="shared" si="1445"/>
        <v>51335.394840000001</v>
      </c>
      <c r="K3303" s="78">
        <f t="shared" si="1428"/>
        <v>99.978761546596346</v>
      </c>
      <c r="L3303" s="14">
        <f t="shared" si="1445"/>
        <v>0</v>
      </c>
      <c r="M3303" s="50"/>
      <c r="N3303" s="50"/>
    </row>
    <row r="3304" spans="1:14" x14ac:dyDescent="0.3">
      <c r="A3304" s="8" t="s">
        <v>1435</v>
      </c>
      <c r="B3304" s="62" t="s">
        <v>940</v>
      </c>
      <c r="C3304" s="68" t="s">
        <v>1392</v>
      </c>
      <c r="D3304" s="68" t="s">
        <v>1392</v>
      </c>
      <c r="E3304" s="8" t="s">
        <v>344</v>
      </c>
      <c r="F3304" s="8"/>
      <c r="G3304" s="23" t="s">
        <v>1159</v>
      </c>
      <c r="H3304" s="14">
        <f>H3305+H3308</f>
        <v>51563.899999999994</v>
      </c>
      <c r="I3304" s="14">
        <f>I3305+I3308</f>
        <v>51346.3</v>
      </c>
      <c r="J3304" s="14">
        <f t="shared" ref="J3304" si="1446">J3305+J3308</f>
        <v>51335.394840000001</v>
      </c>
      <c r="K3304" s="78">
        <f t="shared" si="1428"/>
        <v>99.978761546596346</v>
      </c>
      <c r="L3304" s="14">
        <f>L3305+L3308</f>
        <v>0</v>
      </c>
      <c r="M3304" s="50"/>
      <c r="N3304" s="50"/>
    </row>
    <row r="3305" spans="1:14" ht="31.2" x14ac:dyDescent="0.3">
      <c r="A3305" s="8" t="s">
        <v>1435</v>
      </c>
      <c r="B3305" s="62" t="s">
        <v>940</v>
      </c>
      <c r="C3305" s="83" t="s">
        <v>1392</v>
      </c>
      <c r="D3305" s="83" t="s">
        <v>1392</v>
      </c>
      <c r="E3305" s="45" t="s">
        <v>345</v>
      </c>
      <c r="F3305" s="8"/>
      <c r="G3305" s="23" t="s">
        <v>1152</v>
      </c>
      <c r="H3305" s="14">
        <f t="shared" ref="H3305:L3306" si="1447">H3306</f>
        <v>48264.7</v>
      </c>
      <c r="I3305" s="14">
        <f t="shared" si="1447"/>
        <v>48892.28514</v>
      </c>
      <c r="J3305" s="14">
        <f t="shared" si="1447"/>
        <v>48885.162080000002</v>
      </c>
      <c r="K3305" s="78">
        <f t="shared" si="1428"/>
        <v>99.985431116627907</v>
      </c>
      <c r="L3305" s="14">
        <f t="shared" si="1447"/>
        <v>0</v>
      </c>
      <c r="M3305" s="50"/>
      <c r="N3305" s="50"/>
    </row>
    <row r="3306" spans="1:14" ht="78" x14ac:dyDescent="0.3">
      <c r="A3306" s="8" t="s">
        <v>1435</v>
      </c>
      <c r="B3306" s="62" t="s">
        <v>940</v>
      </c>
      <c r="C3306" s="83" t="s">
        <v>1392</v>
      </c>
      <c r="D3306" s="83" t="s">
        <v>1392</v>
      </c>
      <c r="E3306" s="45" t="s">
        <v>345</v>
      </c>
      <c r="F3306" s="45" t="s">
        <v>431</v>
      </c>
      <c r="G3306" s="23" t="s">
        <v>806</v>
      </c>
      <c r="H3306" s="14">
        <f t="shared" si="1447"/>
        <v>48264.7</v>
      </c>
      <c r="I3306" s="14">
        <f t="shared" si="1447"/>
        <v>48892.28514</v>
      </c>
      <c r="J3306" s="14">
        <f t="shared" si="1447"/>
        <v>48885.162080000002</v>
      </c>
      <c r="K3306" s="78">
        <f t="shared" si="1428"/>
        <v>99.985431116627907</v>
      </c>
      <c r="L3306" s="14">
        <f t="shared" si="1447"/>
        <v>0</v>
      </c>
      <c r="M3306" s="50"/>
      <c r="N3306" s="50"/>
    </row>
    <row r="3307" spans="1:14" ht="31.2" x14ac:dyDescent="0.3">
      <c r="A3307" s="8" t="s">
        <v>1435</v>
      </c>
      <c r="B3307" s="62" t="s">
        <v>940</v>
      </c>
      <c r="C3307" s="83" t="s">
        <v>1392</v>
      </c>
      <c r="D3307" s="83" t="s">
        <v>1392</v>
      </c>
      <c r="E3307" s="45" t="s">
        <v>345</v>
      </c>
      <c r="F3307" s="45" t="s">
        <v>233</v>
      </c>
      <c r="G3307" s="23" t="s">
        <v>808</v>
      </c>
      <c r="H3307" s="14">
        <v>48264.7</v>
      </c>
      <c r="I3307" s="14">
        <v>48892.28514</v>
      </c>
      <c r="J3307" s="14">
        <v>48885.162080000002</v>
      </c>
      <c r="K3307" s="78">
        <f t="shared" si="1428"/>
        <v>99.985431116627907</v>
      </c>
      <c r="L3307" s="14"/>
      <c r="M3307" s="50"/>
      <c r="N3307" s="50"/>
    </row>
    <row r="3308" spans="1:14" ht="31.2" x14ac:dyDescent="0.3">
      <c r="A3308" s="8" t="s">
        <v>1435</v>
      </c>
      <c r="B3308" s="62" t="s">
        <v>940</v>
      </c>
      <c r="C3308" s="83" t="s">
        <v>1392</v>
      </c>
      <c r="D3308" s="83" t="s">
        <v>1392</v>
      </c>
      <c r="E3308" s="45" t="s">
        <v>346</v>
      </c>
      <c r="F3308" s="8"/>
      <c r="G3308" s="23" t="s">
        <v>1154</v>
      </c>
      <c r="H3308" s="14">
        <f>H3309+H3311+H3313</f>
        <v>3299.2</v>
      </c>
      <c r="I3308" s="14">
        <f>I3309+I3311+I3313</f>
        <v>2454.0148599999998</v>
      </c>
      <c r="J3308" s="14">
        <f t="shared" ref="J3308" si="1448">J3309+J3311+J3313</f>
        <v>2450.2327599999999</v>
      </c>
      <c r="K3308" s="78">
        <f t="shared" si="1428"/>
        <v>99.845881128853478</v>
      </c>
      <c r="L3308" s="14">
        <f>L3309+L3311+L3313</f>
        <v>0</v>
      </c>
      <c r="M3308" s="50"/>
      <c r="N3308" s="50"/>
    </row>
    <row r="3309" spans="1:14" ht="78" x14ac:dyDescent="0.3">
      <c r="A3309" s="8" t="s">
        <v>1435</v>
      </c>
      <c r="B3309" s="62" t="s">
        <v>940</v>
      </c>
      <c r="C3309" s="83" t="s">
        <v>1392</v>
      </c>
      <c r="D3309" s="83" t="s">
        <v>1392</v>
      </c>
      <c r="E3309" s="45" t="s">
        <v>346</v>
      </c>
      <c r="F3309" s="45" t="s">
        <v>431</v>
      </c>
      <c r="G3309" s="23" t="s">
        <v>806</v>
      </c>
      <c r="H3309" s="14">
        <f t="shared" ref="H3309:L3309" si="1449">H3310</f>
        <v>179.7</v>
      </c>
      <c r="I3309" s="14">
        <f t="shared" si="1449"/>
        <v>50.144480000000001</v>
      </c>
      <c r="J3309" s="14">
        <f t="shared" si="1449"/>
        <v>50.144480000000001</v>
      </c>
      <c r="K3309" s="78">
        <f t="shared" si="1428"/>
        <v>100</v>
      </c>
      <c r="L3309" s="14">
        <f t="shared" si="1449"/>
        <v>0</v>
      </c>
      <c r="M3309" s="50"/>
      <c r="N3309" s="50"/>
    </row>
    <row r="3310" spans="1:14" ht="31.2" x14ac:dyDescent="0.3">
      <c r="A3310" s="8" t="s">
        <v>1435</v>
      </c>
      <c r="B3310" s="62" t="s">
        <v>940</v>
      </c>
      <c r="C3310" s="83" t="s">
        <v>1392</v>
      </c>
      <c r="D3310" s="83" t="s">
        <v>1392</v>
      </c>
      <c r="E3310" s="45" t="s">
        <v>346</v>
      </c>
      <c r="F3310" s="45" t="s">
        <v>233</v>
      </c>
      <c r="G3310" s="23" t="s">
        <v>808</v>
      </c>
      <c r="H3310" s="14">
        <v>179.7</v>
      </c>
      <c r="I3310" s="14">
        <v>50.144480000000001</v>
      </c>
      <c r="J3310" s="14">
        <v>50.144480000000001</v>
      </c>
      <c r="K3310" s="78">
        <f t="shared" si="1428"/>
        <v>100</v>
      </c>
      <c r="L3310" s="14"/>
      <c r="M3310" s="50"/>
      <c r="N3310" s="50"/>
    </row>
    <row r="3311" spans="1:14" ht="31.2" x14ac:dyDescent="0.3">
      <c r="A3311" s="8" t="s">
        <v>1435</v>
      </c>
      <c r="B3311" s="62" t="s">
        <v>940</v>
      </c>
      <c r="C3311" s="83" t="s">
        <v>1392</v>
      </c>
      <c r="D3311" s="83" t="s">
        <v>1392</v>
      </c>
      <c r="E3311" s="45" t="s">
        <v>346</v>
      </c>
      <c r="F3311" s="45" t="s">
        <v>380</v>
      </c>
      <c r="G3311" s="23" t="s">
        <v>809</v>
      </c>
      <c r="H3311" s="14">
        <f t="shared" ref="H3311:L3311" si="1450">H3312</f>
        <v>3111.8</v>
      </c>
      <c r="I3311" s="14">
        <f t="shared" si="1450"/>
        <v>2403.4573799999998</v>
      </c>
      <c r="J3311" s="14">
        <f t="shared" si="1450"/>
        <v>2399.6752799999999</v>
      </c>
      <c r="K3311" s="78">
        <f t="shared" si="1428"/>
        <v>99.8426391900488</v>
      </c>
      <c r="L3311" s="14">
        <f t="shared" si="1450"/>
        <v>0</v>
      </c>
      <c r="M3311" s="50"/>
      <c r="N3311" s="50"/>
    </row>
    <row r="3312" spans="1:14" ht="31.2" x14ac:dyDescent="0.3">
      <c r="A3312" s="8" t="s">
        <v>1435</v>
      </c>
      <c r="B3312" s="62" t="s">
        <v>940</v>
      </c>
      <c r="C3312" s="83" t="s">
        <v>1392</v>
      </c>
      <c r="D3312" s="83" t="s">
        <v>1392</v>
      </c>
      <c r="E3312" s="45" t="s">
        <v>346</v>
      </c>
      <c r="F3312" s="8" t="s">
        <v>247</v>
      </c>
      <c r="G3312" s="23" t="s">
        <v>810</v>
      </c>
      <c r="H3312" s="14">
        <v>3111.8</v>
      </c>
      <c r="I3312" s="14">
        <v>2403.4573799999998</v>
      </c>
      <c r="J3312" s="14">
        <v>2399.6752799999999</v>
      </c>
      <c r="K3312" s="78">
        <f t="shared" si="1428"/>
        <v>99.8426391900488</v>
      </c>
      <c r="L3312" s="14"/>
      <c r="M3312" s="50"/>
      <c r="N3312" s="50"/>
    </row>
    <row r="3313" spans="1:14" x14ac:dyDescent="0.3">
      <c r="A3313" s="8" t="s">
        <v>1435</v>
      </c>
      <c r="B3313" s="62" t="s">
        <v>940</v>
      </c>
      <c r="C3313" s="83" t="s">
        <v>1392</v>
      </c>
      <c r="D3313" s="83" t="s">
        <v>1392</v>
      </c>
      <c r="E3313" s="45" t="s">
        <v>346</v>
      </c>
      <c r="F3313" s="45" t="s">
        <v>464</v>
      </c>
      <c r="G3313" s="23" t="s">
        <v>822</v>
      </c>
      <c r="H3313" s="14">
        <f t="shared" ref="H3313:L3313" si="1451">H3314</f>
        <v>7.7</v>
      </c>
      <c r="I3313" s="14">
        <f t="shared" si="1451"/>
        <v>0.41299999999999998</v>
      </c>
      <c r="J3313" s="14">
        <f t="shared" si="1451"/>
        <v>0.41299999999999998</v>
      </c>
      <c r="K3313" s="78">
        <f t="shared" si="1428"/>
        <v>100</v>
      </c>
      <c r="L3313" s="14">
        <f t="shared" si="1451"/>
        <v>0</v>
      </c>
      <c r="M3313" s="50"/>
      <c r="N3313" s="50"/>
    </row>
    <row r="3314" spans="1:14" x14ac:dyDescent="0.3">
      <c r="A3314" s="8" t="s">
        <v>1435</v>
      </c>
      <c r="B3314" s="62" t="s">
        <v>940</v>
      </c>
      <c r="C3314" s="83" t="s">
        <v>1392</v>
      </c>
      <c r="D3314" s="83" t="s">
        <v>1392</v>
      </c>
      <c r="E3314" s="45" t="s">
        <v>346</v>
      </c>
      <c r="F3314" s="45" t="s">
        <v>729</v>
      </c>
      <c r="G3314" s="23" t="s">
        <v>824</v>
      </c>
      <c r="H3314" s="14">
        <v>7.7</v>
      </c>
      <c r="I3314" s="14">
        <v>0.41299999999999998</v>
      </c>
      <c r="J3314" s="14">
        <v>0.41299999999999998</v>
      </c>
      <c r="K3314" s="78">
        <f t="shared" si="1428"/>
        <v>100</v>
      </c>
      <c r="L3314" s="14"/>
      <c r="M3314" s="50"/>
      <c r="N3314" s="50"/>
    </row>
    <row r="3315" spans="1:14" ht="46.8" x14ac:dyDescent="0.3">
      <c r="A3315" s="8" t="s">
        <v>1435</v>
      </c>
      <c r="B3315" s="62" t="s">
        <v>940</v>
      </c>
      <c r="C3315" s="68" t="s">
        <v>1392</v>
      </c>
      <c r="D3315" s="68" t="s">
        <v>1392</v>
      </c>
      <c r="E3315" s="8" t="s">
        <v>493</v>
      </c>
      <c r="F3315" s="8"/>
      <c r="G3315" s="13" t="s">
        <v>1160</v>
      </c>
      <c r="H3315" s="20">
        <f>H3316</f>
        <v>0</v>
      </c>
      <c r="I3315" s="14">
        <f>I3316</f>
        <v>7777.8218100000004</v>
      </c>
      <c r="J3315" s="14">
        <f t="shared" ref="J3315:L3316" si="1452">J3316</f>
        <v>7499.5529100000003</v>
      </c>
      <c r="K3315" s="78">
        <f t="shared" si="1428"/>
        <v>96.422277254510675</v>
      </c>
      <c r="L3315" s="14">
        <f t="shared" si="1452"/>
        <v>0</v>
      </c>
      <c r="M3315" s="50"/>
      <c r="N3315" s="50"/>
    </row>
    <row r="3316" spans="1:14" ht="31.2" x14ac:dyDescent="0.3">
      <c r="A3316" s="8" t="s">
        <v>1435</v>
      </c>
      <c r="B3316" s="62" t="s">
        <v>940</v>
      </c>
      <c r="C3316" s="68" t="s">
        <v>1392</v>
      </c>
      <c r="D3316" s="68" t="s">
        <v>1392</v>
      </c>
      <c r="E3316" s="8" t="s">
        <v>494</v>
      </c>
      <c r="F3316" s="8"/>
      <c r="G3316" s="13" t="s">
        <v>1161</v>
      </c>
      <c r="H3316" s="20">
        <f>H3317</f>
        <v>0</v>
      </c>
      <c r="I3316" s="14">
        <f>I3317</f>
        <v>7777.8218100000004</v>
      </c>
      <c r="J3316" s="14">
        <f t="shared" si="1452"/>
        <v>7499.5529100000003</v>
      </c>
      <c r="K3316" s="78">
        <f t="shared" si="1428"/>
        <v>96.422277254510675</v>
      </c>
      <c r="L3316" s="14">
        <f t="shared" si="1452"/>
        <v>0</v>
      </c>
      <c r="M3316" s="50"/>
      <c r="N3316" s="50"/>
    </row>
    <row r="3317" spans="1:14" ht="31.2" x14ac:dyDescent="0.3">
      <c r="A3317" s="8" t="s">
        <v>1435</v>
      </c>
      <c r="B3317" s="62" t="s">
        <v>940</v>
      </c>
      <c r="C3317" s="68" t="s">
        <v>1392</v>
      </c>
      <c r="D3317" s="68" t="s">
        <v>1392</v>
      </c>
      <c r="E3317" s="8" t="s">
        <v>495</v>
      </c>
      <c r="F3317" s="8"/>
      <c r="G3317" s="13" t="s">
        <v>687</v>
      </c>
      <c r="H3317" s="20">
        <f>H3320+H3318</f>
        <v>0</v>
      </c>
      <c r="I3317" s="20">
        <f t="shared" ref="I3317:L3317" si="1453">I3320+I3318</f>
        <v>7777.8218100000004</v>
      </c>
      <c r="J3317" s="20">
        <f t="shared" si="1453"/>
        <v>7499.5529100000003</v>
      </c>
      <c r="K3317" s="77">
        <f t="shared" si="1428"/>
        <v>96.422277254510675</v>
      </c>
      <c r="L3317" s="20">
        <f t="shared" si="1453"/>
        <v>0</v>
      </c>
      <c r="M3317" s="50"/>
      <c r="N3317" s="50"/>
    </row>
    <row r="3318" spans="1:14" ht="31.2" x14ac:dyDescent="0.3">
      <c r="A3318" s="8" t="s">
        <v>1435</v>
      </c>
      <c r="B3318" s="62" t="s">
        <v>940</v>
      </c>
      <c r="C3318" s="68" t="s">
        <v>1392</v>
      </c>
      <c r="D3318" s="68" t="s">
        <v>1392</v>
      </c>
      <c r="E3318" s="8" t="s">
        <v>495</v>
      </c>
      <c r="F3318" s="45" t="s">
        <v>380</v>
      </c>
      <c r="G3318" s="23" t="s">
        <v>809</v>
      </c>
      <c r="H3318" s="20">
        <f>H3319</f>
        <v>0</v>
      </c>
      <c r="I3318" s="20">
        <f t="shared" ref="I3318:L3318" si="1454">I3319</f>
        <v>263.47000000000003</v>
      </c>
      <c r="J3318" s="20">
        <f t="shared" si="1454"/>
        <v>0</v>
      </c>
      <c r="K3318" s="77">
        <f t="shared" si="1428"/>
        <v>0</v>
      </c>
      <c r="L3318" s="20">
        <f t="shared" si="1454"/>
        <v>0</v>
      </c>
      <c r="M3318" s="50"/>
      <c r="N3318" s="50"/>
    </row>
    <row r="3319" spans="1:14" ht="31.2" x14ac:dyDescent="0.3">
      <c r="A3319" s="8" t="s">
        <v>1435</v>
      </c>
      <c r="B3319" s="62" t="s">
        <v>940</v>
      </c>
      <c r="C3319" s="68" t="s">
        <v>1392</v>
      </c>
      <c r="D3319" s="68" t="s">
        <v>1392</v>
      </c>
      <c r="E3319" s="8" t="s">
        <v>495</v>
      </c>
      <c r="F3319" s="8" t="s">
        <v>247</v>
      </c>
      <c r="G3319" s="23" t="s">
        <v>810</v>
      </c>
      <c r="H3319" s="19">
        <v>0</v>
      </c>
      <c r="I3319" s="14">
        <v>263.47000000000003</v>
      </c>
      <c r="J3319" s="20">
        <v>0</v>
      </c>
      <c r="K3319" s="77">
        <f t="shared" si="1428"/>
        <v>0</v>
      </c>
      <c r="L3319" s="14"/>
      <c r="M3319" s="50"/>
      <c r="N3319" s="50"/>
    </row>
    <row r="3320" spans="1:14" x14ac:dyDescent="0.3">
      <c r="A3320" s="8" t="s">
        <v>1435</v>
      </c>
      <c r="B3320" s="62" t="s">
        <v>940</v>
      </c>
      <c r="C3320" s="68" t="s">
        <v>1392</v>
      </c>
      <c r="D3320" s="68" t="s">
        <v>1392</v>
      </c>
      <c r="E3320" s="8" t="s">
        <v>495</v>
      </c>
      <c r="F3320" s="45" t="s">
        <v>464</v>
      </c>
      <c r="G3320" s="23" t="s">
        <v>822</v>
      </c>
      <c r="H3320" s="20">
        <v>0</v>
      </c>
      <c r="I3320" s="14">
        <f>I3321+I3322</f>
        <v>7514.3518100000001</v>
      </c>
      <c r="J3320" s="14">
        <f t="shared" ref="J3320:L3320" si="1455">J3321+J3322</f>
        <v>7499.5529100000003</v>
      </c>
      <c r="K3320" s="78">
        <f t="shared" si="1428"/>
        <v>99.803058196179933</v>
      </c>
      <c r="L3320" s="14">
        <f t="shared" si="1455"/>
        <v>0</v>
      </c>
      <c r="M3320" s="50"/>
      <c r="N3320" s="50"/>
    </row>
    <row r="3321" spans="1:14" x14ac:dyDescent="0.3">
      <c r="A3321" s="8" t="s">
        <v>1435</v>
      </c>
      <c r="B3321" s="62" t="s">
        <v>940</v>
      </c>
      <c r="C3321" s="68" t="s">
        <v>1392</v>
      </c>
      <c r="D3321" s="68" t="s">
        <v>1392</v>
      </c>
      <c r="E3321" s="8" t="s">
        <v>495</v>
      </c>
      <c r="F3321" s="45" t="s">
        <v>728</v>
      </c>
      <c r="G3321" s="23" t="s">
        <v>823</v>
      </c>
      <c r="H3321" s="20">
        <v>0</v>
      </c>
      <c r="I3321" s="14">
        <v>5783.3018099999999</v>
      </c>
      <c r="J3321" s="14">
        <v>5768.5029100000002</v>
      </c>
      <c r="K3321" s="78">
        <f t="shared" si="1428"/>
        <v>99.744109844407376</v>
      </c>
      <c r="L3321" s="14"/>
      <c r="M3321" s="50"/>
      <c r="N3321" s="50"/>
    </row>
    <row r="3322" spans="1:14" x14ac:dyDescent="0.3">
      <c r="A3322" s="8" t="s">
        <v>1435</v>
      </c>
      <c r="B3322" s="62" t="s">
        <v>940</v>
      </c>
      <c r="C3322" s="68" t="s">
        <v>1392</v>
      </c>
      <c r="D3322" s="68" t="s">
        <v>1392</v>
      </c>
      <c r="E3322" s="8" t="s">
        <v>495</v>
      </c>
      <c r="F3322" s="45" t="s">
        <v>729</v>
      </c>
      <c r="G3322" s="23" t="s">
        <v>824</v>
      </c>
      <c r="H3322" s="20">
        <v>0</v>
      </c>
      <c r="I3322" s="14">
        <v>1731.05</v>
      </c>
      <c r="J3322" s="14">
        <v>1731.05</v>
      </c>
      <c r="K3322" s="78">
        <f t="shared" si="1428"/>
        <v>100</v>
      </c>
      <c r="L3322" s="14"/>
      <c r="M3322" s="50"/>
      <c r="N3322" s="50"/>
    </row>
    <row r="3323" spans="1:14" s="3" customFormat="1" x14ac:dyDescent="0.3">
      <c r="A3323" s="10" t="s">
        <v>1435</v>
      </c>
      <c r="B3323" s="43" t="s">
        <v>1399</v>
      </c>
      <c r="C3323" s="43" t="s">
        <v>1399</v>
      </c>
      <c r="D3323" s="43" t="s">
        <v>915</v>
      </c>
      <c r="E3323" s="10"/>
      <c r="F3323" s="26"/>
      <c r="G3323" s="5" t="s">
        <v>1400</v>
      </c>
      <c r="H3323" s="15">
        <f t="shared" ref="H3323:L3329" si="1456">H3324</f>
        <v>3705.3</v>
      </c>
      <c r="I3323" s="15">
        <f t="shared" si="1456"/>
        <v>3705.3277200000002</v>
      </c>
      <c r="J3323" s="15">
        <f t="shared" si="1456"/>
        <v>98.565770000000001</v>
      </c>
      <c r="K3323" s="81">
        <f t="shared" si="1428"/>
        <v>2.6601093735374097</v>
      </c>
      <c r="L3323" s="15">
        <f t="shared" si="1456"/>
        <v>0</v>
      </c>
      <c r="M3323" s="65"/>
      <c r="N3323" s="65"/>
    </row>
    <row r="3324" spans="1:14" s="9" customFormat="1" x14ac:dyDescent="0.3">
      <c r="A3324" s="11" t="s">
        <v>1435</v>
      </c>
      <c r="B3324" s="48" t="s">
        <v>932</v>
      </c>
      <c r="C3324" s="48" t="s">
        <v>1399</v>
      </c>
      <c r="D3324" s="48" t="s">
        <v>1381</v>
      </c>
      <c r="E3324" s="11"/>
      <c r="F3324" s="29"/>
      <c r="G3324" s="7" t="s">
        <v>1408</v>
      </c>
      <c r="H3324" s="16">
        <f t="shared" si="1456"/>
        <v>3705.3</v>
      </c>
      <c r="I3324" s="16">
        <f t="shared" si="1456"/>
        <v>3705.3277200000002</v>
      </c>
      <c r="J3324" s="16">
        <f t="shared" si="1456"/>
        <v>98.565770000000001</v>
      </c>
      <c r="K3324" s="82">
        <f t="shared" si="1428"/>
        <v>2.6601093735374097</v>
      </c>
      <c r="L3324" s="16">
        <f t="shared" si="1456"/>
        <v>0</v>
      </c>
      <c r="M3324" s="65"/>
      <c r="N3324" s="65"/>
    </row>
    <row r="3325" spans="1:14" ht="31.2" x14ac:dyDescent="0.3">
      <c r="A3325" s="8" t="s">
        <v>1435</v>
      </c>
      <c r="B3325" s="62" t="s">
        <v>932</v>
      </c>
      <c r="C3325" s="68" t="s">
        <v>1399</v>
      </c>
      <c r="D3325" s="68" t="s">
        <v>1381</v>
      </c>
      <c r="E3325" s="8" t="s">
        <v>659</v>
      </c>
      <c r="F3325" s="45"/>
      <c r="G3325" s="13" t="s">
        <v>1067</v>
      </c>
      <c r="H3325" s="14">
        <f t="shared" si="1456"/>
        <v>3705.3</v>
      </c>
      <c r="I3325" s="14">
        <f t="shared" si="1456"/>
        <v>3705.3277200000002</v>
      </c>
      <c r="J3325" s="14">
        <f t="shared" si="1456"/>
        <v>98.565770000000001</v>
      </c>
      <c r="K3325" s="78">
        <f t="shared" si="1428"/>
        <v>2.6601093735374097</v>
      </c>
      <c r="L3325" s="14">
        <f t="shared" si="1456"/>
        <v>0</v>
      </c>
      <c r="M3325" s="50"/>
      <c r="N3325" s="50"/>
    </row>
    <row r="3326" spans="1:14" x14ac:dyDescent="0.3">
      <c r="A3326" s="8" t="s">
        <v>1435</v>
      </c>
      <c r="B3326" s="62" t="s">
        <v>932</v>
      </c>
      <c r="C3326" s="68" t="s">
        <v>1399</v>
      </c>
      <c r="D3326" s="68" t="s">
        <v>1381</v>
      </c>
      <c r="E3326" s="8" t="s">
        <v>675</v>
      </c>
      <c r="F3326" s="45"/>
      <c r="G3326" s="13" t="s">
        <v>1075</v>
      </c>
      <c r="H3326" s="14">
        <f t="shared" si="1456"/>
        <v>3705.3</v>
      </c>
      <c r="I3326" s="14">
        <f t="shared" si="1456"/>
        <v>3705.3277200000002</v>
      </c>
      <c r="J3326" s="14">
        <f t="shared" si="1456"/>
        <v>98.565770000000001</v>
      </c>
      <c r="K3326" s="78">
        <f t="shared" si="1428"/>
        <v>2.6601093735374097</v>
      </c>
      <c r="L3326" s="14">
        <f t="shared" si="1456"/>
        <v>0</v>
      </c>
      <c r="M3326" s="50"/>
      <c r="N3326" s="50"/>
    </row>
    <row r="3327" spans="1:14" ht="62.4" x14ac:dyDescent="0.3">
      <c r="A3327" s="8" t="s">
        <v>1435</v>
      </c>
      <c r="B3327" s="62" t="s">
        <v>932</v>
      </c>
      <c r="C3327" s="68" t="s">
        <v>1399</v>
      </c>
      <c r="D3327" s="68" t="s">
        <v>1381</v>
      </c>
      <c r="E3327" s="8" t="s">
        <v>684</v>
      </c>
      <c r="F3327" s="45"/>
      <c r="G3327" s="23" t="s">
        <v>326</v>
      </c>
      <c r="H3327" s="14">
        <f t="shared" si="1456"/>
        <v>3705.3</v>
      </c>
      <c r="I3327" s="14">
        <f t="shared" si="1456"/>
        <v>3705.3277200000002</v>
      </c>
      <c r="J3327" s="14">
        <f t="shared" si="1456"/>
        <v>98.565770000000001</v>
      </c>
      <c r="K3327" s="78">
        <f t="shared" si="1428"/>
        <v>2.6601093735374097</v>
      </c>
      <c r="L3327" s="14">
        <f t="shared" si="1456"/>
        <v>0</v>
      </c>
      <c r="M3327" s="50"/>
      <c r="N3327" s="50"/>
    </row>
    <row r="3328" spans="1:14" ht="46.8" x14ac:dyDescent="0.3">
      <c r="A3328" s="8" t="s">
        <v>1435</v>
      </c>
      <c r="B3328" s="62" t="s">
        <v>932</v>
      </c>
      <c r="C3328" s="68" t="s">
        <v>1399</v>
      </c>
      <c r="D3328" s="68" t="s">
        <v>1381</v>
      </c>
      <c r="E3328" s="8" t="s">
        <v>251</v>
      </c>
      <c r="F3328" s="45"/>
      <c r="G3328" s="23" t="s">
        <v>327</v>
      </c>
      <c r="H3328" s="14">
        <f t="shared" si="1456"/>
        <v>3705.3</v>
      </c>
      <c r="I3328" s="14">
        <f t="shared" si="1456"/>
        <v>3705.3277200000002</v>
      </c>
      <c r="J3328" s="14">
        <f t="shared" si="1456"/>
        <v>98.565770000000001</v>
      </c>
      <c r="K3328" s="78">
        <f t="shared" si="1428"/>
        <v>2.6601093735374097</v>
      </c>
      <c r="L3328" s="14">
        <f t="shared" si="1456"/>
        <v>0</v>
      </c>
      <c r="M3328" s="50"/>
      <c r="N3328" s="50"/>
    </row>
    <row r="3329" spans="1:14" ht="31.2" x14ac:dyDescent="0.3">
      <c r="A3329" s="8" t="s">
        <v>1435</v>
      </c>
      <c r="B3329" s="62" t="s">
        <v>932</v>
      </c>
      <c r="C3329" s="68" t="s">
        <v>1399</v>
      </c>
      <c r="D3329" s="68" t="s">
        <v>1381</v>
      </c>
      <c r="E3329" s="8" t="s">
        <v>251</v>
      </c>
      <c r="F3329" s="45" t="s">
        <v>380</v>
      </c>
      <c r="G3329" s="23" t="s">
        <v>809</v>
      </c>
      <c r="H3329" s="14">
        <f t="shared" si="1456"/>
        <v>3705.3</v>
      </c>
      <c r="I3329" s="14">
        <f t="shared" si="1456"/>
        <v>3705.3277200000002</v>
      </c>
      <c r="J3329" s="14">
        <f t="shared" si="1456"/>
        <v>98.565770000000001</v>
      </c>
      <c r="K3329" s="78">
        <f t="shared" si="1428"/>
        <v>2.6601093735374097</v>
      </c>
      <c r="L3329" s="14">
        <f t="shared" si="1456"/>
        <v>0</v>
      </c>
      <c r="M3329" s="50"/>
      <c r="N3329" s="50"/>
    </row>
    <row r="3330" spans="1:14" ht="31.2" x14ac:dyDescent="0.3">
      <c r="A3330" s="8" t="s">
        <v>1435</v>
      </c>
      <c r="B3330" s="62" t="s">
        <v>932</v>
      </c>
      <c r="C3330" s="68" t="s">
        <v>1399</v>
      </c>
      <c r="D3330" s="68" t="s">
        <v>1381</v>
      </c>
      <c r="E3330" s="8" t="s">
        <v>251</v>
      </c>
      <c r="F3330" s="8" t="s">
        <v>247</v>
      </c>
      <c r="G3330" s="23" t="s">
        <v>810</v>
      </c>
      <c r="H3330" s="14">
        <v>3705.3</v>
      </c>
      <c r="I3330" s="14">
        <v>3705.3277200000002</v>
      </c>
      <c r="J3330" s="14">
        <v>98.565770000000001</v>
      </c>
      <c r="K3330" s="78">
        <f t="shared" si="1428"/>
        <v>2.6601093735374097</v>
      </c>
      <c r="L3330" s="14"/>
      <c r="M3330" s="50"/>
      <c r="N3330" s="50"/>
    </row>
    <row r="3331" spans="1:14" s="3" customFormat="1" ht="31.2" x14ac:dyDescent="0.3">
      <c r="A3331" s="10" t="s">
        <v>1459</v>
      </c>
      <c r="B3331" s="43" t="s">
        <v>915</v>
      </c>
      <c r="C3331" s="43" t="s">
        <v>915</v>
      </c>
      <c r="D3331" s="43" t="s">
        <v>915</v>
      </c>
      <c r="E3331" s="10"/>
      <c r="F3331" s="10"/>
      <c r="G3331" s="5" t="s">
        <v>332</v>
      </c>
      <c r="H3331" s="15">
        <f t="shared" ref="H3331:L3331" si="1457">H3332+H3405+H3484+H3361+H3397+H3477</f>
        <v>932562.37599999993</v>
      </c>
      <c r="I3331" s="15">
        <f t="shared" si="1457"/>
        <v>932639.36825000006</v>
      </c>
      <c r="J3331" s="15">
        <f t="shared" si="1457"/>
        <v>828431.00307999994</v>
      </c>
      <c r="K3331" s="81">
        <f t="shared" si="1428"/>
        <v>88.826510147696609</v>
      </c>
      <c r="L3331" s="15">
        <f t="shared" si="1457"/>
        <v>0</v>
      </c>
      <c r="M3331" s="65"/>
      <c r="N3331" s="65"/>
    </row>
    <row r="3332" spans="1:14" s="3" customFormat="1" x14ac:dyDescent="0.3">
      <c r="A3332" s="10" t="s">
        <v>1459</v>
      </c>
      <c r="B3332" s="43" t="s">
        <v>1372</v>
      </c>
      <c r="C3332" s="43" t="s">
        <v>1372</v>
      </c>
      <c r="D3332" s="43" t="s">
        <v>915</v>
      </c>
      <c r="E3332" s="10"/>
      <c r="F3332" s="10"/>
      <c r="G3332" s="5" t="s">
        <v>1376</v>
      </c>
      <c r="H3332" s="15">
        <f t="shared" ref="H3332:L3332" si="1458">H3333</f>
        <v>102312.916</v>
      </c>
      <c r="I3332" s="15">
        <f t="shared" si="1458"/>
        <v>102389.916</v>
      </c>
      <c r="J3332" s="15">
        <f t="shared" si="1458"/>
        <v>65886.572639999999</v>
      </c>
      <c r="K3332" s="81">
        <f t="shared" si="1428"/>
        <v>64.348692931831295</v>
      </c>
      <c r="L3332" s="15">
        <f t="shared" si="1458"/>
        <v>0</v>
      </c>
      <c r="M3332" s="65"/>
      <c r="N3332" s="65"/>
    </row>
    <row r="3333" spans="1:14" s="9" customFormat="1" x14ac:dyDescent="0.3">
      <c r="A3333" s="11" t="s">
        <v>1459</v>
      </c>
      <c r="B3333" s="48" t="s">
        <v>912</v>
      </c>
      <c r="C3333" s="48" t="s">
        <v>1372</v>
      </c>
      <c r="D3333" s="48" t="s">
        <v>1477</v>
      </c>
      <c r="E3333" s="11"/>
      <c r="F3333" s="11"/>
      <c r="G3333" s="7" t="s">
        <v>1377</v>
      </c>
      <c r="H3333" s="16">
        <f>H3339+H3351+H3334</f>
        <v>102312.916</v>
      </c>
      <c r="I3333" s="16">
        <f>I3339+I3351+I3334</f>
        <v>102389.916</v>
      </c>
      <c r="J3333" s="16">
        <f t="shared" ref="J3333" si="1459">J3339+J3351+J3334</f>
        <v>65886.572639999999</v>
      </c>
      <c r="K3333" s="82">
        <f t="shared" si="1428"/>
        <v>64.348692931831295</v>
      </c>
      <c r="L3333" s="16">
        <f>L3339+L3351+L3334</f>
        <v>0</v>
      </c>
      <c r="M3333" s="65"/>
      <c r="N3333" s="65"/>
    </row>
    <row r="3334" spans="1:14" ht="31.2" x14ac:dyDescent="0.3">
      <c r="A3334" s="8" t="s">
        <v>1459</v>
      </c>
      <c r="B3334" s="62" t="s">
        <v>912</v>
      </c>
      <c r="C3334" s="68" t="s">
        <v>1372</v>
      </c>
      <c r="D3334" s="68" t="s">
        <v>1477</v>
      </c>
      <c r="E3334" s="8" t="s">
        <v>429</v>
      </c>
      <c r="F3334" s="8"/>
      <c r="G3334" s="23" t="s">
        <v>1140</v>
      </c>
      <c r="H3334" s="14">
        <f t="shared" ref="H3334:L3337" si="1460">H3335</f>
        <v>44313.839</v>
      </c>
      <c r="I3334" s="14">
        <f t="shared" si="1460"/>
        <v>44313.839</v>
      </c>
      <c r="J3334" s="14">
        <f t="shared" si="1460"/>
        <v>9117.2604499999998</v>
      </c>
      <c r="K3334" s="78">
        <f t="shared" si="1428"/>
        <v>20.574296101946842</v>
      </c>
      <c r="L3334" s="14">
        <f t="shared" si="1460"/>
        <v>0</v>
      </c>
      <c r="M3334" s="50"/>
      <c r="N3334" s="50"/>
    </row>
    <row r="3335" spans="1:14" x14ac:dyDescent="0.3">
      <c r="A3335" s="8" t="s">
        <v>1459</v>
      </c>
      <c r="B3335" s="62" t="s">
        <v>912</v>
      </c>
      <c r="C3335" s="68" t="s">
        <v>1372</v>
      </c>
      <c r="D3335" s="68" t="s">
        <v>1477</v>
      </c>
      <c r="E3335" s="8" t="s">
        <v>430</v>
      </c>
      <c r="F3335" s="8"/>
      <c r="G3335" s="23" t="s">
        <v>1141</v>
      </c>
      <c r="H3335" s="14">
        <f t="shared" si="1460"/>
        <v>44313.839</v>
      </c>
      <c r="I3335" s="14">
        <f t="shared" si="1460"/>
        <v>44313.839</v>
      </c>
      <c r="J3335" s="14">
        <f t="shared" si="1460"/>
        <v>9117.2604499999998</v>
      </c>
      <c r="K3335" s="78">
        <f t="shared" si="1428"/>
        <v>20.574296101946842</v>
      </c>
      <c r="L3335" s="14">
        <f t="shared" si="1460"/>
        <v>0</v>
      </c>
      <c r="M3335" s="50"/>
      <c r="N3335" s="50"/>
    </row>
    <row r="3336" spans="1:14" ht="31.2" x14ac:dyDescent="0.3">
      <c r="A3336" s="8" t="s">
        <v>1459</v>
      </c>
      <c r="B3336" s="62" t="s">
        <v>912</v>
      </c>
      <c r="C3336" s="68" t="s">
        <v>1372</v>
      </c>
      <c r="D3336" s="68" t="s">
        <v>1477</v>
      </c>
      <c r="E3336" s="8" t="s">
        <v>76</v>
      </c>
      <c r="F3336" s="8"/>
      <c r="G3336" s="31" t="s">
        <v>178</v>
      </c>
      <c r="H3336" s="14">
        <f t="shared" si="1460"/>
        <v>44313.839</v>
      </c>
      <c r="I3336" s="14">
        <f t="shared" si="1460"/>
        <v>44313.839</v>
      </c>
      <c r="J3336" s="14">
        <f t="shared" si="1460"/>
        <v>9117.2604499999998</v>
      </c>
      <c r="K3336" s="78">
        <f t="shared" ref="K3336:K3399" si="1461">J3336/I3336*100</f>
        <v>20.574296101946842</v>
      </c>
      <c r="L3336" s="14">
        <f t="shared" si="1460"/>
        <v>0</v>
      </c>
      <c r="M3336" s="50"/>
      <c r="N3336" s="50"/>
    </row>
    <row r="3337" spans="1:14" ht="31.2" x14ac:dyDescent="0.3">
      <c r="A3337" s="8" t="s">
        <v>1459</v>
      </c>
      <c r="B3337" s="62" t="s">
        <v>912</v>
      </c>
      <c r="C3337" s="68" t="s">
        <v>1372</v>
      </c>
      <c r="D3337" s="68" t="s">
        <v>1477</v>
      </c>
      <c r="E3337" s="8" t="s">
        <v>76</v>
      </c>
      <c r="F3337" s="45" t="s">
        <v>380</v>
      </c>
      <c r="G3337" s="23" t="s">
        <v>809</v>
      </c>
      <c r="H3337" s="14">
        <f t="shared" si="1460"/>
        <v>44313.839</v>
      </c>
      <c r="I3337" s="14">
        <f t="shared" si="1460"/>
        <v>44313.839</v>
      </c>
      <c r="J3337" s="14">
        <f t="shared" si="1460"/>
        <v>9117.2604499999998</v>
      </c>
      <c r="K3337" s="78">
        <f t="shared" si="1461"/>
        <v>20.574296101946842</v>
      </c>
      <c r="L3337" s="14">
        <f t="shared" si="1460"/>
        <v>0</v>
      </c>
      <c r="M3337" s="50"/>
      <c r="N3337" s="50"/>
    </row>
    <row r="3338" spans="1:14" ht="31.2" x14ac:dyDescent="0.3">
      <c r="A3338" s="8" t="s">
        <v>1459</v>
      </c>
      <c r="B3338" s="62" t="s">
        <v>912</v>
      </c>
      <c r="C3338" s="68" t="s">
        <v>1372</v>
      </c>
      <c r="D3338" s="68" t="s">
        <v>1477</v>
      </c>
      <c r="E3338" s="8" t="s">
        <v>76</v>
      </c>
      <c r="F3338" s="8" t="s">
        <v>247</v>
      </c>
      <c r="G3338" s="23" t="s">
        <v>810</v>
      </c>
      <c r="H3338" s="14">
        <f>45642.2-1328.361</f>
        <v>44313.839</v>
      </c>
      <c r="I3338" s="14">
        <v>44313.839</v>
      </c>
      <c r="J3338" s="14">
        <v>9117.2604499999998</v>
      </c>
      <c r="K3338" s="78">
        <f t="shared" si="1461"/>
        <v>20.574296101946842</v>
      </c>
      <c r="L3338" s="14"/>
      <c r="M3338" s="50"/>
      <c r="N3338" s="50"/>
    </row>
    <row r="3339" spans="1:14" ht="31.2" x14ac:dyDescent="0.3">
      <c r="A3339" s="8" t="s">
        <v>1459</v>
      </c>
      <c r="B3339" s="62" t="s">
        <v>912</v>
      </c>
      <c r="C3339" s="68" t="s">
        <v>1372</v>
      </c>
      <c r="D3339" s="68" t="s">
        <v>1477</v>
      </c>
      <c r="E3339" s="8" t="s">
        <v>343</v>
      </c>
      <c r="F3339" s="8"/>
      <c r="G3339" s="23" t="s">
        <v>1157</v>
      </c>
      <c r="H3339" s="14">
        <f t="shared" ref="H3339:L3339" si="1462">H3340</f>
        <v>16765</v>
      </c>
      <c r="I3339" s="14">
        <f t="shared" si="1462"/>
        <v>16842</v>
      </c>
      <c r="J3339" s="14">
        <f t="shared" si="1462"/>
        <v>16842</v>
      </c>
      <c r="K3339" s="78">
        <f t="shared" si="1461"/>
        <v>100</v>
      </c>
      <c r="L3339" s="14">
        <f t="shared" si="1462"/>
        <v>0</v>
      </c>
      <c r="M3339" s="50"/>
      <c r="N3339" s="50"/>
    </row>
    <row r="3340" spans="1:14" x14ac:dyDescent="0.3">
      <c r="A3340" s="8" t="s">
        <v>1459</v>
      </c>
      <c r="B3340" s="62" t="s">
        <v>912</v>
      </c>
      <c r="C3340" s="68" t="s">
        <v>1372</v>
      </c>
      <c r="D3340" s="68" t="s">
        <v>1477</v>
      </c>
      <c r="E3340" s="8" t="s">
        <v>344</v>
      </c>
      <c r="F3340" s="8"/>
      <c r="G3340" s="23" t="s">
        <v>1159</v>
      </c>
      <c r="H3340" s="14">
        <f>H3341+H3344</f>
        <v>16765</v>
      </c>
      <c r="I3340" s="14">
        <f>I3341+I3344</f>
        <v>16842</v>
      </c>
      <c r="J3340" s="14">
        <f t="shared" ref="J3340" si="1463">J3341+J3344</f>
        <v>16842</v>
      </c>
      <c r="K3340" s="78">
        <f t="shared" si="1461"/>
        <v>100</v>
      </c>
      <c r="L3340" s="14">
        <f>L3341+L3344</f>
        <v>0</v>
      </c>
      <c r="M3340" s="50"/>
      <c r="N3340" s="50"/>
    </row>
    <row r="3341" spans="1:14" ht="31.2" x14ac:dyDescent="0.3">
      <c r="A3341" s="8" t="s">
        <v>1459</v>
      </c>
      <c r="B3341" s="62" t="s">
        <v>912</v>
      </c>
      <c r="C3341" s="83" t="s">
        <v>1372</v>
      </c>
      <c r="D3341" s="83" t="s">
        <v>1477</v>
      </c>
      <c r="E3341" s="45" t="s">
        <v>345</v>
      </c>
      <c r="F3341" s="8"/>
      <c r="G3341" s="23" t="s">
        <v>1152</v>
      </c>
      <c r="H3341" s="14">
        <f t="shared" ref="H3341:L3342" si="1464">H3342</f>
        <v>15520.2</v>
      </c>
      <c r="I3341" s="14">
        <f t="shared" si="1464"/>
        <v>15794.178669999999</v>
      </c>
      <c r="J3341" s="14">
        <f t="shared" si="1464"/>
        <v>15794.178669999999</v>
      </c>
      <c r="K3341" s="78">
        <f t="shared" si="1461"/>
        <v>100</v>
      </c>
      <c r="L3341" s="14">
        <f t="shared" si="1464"/>
        <v>0</v>
      </c>
      <c r="M3341" s="50"/>
      <c r="N3341" s="50"/>
    </row>
    <row r="3342" spans="1:14" ht="78" x14ac:dyDescent="0.3">
      <c r="A3342" s="8" t="s">
        <v>1459</v>
      </c>
      <c r="B3342" s="62" t="s">
        <v>912</v>
      </c>
      <c r="C3342" s="83" t="s">
        <v>1372</v>
      </c>
      <c r="D3342" s="83" t="s">
        <v>1477</v>
      </c>
      <c r="E3342" s="45" t="s">
        <v>345</v>
      </c>
      <c r="F3342" s="45" t="s">
        <v>431</v>
      </c>
      <c r="G3342" s="23" t="s">
        <v>806</v>
      </c>
      <c r="H3342" s="14">
        <f t="shared" si="1464"/>
        <v>15520.2</v>
      </c>
      <c r="I3342" s="14">
        <f t="shared" si="1464"/>
        <v>15794.178669999999</v>
      </c>
      <c r="J3342" s="14">
        <f t="shared" si="1464"/>
        <v>15794.178669999999</v>
      </c>
      <c r="K3342" s="78">
        <f t="shared" si="1461"/>
        <v>100</v>
      </c>
      <c r="L3342" s="14">
        <f t="shared" si="1464"/>
        <v>0</v>
      </c>
      <c r="M3342" s="50"/>
      <c r="N3342" s="50"/>
    </row>
    <row r="3343" spans="1:14" ht="31.2" x14ac:dyDescent="0.3">
      <c r="A3343" s="8" t="s">
        <v>1459</v>
      </c>
      <c r="B3343" s="62" t="s">
        <v>912</v>
      </c>
      <c r="C3343" s="83" t="s">
        <v>1372</v>
      </c>
      <c r="D3343" s="83" t="s">
        <v>1477</v>
      </c>
      <c r="E3343" s="45" t="s">
        <v>345</v>
      </c>
      <c r="F3343" s="45" t="s">
        <v>233</v>
      </c>
      <c r="G3343" s="23" t="s">
        <v>808</v>
      </c>
      <c r="H3343" s="14">
        <v>15520.2</v>
      </c>
      <c r="I3343" s="14">
        <v>15794.178669999999</v>
      </c>
      <c r="J3343" s="14">
        <v>15794.178669999999</v>
      </c>
      <c r="K3343" s="78">
        <f t="shared" si="1461"/>
        <v>100</v>
      </c>
      <c r="L3343" s="14"/>
      <c r="M3343" s="50"/>
      <c r="N3343" s="50"/>
    </row>
    <row r="3344" spans="1:14" ht="31.2" x14ac:dyDescent="0.3">
      <c r="A3344" s="8" t="s">
        <v>1459</v>
      </c>
      <c r="B3344" s="62" t="s">
        <v>912</v>
      </c>
      <c r="C3344" s="83" t="s">
        <v>1372</v>
      </c>
      <c r="D3344" s="83" t="s">
        <v>1477</v>
      </c>
      <c r="E3344" s="45" t="s">
        <v>346</v>
      </c>
      <c r="F3344" s="8"/>
      <c r="G3344" s="23" t="s">
        <v>1154</v>
      </c>
      <c r="H3344" s="14">
        <f>H3347+H3345+H3349</f>
        <v>1244.8</v>
      </c>
      <c r="I3344" s="14">
        <f>I3347+I3345+I3349</f>
        <v>1047.82133</v>
      </c>
      <c r="J3344" s="14">
        <f t="shared" ref="J3344" si="1465">J3347+J3345+J3349</f>
        <v>1047.82133</v>
      </c>
      <c r="K3344" s="78">
        <f t="shared" si="1461"/>
        <v>100</v>
      </c>
      <c r="L3344" s="14">
        <f>L3347+L3345+L3349</f>
        <v>0</v>
      </c>
      <c r="M3344" s="50"/>
      <c r="N3344" s="50"/>
    </row>
    <row r="3345" spans="1:14" ht="78" x14ac:dyDescent="0.3">
      <c r="A3345" s="8" t="s">
        <v>1459</v>
      </c>
      <c r="B3345" s="62" t="s">
        <v>912</v>
      </c>
      <c r="C3345" s="83" t="s">
        <v>1372</v>
      </c>
      <c r="D3345" s="83" t="s">
        <v>1477</v>
      </c>
      <c r="E3345" s="45" t="s">
        <v>346</v>
      </c>
      <c r="F3345" s="45" t="s">
        <v>431</v>
      </c>
      <c r="G3345" s="23" t="s">
        <v>806</v>
      </c>
      <c r="H3345" s="14">
        <f t="shared" ref="H3345:L3345" si="1466">H3346</f>
        <v>1.4</v>
      </c>
      <c r="I3345" s="14">
        <f t="shared" si="1466"/>
        <v>0.64395999999999998</v>
      </c>
      <c r="J3345" s="14">
        <f t="shared" si="1466"/>
        <v>0.64395999999999998</v>
      </c>
      <c r="K3345" s="78">
        <f t="shared" si="1461"/>
        <v>100</v>
      </c>
      <c r="L3345" s="14">
        <f t="shared" si="1466"/>
        <v>0</v>
      </c>
      <c r="M3345" s="50"/>
      <c r="N3345" s="50"/>
    </row>
    <row r="3346" spans="1:14" ht="31.2" x14ac:dyDescent="0.3">
      <c r="A3346" s="8" t="s">
        <v>1459</v>
      </c>
      <c r="B3346" s="62" t="s">
        <v>912</v>
      </c>
      <c r="C3346" s="83" t="s">
        <v>1372</v>
      </c>
      <c r="D3346" s="83" t="s">
        <v>1477</v>
      </c>
      <c r="E3346" s="45" t="s">
        <v>346</v>
      </c>
      <c r="F3346" s="45" t="s">
        <v>233</v>
      </c>
      <c r="G3346" s="23" t="s">
        <v>808</v>
      </c>
      <c r="H3346" s="14">
        <v>1.4</v>
      </c>
      <c r="I3346" s="14">
        <v>0.64395999999999998</v>
      </c>
      <c r="J3346" s="14">
        <v>0.64395999999999998</v>
      </c>
      <c r="K3346" s="78">
        <f t="shared" si="1461"/>
        <v>100</v>
      </c>
      <c r="L3346" s="14"/>
      <c r="M3346" s="50"/>
      <c r="N3346" s="50"/>
    </row>
    <row r="3347" spans="1:14" ht="31.2" x14ac:dyDescent="0.3">
      <c r="A3347" s="8" t="s">
        <v>1459</v>
      </c>
      <c r="B3347" s="62" t="s">
        <v>912</v>
      </c>
      <c r="C3347" s="83" t="s">
        <v>1372</v>
      </c>
      <c r="D3347" s="83" t="s">
        <v>1477</v>
      </c>
      <c r="E3347" s="45" t="s">
        <v>346</v>
      </c>
      <c r="F3347" s="45" t="s">
        <v>380</v>
      </c>
      <c r="G3347" s="23" t="s">
        <v>809</v>
      </c>
      <c r="H3347" s="14">
        <f t="shared" ref="H3347:L3347" si="1467">H3348</f>
        <v>1241.5999999999999</v>
      </c>
      <c r="I3347" s="14">
        <f t="shared" si="1467"/>
        <v>1046.40337</v>
      </c>
      <c r="J3347" s="14">
        <f t="shared" si="1467"/>
        <v>1046.40337</v>
      </c>
      <c r="K3347" s="78">
        <f t="shared" si="1461"/>
        <v>100</v>
      </c>
      <c r="L3347" s="14">
        <f t="shared" si="1467"/>
        <v>0</v>
      </c>
      <c r="M3347" s="50"/>
      <c r="N3347" s="50"/>
    </row>
    <row r="3348" spans="1:14" ht="31.2" x14ac:dyDescent="0.3">
      <c r="A3348" s="8" t="s">
        <v>1459</v>
      </c>
      <c r="B3348" s="62" t="s">
        <v>912</v>
      </c>
      <c r="C3348" s="83" t="s">
        <v>1372</v>
      </c>
      <c r="D3348" s="83" t="s">
        <v>1477</v>
      </c>
      <c r="E3348" s="45" t="s">
        <v>346</v>
      </c>
      <c r="F3348" s="8" t="s">
        <v>247</v>
      </c>
      <c r="G3348" s="23" t="s">
        <v>810</v>
      </c>
      <c r="H3348" s="14">
        <v>1241.5999999999999</v>
      </c>
      <c r="I3348" s="14">
        <v>1046.40337</v>
      </c>
      <c r="J3348" s="14">
        <v>1046.40337</v>
      </c>
      <c r="K3348" s="78">
        <f t="shared" si="1461"/>
        <v>100</v>
      </c>
      <c r="L3348" s="14"/>
      <c r="M3348" s="50"/>
      <c r="N3348" s="50"/>
    </row>
    <row r="3349" spans="1:14" x14ac:dyDescent="0.3">
      <c r="A3349" s="8" t="s">
        <v>1459</v>
      </c>
      <c r="B3349" s="62" t="s">
        <v>912</v>
      </c>
      <c r="C3349" s="83" t="s">
        <v>1372</v>
      </c>
      <c r="D3349" s="83" t="s">
        <v>1477</v>
      </c>
      <c r="E3349" s="45" t="s">
        <v>346</v>
      </c>
      <c r="F3349" s="45" t="s">
        <v>464</v>
      </c>
      <c r="G3349" s="23" t="s">
        <v>822</v>
      </c>
      <c r="H3349" s="14">
        <f t="shared" ref="H3349:L3349" si="1468">H3350</f>
        <v>1.8</v>
      </c>
      <c r="I3349" s="14">
        <f t="shared" si="1468"/>
        <v>0.77400000000000002</v>
      </c>
      <c r="J3349" s="14">
        <f t="shared" si="1468"/>
        <v>0.77400000000000002</v>
      </c>
      <c r="K3349" s="78">
        <f t="shared" si="1461"/>
        <v>100</v>
      </c>
      <c r="L3349" s="14">
        <f t="shared" si="1468"/>
        <v>0</v>
      </c>
      <c r="M3349" s="50"/>
      <c r="N3349" s="50"/>
    </row>
    <row r="3350" spans="1:14" x14ac:dyDescent="0.3">
      <c r="A3350" s="8" t="s">
        <v>1459</v>
      </c>
      <c r="B3350" s="62" t="s">
        <v>912</v>
      </c>
      <c r="C3350" s="83" t="s">
        <v>1372</v>
      </c>
      <c r="D3350" s="83" t="s">
        <v>1477</v>
      </c>
      <c r="E3350" s="45" t="s">
        <v>346</v>
      </c>
      <c r="F3350" s="45" t="s">
        <v>729</v>
      </c>
      <c r="G3350" s="23" t="s">
        <v>824</v>
      </c>
      <c r="H3350" s="14">
        <v>1.8</v>
      </c>
      <c r="I3350" s="14">
        <v>0.77400000000000002</v>
      </c>
      <c r="J3350" s="14">
        <v>0.77400000000000002</v>
      </c>
      <c r="K3350" s="78">
        <f t="shared" si="1461"/>
        <v>100</v>
      </c>
      <c r="L3350" s="14"/>
      <c r="M3350" s="50"/>
      <c r="N3350" s="50"/>
    </row>
    <row r="3351" spans="1:14" ht="46.8" x14ac:dyDescent="0.3">
      <c r="A3351" s="8" t="s">
        <v>1459</v>
      </c>
      <c r="B3351" s="62" t="s">
        <v>912</v>
      </c>
      <c r="C3351" s="68" t="s">
        <v>1372</v>
      </c>
      <c r="D3351" s="68" t="s">
        <v>1477</v>
      </c>
      <c r="E3351" s="8" t="s">
        <v>519</v>
      </c>
      <c r="F3351" s="8"/>
      <c r="G3351" s="13" t="s">
        <v>1164</v>
      </c>
      <c r="H3351" s="14">
        <f t="shared" ref="H3351:L3352" si="1469">H3352</f>
        <v>41234.077000000005</v>
      </c>
      <c r="I3351" s="14">
        <f t="shared" si="1469"/>
        <v>41234.077000000005</v>
      </c>
      <c r="J3351" s="14">
        <f t="shared" si="1469"/>
        <v>39927.312190000004</v>
      </c>
      <c r="K3351" s="78">
        <f t="shared" si="1461"/>
        <v>96.830861983402698</v>
      </c>
      <c r="L3351" s="14">
        <f t="shared" si="1469"/>
        <v>0</v>
      </c>
      <c r="M3351" s="50"/>
      <c r="N3351" s="50"/>
    </row>
    <row r="3352" spans="1:14" ht="46.8" x14ac:dyDescent="0.3">
      <c r="A3352" s="8" t="s">
        <v>1459</v>
      </c>
      <c r="B3352" s="62" t="s">
        <v>912</v>
      </c>
      <c r="C3352" s="68" t="s">
        <v>1372</v>
      </c>
      <c r="D3352" s="68" t="s">
        <v>1477</v>
      </c>
      <c r="E3352" s="8" t="s">
        <v>520</v>
      </c>
      <c r="F3352" s="8"/>
      <c r="G3352" s="13" t="s">
        <v>1165</v>
      </c>
      <c r="H3352" s="14">
        <f t="shared" si="1469"/>
        <v>41234.077000000005</v>
      </c>
      <c r="I3352" s="14">
        <f t="shared" si="1469"/>
        <v>41234.077000000005</v>
      </c>
      <c r="J3352" s="14">
        <f t="shared" si="1469"/>
        <v>39927.312190000004</v>
      </c>
      <c r="K3352" s="78">
        <f t="shared" si="1461"/>
        <v>96.830861983402698</v>
      </c>
      <c r="L3352" s="14">
        <f t="shared" si="1469"/>
        <v>0</v>
      </c>
      <c r="M3352" s="50"/>
      <c r="N3352" s="50"/>
    </row>
    <row r="3353" spans="1:14" ht="62.4" x14ac:dyDescent="0.3">
      <c r="A3353" s="8" t="s">
        <v>1459</v>
      </c>
      <c r="B3353" s="62" t="s">
        <v>912</v>
      </c>
      <c r="C3353" s="68" t="s">
        <v>1372</v>
      </c>
      <c r="D3353" s="68" t="s">
        <v>1477</v>
      </c>
      <c r="E3353" s="8" t="s">
        <v>521</v>
      </c>
      <c r="F3353" s="8"/>
      <c r="G3353" s="23" t="s">
        <v>1291</v>
      </c>
      <c r="H3353" s="14">
        <f>H3354+H3356+H3358</f>
        <v>41234.077000000005</v>
      </c>
      <c r="I3353" s="14">
        <f>I3354+I3356+I3358</f>
        <v>41234.077000000005</v>
      </c>
      <c r="J3353" s="14">
        <f t="shared" ref="J3353" si="1470">J3354+J3356+J3358</f>
        <v>39927.312190000004</v>
      </c>
      <c r="K3353" s="78">
        <f t="shared" si="1461"/>
        <v>96.830861983402698</v>
      </c>
      <c r="L3353" s="14">
        <f>L3354+L3356+L3358</f>
        <v>0</v>
      </c>
      <c r="M3353" s="50"/>
      <c r="N3353" s="50"/>
    </row>
    <row r="3354" spans="1:14" ht="78" x14ac:dyDescent="0.3">
      <c r="A3354" s="8" t="s">
        <v>1459</v>
      </c>
      <c r="B3354" s="62" t="s">
        <v>912</v>
      </c>
      <c r="C3354" s="68" t="s">
        <v>1372</v>
      </c>
      <c r="D3354" s="68" t="s">
        <v>1477</v>
      </c>
      <c r="E3354" s="8" t="s">
        <v>521</v>
      </c>
      <c r="F3354" s="45" t="s">
        <v>431</v>
      </c>
      <c r="G3354" s="23" t="s">
        <v>806</v>
      </c>
      <c r="H3354" s="14">
        <f t="shared" ref="H3354:L3354" si="1471">H3355</f>
        <v>30613.4</v>
      </c>
      <c r="I3354" s="14">
        <f t="shared" si="1471"/>
        <v>30572.011480000001</v>
      </c>
      <c r="J3354" s="14">
        <f t="shared" si="1471"/>
        <v>30475.137350000001</v>
      </c>
      <c r="K3354" s="78">
        <f t="shared" si="1461"/>
        <v>99.683128046503015</v>
      </c>
      <c r="L3354" s="14">
        <f t="shared" si="1471"/>
        <v>0</v>
      </c>
      <c r="M3354" s="50"/>
      <c r="N3354" s="50"/>
    </row>
    <row r="3355" spans="1:14" x14ac:dyDescent="0.3">
      <c r="A3355" s="8" t="s">
        <v>1459</v>
      </c>
      <c r="B3355" s="62" t="s">
        <v>912</v>
      </c>
      <c r="C3355" s="68" t="s">
        <v>1372</v>
      </c>
      <c r="D3355" s="68" t="s">
        <v>1477</v>
      </c>
      <c r="E3355" s="8" t="s">
        <v>521</v>
      </c>
      <c r="F3355" s="8" t="s">
        <v>719</v>
      </c>
      <c r="G3355" s="23" t="s">
        <v>807</v>
      </c>
      <c r="H3355" s="14">
        <v>30613.4</v>
      </c>
      <c r="I3355" s="14">
        <v>30572.011480000001</v>
      </c>
      <c r="J3355" s="14">
        <v>30475.137350000001</v>
      </c>
      <c r="K3355" s="78">
        <f t="shared" si="1461"/>
        <v>99.683128046503015</v>
      </c>
      <c r="L3355" s="14"/>
      <c r="M3355" s="50"/>
      <c r="N3355" s="50"/>
    </row>
    <row r="3356" spans="1:14" ht="31.2" x14ac:dyDescent="0.3">
      <c r="A3356" s="8" t="s">
        <v>1459</v>
      </c>
      <c r="B3356" s="62" t="s">
        <v>912</v>
      </c>
      <c r="C3356" s="68" t="s">
        <v>1372</v>
      </c>
      <c r="D3356" s="68" t="s">
        <v>1477</v>
      </c>
      <c r="E3356" s="8" t="s">
        <v>521</v>
      </c>
      <c r="F3356" s="45" t="s">
        <v>380</v>
      </c>
      <c r="G3356" s="23" t="s">
        <v>809</v>
      </c>
      <c r="H3356" s="14">
        <f t="shared" ref="H3356:L3356" si="1472">H3357</f>
        <v>4100.0370000000003</v>
      </c>
      <c r="I3356" s="14">
        <f t="shared" si="1472"/>
        <v>7040.4697200000001</v>
      </c>
      <c r="J3356" s="14">
        <f t="shared" si="1472"/>
        <v>5918.3260399999999</v>
      </c>
      <c r="K3356" s="78">
        <f t="shared" si="1461"/>
        <v>84.061522531482453</v>
      </c>
      <c r="L3356" s="14">
        <f t="shared" si="1472"/>
        <v>0</v>
      </c>
      <c r="M3356" s="50"/>
      <c r="N3356" s="50"/>
    </row>
    <row r="3357" spans="1:14" ht="31.2" x14ac:dyDescent="0.3">
      <c r="A3357" s="8" t="s">
        <v>1459</v>
      </c>
      <c r="B3357" s="62" t="s">
        <v>912</v>
      </c>
      <c r="C3357" s="68" t="s">
        <v>1372</v>
      </c>
      <c r="D3357" s="68" t="s">
        <v>1477</v>
      </c>
      <c r="E3357" s="8" t="s">
        <v>521</v>
      </c>
      <c r="F3357" s="8" t="s">
        <v>247</v>
      </c>
      <c r="G3357" s="23" t="s">
        <v>810</v>
      </c>
      <c r="H3357" s="14">
        <f>5735.3-72.513-1562.75</f>
        <v>4100.0370000000003</v>
      </c>
      <c r="I3357" s="14">
        <v>7040.4697200000001</v>
      </c>
      <c r="J3357" s="14">
        <v>5918.3260399999999</v>
      </c>
      <c r="K3357" s="78">
        <f t="shared" si="1461"/>
        <v>84.061522531482453</v>
      </c>
      <c r="L3357" s="14"/>
      <c r="M3357" s="50"/>
      <c r="N3357" s="50"/>
    </row>
    <row r="3358" spans="1:14" x14ac:dyDescent="0.3">
      <c r="A3358" s="8" t="s">
        <v>1459</v>
      </c>
      <c r="B3358" s="62" t="s">
        <v>912</v>
      </c>
      <c r="C3358" s="68" t="s">
        <v>1372</v>
      </c>
      <c r="D3358" s="68" t="s">
        <v>1477</v>
      </c>
      <c r="E3358" s="8" t="s">
        <v>521</v>
      </c>
      <c r="F3358" s="45" t="s">
        <v>464</v>
      </c>
      <c r="G3358" s="23" t="s">
        <v>822</v>
      </c>
      <c r="H3358" s="14">
        <f>H3360+H3359</f>
        <v>6520.6399999999994</v>
      </c>
      <c r="I3358" s="14">
        <f t="shared" ref="I3358:L3358" si="1473">I3360+I3359</f>
        <v>3621.5958000000001</v>
      </c>
      <c r="J3358" s="14">
        <f t="shared" si="1473"/>
        <v>3533.8487999999998</v>
      </c>
      <c r="K3358" s="78">
        <f t="shared" si="1461"/>
        <v>97.577117799838391</v>
      </c>
      <c r="L3358" s="14">
        <f t="shared" si="1473"/>
        <v>0</v>
      </c>
      <c r="M3358" s="50"/>
      <c r="N3358" s="50"/>
    </row>
    <row r="3359" spans="1:14" x14ac:dyDescent="0.3">
      <c r="A3359" s="8" t="s">
        <v>1459</v>
      </c>
      <c r="B3359" s="62" t="s">
        <v>912</v>
      </c>
      <c r="C3359" s="68" t="s">
        <v>1372</v>
      </c>
      <c r="D3359" s="68" t="s">
        <v>1477</v>
      </c>
      <c r="E3359" s="8" t="s">
        <v>521</v>
      </c>
      <c r="F3359" s="45" t="s">
        <v>728</v>
      </c>
      <c r="G3359" s="23" t="s">
        <v>823</v>
      </c>
      <c r="H3359" s="20">
        <v>2111.7399999999998</v>
      </c>
      <c r="I3359" s="14">
        <v>2321.0097999999998</v>
      </c>
      <c r="J3359" s="14">
        <v>2269.5868</v>
      </c>
      <c r="K3359" s="78">
        <f t="shared" si="1461"/>
        <v>97.784455714060329</v>
      </c>
      <c r="L3359" s="14"/>
      <c r="M3359" s="50"/>
      <c r="N3359" s="50"/>
    </row>
    <row r="3360" spans="1:14" x14ac:dyDescent="0.3">
      <c r="A3360" s="8" t="s">
        <v>1459</v>
      </c>
      <c r="B3360" s="62" t="s">
        <v>912</v>
      </c>
      <c r="C3360" s="68" t="s">
        <v>1372</v>
      </c>
      <c r="D3360" s="68" t="s">
        <v>1477</v>
      </c>
      <c r="E3360" s="8" t="s">
        <v>521</v>
      </c>
      <c r="F3360" s="45" t="s">
        <v>729</v>
      </c>
      <c r="G3360" s="23" t="s">
        <v>824</v>
      </c>
      <c r="H3360" s="14">
        <v>4408.8999999999996</v>
      </c>
      <c r="I3360" s="14">
        <v>1300.586</v>
      </c>
      <c r="J3360" s="14">
        <v>1264.2619999999999</v>
      </c>
      <c r="K3360" s="78">
        <f t="shared" si="1461"/>
        <v>97.20710510492961</v>
      </c>
      <c r="L3360" s="14"/>
      <c r="M3360" s="50"/>
      <c r="N3360" s="50"/>
    </row>
    <row r="3361" spans="1:14" s="3" customFormat="1" ht="31.2" x14ac:dyDescent="0.3">
      <c r="A3361" s="10" t="s">
        <v>1459</v>
      </c>
      <c r="B3361" s="43" t="s">
        <v>1391</v>
      </c>
      <c r="C3361" s="43" t="s">
        <v>1391</v>
      </c>
      <c r="D3361" s="43" t="s">
        <v>915</v>
      </c>
      <c r="E3361" s="10"/>
      <c r="F3361" s="26"/>
      <c r="G3361" s="5" t="s">
        <v>1415</v>
      </c>
      <c r="H3361" s="15">
        <f t="shared" ref="H3361:L3364" si="1474">H3362</f>
        <v>3313.5359999999996</v>
      </c>
      <c r="I3361" s="15">
        <f t="shared" si="1474"/>
        <v>3313.5360000000001</v>
      </c>
      <c r="J3361" s="15">
        <f t="shared" si="1474"/>
        <v>3263.8864599999997</v>
      </c>
      <c r="K3361" s="81">
        <f t="shared" si="1461"/>
        <v>98.501614589369169</v>
      </c>
      <c r="L3361" s="15">
        <f t="shared" si="1474"/>
        <v>0</v>
      </c>
      <c r="M3361" s="65"/>
      <c r="N3361" s="65"/>
    </row>
    <row r="3362" spans="1:14" s="9" customFormat="1" ht="31.2" x14ac:dyDescent="0.3">
      <c r="A3362" s="11" t="s">
        <v>1459</v>
      </c>
      <c r="B3362" s="48" t="s">
        <v>936</v>
      </c>
      <c r="C3362" s="48" t="s">
        <v>1391</v>
      </c>
      <c r="D3362" s="48" t="s">
        <v>1480</v>
      </c>
      <c r="E3362" s="11"/>
      <c r="F3362" s="29"/>
      <c r="G3362" s="7" t="s">
        <v>1421</v>
      </c>
      <c r="H3362" s="16">
        <f t="shared" si="1474"/>
        <v>3313.5359999999996</v>
      </c>
      <c r="I3362" s="16">
        <f t="shared" si="1474"/>
        <v>3313.5360000000001</v>
      </c>
      <c r="J3362" s="16">
        <f t="shared" si="1474"/>
        <v>3263.8864599999997</v>
      </c>
      <c r="K3362" s="82">
        <f t="shared" si="1461"/>
        <v>98.501614589369169</v>
      </c>
      <c r="L3362" s="16">
        <f t="shared" si="1474"/>
        <v>0</v>
      </c>
      <c r="M3362" s="65"/>
      <c r="N3362" s="65"/>
    </row>
    <row r="3363" spans="1:14" ht="46.8" x14ac:dyDescent="0.3">
      <c r="A3363" s="8" t="s">
        <v>1459</v>
      </c>
      <c r="B3363" s="62" t="s">
        <v>936</v>
      </c>
      <c r="C3363" s="68" t="s">
        <v>1391</v>
      </c>
      <c r="D3363" s="68" t="s">
        <v>1480</v>
      </c>
      <c r="E3363" s="8" t="s">
        <v>381</v>
      </c>
      <c r="F3363" s="45"/>
      <c r="G3363" s="18" t="s">
        <v>1061</v>
      </c>
      <c r="H3363" s="14">
        <f t="shared" si="1474"/>
        <v>3313.5359999999996</v>
      </c>
      <c r="I3363" s="14">
        <f t="shared" si="1474"/>
        <v>3313.5360000000001</v>
      </c>
      <c r="J3363" s="14">
        <f t="shared" si="1474"/>
        <v>3263.8864599999997</v>
      </c>
      <c r="K3363" s="78">
        <f t="shared" si="1461"/>
        <v>98.501614589369169</v>
      </c>
      <c r="L3363" s="14">
        <f t="shared" si="1474"/>
        <v>0</v>
      </c>
      <c r="M3363" s="50"/>
      <c r="N3363" s="50"/>
    </row>
    <row r="3364" spans="1:14" ht="31.2" x14ac:dyDescent="0.3">
      <c r="A3364" s="8" t="s">
        <v>1459</v>
      </c>
      <c r="B3364" s="62" t="s">
        <v>936</v>
      </c>
      <c r="C3364" s="68" t="s">
        <v>1391</v>
      </c>
      <c r="D3364" s="68" t="s">
        <v>1480</v>
      </c>
      <c r="E3364" s="8" t="s">
        <v>435</v>
      </c>
      <c r="F3364" s="45"/>
      <c r="G3364" s="13" t="s">
        <v>1064</v>
      </c>
      <c r="H3364" s="14">
        <f t="shared" si="1474"/>
        <v>3313.5359999999996</v>
      </c>
      <c r="I3364" s="14">
        <f t="shared" si="1474"/>
        <v>3313.5360000000001</v>
      </c>
      <c r="J3364" s="14">
        <f t="shared" si="1474"/>
        <v>3263.8864599999997</v>
      </c>
      <c r="K3364" s="78">
        <f t="shared" si="1461"/>
        <v>98.501614589369169</v>
      </c>
      <c r="L3364" s="14">
        <f t="shared" si="1474"/>
        <v>0</v>
      </c>
      <c r="M3364" s="50"/>
      <c r="N3364" s="50"/>
    </row>
    <row r="3365" spans="1:14" ht="46.8" x14ac:dyDescent="0.3">
      <c r="A3365" s="8" t="s">
        <v>1459</v>
      </c>
      <c r="B3365" s="62" t="s">
        <v>936</v>
      </c>
      <c r="C3365" s="68" t="s">
        <v>1391</v>
      </c>
      <c r="D3365" s="68" t="s">
        <v>1480</v>
      </c>
      <c r="E3365" s="8" t="s">
        <v>642</v>
      </c>
      <c r="F3365" s="45"/>
      <c r="G3365" s="18" t="s">
        <v>134</v>
      </c>
      <c r="H3365" s="14">
        <f>H3371+H3376+H3379+H3382+H3385+H3388+H3391+H3394+H3366</f>
        <v>3313.5359999999996</v>
      </c>
      <c r="I3365" s="14">
        <f>I3371+I3376+I3379+I3382+I3385+I3388+I3391+I3394+I3366</f>
        <v>3313.5360000000001</v>
      </c>
      <c r="J3365" s="14">
        <f t="shared" ref="J3365:L3365" si="1475">J3371+J3376+J3379+J3382+J3385+J3388+J3391+J3394+J3366</f>
        <v>3263.8864599999997</v>
      </c>
      <c r="K3365" s="78">
        <f t="shared" si="1461"/>
        <v>98.501614589369169</v>
      </c>
      <c r="L3365" s="14">
        <f t="shared" si="1475"/>
        <v>0</v>
      </c>
      <c r="M3365" s="50"/>
      <c r="N3365" s="50"/>
    </row>
    <row r="3366" spans="1:14" ht="31.2" x14ac:dyDescent="0.3">
      <c r="A3366" s="8" t="s">
        <v>1459</v>
      </c>
      <c r="B3366" s="62" t="s">
        <v>936</v>
      </c>
      <c r="C3366" s="68" t="s">
        <v>1391</v>
      </c>
      <c r="D3366" s="68" t="s">
        <v>1480</v>
      </c>
      <c r="E3366" s="8" t="s">
        <v>278</v>
      </c>
      <c r="F3366" s="45"/>
      <c r="G3366" s="23" t="s">
        <v>319</v>
      </c>
      <c r="H3366" s="14">
        <f>H3367</f>
        <v>90</v>
      </c>
      <c r="I3366" s="14">
        <f>I3367+I3369</f>
        <v>90</v>
      </c>
      <c r="J3366" s="14">
        <f t="shared" ref="J3366:L3366" si="1476">J3367+J3369</f>
        <v>72</v>
      </c>
      <c r="K3366" s="78">
        <f t="shared" si="1461"/>
        <v>80</v>
      </c>
      <c r="L3366" s="14">
        <f t="shared" si="1476"/>
        <v>0</v>
      </c>
      <c r="M3366" s="50"/>
      <c r="N3366" s="50"/>
    </row>
    <row r="3367" spans="1:14" ht="31.2" hidden="1" x14ac:dyDescent="0.3">
      <c r="A3367" s="8" t="s">
        <v>1459</v>
      </c>
      <c r="B3367" s="62" t="s">
        <v>936</v>
      </c>
      <c r="C3367" s="68" t="s">
        <v>1391</v>
      </c>
      <c r="D3367" s="68" t="s">
        <v>1480</v>
      </c>
      <c r="E3367" s="8" t="s">
        <v>278</v>
      </c>
      <c r="F3367" s="45" t="s">
        <v>380</v>
      </c>
      <c r="G3367" s="23" t="s">
        <v>809</v>
      </c>
      <c r="H3367" s="14">
        <f>H3368</f>
        <v>90</v>
      </c>
      <c r="I3367" s="14">
        <f t="shared" ref="I3367:L3367" si="1477">I3368</f>
        <v>0</v>
      </c>
      <c r="J3367" s="14">
        <f t="shared" si="1477"/>
        <v>0</v>
      </c>
      <c r="K3367" s="78" t="e">
        <f t="shared" si="1461"/>
        <v>#DIV/0!</v>
      </c>
      <c r="L3367" s="14">
        <f t="shared" si="1477"/>
        <v>0</v>
      </c>
      <c r="M3367" s="50">
        <v>111</v>
      </c>
      <c r="N3367" s="50"/>
    </row>
    <row r="3368" spans="1:14" ht="31.2" hidden="1" x14ac:dyDescent="0.3">
      <c r="A3368" s="8" t="s">
        <v>1459</v>
      </c>
      <c r="B3368" s="62" t="s">
        <v>936</v>
      </c>
      <c r="C3368" s="68" t="s">
        <v>1391</v>
      </c>
      <c r="D3368" s="68" t="s">
        <v>1480</v>
      </c>
      <c r="E3368" s="8" t="s">
        <v>278</v>
      </c>
      <c r="F3368" s="8" t="s">
        <v>247</v>
      </c>
      <c r="G3368" s="23" t="s">
        <v>810</v>
      </c>
      <c r="H3368" s="14">
        <f>177.364-87.364</f>
        <v>90</v>
      </c>
      <c r="I3368" s="14">
        <v>0</v>
      </c>
      <c r="J3368" s="20">
        <v>0</v>
      </c>
      <c r="K3368" s="77" t="e">
        <f t="shared" si="1461"/>
        <v>#DIV/0!</v>
      </c>
      <c r="L3368" s="14"/>
      <c r="M3368" s="50">
        <v>111</v>
      </c>
      <c r="N3368" s="50"/>
    </row>
    <row r="3369" spans="1:14" ht="31.2" x14ac:dyDescent="0.3">
      <c r="A3369" s="8" t="s">
        <v>1459</v>
      </c>
      <c r="B3369" s="62" t="s">
        <v>936</v>
      </c>
      <c r="C3369" s="68" t="s">
        <v>1391</v>
      </c>
      <c r="D3369" s="68" t="s">
        <v>1480</v>
      </c>
      <c r="E3369" s="8" t="s">
        <v>278</v>
      </c>
      <c r="F3369" s="45" t="s">
        <v>478</v>
      </c>
      <c r="G3369" s="23" t="s">
        <v>817</v>
      </c>
      <c r="H3369" s="19">
        <v>0</v>
      </c>
      <c r="I3369" s="14">
        <f>I3370</f>
        <v>90</v>
      </c>
      <c r="J3369" s="14">
        <f t="shared" ref="J3369:L3369" si="1478">J3370</f>
        <v>72</v>
      </c>
      <c r="K3369" s="78">
        <f t="shared" si="1461"/>
        <v>80</v>
      </c>
      <c r="L3369" s="14">
        <f t="shared" si="1478"/>
        <v>0</v>
      </c>
      <c r="M3369" s="50"/>
      <c r="N3369" s="50"/>
    </row>
    <row r="3370" spans="1:14" x14ac:dyDescent="0.3">
      <c r="A3370" s="8" t="s">
        <v>1459</v>
      </c>
      <c r="B3370" s="62" t="s">
        <v>936</v>
      </c>
      <c r="C3370" s="68" t="s">
        <v>1391</v>
      </c>
      <c r="D3370" s="68" t="s">
        <v>1480</v>
      </c>
      <c r="E3370" s="8" t="s">
        <v>278</v>
      </c>
      <c r="F3370" s="45" t="s">
        <v>1273</v>
      </c>
      <c r="G3370" s="23" t="s">
        <v>818</v>
      </c>
      <c r="H3370" s="19">
        <v>0</v>
      </c>
      <c r="I3370" s="14">
        <v>90</v>
      </c>
      <c r="J3370" s="20">
        <v>72</v>
      </c>
      <c r="K3370" s="77">
        <f t="shared" si="1461"/>
        <v>80</v>
      </c>
      <c r="L3370" s="14"/>
      <c r="M3370" s="50"/>
      <c r="N3370" s="50"/>
    </row>
    <row r="3371" spans="1:14" ht="31.2" x14ac:dyDescent="0.3">
      <c r="A3371" s="8" t="s">
        <v>1459</v>
      </c>
      <c r="B3371" s="62" t="s">
        <v>936</v>
      </c>
      <c r="C3371" s="68" t="s">
        <v>1391</v>
      </c>
      <c r="D3371" s="68" t="s">
        <v>1480</v>
      </c>
      <c r="E3371" s="8" t="s">
        <v>252</v>
      </c>
      <c r="F3371" s="45"/>
      <c r="G3371" s="23" t="s">
        <v>320</v>
      </c>
      <c r="H3371" s="14">
        <f>H3374+H3372</f>
        <v>9</v>
      </c>
      <c r="I3371" s="14">
        <f t="shared" ref="I3371:L3371" si="1479">I3374+I3372</f>
        <v>9</v>
      </c>
      <c r="J3371" s="14">
        <f t="shared" si="1479"/>
        <v>9</v>
      </c>
      <c r="K3371" s="78">
        <f t="shared" si="1461"/>
        <v>100</v>
      </c>
      <c r="L3371" s="14">
        <f t="shared" si="1479"/>
        <v>0</v>
      </c>
      <c r="M3371" s="50"/>
      <c r="N3371" s="50"/>
    </row>
    <row r="3372" spans="1:14" ht="31.2" x14ac:dyDescent="0.3">
      <c r="A3372" s="8" t="s">
        <v>1459</v>
      </c>
      <c r="B3372" s="62" t="s">
        <v>936</v>
      </c>
      <c r="C3372" s="68" t="s">
        <v>1391</v>
      </c>
      <c r="D3372" s="68" t="s">
        <v>1480</v>
      </c>
      <c r="E3372" s="8" t="s">
        <v>252</v>
      </c>
      <c r="F3372" s="45" t="s">
        <v>478</v>
      </c>
      <c r="G3372" s="23" t="s">
        <v>817</v>
      </c>
      <c r="H3372" s="14">
        <f>H3373</f>
        <v>0</v>
      </c>
      <c r="I3372" s="14">
        <f t="shared" ref="I3372:L3372" si="1480">I3373</f>
        <v>9</v>
      </c>
      <c r="J3372" s="14">
        <f t="shared" si="1480"/>
        <v>9</v>
      </c>
      <c r="K3372" s="78">
        <f t="shared" si="1461"/>
        <v>100</v>
      </c>
      <c r="L3372" s="14">
        <f t="shared" si="1480"/>
        <v>0</v>
      </c>
      <c r="M3372" s="50"/>
      <c r="N3372" s="50"/>
    </row>
    <row r="3373" spans="1:14" x14ac:dyDescent="0.3">
      <c r="A3373" s="8" t="s">
        <v>1459</v>
      </c>
      <c r="B3373" s="62" t="s">
        <v>936</v>
      </c>
      <c r="C3373" s="68" t="s">
        <v>1391</v>
      </c>
      <c r="D3373" s="68" t="s">
        <v>1480</v>
      </c>
      <c r="E3373" s="8" t="s">
        <v>252</v>
      </c>
      <c r="F3373" s="45" t="s">
        <v>1273</v>
      </c>
      <c r="G3373" s="23" t="s">
        <v>818</v>
      </c>
      <c r="H3373" s="14">
        <v>0</v>
      </c>
      <c r="I3373" s="14">
        <v>9</v>
      </c>
      <c r="J3373" s="19">
        <v>9</v>
      </c>
      <c r="K3373" s="75">
        <f t="shared" si="1461"/>
        <v>100</v>
      </c>
      <c r="L3373" s="14"/>
      <c r="M3373" s="50"/>
      <c r="N3373" s="50"/>
    </row>
    <row r="3374" spans="1:14" ht="31.2" hidden="1" x14ac:dyDescent="0.3">
      <c r="A3374" s="8" t="s">
        <v>1459</v>
      </c>
      <c r="B3374" s="62" t="s">
        <v>936</v>
      </c>
      <c r="C3374" s="68" t="s">
        <v>1391</v>
      </c>
      <c r="D3374" s="68" t="s">
        <v>1480</v>
      </c>
      <c r="E3374" s="8" t="s">
        <v>252</v>
      </c>
      <c r="F3374" s="45" t="s">
        <v>380</v>
      </c>
      <c r="G3374" s="23" t="s">
        <v>809</v>
      </c>
      <c r="H3374" s="14">
        <f t="shared" ref="H3374:L3374" si="1481">H3375</f>
        <v>9</v>
      </c>
      <c r="I3374" s="14">
        <f t="shared" si="1481"/>
        <v>0</v>
      </c>
      <c r="J3374" s="14">
        <f t="shared" si="1481"/>
        <v>0</v>
      </c>
      <c r="K3374" s="78" t="e">
        <f t="shared" si="1461"/>
        <v>#DIV/0!</v>
      </c>
      <c r="L3374" s="14">
        <f t="shared" si="1481"/>
        <v>0</v>
      </c>
      <c r="M3374" s="50">
        <v>111</v>
      </c>
      <c r="N3374" s="50"/>
    </row>
    <row r="3375" spans="1:14" ht="31.2" hidden="1" x14ac:dyDescent="0.3">
      <c r="A3375" s="8" t="s">
        <v>1459</v>
      </c>
      <c r="B3375" s="62" t="s">
        <v>936</v>
      </c>
      <c r="C3375" s="68" t="s">
        <v>1391</v>
      </c>
      <c r="D3375" s="68" t="s">
        <v>1480</v>
      </c>
      <c r="E3375" s="8" t="s">
        <v>252</v>
      </c>
      <c r="F3375" s="8" t="s">
        <v>247</v>
      </c>
      <c r="G3375" s="23" t="s">
        <v>810</v>
      </c>
      <c r="H3375" s="14">
        <v>9</v>
      </c>
      <c r="I3375" s="14">
        <v>0</v>
      </c>
      <c r="J3375" s="19">
        <v>0</v>
      </c>
      <c r="K3375" s="75" t="e">
        <f t="shared" si="1461"/>
        <v>#DIV/0!</v>
      </c>
      <c r="L3375" s="14"/>
      <c r="M3375" s="50">
        <v>111</v>
      </c>
      <c r="N3375" s="50"/>
    </row>
    <row r="3376" spans="1:14" ht="31.2" x14ac:dyDescent="0.3">
      <c r="A3376" s="8" t="s">
        <v>1459</v>
      </c>
      <c r="B3376" s="62" t="s">
        <v>936</v>
      </c>
      <c r="C3376" s="68" t="s">
        <v>1391</v>
      </c>
      <c r="D3376" s="68" t="s">
        <v>1480</v>
      </c>
      <c r="E3376" s="8" t="s">
        <v>253</v>
      </c>
      <c r="F3376" s="45"/>
      <c r="G3376" s="23" t="s">
        <v>321</v>
      </c>
      <c r="H3376" s="14">
        <f t="shared" ref="H3376:L3377" si="1482">H3377</f>
        <v>2132.4290000000001</v>
      </c>
      <c r="I3376" s="14">
        <f t="shared" si="1482"/>
        <v>2132.4290000000001</v>
      </c>
      <c r="J3376" s="14">
        <f t="shared" si="1482"/>
        <v>2100.7794600000002</v>
      </c>
      <c r="K3376" s="78">
        <f t="shared" si="1461"/>
        <v>98.515798650271606</v>
      </c>
      <c r="L3376" s="14">
        <f t="shared" si="1482"/>
        <v>0</v>
      </c>
      <c r="M3376" s="50"/>
      <c r="N3376" s="50"/>
    </row>
    <row r="3377" spans="1:14" ht="31.2" x14ac:dyDescent="0.3">
      <c r="A3377" s="8" t="s">
        <v>1459</v>
      </c>
      <c r="B3377" s="62" t="s">
        <v>936</v>
      </c>
      <c r="C3377" s="68" t="s">
        <v>1391</v>
      </c>
      <c r="D3377" s="68" t="s">
        <v>1480</v>
      </c>
      <c r="E3377" s="8" t="s">
        <v>253</v>
      </c>
      <c r="F3377" s="45" t="s">
        <v>478</v>
      </c>
      <c r="G3377" s="23" t="s">
        <v>817</v>
      </c>
      <c r="H3377" s="14">
        <f t="shared" si="1482"/>
        <v>2132.4290000000001</v>
      </c>
      <c r="I3377" s="14">
        <f t="shared" si="1482"/>
        <v>2132.4290000000001</v>
      </c>
      <c r="J3377" s="14">
        <f t="shared" si="1482"/>
        <v>2100.7794600000002</v>
      </c>
      <c r="K3377" s="78">
        <f t="shared" si="1461"/>
        <v>98.515798650271606</v>
      </c>
      <c r="L3377" s="14">
        <f t="shared" si="1482"/>
        <v>0</v>
      </c>
      <c r="M3377" s="50"/>
      <c r="N3377" s="50"/>
    </row>
    <row r="3378" spans="1:14" x14ac:dyDescent="0.3">
      <c r="A3378" s="8" t="s">
        <v>1459</v>
      </c>
      <c r="B3378" s="62" t="s">
        <v>936</v>
      </c>
      <c r="C3378" s="68" t="s">
        <v>1391</v>
      </c>
      <c r="D3378" s="68" t="s">
        <v>1480</v>
      </c>
      <c r="E3378" s="8" t="s">
        <v>253</v>
      </c>
      <c r="F3378" s="45" t="s">
        <v>1273</v>
      </c>
      <c r="G3378" s="23" t="s">
        <v>818</v>
      </c>
      <c r="H3378" s="14">
        <f>2937.2-804.771</f>
        <v>2132.4290000000001</v>
      </c>
      <c r="I3378" s="14">
        <v>2132.4290000000001</v>
      </c>
      <c r="J3378" s="14">
        <v>2100.7794600000002</v>
      </c>
      <c r="K3378" s="78">
        <f t="shared" si="1461"/>
        <v>98.515798650271606</v>
      </c>
      <c r="L3378" s="14"/>
      <c r="M3378" s="50"/>
      <c r="N3378" s="50"/>
    </row>
    <row r="3379" spans="1:14" ht="46.8" x14ac:dyDescent="0.3">
      <c r="A3379" s="8" t="s">
        <v>1459</v>
      </c>
      <c r="B3379" s="62" t="s">
        <v>936</v>
      </c>
      <c r="C3379" s="68" t="s">
        <v>1391</v>
      </c>
      <c r="D3379" s="68" t="s">
        <v>1480</v>
      </c>
      <c r="E3379" s="8" t="s">
        <v>254</v>
      </c>
      <c r="F3379" s="45"/>
      <c r="G3379" s="23" t="s">
        <v>1351</v>
      </c>
      <c r="H3379" s="14">
        <f t="shared" ref="H3379:L3380" si="1483">H3380</f>
        <v>262.94299999999998</v>
      </c>
      <c r="I3379" s="14">
        <f t="shared" si="1483"/>
        <v>262.94299999999998</v>
      </c>
      <c r="J3379" s="14">
        <f t="shared" si="1483"/>
        <v>262.94299999999998</v>
      </c>
      <c r="K3379" s="78">
        <f t="shared" si="1461"/>
        <v>100</v>
      </c>
      <c r="L3379" s="14">
        <f t="shared" si="1483"/>
        <v>0</v>
      </c>
      <c r="M3379" s="50"/>
      <c r="N3379" s="50"/>
    </row>
    <row r="3380" spans="1:14" ht="31.2" x14ac:dyDescent="0.3">
      <c r="A3380" s="8" t="s">
        <v>1459</v>
      </c>
      <c r="B3380" s="62" t="s">
        <v>936</v>
      </c>
      <c r="C3380" s="68" t="s">
        <v>1391</v>
      </c>
      <c r="D3380" s="68" t="s">
        <v>1480</v>
      </c>
      <c r="E3380" s="8" t="s">
        <v>254</v>
      </c>
      <c r="F3380" s="45" t="s">
        <v>478</v>
      </c>
      <c r="G3380" s="23" t="s">
        <v>817</v>
      </c>
      <c r="H3380" s="14">
        <f t="shared" si="1483"/>
        <v>262.94299999999998</v>
      </c>
      <c r="I3380" s="14">
        <f t="shared" si="1483"/>
        <v>262.94299999999998</v>
      </c>
      <c r="J3380" s="14">
        <f t="shared" si="1483"/>
        <v>262.94299999999998</v>
      </c>
      <c r="K3380" s="78">
        <f t="shared" si="1461"/>
        <v>100</v>
      </c>
      <c r="L3380" s="14">
        <f t="shared" si="1483"/>
        <v>0</v>
      </c>
      <c r="M3380" s="50"/>
      <c r="N3380" s="50"/>
    </row>
    <row r="3381" spans="1:14" x14ac:dyDescent="0.3">
      <c r="A3381" s="8" t="s">
        <v>1459</v>
      </c>
      <c r="B3381" s="62" t="s">
        <v>936</v>
      </c>
      <c r="C3381" s="68" t="s">
        <v>1391</v>
      </c>
      <c r="D3381" s="68" t="s">
        <v>1480</v>
      </c>
      <c r="E3381" s="8" t="s">
        <v>254</v>
      </c>
      <c r="F3381" s="45" t="s">
        <v>1273</v>
      </c>
      <c r="G3381" s="23" t="s">
        <v>818</v>
      </c>
      <c r="H3381" s="14">
        <f>265.2-2.257</f>
        <v>262.94299999999998</v>
      </c>
      <c r="I3381" s="14">
        <v>262.94299999999998</v>
      </c>
      <c r="J3381" s="14">
        <v>262.94299999999998</v>
      </c>
      <c r="K3381" s="78">
        <f t="shared" si="1461"/>
        <v>100</v>
      </c>
      <c r="L3381" s="14"/>
      <c r="M3381" s="50"/>
      <c r="N3381" s="50"/>
    </row>
    <row r="3382" spans="1:14" ht="46.8" x14ac:dyDescent="0.3">
      <c r="A3382" s="8" t="s">
        <v>1459</v>
      </c>
      <c r="B3382" s="62" t="s">
        <v>936</v>
      </c>
      <c r="C3382" s="68" t="s">
        <v>1391</v>
      </c>
      <c r="D3382" s="68" t="s">
        <v>1480</v>
      </c>
      <c r="E3382" s="8" t="s">
        <v>255</v>
      </c>
      <c r="F3382" s="45"/>
      <c r="G3382" s="23" t="s">
        <v>322</v>
      </c>
      <c r="H3382" s="14">
        <f t="shared" ref="H3382:L3383" si="1484">H3383</f>
        <v>263.9069999999997</v>
      </c>
      <c r="I3382" s="14">
        <f t="shared" si="1484"/>
        <v>263.90699999999998</v>
      </c>
      <c r="J3382" s="14">
        <f t="shared" si="1484"/>
        <v>263.90699999999998</v>
      </c>
      <c r="K3382" s="78">
        <f t="shared" si="1461"/>
        <v>100</v>
      </c>
      <c r="L3382" s="14">
        <f t="shared" si="1484"/>
        <v>0</v>
      </c>
      <c r="M3382" s="50"/>
      <c r="N3382" s="50"/>
    </row>
    <row r="3383" spans="1:14" ht="31.2" x14ac:dyDescent="0.3">
      <c r="A3383" s="8" t="s">
        <v>1459</v>
      </c>
      <c r="B3383" s="62" t="s">
        <v>936</v>
      </c>
      <c r="C3383" s="68" t="s">
        <v>1391</v>
      </c>
      <c r="D3383" s="68" t="s">
        <v>1480</v>
      </c>
      <c r="E3383" s="8" t="s">
        <v>255</v>
      </c>
      <c r="F3383" s="45" t="s">
        <v>478</v>
      </c>
      <c r="G3383" s="23" t="s">
        <v>817</v>
      </c>
      <c r="H3383" s="14">
        <f t="shared" si="1484"/>
        <v>263.9069999999997</v>
      </c>
      <c r="I3383" s="14">
        <f t="shared" si="1484"/>
        <v>263.90699999999998</v>
      </c>
      <c r="J3383" s="14">
        <f t="shared" si="1484"/>
        <v>263.90699999999998</v>
      </c>
      <c r="K3383" s="78">
        <f t="shared" si="1461"/>
        <v>100</v>
      </c>
      <c r="L3383" s="14">
        <f t="shared" si="1484"/>
        <v>0</v>
      </c>
      <c r="M3383" s="50"/>
      <c r="N3383" s="50"/>
    </row>
    <row r="3384" spans="1:14" x14ac:dyDescent="0.3">
      <c r="A3384" s="8" t="s">
        <v>1459</v>
      </c>
      <c r="B3384" s="62" t="s">
        <v>936</v>
      </c>
      <c r="C3384" s="68" t="s">
        <v>1391</v>
      </c>
      <c r="D3384" s="68" t="s">
        <v>1480</v>
      </c>
      <c r="E3384" s="8" t="s">
        <v>255</v>
      </c>
      <c r="F3384" s="45" t="s">
        <v>1273</v>
      </c>
      <c r="G3384" s="23" t="s">
        <v>818</v>
      </c>
      <c r="H3384" s="14">
        <f>3154.1-2890.193</f>
        <v>263.9069999999997</v>
      </c>
      <c r="I3384" s="14">
        <v>263.90699999999998</v>
      </c>
      <c r="J3384" s="14">
        <v>263.90699999999998</v>
      </c>
      <c r="K3384" s="78">
        <f t="shared" si="1461"/>
        <v>100</v>
      </c>
      <c r="L3384" s="14"/>
      <c r="M3384" s="50"/>
      <c r="N3384" s="50"/>
    </row>
    <row r="3385" spans="1:14" ht="46.8" x14ac:dyDescent="0.3">
      <c r="A3385" s="8" t="s">
        <v>1459</v>
      </c>
      <c r="B3385" s="62" t="s">
        <v>936</v>
      </c>
      <c r="C3385" s="68" t="s">
        <v>1391</v>
      </c>
      <c r="D3385" s="68" t="s">
        <v>1480</v>
      </c>
      <c r="E3385" s="8" t="s">
        <v>256</v>
      </c>
      <c r="F3385" s="45"/>
      <c r="G3385" s="23" t="s">
        <v>323</v>
      </c>
      <c r="H3385" s="14">
        <f t="shared" ref="H3385:L3386" si="1485">H3386</f>
        <v>263.149</v>
      </c>
      <c r="I3385" s="14">
        <f t="shared" si="1485"/>
        <v>263.149</v>
      </c>
      <c r="J3385" s="14">
        <f t="shared" si="1485"/>
        <v>263.149</v>
      </c>
      <c r="K3385" s="78">
        <f t="shared" si="1461"/>
        <v>100</v>
      </c>
      <c r="L3385" s="14">
        <f t="shared" si="1485"/>
        <v>0</v>
      </c>
      <c r="M3385" s="50"/>
      <c r="N3385" s="50"/>
    </row>
    <row r="3386" spans="1:14" ht="31.2" x14ac:dyDescent="0.3">
      <c r="A3386" s="8" t="s">
        <v>1459</v>
      </c>
      <c r="B3386" s="62" t="s">
        <v>936</v>
      </c>
      <c r="C3386" s="68" t="s">
        <v>1391</v>
      </c>
      <c r="D3386" s="68" t="s">
        <v>1480</v>
      </c>
      <c r="E3386" s="8" t="s">
        <v>256</v>
      </c>
      <c r="F3386" s="45" t="s">
        <v>478</v>
      </c>
      <c r="G3386" s="23" t="s">
        <v>817</v>
      </c>
      <c r="H3386" s="14">
        <f t="shared" si="1485"/>
        <v>263.149</v>
      </c>
      <c r="I3386" s="14">
        <f t="shared" si="1485"/>
        <v>263.149</v>
      </c>
      <c r="J3386" s="14">
        <f t="shared" si="1485"/>
        <v>263.149</v>
      </c>
      <c r="K3386" s="78">
        <f t="shared" si="1461"/>
        <v>100</v>
      </c>
      <c r="L3386" s="14">
        <f t="shared" si="1485"/>
        <v>0</v>
      </c>
      <c r="M3386" s="50"/>
      <c r="N3386" s="50"/>
    </row>
    <row r="3387" spans="1:14" x14ac:dyDescent="0.3">
      <c r="A3387" s="8" t="s">
        <v>1459</v>
      </c>
      <c r="B3387" s="62" t="s">
        <v>936</v>
      </c>
      <c r="C3387" s="68" t="s">
        <v>1391</v>
      </c>
      <c r="D3387" s="68" t="s">
        <v>1480</v>
      </c>
      <c r="E3387" s="8" t="s">
        <v>256</v>
      </c>
      <c r="F3387" s="45" t="s">
        <v>1273</v>
      </c>
      <c r="G3387" s="23" t="s">
        <v>818</v>
      </c>
      <c r="H3387" s="14">
        <f>265.4-2.251</f>
        <v>263.149</v>
      </c>
      <c r="I3387" s="14">
        <v>263.149</v>
      </c>
      <c r="J3387" s="14">
        <v>263.149</v>
      </c>
      <c r="K3387" s="78">
        <f t="shared" si="1461"/>
        <v>100</v>
      </c>
      <c r="L3387" s="14"/>
      <c r="M3387" s="50"/>
      <c r="N3387" s="50"/>
    </row>
    <row r="3388" spans="1:14" ht="31.2" x14ac:dyDescent="0.3">
      <c r="A3388" s="8" t="s">
        <v>1459</v>
      </c>
      <c r="B3388" s="62" t="s">
        <v>936</v>
      </c>
      <c r="C3388" s="68" t="s">
        <v>1391</v>
      </c>
      <c r="D3388" s="68" t="s">
        <v>1480</v>
      </c>
      <c r="E3388" s="8" t="s">
        <v>258</v>
      </c>
      <c r="F3388" s="45"/>
      <c r="G3388" s="23" t="s">
        <v>325</v>
      </c>
      <c r="H3388" s="14">
        <f t="shared" ref="H3388:L3389" si="1486">H3389</f>
        <v>256.20499999999998</v>
      </c>
      <c r="I3388" s="14">
        <f t="shared" si="1486"/>
        <v>256.20499999999998</v>
      </c>
      <c r="J3388" s="14">
        <f t="shared" si="1486"/>
        <v>256.20499999999998</v>
      </c>
      <c r="K3388" s="78">
        <f t="shared" si="1461"/>
        <v>100</v>
      </c>
      <c r="L3388" s="14">
        <f t="shared" si="1486"/>
        <v>0</v>
      </c>
      <c r="M3388" s="50"/>
      <c r="N3388" s="50"/>
    </row>
    <row r="3389" spans="1:14" ht="31.2" x14ac:dyDescent="0.3">
      <c r="A3389" s="8" t="s">
        <v>1459</v>
      </c>
      <c r="B3389" s="62" t="s">
        <v>936</v>
      </c>
      <c r="C3389" s="68" t="s">
        <v>1391</v>
      </c>
      <c r="D3389" s="68" t="s">
        <v>1480</v>
      </c>
      <c r="E3389" s="8" t="s">
        <v>258</v>
      </c>
      <c r="F3389" s="45" t="s">
        <v>478</v>
      </c>
      <c r="G3389" s="23" t="s">
        <v>817</v>
      </c>
      <c r="H3389" s="14">
        <f t="shared" si="1486"/>
        <v>256.20499999999998</v>
      </c>
      <c r="I3389" s="14">
        <f t="shared" si="1486"/>
        <v>256.20499999999998</v>
      </c>
      <c r="J3389" s="14">
        <f t="shared" si="1486"/>
        <v>256.20499999999998</v>
      </c>
      <c r="K3389" s="78">
        <f t="shared" si="1461"/>
        <v>100</v>
      </c>
      <c r="L3389" s="14">
        <f t="shared" si="1486"/>
        <v>0</v>
      </c>
      <c r="M3389" s="50"/>
      <c r="N3389" s="50"/>
    </row>
    <row r="3390" spans="1:14" x14ac:dyDescent="0.3">
      <c r="A3390" s="8" t="s">
        <v>1459</v>
      </c>
      <c r="B3390" s="62" t="s">
        <v>936</v>
      </c>
      <c r="C3390" s="68" t="s">
        <v>1391</v>
      </c>
      <c r="D3390" s="68" t="s">
        <v>1480</v>
      </c>
      <c r="E3390" s="8" t="s">
        <v>258</v>
      </c>
      <c r="F3390" s="45" t="s">
        <v>1273</v>
      </c>
      <c r="G3390" s="23" t="s">
        <v>818</v>
      </c>
      <c r="H3390" s="14">
        <f>265.7-9.495</f>
        <v>256.20499999999998</v>
      </c>
      <c r="I3390" s="14">
        <v>256.20499999999998</v>
      </c>
      <c r="J3390" s="14">
        <v>256.20499999999998</v>
      </c>
      <c r="K3390" s="78">
        <f t="shared" si="1461"/>
        <v>100</v>
      </c>
      <c r="L3390" s="14"/>
      <c r="M3390" s="50"/>
      <c r="N3390" s="50"/>
    </row>
    <row r="3391" spans="1:14" ht="46.8" x14ac:dyDescent="0.3">
      <c r="A3391" s="8" t="s">
        <v>1459</v>
      </c>
      <c r="B3391" s="62" t="s">
        <v>936</v>
      </c>
      <c r="C3391" s="68" t="s">
        <v>1391</v>
      </c>
      <c r="D3391" s="68" t="s">
        <v>1480</v>
      </c>
      <c r="E3391" s="8" t="s">
        <v>901</v>
      </c>
      <c r="F3391" s="45"/>
      <c r="G3391" s="32" t="s">
        <v>802</v>
      </c>
      <c r="H3391" s="14">
        <f t="shared" ref="H3391:L3392" si="1487">H3392</f>
        <v>23.151</v>
      </c>
      <c r="I3391" s="14">
        <f t="shared" si="1487"/>
        <v>23.151</v>
      </c>
      <c r="J3391" s="14">
        <f t="shared" si="1487"/>
        <v>23.151</v>
      </c>
      <c r="K3391" s="78">
        <f t="shared" si="1461"/>
        <v>100</v>
      </c>
      <c r="L3391" s="14">
        <f t="shared" si="1487"/>
        <v>0</v>
      </c>
      <c r="M3391" s="50"/>
      <c r="N3391" s="50"/>
    </row>
    <row r="3392" spans="1:14" ht="31.2" x14ac:dyDescent="0.3">
      <c r="A3392" s="8" t="s">
        <v>1459</v>
      </c>
      <c r="B3392" s="62" t="s">
        <v>936</v>
      </c>
      <c r="C3392" s="68" t="s">
        <v>1391</v>
      </c>
      <c r="D3392" s="68" t="s">
        <v>1480</v>
      </c>
      <c r="E3392" s="8" t="s">
        <v>901</v>
      </c>
      <c r="F3392" s="45" t="s">
        <v>380</v>
      </c>
      <c r="G3392" s="23" t="s">
        <v>809</v>
      </c>
      <c r="H3392" s="14">
        <f t="shared" si="1487"/>
        <v>23.151</v>
      </c>
      <c r="I3392" s="14">
        <f t="shared" si="1487"/>
        <v>23.151</v>
      </c>
      <c r="J3392" s="14">
        <f t="shared" si="1487"/>
        <v>23.151</v>
      </c>
      <c r="K3392" s="78">
        <f t="shared" si="1461"/>
        <v>100</v>
      </c>
      <c r="L3392" s="14">
        <f t="shared" si="1487"/>
        <v>0</v>
      </c>
      <c r="M3392" s="50"/>
      <c r="N3392" s="50"/>
    </row>
    <row r="3393" spans="1:14" ht="31.2" x14ac:dyDescent="0.3">
      <c r="A3393" s="8" t="s">
        <v>1459</v>
      </c>
      <c r="B3393" s="62" t="s">
        <v>936</v>
      </c>
      <c r="C3393" s="68" t="s">
        <v>1391</v>
      </c>
      <c r="D3393" s="68" t="s">
        <v>1480</v>
      </c>
      <c r="E3393" s="8" t="s">
        <v>901</v>
      </c>
      <c r="F3393" s="8" t="s">
        <v>247</v>
      </c>
      <c r="G3393" s="23" t="s">
        <v>810</v>
      </c>
      <c r="H3393" s="14">
        <v>23.151</v>
      </c>
      <c r="I3393" s="14">
        <v>23.151</v>
      </c>
      <c r="J3393" s="14">
        <v>23.151</v>
      </c>
      <c r="K3393" s="78">
        <f t="shared" si="1461"/>
        <v>100</v>
      </c>
      <c r="L3393" s="14"/>
      <c r="M3393" s="50"/>
      <c r="N3393" s="50"/>
    </row>
    <row r="3394" spans="1:14" ht="46.8" x14ac:dyDescent="0.3">
      <c r="A3394" s="8" t="s">
        <v>1459</v>
      </c>
      <c r="B3394" s="62" t="s">
        <v>936</v>
      </c>
      <c r="C3394" s="68" t="s">
        <v>1391</v>
      </c>
      <c r="D3394" s="68" t="s">
        <v>1480</v>
      </c>
      <c r="E3394" s="8" t="s">
        <v>902</v>
      </c>
      <c r="F3394" s="45"/>
      <c r="G3394" s="32" t="s">
        <v>803</v>
      </c>
      <c r="H3394" s="14">
        <f t="shared" ref="H3394:L3395" si="1488">H3395</f>
        <v>12.752000000000001</v>
      </c>
      <c r="I3394" s="14">
        <f t="shared" si="1488"/>
        <v>12.752000000000001</v>
      </c>
      <c r="J3394" s="14">
        <f t="shared" si="1488"/>
        <v>12.752000000000001</v>
      </c>
      <c r="K3394" s="78">
        <f t="shared" si="1461"/>
        <v>100</v>
      </c>
      <c r="L3394" s="14">
        <f t="shared" si="1488"/>
        <v>0</v>
      </c>
      <c r="M3394" s="50"/>
      <c r="N3394" s="50"/>
    </row>
    <row r="3395" spans="1:14" ht="31.2" x14ac:dyDescent="0.3">
      <c r="A3395" s="8" t="s">
        <v>1459</v>
      </c>
      <c r="B3395" s="62" t="s">
        <v>936</v>
      </c>
      <c r="C3395" s="68" t="s">
        <v>1391</v>
      </c>
      <c r="D3395" s="68" t="s">
        <v>1480</v>
      </c>
      <c r="E3395" s="8" t="s">
        <v>902</v>
      </c>
      <c r="F3395" s="45" t="s">
        <v>380</v>
      </c>
      <c r="G3395" s="23" t="s">
        <v>809</v>
      </c>
      <c r="H3395" s="14">
        <f t="shared" si="1488"/>
        <v>12.752000000000001</v>
      </c>
      <c r="I3395" s="14">
        <f t="shared" si="1488"/>
        <v>12.752000000000001</v>
      </c>
      <c r="J3395" s="14">
        <f t="shared" si="1488"/>
        <v>12.752000000000001</v>
      </c>
      <c r="K3395" s="78">
        <f t="shared" si="1461"/>
        <v>100</v>
      </c>
      <c r="L3395" s="14">
        <f t="shared" si="1488"/>
        <v>0</v>
      </c>
      <c r="M3395" s="50"/>
      <c r="N3395" s="50"/>
    </row>
    <row r="3396" spans="1:14" ht="31.2" x14ac:dyDescent="0.3">
      <c r="A3396" s="8" t="s">
        <v>1459</v>
      </c>
      <c r="B3396" s="62" t="s">
        <v>936</v>
      </c>
      <c r="C3396" s="68" t="s">
        <v>1391</v>
      </c>
      <c r="D3396" s="68" t="s">
        <v>1480</v>
      </c>
      <c r="E3396" s="8" t="s">
        <v>902</v>
      </c>
      <c r="F3396" s="8" t="s">
        <v>247</v>
      </c>
      <c r="G3396" s="23" t="s">
        <v>810</v>
      </c>
      <c r="H3396" s="14">
        <v>12.752000000000001</v>
      </c>
      <c r="I3396" s="14">
        <v>12.752000000000001</v>
      </c>
      <c r="J3396" s="14">
        <v>12.752000000000001</v>
      </c>
      <c r="K3396" s="78">
        <f t="shared" si="1461"/>
        <v>100</v>
      </c>
      <c r="L3396" s="14"/>
      <c r="M3396" s="50"/>
      <c r="N3396" s="50"/>
    </row>
    <row r="3397" spans="1:14" s="3" customFormat="1" x14ac:dyDescent="0.3">
      <c r="A3397" s="10" t="s">
        <v>1459</v>
      </c>
      <c r="B3397" s="43" t="s">
        <v>1392</v>
      </c>
      <c r="C3397" s="43" t="s">
        <v>1392</v>
      </c>
      <c r="D3397" s="43" t="s">
        <v>915</v>
      </c>
      <c r="E3397" s="10"/>
      <c r="F3397" s="26"/>
      <c r="G3397" s="5" t="s">
        <v>1416</v>
      </c>
      <c r="H3397" s="15">
        <f t="shared" ref="H3397:L3399" si="1489">H3398</f>
        <v>16</v>
      </c>
      <c r="I3397" s="15">
        <f t="shared" si="1489"/>
        <v>16</v>
      </c>
      <c r="J3397" s="15">
        <f t="shared" si="1489"/>
        <v>16</v>
      </c>
      <c r="K3397" s="81">
        <f t="shared" si="1461"/>
        <v>100</v>
      </c>
      <c r="L3397" s="15">
        <f t="shared" si="1489"/>
        <v>0</v>
      </c>
      <c r="M3397" s="65"/>
      <c r="N3397" s="65"/>
    </row>
    <row r="3398" spans="1:14" s="9" customFormat="1" x14ac:dyDescent="0.3">
      <c r="A3398" s="11" t="s">
        <v>1459</v>
      </c>
      <c r="B3398" s="48" t="s">
        <v>941</v>
      </c>
      <c r="C3398" s="48" t="s">
        <v>1392</v>
      </c>
      <c r="D3398" s="48" t="s">
        <v>1372</v>
      </c>
      <c r="E3398" s="11"/>
      <c r="F3398" s="29"/>
      <c r="G3398" s="7" t="s">
        <v>1422</v>
      </c>
      <c r="H3398" s="16">
        <f t="shared" si="1489"/>
        <v>16</v>
      </c>
      <c r="I3398" s="16">
        <f t="shared" si="1489"/>
        <v>16</v>
      </c>
      <c r="J3398" s="16">
        <f t="shared" si="1489"/>
        <v>16</v>
      </c>
      <c r="K3398" s="82">
        <f t="shared" si="1461"/>
        <v>100</v>
      </c>
      <c r="L3398" s="16">
        <f t="shared" si="1489"/>
        <v>0</v>
      </c>
      <c r="M3398" s="65"/>
      <c r="N3398" s="65"/>
    </row>
    <row r="3399" spans="1:14" ht="31.2" x14ac:dyDescent="0.3">
      <c r="A3399" s="8" t="s">
        <v>1459</v>
      </c>
      <c r="B3399" s="62" t="s">
        <v>941</v>
      </c>
      <c r="C3399" s="68" t="s">
        <v>1392</v>
      </c>
      <c r="D3399" s="68" t="s">
        <v>1372</v>
      </c>
      <c r="E3399" s="8" t="s">
        <v>659</v>
      </c>
      <c r="F3399" s="45"/>
      <c r="G3399" s="13" t="s">
        <v>1067</v>
      </c>
      <c r="H3399" s="14">
        <f>H3400</f>
        <v>16</v>
      </c>
      <c r="I3399" s="14">
        <f t="shared" si="1489"/>
        <v>16</v>
      </c>
      <c r="J3399" s="14">
        <f t="shared" si="1489"/>
        <v>16</v>
      </c>
      <c r="K3399" s="78">
        <f t="shared" si="1461"/>
        <v>100</v>
      </c>
      <c r="L3399" s="14">
        <f t="shared" si="1489"/>
        <v>0</v>
      </c>
      <c r="M3399" s="50"/>
      <c r="N3399" s="50"/>
    </row>
    <row r="3400" spans="1:14" ht="31.2" x14ac:dyDescent="0.3">
      <c r="A3400" s="8" t="s">
        <v>1459</v>
      </c>
      <c r="B3400" s="62" t="s">
        <v>941</v>
      </c>
      <c r="C3400" s="68" t="s">
        <v>1392</v>
      </c>
      <c r="D3400" s="68" t="s">
        <v>1372</v>
      </c>
      <c r="E3400" s="8" t="s">
        <v>660</v>
      </c>
      <c r="F3400" s="45"/>
      <c r="G3400" s="13" t="s">
        <v>1068</v>
      </c>
      <c r="H3400" s="14">
        <f t="shared" ref="H3400:L3403" si="1490">H3401</f>
        <v>16</v>
      </c>
      <c r="I3400" s="14">
        <f t="shared" si="1490"/>
        <v>16</v>
      </c>
      <c r="J3400" s="14">
        <f t="shared" si="1490"/>
        <v>16</v>
      </c>
      <c r="K3400" s="78">
        <f t="shared" ref="K3400:K3463" si="1491">J3400/I3400*100</f>
        <v>100</v>
      </c>
      <c r="L3400" s="14">
        <f t="shared" si="1490"/>
        <v>0</v>
      </c>
      <c r="M3400" s="50"/>
      <c r="N3400" s="50"/>
    </row>
    <row r="3401" spans="1:14" ht="31.2" x14ac:dyDescent="0.3">
      <c r="A3401" s="8" t="s">
        <v>1459</v>
      </c>
      <c r="B3401" s="62" t="s">
        <v>941</v>
      </c>
      <c r="C3401" s="68" t="s">
        <v>1392</v>
      </c>
      <c r="D3401" s="68" t="s">
        <v>1372</v>
      </c>
      <c r="E3401" s="8" t="s">
        <v>680</v>
      </c>
      <c r="F3401" s="45"/>
      <c r="G3401" s="13" t="s">
        <v>1077</v>
      </c>
      <c r="H3401" s="14">
        <f t="shared" si="1490"/>
        <v>16</v>
      </c>
      <c r="I3401" s="14">
        <f t="shared" si="1490"/>
        <v>16</v>
      </c>
      <c r="J3401" s="14">
        <f t="shared" si="1490"/>
        <v>16</v>
      </c>
      <c r="K3401" s="78">
        <f t="shared" si="1491"/>
        <v>100</v>
      </c>
      <c r="L3401" s="14">
        <f t="shared" si="1490"/>
        <v>0</v>
      </c>
      <c r="M3401" s="50"/>
      <c r="N3401" s="50"/>
    </row>
    <row r="3402" spans="1:14" ht="46.8" x14ac:dyDescent="0.3">
      <c r="A3402" s="8" t="s">
        <v>1459</v>
      </c>
      <c r="B3402" s="62" t="s">
        <v>941</v>
      </c>
      <c r="C3402" s="68" t="s">
        <v>1392</v>
      </c>
      <c r="D3402" s="68" t="s">
        <v>1372</v>
      </c>
      <c r="E3402" s="8" t="s">
        <v>259</v>
      </c>
      <c r="F3402" s="45"/>
      <c r="G3402" s="13" t="s">
        <v>977</v>
      </c>
      <c r="H3402" s="14">
        <f t="shared" si="1490"/>
        <v>16</v>
      </c>
      <c r="I3402" s="14">
        <f t="shared" si="1490"/>
        <v>16</v>
      </c>
      <c r="J3402" s="14">
        <f t="shared" si="1490"/>
        <v>16</v>
      </c>
      <c r="K3402" s="78">
        <f t="shared" si="1491"/>
        <v>100</v>
      </c>
      <c r="L3402" s="14">
        <f t="shared" si="1490"/>
        <v>0</v>
      </c>
      <c r="M3402" s="50"/>
      <c r="N3402" s="50"/>
    </row>
    <row r="3403" spans="1:14" ht="31.2" x14ac:dyDescent="0.3">
      <c r="A3403" s="8" t="s">
        <v>1459</v>
      </c>
      <c r="B3403" s="62" t="s">
        <v>941</v>
      </c>
      <c r="C3403" s="68" t="s">
        <v>1392</v>
      </c>
      <c r="D3403" s="68" t="s">
        <v>1372</v>
      </c>
      <c r="E3403" s="8" t="s">
        <v>259</v>
      </c>
      <c r="F3403" s="45" t="s">
        <v>478</v>
      </c>
      <c r="G3403" s="23" t="s">
        <v>817</v>
      </c>
      <c r="H3403" s="14">
        <f t="shared" si="1490"/>
        <v>16</v>
      </c>
      <c r="I3403" s="14">
        <f t="shared" si="1490"/>
        <v>16</v>
      </c>
      <c r="J3403" s="14">
        <f t="shared" si="1490"/>
        <v>16</v>
      </c>
      <c r="K3403" s="78">
        <f t="shared" si="1491"/>
        <v>100</v>
      </c>
      <c r="L3403" s="14">
        <f t="shared" si="1490"/>
        <v>0</v>
      </c>
      <c r="M3403" s="50"/>
      <c r="N3403" s="50"/>
    </row>
    <row r="3404" spans="1:14" x14ac:dyDescent="0.3">
      <c r="A3404" s="8" t="s">
        <v>1459</v>
      </c>
      <c r="B3404" s="62" t="s">
        <v>941</v>
      </c>
      <c r="C3404" s="68" t="s">
        <v>1392</v>
      </c>
      <c r="D3404" s="68" t="s">
        <v>1372</v>
      </c>
      <c r="E3404" s="8" t="s">
        <v>259</v>
      </c>
      <c r="F3404" s="45" t="s">
        <v>1273</v>
      </c>
      <c r="G3404" s="23" t="s">
        <v>818</v>
      </c>
      <c r="H3404" s="14">
        <f>92495.1-12.334-92466.766</f>
        <v>16</v>
      </c>
      <c r="I3404" s="14">
        <v>16</v>
      </c>
      <c r="J3404" s="14">
        <v>16</v>
      </c>
      <c r="K3404" s="78">
        <f t="shared" si="1491"/>
        <v>100</v>
      </c>
      <c r="L3404" s="14"/>
      <c r="M3404" s="50"/>
      <c r="N3404" s="50"/>
    </row>
    <row r="3405" spans="1:14" s="3" customFormat="1" x14ac:dyDescent="0.3">
      <c r="A3405" s="10" t="s">
        <v>1459</v>
      </c>
      <c r="B3405" s="43" t="s">
        <v>1374</v>
      </c>
      <c r="C3405" s="43" t="s">
        <v>1374</v>
      </c>
      <c r="D3405" s="43" t="s">
        <v>915</v>
      </c>
      <c r="E3405" s="4"/>
      <c r="F3405" s="4"/>
      <c r="G3405" s="5" t="s">
        <v>1378</v>
      </c>
      <c r="H3405" s="15">
        <f t="shared" ref="H3405:L3405" si="1492">H3422+H3456+H3406+H3469</f>
        <v>727711.04100000008</v>
      </c>
      <c r="I3405" s="15">
        <f t="shared" si="1492"/>
        <v>727711.03463000013</v>
      </c>
      <c r="J3405" s="15">
        <f t="shared" si="1492"/>
        <v>661476.12179999996</v>
      </c>
      <c r="K3405" s="81">
        <f t="shared" si="1491"/>
        <v>90.898184900593563</v>
      </c>
      <c r="L3405" s="15">
        <f t="shared" si="1492"/>
        <v>0</v>
      </c>
      <c r="M3405" s="65"/>
      <c r="N3405" s="65"/>
    </row>
    <row r="3406" spans="1:14" s="9" customFormat="1" x14ac:dyDescent="0.3">
      <c r="A3406" s="11" t="s">
        <v>1459</v>
      </c>
      <c r="B3406" s="48" t="s">
        <v>913</v>
      </c>
      <c r="C3406" s="48" t="s">
        <v>1374</v>
      </c>
      <c r="D3406" s="48" t="s">
        <v>1372</v>
      </c>
      <c r="E3406" s="6"/>
      <c r="F3406" s="6"/>
      <c r="G3406" s="7" t="s">
        <v>1379</v>
      </c>
      <c r="H3406" s="16">
        <f t="shared" ref="H3406:L3411" si="1493">H3407</f>
        <v>24547.51</v>
      </c>
      <c r="I3406" s="16">
        <f t="shared" si="1493"/>
        <v>24547.508689999999</v>
      </c>
      <c r="J3406" s="16">
        <f t="shared" si="1493"/>
        <v>24155.71369</v>
      </c>
      <c r="K3406" s="82">
        <f t="shared" si="1491"/>
        <v>98.40393171890554</v>
      </c>
      <c r="L3406" s="16">
        <f t="shared" si="1493"/>
        <v>0</v>
      </c>
      <c r="M3406" s="65"/>
      <c r="N3406" s="65"/>
    </row>
    <row r="3407" spans="1:14" ht="31.2" x14ac:dyDescent="0.3">
      <c r="A3407" s="8" t="s">
        <v>1459</v>
      </c>
      <c r="B3407" s="62" t="s">
        <v>913</v>
      </c>
      <c r="C3407" s="68" t="s">
        <v>1374</v>
      </c>
      <c r="D3407" s="68" t="s">
        <v>1372</v>
      </c>
      <c r="E3407" s="64" t="s">
        <v>461</v>
      </c>
      <c r="F3407" s="64"/>
      <c r="G3407" s="23" t="s">
        <v>1137</v>
      </c>
      <c r="H3407" s="14">
        <f t="shared" si="1493"/>
        <v>24547.51</v>
      </c>
      <c r="I3407" s="14">
        <f t="shared" si="1493"/>
        <v>24547.508689999999</v>
      </c>
      <c r="J3407" s="14">
        <f t="shared" si="1493"/>
        <v>24155.71369</v>
      </c>
      <c r="K3407" s="78">
        <f t="shared" si="1491"/>
        <v>98.40393171890554</v>
      </c>
      <c r="L3407" s="14">
        <f t="shared" si="1493"/>
        <v>0</v>
      </c>
      <c r="M3407" s="50"/>
      <c r="N3407" s="50"/>
    </row>
    <row r="3408" spans="1:14" ht="31.2" x14ac:dyDescent="0.3">
      <c r="A3408" s="8" t="s">
        <v>1459</v>
      </c>
      <c r="B3408" s="62" t="s">
        <v>913</v>
      </c>
      <c r="C3408" s="68" t="s">
        <v>1374</v>
      </c>
      <c r="D3408" s="68" t="s">
        <v>1372</v>
      </c>
      <c r="E3408" s="64" t="s">
        <v>462</v>
      </c>
      <c r="F3408" s="64"/>
      <c r="G3408" s="23" t="s">
        <v>1216</v>
      </c>
      <c r="H3408" s="14">
        <f t="shared" si="1493"/>
        <v>24547.51</v>
      </c>
      <c r="I3408" s="14">
        <f t="shared" si="1493"/>
        <v>24547.508689999999</v>
      </c>
      <c r="J3408" s="14">
        <f t="shared" si="1493"/>
        <v>24155.71369</v>
      </c>
      <c r="K3408" s="78">
        <f t="shared" si="1491"/>
        <v>98.40393171890554</v>
      </c>
      <c r="L3408" s="14">
        <f t="shared" si="1493"/>
        <v>0</v>
      </c>
      <c r="M3408" s="50"/>
      <c r="N3408" s="50"/>
    </row>
    <row r="3409" spans="1:14" ht="46.8" x14ac:dyDescent="0.3">
      <c r="A3409" s="8" t="s">
        <v>1459</v>
      </c>
      <c r="B3409" s="62" t="s">
        <v>913</v>
      </c>
      <c r="C3409" s="68" t="s">
        <v>1374</v>
      </c>
      <c r="D3409" s="68" t="s">
        <v>1372</v>
      </c>
      <c r="E3409" s="64" t="s">
        <v>522</v>
      </c>
      <c r="F3409" s="64"/>
      <c r="G3409" s="23" t="s">
        <v>1138</v>
      </c>
      <c r="H3409" s="14">
        <f>H3410+H3413+H3416+H3419</f>
        <v>24547.51</v>
      </c>
      <c r="I3409" s="14">
        <f>I3410+I3413+I3416+I3419</f>
        <v>24547.508689999999</v>
      </c>
      <c r="J3409" s="14">
        <f t="shared" ref="J3409:L3409" si="1494">J3410+J3413+J3416+J3419</f>
        <v>24155.71369</v>
      </c>
      <c r="K3409" s="78">
        <f t="shared" si="1491"/>
        <v>98.40393171890554</v>
      </c>
      <c r="L3409" s="14">
        <f t="shared" si="1494"/>
        <v>0</v>
      </c>
      <c r="M3409" s="50"/>
      <c r="N3409" s="50"/>
    </row>
    <row r="3410" spans="1:14" ht="46.8" x14ac:dyDescent="0.3">
      <c r="A3410" s="8" t="s">
        <v>1459</v>
      </c>
      <c r="B3410" s="62" t="s">
        <v>913</v>
      </c>
      <c r="C3410" s="68" t="s">
        <v>1374</v>
      </c>
      <c r="D3410" s="68" t="s">
        <v>1372</v>
      </c>
      <c r="E3410" s="64" t="s">
        <v>260</v>
      </c>
      <c r="F3410" s="64"/>
      <c r="G3410" s="18" t="s">
        <v>1325</v>
      </c>
      <c r="H3410" s="14">
        <f t="shared" si="1493"/>
        <v>15</v>
      </c>
      <c r="I3410" s="14">
        <f t="shared" si="1493"/>
        <v>15</v>
      </c>
      <c r="J3410" s="14">
        <f t="shared" si="1493"/>
        <v>15</v>
      </c>
      <c r="K3410" s="78">
        <f t="shared" si="1491"/>
        <v>100</v>
      </c>
      <c r="L3410" s="14">
        <f t="shared" si="1493"/>
        <v>0</v>
      </c>
      <c r="M3410" s="50"/>
      <c r="N3410" s="50"/>
    </row>
    <row r="3411" spans="1:14" ht="31.2" x14ac:dyDescent="0.3">
      <c r="A3411" s="8" t="s">
        <v>1459</v>
      </c>
      <c r="B3411" s="62" t="s">
        <v>913</v>
      </c>
      <c r="C3411" s="68" t="s">
        <v>1374</v>
      </c>
      <c r="D3411" s="68" t="s">
        <v>1372</v>
      </c>
      <c r="E3411" s="64" t="s">
        <v>260</v>
      </c>
      <c r="F3411" s="45" t="s">
        <v>478</v>
      </c>
      <c r="G3411" s="23" t="s">
        <v>817</v>
      </c>
      <c r="H3411" s="14">
        <f t="shared" si="1493"/>
        <v>15</v>
      </c>
      <c r="I3411" s="14">
        <f t="shared" si="1493"/>
        <v>15</v>
      </c>
      <c r="J3411" s="14">
        <f t="shared" si="1493"/>
        <v>15</v>
      </c>
      <c r="K3411" s="78">
        <f t="shared" si="1491"/>
        <v>100</v>
      </c>
      <c r="L3411" s="14">
        <f t="shared" si="1493"/>
        <v>0</v>
      </c>
      <c r="M3411" s="50"/>
      <c r="N3411" s="50"/>
    </row>
    <row r="3412" spans="1:14" x14ac:dyDescent="0.3">
      <c r="A3412" s="8" t="s">
        <v>1459</v>
      </c>
      <c r="B3412" s="62" t="s">
        <v>913</v>
      </c>
      <c r="C3412" s="68" t="s">
        <v>1374</v>
      </c>
      <c r="D3412" s="68" t="s">
        <v>1372</v>
      </c>
      <c r="E3412" s="64" t="s">
        <v>260</v>
      </c>
      <c r="F3412" s="45" t="s">
        <v>1273</v>
      </c>
      <c r="G3412" s="23" t="s">
        <v>818</v>
      </c>
      <c r="H3412" s="14">
        <v>15</v>
      </c>
      <c r="I3412" s="14">
        <v>15</v>
      </c>
      <c r="J3412" s="14">
        <v>15</v>
      </c>
      <c r="K3412" s="78">
        <f t="shared" si="1491"/>
        <v>100</v>
      </c>
      <c r="L3412" s="14"/>
      <c r="M3412" s="50"/>
      <c r="N3412" s="50"/>
    </row>
    <row r="3413" spans="1:14" ht="31.2" x14ac:dyDescent="0.3">
      <c r="A3413" s="8" t="s">
        <v>1459</v>
      </c>
      <c r="B3413" s="62" t="s">
        <v>913</v>
      </c>
      <c r="C3413" s="68" t="s">
        <v>1374</v>
      </c>
      <c r="D3413" s="68" t="s">
        <v>1372</v>
      </c>
      <c r="E3413" s="64" t="s">
        <v>261</v>
      </c>
      <c r="F3413" s="45"/>
      <c r="G3413" s="23" t="s">
        <v>20</v>
      </c>
      <c r="H3413" s="14">
        <f t="shared" ref="H3413:L3414" si="1495">H3414</f>
        <v>25</v>
      </c>
      <c r="I3413" s="14">
        <f t="shared" si="1495"/>
        <v>25</v>
      </c>
      <c r="J3413" s="14">
        <f t="shared" si="1495"/>
        <v>25</v>
      </c>
      <c r="K3413" s="78">
        <f t="shared" si="1491"/>
        <v>100</v>
      </c>
      <c r="L3413" s="14">
        <f t="shared" si="1495"/>
        <v>0</v>
      </c>
      <c r="M3413" s="50"/>
      <c r="N3413" s="50"/>
    </row>
    <row r="3414" spans="1:14" ht="31.2" x14ac:dyDescent="0.3">
      <c r="A3414" s="8" t="s">
        <v>1459</v>
      </c>
      <c r="B3414" s="62" t="s">
        <v>913</v>
      </c>
      <c r="C3414" s="68" t="s">
        <v>1374</v>
      </c>
      <c r="D3414" s="68" t="s">
        <v>1372</v>
      </c>
      <c r="E3414" s="64" t="s">
        <v>261</v>
      </c>
      <c r="F3414" s="45" t="s">
        <v>478</v>
      </c>
      <c r="G3414" s="23" t="s">
        <v>817</v>
      </c>
      <c r="H3414" s="14">
        <f t="shared" si="1495"/>
        <v>25</v>
      </c>
      <c r="I3414" s="14">
        <f t="shared" si="1495"/>
        <v>25</v>
      </c>
      <c r="J3414" s="14">
        <f t="shared" si="1495"/>
        <v>25</v>
      </c>
      <c r="K3414" s="78">
        <f t="shared" si="1491"/>
        <v>100</v>
      </c>
      <c r="L3414" s="14">
        <f t="shared" si="1495"/>
        <v>0</v>
      </c>
      <c r="M3414" s="50"/>
      <c r="N3414" s="50"/>
    </row>
    <row r="3415" spans="1:14" x14ac:dyDescent="0.3">
      <c r="A3415" s="8" t="s">
        <v>1459</v>
      </c>
      <c r="B3415" s="62" t="s">
        <v>913</v>
      </c>
      <c r="C3415" s="68" t="s">
        <v>1374</v>
      </c>
      <c r="D3415" s="68" t="s">
        <v>1372</v>
      </c>
      <c r="E3415" s="64" t="s">
        <v>261</v>
      </c>
      <c r="F3415" s="45" t="s">
        <v>1273</v>
      </c>
      <c r="G3415" s="23" t="s">
        <v>818</v>
      </c>
      <c r="H3415" s="14">
        <v>25</v>
      </c>
      <c r="I3415" s="14">
        <v>25</v>
      </c>
      <c r="J3415" s="14">
        <v>25</v>
      </c>
      <c r="K3415" s="78">
        <f t="shared" si="1491"/>
        <v>100</v>
      </c>
      <c r="L3415" s="14"/>
      <c r="M3415" s="50"/>
      <c r="N3415" s="50"/>
    </row>
    <row r="3416" spans="1:14" ht="31.2" x14ac:dyDescent="0.3">
      <c r="A3416" s="8" t="s">
        <v>1459</v>
      </c>
      <c r="B3416" s="62" t="s">
        <v>913</v>
      </c>
      <c r="C3416" s="68" t="s">
        <v>1374</v>
      </c>
      <c r="D3416" s="68" t="s">
        <v>1372</v>
      </c>
      <c r="E3416" s="64" t="s">
        <v>262</v>
      </c>
      <c r="F3416" s="45"/>
      <c r="G3416" s="23" t="s">
        <v>1463</v>
      </c>
      <c r="H3416" s="14">
        <f t="shared" ref="H3416:L3417" si="1496">H3417</f>
        <v>391.79500000000002</v>
      </c>
      <c r="I3416" s="14">
        <f t="shared" si="1496"/>
        <v>391.79500000000002</v>
      </c>
      <c r="J3416" s="14">
        <f t="shared" si="1496"/>
        <v>0</v>
      </c>
      <c r="K3416" s="78">
        <f t="shared" si="1491"/>
        <v>0</v>
      </c>
      <c r="L3416" s="14">
        <f t="shared" si="1496"/>
        <v>0</v>
      </c>
      <c r="M3416" s="50"/>
      <c r="N3416" s="50"/>
    </row>
    <row r="3417" spans="1:14" ht="31.2" x14ac:dyDescent="0.3">
      <c r="A3417" s="8" t="s">
        <v>1459</v>
      </c>
      <c r="B3417" s="62" t="s">
        <v>913</v>
      </c>
      <c r="C3417" s="68" t="s">
        <v>1374</v>
      </c>
      <c r="D3417" s="68" t="s">
        <v>1372</v>
      </c>
      <c r="E3417" s="64" t="s">
        <v>262</v>
      </c>
      <c r="F3417" s="45" t="s">
        <v>478</v>
      </c>
      <c r="G3417" s="23" t="s">
        <v>817</v>
      </c>
      <c r="H3417" s="14">
        <f t="shared" si="1496"/>
        <v>391.79500000000002</v>
      </c>
      <c r="I3417" s="14">
        <f t="shared" si="1496"/>
        <v>391.79500000000002</v>
      </c>
      <c r="J3417" s="14">
        <f t="shared" si="1496"/>
        <v>0</v>
      </c>
      <c r="K3417" s="78">
        <f t="shared" si="1491"/>
        <v>0</v>
      </c>
      <c r="L3417" s="14">
        <f t="shared" si="1496"/>
        <v>0</v>
      </c>
      <c r="M3417" s="50"/>
      <c r="N3417" s="50"/>
    </row>
    <row r="3418" spans="1:14" x14ac:dyDescent="0.3">
      <c r="A3418" s="8" t="s">
        <v>1459</v>
      </c>
      <c r="B3418" s="62" t="s">
        <v>913</v>
      </c>
      <c r="C3418" s="68" t="s">
        <v>1374</v>
      </c>
      <c r="D3418" s="68" t="s">
        <v>1372</v>
      </c>
      <c r="E3418" s="64" t="s">
        <v>262</v>
      </c>
      <c r="F3418" s="45" t="s">
        <v>1273</v>
      </c>
      <c r="G3418" s="23" t="s">
        <v>818</v>
      </c>
      <c r="H3418" s="14">
        <v>391.79500000000002</v>
      </c>
      <c r="I3418" s="14">
        <v>391.79500000000002</v>
      </c>
      <c r="J3418" s="19">
        <v>0</v>
      </c>
      <c r="K3418" s="75">
        <f t="shared" si="1491"/>
        <v>0</v>
      </c>
      <c r="L3418" s="14"/>
      <c r="M3418" s="50"/>
      <c r="N3418" s="50"/>
    </row>
    <row r="3419" spans="1:14" ht="31.2" x14ac:dyDescent="0.3">
      <c r="A3419" s="8" t="s">
        <v>1459</v>
      </c>
      <c r="B3419" s="62" t="s">
        <v>913</v>
      </c>
      <c r="C3419" s="68" t="s">
        <v>1374</v>
      </c>
      <c r="D3419" s="68" t="s">
        <v>1372</v>
      </c>
      <c r="E3419" s="64" t="s">
        <v>781</v>
      </c>
      <c r="F3419" s="45"/>
      <c r="G3419" s="32" t="s">
        <v>1464</v>
      </c>
      <c r="H3419" s="14">
        <f t="shared" ref="H3419:L3420" si="1497">H3420</f>
        <v>24115.715</v>
      </c>
      <c r="I3419" s="14">
        <f t="shared" si="1497"/>
        <v>24115.71369</v>
      </c>
      <c r="J3419" s="14">
        <f t="shared" si="1497"/>
        <v>24115.71369</v>
      </c>
      <c r="K3419" s="78">
        <f t="shared" si="1491"/>
        <v>100</v>
      </c>
      <c r="L3419" s="14">
        <f t="shared" si="1497"/>
        <v>0</v>
      </c>
      <c r="M3419" s="50"/>
      <c r="N3419" s="50"/>
    </row>
    <row r="3420" spans="1:14" ht="31.2" x14ac:dyDescent="0.3">
      <c r="A3420" s="8" t="s">
        <v>1459</v>
      </c>
      <c r="B3420" s="62" t="s">
        <v>913</v>
      </c>
      <c r="C3420" s="68" t="s">
        <v>1374</v>
      </c>
      <c r="D3420" s="68" t="s">
        <v>1372</v>
      </c>
      <c r="E3420" s="64" t="s">
        <v>781</v>
      </c>
      <c r="F3420" s="45" t="s">
        <v>478</v>
      </c>
      <c r="G3420" s="23" t="s">
        <v>817</v>
      </c>
      <c r="H3420" s="14">
        <f t="shared" si="1497"/>
        <v>24115.715</v>
      </c>
      <c r="I3420" s="14">
        <f t="shared" si="1497"/>
        <v>24115.71369</v>
      </c>
      <c r="J3420" s="14">
        <f t="shared" si="1497"/>
        <v>24115.71369</v>
      </c>
      <c r="K3420" s="78">
        <f t="shared" si="1491"/>
        <v>100</v>
      </c>
      <c r="L3420" s="14">
        <f t="shared" si="1497"/>
        <v>0</v>
      </c>
      <c r="M3420" s="50"/>
      <c r="N3420" s="50"/>
    </row>
    <row r="3421" spans="1:14" x14ac:dyDescent="0.3">
      <c r="A3421" s="8" t="s">
        <v>1459</v>
      </c>
      <c r="B3421" s="62" t="s">
        <v>913</v>
      </c>
      <c r="C3421" s="68" t="s">
        <v>1374</v>
      </c>
      <c r="D3421" s="68" t="s">
        <v>1372</v>
      </c>
      <c r="E3421" s="64" t="s">
        <v>781</v>
      </c>
      <c r="F3421" s="45" t="s">
        <v>1273</v>
      </c>
      <c r="G3421" s="23" t="s">
        <v>818</v>
      </c>
      <c r="H3421" s="14">
        <f>21927.443+2188.272</f>
        <v>24115.715</v>
      </c>
      <c r="I3421" s="14">
        <v>24115.71369</v>
      </c>
      <c r="J3421" s="14">
        <v>24115.71369</v>
      </c>
      <c r="K3421" s="78">
        <f t="shared" si="1491"/>
        <v>100</v>
      </c>
      <c r="L3421" s="14"/>
      <c r="M3421" s="50"/>
      <c r="N3421" s="50"/>
    </row>
    <row r="3422" spans="1:14" s="9" customFormat="1" x14ac:dyDescent="0.3">
      <c r="A3422" s="11" t="s">
        <v>1459</v>
      </c>
      <c r="B3422" s="48" t="s">
        <v>929</v>
      </c>
      <c r="C3422" s="48" t="s">
        <v>1374</v>
      </c>
      <c r="D3422" s="48" t="s">
        <v>1478</v>
      </c>
      <c r="E3422" s="11"/>
      <c r="F3422" s="11"/>
      <c r="G3422" s="7" t="s">
        <v>1403</v>
      </c>
      <c r="H3422" s="16">
        <f t="shared" ref="H3422:L3422" si="1498">H3423</f>
        <v>650227.42300000007</v>
      </c>
      <c r="I3422" s="16">
        <f t="shared" si="1498"/>
        <v>650227.41885000013</v>
      </c>
      <c r="J3422" s="16">
        <f t="shared" si="1498"/>
        <v>617051.22346000001</v>
      </c>
      <c r="K3422" s="82">
        <f t="shared" si="1491"/>
        <v>94.897755088723272</v>
      </c>
      <c r="L3422" s="16">
        <f t="shared" si="1498"/>
        <v>0</v>
      </c>
      <c r="M3422" s="65"/>
      <c r="N3422" s="65"/>
    </row>
    <row r="3423" spans="1:14" ht="31.2" x14ac:dyDescent="0.3">
      <c r="A3423" s="8" t="s">
        <v>1459</v>
      </c>
      <c r="B3423" s="62" t="s">
        <v>929</v>
      </c>
      <c r="C3423" s="68" t="s">
        <v>1374</v>
      </c>
      <c r="D3423" s="68" t="s">
        <v>1478</v>
      </c>
      <c r="E3423" s="8" t="s">
        <v>461</v>
      </c>
      <c r="F3423" s="8"/>
      <c r="G3423" s="23" t="s">
        <v>1137</v>
      </c>
      <c r="H3423" s="14">
        <f t="shared" ref="H3423:L3424" si="1499">H3424</f>
        <v>650227.42300000007</v>
      </c>
      <c r="I3423" s="14">
        <f t="shared" si="1499"/>
        <v>650227.41885000013</v>
      </c>
      <c r="J3423" s="14">
        <f t="shared" si="1499"/>
        <v>617051.22346000001</v>
      </c>
      <c r="K3423" s="78">
        <f t="shared" si="1491"/>
        <v>94.897755088723272</v>
      </c>
      <c r="L3423" s="14">
        <f t="shared" si="1499"/>
        <v>0</v>
      </c>
      <c r="M3423" s="50"/>
      <c r="N3423" s="50"/>
    </row>
    <row r="3424" spans="1:14" ht="46.8" x14ac:dyDescent="0.3">
      <c r="A3424" s="8" t="s">
        <v>1459</v>
      </c>
      <c r="B3424" s="62" t="s">
        <v>929</v>
      </c>
      <c r="C3424" s="68" t="s">
        <v>1374</v>
      </c>
      <c r="D3424" s="68" t="s">
        <v>1478</v>
      </c>
      <c r="E3424" s="8" t="s">
        <v>476</v>
      </c>
      <c r="F3424" s="8"/>
      <c r="G3424" s="18" t="s">
        <v>141</v>
      </c>
      <c r="H3424" s="14">
        <f t="shared" si="1499"/>
        <v>650227.42300000007</v>
      </c>
      <c r="I3424" s="14">
        <f t="shared" si="1499"/>
        <v>650227.41885000013</v>
      </c>
      <c r="J3424" s="14">
        <f t="shared" si="1499"/>
        <v>617051.22346000001</v>
      </c>
      <c r="K3424" s="78">
        <f t="shared" si="1491"/>
        <v>94.897755088723272</v>
      </c>
      <c r="L3424" s="14">
        <f t="shared" si="1499"/>
        <v>0</v>
      </c>
      <c r="M3424" s="50"/>
      <c r="N3424" s="50"/>
    </row>
    <row r="3425" spans="1:14" ht="62.4" x14ac:dyDescent="0.3">
      <c r="A3425" s="8" t="s">
        <v>1459</v>
      </c>
      <c r="B3425" s="62" t="s">
        <v>929</v>
      </c>
      <c r="C3425" s="68" t="s">
        <v>1374</v>
      </c>
      <c r="D3425" s="68" t="s">
        <v>1478</v>
      </c>
      <c r="E3425" s="8" t="s">
        <v>477</v>
      </c>
      <c r="F3425" s="8"/>
      <c r="G3425" s="23" t="s">
        <v>1326</v>
      </c>
      <c r="H3425" s="14">
        <f>H3426+H3429+H3432+H3453+H3447+H3438+H3444+H3450+H3441+H3435</f>
        <v>650227.42300000007</v>
      </c>
      <c r="I3425" s="14">
        <f>I3426+I3429+I3432+I3453+I3447+I3438+I3444+I3450+I3441+I3435</f>
        <v>650227.41885000013</v>
      </c>
      <c r="J3425" s="14">
        <f t="shared" ref="J3425:L3425" si="1500">J3426+J3429+J3432+J3453+J3447+J3438+J3444+J3450+J3441+J3435</f>
        <v>617051.22346000001</v>
      </c>
      <c r="K3425" s="78">
        <f t="shared" si="1491"/>
        <v>94.897755088723272</v>
      </c>
      <c r="L3425" s="14">
        <f t="shared" si="1500"/>
        <v>0</v>
      </c>
      <c r="M3425" s="50"/>
      <c r="N3425" s="50"/>
    </row>
    <row r="3426" spans="1:14" ht="31.2" x14ac:dyDescent="0.3">
      <c r="A3426" s="8" t="s">
        <v>1459</v>
      </c>
      <c r="B3426" s="62" t="s">
        <v>929</v>
      </c>
      <c r="C3426" s="68" t="s">
        <v>1374</v>
      </c>
      <c r="D3426" s="68" t="s">
        <v>1478</v>
      </c>
      <c r="E3426" s="8" t="s">
        <v>523</v>
      </c>
      <c r="F3426" s="8"/>
      <c r="G3426" s="13" t="s">
        <v>1139</v>
      </c>
      <c r="H3426" s="14">
        <f t="shared" ref="H3426:L3427" si="1501">H3427</f>
        <v>14336.062</v>
      </c>
      <c r="I3426" s="14">
        <f t="shared" si="1501"/>
        <v>14336.06019</v>
      </c>
      <c r="J3426" s="14">
        <f t="shared" si="1501"/>
        <v>14336.057489999999</v>
      </c>
      <c r="K3426" s="78">
        <f t="shared" si="1491"/>
        <v>99.999981166373715</v>
      </c>
      <c r="L3426" s="14">
        <f t="shared" si="1501"/>
        <v>0</v>
      </c>
      <c r="M3426" s="50"/>
      <c r="N3426" s="50"/>
    </row>
    <row r="3427" spans="1:14" ht="31.2" x14ac:dyDescent="0.3">
      <c r="A3427" s="8" t="s">
        <v>1459</v>
      </c>
      <c r="B3427" s="62" t="s">
        <v>929</v>
      </c>
      <c r="C3427" s="68" t="s">
        <v>1374</v>
      </c>
      <c r="D3427" s="68" t="s">
        <v>1478</v>
      </c>
      <c r="E3427" s="8" t="s">
        <v>523</v>
      </c>
      <c r="F3427" s="45" t="s">
        <v>478</v>
      </c>
      <c r="G3427" s="23" t="s">
        <v>817</v>
      </c>
      <c r="H3427" s="14">
        <f t="shared" si="1501"/>
        <v>14336.062</v>
      </c>
      <c r="I3427" s="14">
        <f t="shared" si="1501"/>
        <v>14336.06019</v>
      </c>
      <c r="J3427" s="14">
        <f t="shared" si="1501"/>
        <v>14336.057489999999</v>
      </c>
      <c r="K3427" s="78">
        <f t="shared" si="1491"/>
        <v>99.999981166373715</v>
      </c>
      <c r="L3427" s="14">
        <f t="shared" si="1501"/>
        <v>0</v>
      </c>
      <c r="M3427" s="50"/>
      <c r="N3427" s="50"/>
    </row>
    <row r="3428" spans="1:14" x14ac:dyDescent="0.3">
      <c r="A3428" s="8" t="s">
        <v>1459</v>
      </c>
      <c r="B3428" s="62" t="s">
        <v>929</v>
      </c>
      <c r="C3428" s="68" t="s">
        <v>1374</v>
      </c>
      <c r="D3428" s="68" t="s">
        <v>1478</v>
      </c>
      <c r="E3428" s="8" t="s">
        <v>523</v>
      </c>
      <c r="F3428" s="45" t="s">
        <v>1273</v>
      </c>
      <c r="G3428" s="23" t="s">
        <v>818</v>
      </c>
      <c r="H3428" s="14">
        <f>11594.202+2741.86</f>
        <v>14336.062</v>
      </c>
      <c r="I3428" s="14">
        <v>14336.06019</v>
      </c>
      <c r="J3428" s="14">
        <v>14336.057489999999</v>
      </c>
      <c r="K3428" s="78">
        <f t="shared" si="1491"/>
        <v>99.999981166373715</v>
      </c>
      <c r="L3428" s="14"/>
      <c r="M3428" s="50"/>
      <c r="N3428" s="50"/>
    </row>
    <row r="3429" spans="1:14" ht="31.2" x14ac:dyDescent="0.3">
      <c r="A3429" s="8" t="s">
        <v>1459</v>
      </c>
      <c r="B3429" s="62" t="s">
        <v>929</v>
      </c>
      <c r="C3429" s="68" t="s">
        <v>1374</v>
      </c>
      <c r="D3429" s="68" t="s">
        <v>1478</v>
      </c>
      <c r="E3429" s="8" t="s">
        <v>524</v>
      </c>
      <c r="F3429" s="8"/>
      <c r="G3429" s="13" t="s">
        <v>7</v>
      </c>
      <c r="H3429" s="14">
        <f t="shared" ref="H3429:L3430" si="1502">H3430</f>
        <v>205692.17</v>
      </c>
      <c r="I3429" s="14">
        <f t="shared" si="1502"/>
        <v>205692.1679</v>
      </c>
      <c r="J3429" s="14">
        <f t="shared" si="1502"/>
        <v>205692.16644</v>
      </c>
      <c r="K3429" s="78">
        <f t="shared" si="1491"/>
        <v>99.999999290201458</v>
      </c>
      <c r="L3429" s="14">
        <f t="shared" si="1502"/>
        <v>0</v>
      </c>
      <c r="M3429" s="50"/>
      <c r="N3429" s="50"/>
    </row>
    <row r="3430" spans="1:14" ht="31.2" x14ac:dyDescent="0.3">
      <c r="A3430" s="8" t="s">
        <v>1459</v>
      </c>
      <c r="B3430" s="62" t="s">
        <v>929</v>
      </c>
      <c r="C3430" s="68" t="s">
        <v>1374</v>
      </c>
      <c r="D3430" s="68" t="s">
        <v>1478</v>
      </c>
      <c r="E3430" s="8" t="s">
        <v>524</v>
      </c>
      <c r="F3430" s="45" t="s">
        <v>478</v>
      </c>
      <c r="G3430" s="23" t="s">
        <v>817</v>
      </c>
      <c r="H3430" s="14">
        <f t="shared" si="1502"/>
        <v>205692.17</v>
      </c>
      <c r="I3430" s="14">
        <f t="shared" si="1502"/>
        <v>205692.1679</v>
      </c>
      <c r="J3430" s="14">
        <f t="shared" si="1502"/>
        <v>205692.16644</v>
      </c>
      <c r="K3430" s="78">
        <f t="shared" si="1491"/>
        <v>99.999999290201458</v>
      </c>
      <c r="L3430" s="14">
        <f t="shared" si="1502"/>
        <v>0</v>
      </c>
      <c r="M3430" s="50"/>
      <c r="N3430" s="50"/>
    </row>
    <row r="3431" spans="1:14" x14ac:dyDescent="0.3">
      <c r="A3431" s="8" t="s">
        <v>1459</v>
      </c>
      <c r="B3431" s="62" t="s">
        <v>929</v>
      </c>
      <c r="C3431" s="68" t="s">
        <v>1374</v>
      </c>
      <c r="D3431" s="68" t="s">
        <v>1478</v>
      </c>
      <c r="E3431" s="8" t="s">
        <v>524</v>
      </c>
      <c r="F3431" s="45" t="s">
        <v>1273</v>
      </c>
      <c r="G3431" s="23" t="s">
        <v>818</v>
      </c>
      <c r="H3431" s="14">
        <f>316720.438-179243.307+68215.101-0.062</f>
        <v>205692.17</v>
      </c>
      <c r="I3431" s="14">
        <v>205692.1679</v>
      </c>
      <c r="J3431" s="14">
        <v>205692.16644</v>
      </c>
      <c r="K3431" s="78">
        <f t="shared" si="1491"/>
        <v>99.999999290201458</v>
      </c>
      <c r="L3431" s="14"/>
      <c r="M3431" s="50"/>
      <c r="N3431" s="50"/>
    </row>
    <row r="3432" spans="1:14" ht="31.2" x14ac:dyDescent="0.3">
      <c r="A3432" s="8" t="s">
        <v>1459</v>
      </c>
      <c r="B3432" s="62" t="s">
        <v>929</v>
      </c>
      <c r="C3432" s="68" t="s">
        <v>1374</v>
      </c>
      <c r="D3432" s="68" t="s">
        <v>1478</v>
      </c>
      <c r="E3432" s="8" t="s">
        <v>51</v>
      </c>
      <c r="F3432" s="64"/>
      <c r="G3432" s="31" t="s">
        <v>1214</v>
      </c>
      <c r="H3432" s="14">
        <f t="shared" ref="H3432:L3433" si="1503">H3433</f>
        <v>30598.295000000006</v>
      </c>
      <c r="I3432" s="14">
        <f t="shared" si="1503"/>
        <v>30598.294999999998</v>
      </c>
      <c r="J3432" s="14">
        <f t="shared" si="1503"/>
        <v>7073</v>
      </c>
      <c r="K3432" s="78">
        <f t="shared" si="1491"/>
        <v>23.115667065762977</v>
      </c>
      <c r="L3432" s="14">
        <f t="shared" si="1503"/>
        <v>0</v>
      </c>
      <c r="M3432" s="50"/>
      <c r="N3432" s="50"/>
    </row>
    <row r="3433" spans="1:14" ht="31.2" x14ac:dyDescent="0.3">
      <c r="A3433" s="8" t="s">
        <v>1459</v>
      </c>
      <c r="B3433" s="62" t="s">
        <v>929</v>
      </c>
      <c r="C3433" s="68" t="s">
        <v>1374</v>
      </c>
      <c r="D3433" s="68" t="s">
        <v>1478</v>
      </c>
      <c r="E3433" s="8" t="s">
        <v>51</v>
      </c>
      <c r="F3433" s="45" t="s">
        <v>478</v>
      </c>
      <c r="G3433" s="23" t="s">
        <v>817</v>
      </c>
      <c r="H3433" s="14">
        <f t="shared" si="1503"/>
        <v>30598.295000000006</v>
      </c>
      <c r="I3433" s="14">
        <f t="shared" si="1503"/>
        <v>30598.294999999998</v>
      </c>
      <c r="J3433" s="14">
        <f t="shared" si="1503"/>
        <v>7073</v>
      </c>
      <c r="K3433" s="78">
        <f t="shared" si="1491"/>
        <v>23.115667065762977</v>
      </c>
      <c r="L3433" s="14">
        <f t="shared" si="1503"/>
        <v>0</v>
      </c>
      <c r="M3433" s="50"/>
      <c r="N3433" s="50"/>
    </row>
    <row r="3434" spans="1:14" x14ac:dyDescent="0.3">
      <c r="A3434" s="8" t="s">
        <v>1459</v>
      </c>
      <c r="B3434" s="62" t="s">
        <v>929</v>
      </c>
      <c r="C3434" s="68" t="s">
        <v>1374</v>
      </c>
      <c r="D3434" s="68" t="s">
        <v>1478</v>
      </c>
      <c r="E3434" s="8" t="s">
        <v>51</v>
      </c>
      <c r="F3434" s="45" t="s">
        <v>1273</v>
      </c>
      <c r="G3434" s="23" t="s">
        <v>818</v>
      </c>
      <c r="H3434" s="14">
        <f>28171.8+40000-37573.505</f>
        <v>30598.295000000006</v>
      </c>
      <c r="I3434" s="14">
        <v>30598.294999999998</v>
      </c>
      <c r="J3434" s="14">
        <v>7073</v>
      </c>
      <c r="K3434" s="78">
        <f t="shared" si="1491"/>
        <v>23.115667065762977</v>
      </c>
      <c r="L3434" s="14"/>
      <c r="M3434" s="50"/>
      <c r="N3434" s="50"/>
    </row>
    <row r="3435" spans="1:14" ht="31.2" x14ac:dyDescent="0.3">
      <c r="A3435" s="8" t="s">
        <v>1459</v>
      </c>
      <c r="B3435" s="62" t="s">
        <v>929</v>
      </c>
      <c r="C3435" s="68" t="s">
        <v>1374</v>
      </c>
      <c r="D3435" s="68" t="s">
        <v>1478</v>
      </c>
      <c r="E3435" s="8" t="s">
        <v>8</v>
      </c>
      <c r="F3435" s="45"/>
      <c r="G3435" s="23" t="s">
        <v>9</v>
      </c>
      <c r="H3435" s="14">
        <f>H3436</f>
        <v>578.17999999999995</v>
      </c>
      <c r="I3435" s="14">
        <f t="shared" ref="I3435:L3436" si="1504">I3436</f>
        <v>578.17999999999995</v>
      </c>
      <c r="J3435" s="14">
        <f t="shared" si="1504"/>
        <v>87.5</v>
      </c>
      <c r="K3435" s="78">
        <f t="shared" si="1491"/>
        <v>15.133695388979213</v>
      </c>
      <c r="L3435" s="14">
        <f t="shared" si="1504"/>
        <v>0</v>
      </c>
      <c r="M3435" s="50"/>
      <c r="N3435" s="50"/>
    </row>
    <row r="3436" spans="1:14" ht="31.2" x14ac:dyDescent="0.3">
      <c r="A3436" s="8" t="s">
        <v>1459</v>
      </c>
      <c r="B3436" s="62" t="s">
        <v>929</v>
      </c>
      <c r="C3436" s="68" t="s">
        <v>1374</v>
      </c>
      <c r="D3436" s="68" t="s">
        <v>1478</v>
      </c>
      <c r="E3436" s="8" t="s">
        <v>8</v>
      </c>
      <c r="F3436" s="45" t="s">
        <v>478</v>
      </c>
      <c r="G3436" s="23" t="s">
        <v>817</v>
      </c>
      <c r="H3436" s="14">
        <f>H3437</f>
        <v>578.17999999999995</v>
      </c>
      <c r="I3436" s="14">
        <f t="shared" si="1504"/>
        <v>578.17999999999995</v>
      </c>
      <c r="J3436" s="14">
        <f t="shared" si="1504"/>
        <v>87.5</v>
      </c>
      <c r="K3436" s="78">
        <f t="shared" si="1491"/>
        <v>15.133695388979213</v>
      </c>
      <c r="L3436" s="14">
        <f t="shared" si="1504"/>
        <v>0</v>
      </c>
      <c r="M3436" s="50"/>
      <c r="N3436" s="50"/>
    </row>
    <row r="3437" spans="1:14" x14ac:dyDescent="0.3">
      <c r="A3437" s="8" t="s">
        <v>1459</v>
      </c>
      <c r="B3437" s="62" t="s">
        <v>929</v>
      </c>
      <c r="C3437" s="68" t="s">
        <v>1374</v>
      </c>
      <c r="D3437" s="68" t="s">
        <v>1478</v>
      </c>
      <c r="E3437" s="8" t="s">
        <v>8</v>
      </c>
      <c r="F3437" s="45" t="s">
        <v>1273</v>
      </c>
      <c r="G3437" s="23" t="s">
        <v>818</v>
      </c>
      <c r="H3437" s="14">
        <v>578.17999999999995</v>
      </c>
      <c r="I3437" s="14">
        <v>578.17999999999995</v>
      </c>
      <c r="J3437" s="19">
        <v>87.5</v>
      </c>
      <c r="K3437" s="75">
        <f t="shared" si="1491"/>
        <v>15.133695388979213</v>
      </c>
      <c r="L3437" s="14"/>
      <c r="M3437" s="50"/>
      <c r="N3437" s="50"/>
    </row>
    <row r="3438" spans="1:14" ht="46.8" hidden="1" x14ac:dyDescent="0.3">
      <c r="A3438" s="8" t="s">
        <v>1459</v>
      </c>
      <c r="B3438" s="62" t="s">
        <v>929</v>
      </c>
      <c r="C3438" s="68" t="s">
        <v>1374</v>
      </c>
      <c r="D3438" s="68" t="s">
        <v>1478</v>
      </c>
      <c r="E3438" s="8" t="s">
        <v>953</v>
      </c>
      <c r="F3438" s="45"/>
      <c r="G3438" s="23" t="s">
        <v>1000</v>
      </c>
      <c r="H3438" s="14">
        <f>H3439</f>
        <v>209502.28</v>
      </c>
      <c r="I3438" s="14">
        <f t="shared" ref="I3438:L3439" si="1505">I3439</f>
        <v>0</v>
      </c>
      <c r="J3438" s="14">
        <f t="shared" si="1505"/>
        <v>0</v>
      </c>
      <c r="K3438" s="78" t="e">
        <f t="shared" si="1491"/>
        <v>#DIV/0!</v>
      </c>
      <c r="L3438" s="14">
        <f t="shared" si="1505"/>
        <v>0</v>
      </c>
      <c r="M3438" s="50">
        <v>111</v>
      </c>
      <c r="N3438" s="50"/>
    </row>
    <row r="3439" spans="1:14" ht="31.2" hidden="1" x14ac:dyDescent="0.3">
      <c r="A3439" s="8" t="s">
        <v>1459</v>
      </c>
      <c r="B3439" s="62" t="s">
        <v>929</v>
      </c>
      <c r="C3439" s="68" t="s">
        <v>1374</v>
      </c>
      <c r="D3439" s="68" t="s">
        <v>1478</v>
      </c>
      <c r="E3439" s="8" t="s">
        <v>953</v>
      </c>
      <c r="F3439" s="45" t="s">
        <v>478</v>
      </c>
      <c r="G3439" s="23" t="s">
        <v>817</v>
      </c>
      <c r="H3439" s="14">
        <f>H3440</f>
        <v>209502.28</v>
      </c>
      <c r="I3439" s="14">
        <f t="shared" si="1505"/>
        <v>0</v>
      </c>
      <c r="J3439" s="14">
        <f t="shared" si="1505"/>
        <v>0</v>
      </c>
      <c r="K3439" s="78" t="e">
        <f t="shared" si="1491"/>
        <v>#DIV/0!</v>
      </c>
      <c r="L3439" s="14">
        <f t="shared" si="1505"/>
        <v>0</v>
      </c>
      <c r="M3439" s="50">
        <v>111</v>
      </c>
      <c r="N3439" s="50"/>
    </row>
    <row r="3440" spans="1:14" hidden="1" x14ac:dyDescent="0.3">
      <c r="A3440" s="8" t="s">
        <v>1459</v>
      </c>
      <c r="B3440" s="62" t="s">
        <v>929</v>
      </c>
      <c r="C3440" s="68" t="s">
        <v>1374</v>
      </c>
      <c r="D3440" s="68" t="s">
        <v>1478</v>
      </c>
      <c r="E3440" s="8" t="s">
        <v>953</v>
      </c>
      <c r="F3440" s="45" t="s">
        <v>1273</v>
      </c>
      <c r="G3440" s="23" t="s">
        <v>818</v>
      </c>
      <c r="H3440" s="14">
        <v>209502.28</v>
      </c>
      <c r="I3440" s="14">
        <v>0</v>
      </c>
      <c r="J3440" s="20">
        <v>0</v>
      </c>
      <c r="K3440" s="77" t="e">
        <f t="shared" si="1491"/>
        <v>#DIV/0!</v>
      </c>
      <c r="L3440" s="14"/>
      <c r="M3440" s="50">
        <v>111</v>
      </c>
      <c r="N3440" s="50"/>
    </row>
    <row r="3441" spans="1:14" ht="93.6" x14ac:dyDescent="0.3">
      <c r="A3441" s="8" t="s">
        <v>1459</v>
      </c>
      <c r="B3441" s="62" t="s">
        <v>929</v>
      </c>
      <c r="C3441" s="68" t="s">
        <v>1374</v>
      </c>
      <c r="D3441" s="68" t="s">
        <v>1478</v>
      </c>
      <c r="E3441" s="8" t="s">
        <v>1016</v>
      </c>
      <c r="F3441" s="45"/>
      <c r="G3441" s="13" t="s">
        <v>26</v>
      </c>
      <c r="H3441" s="14">
        <f>H3442</f>
        <v>0</v>
      </c>
      <c r="I3441" s="14">
        <f t="shared" ref="I3441:L3442" si="1506">I3442</f>
        <v>209502.28</v>
      </c>
      <c r="J3441" s="14">
        <f t="shared" si="1506"/>
        <v>209500.93471</v>
      </c>
      <c r="K3441" s="78">
        <f t="shared" si="1491"/>
        <v>99.999357863790323</v>
      </c>
      <c r="L3441" s="14">
        <f t="shared" si="1506"/>
        <v>0</v>
      </c>
      <c r="M3441" s="50"/>
      <c r="N3441" s="50"/>
    </row>
    <row r="3442" spans="1:14" ht="31.2" x14ac:dyDescent="0.3">
      <c r="A3442" s="8" t="s">
        <v>1459</v>
      </c>
      <c r="B3442" s="62" t="s">
        <v>929</v>
      </c>
      <c r="C3442" s="68" t="s">
        <v>1374</v>
      </c>
      <c r="D3442" s="68" t="s">
        <v>1478</v>
      </c>
      <c r="E3442" s="8" t="s">
        <v>1016</v>
      </c>
      <c r="F3442" s="45" t="s">
        <v>478</v>
      </c>
      <c r="G3442" s="23" t="s">
        <v>817</v>
      </c>
      <c r="H3442" s="14">
        <f>H3443</f>
        <v>0</v>
      </c>
      <c r="I3442" s="14">
        <f t="shared" si="1506"/>
        <v>209502.28</v>
      </c>
      <c r="J3442" s="14">
        <f t="shared" si="1506"/>
        <v>209500.93471</v>
      </c>
      <c r="K3442" s="78">
        <f t="shared" si="1491"/>
        <v>99.999357863790323</v>
      </c>
      <c r="L3442" s="14">
        <f t="shared" si="1506"/>
        <v>0</v>
      </c>
      <c r="M3442" s="50"/>
      <c r="N3442" s="50"/>
    </row>
    <row r="3443" spans="1:14" x14ac:dyDescent="0.3">
      <c r="A3443" s="8" t="s">
        <v>1459</v>
      </c>
      <c r="B3443" s="62" t="s">
        <v>929</v>
      </c>
      <c r="C3443" s="68" t="s">
        <v>1374</v>
      </c>
      <c r="D3443" s="68" t="s">
        <v>1478</v>
      </c>
      <c r="E3443" s="8" t="s">
        <v>1016</v>
      </c>
      <c r="F3443" s="45" t="s">
        <v>1273</v>
      </c>
      <c r="G3443" s="23" t="s">
        <v>818</v>
      </c>
      <c r="H3443" s="19">
        <v>0</v>
      </c>
      <c r="I3443" s="14">
        <v>209502.28</v>
      </c>
      <c r="J3443" s="19">
        <v>209500.93471</v>
      </c>
      <c r="K3443" s="75">
        <f t="shared" si="1491"/>
        <v>99.999357863790323</v>
      </c>
      <c r="L3443" s="14"/>
      <c r="M3443" s="50"/>
      <c r="N3443" s="50"/>
    </row>
    <row r="3444" spans="1:14" ht="124.8" x14ac:dyDescent="0.3">
      <c r="A3444" s="8" t="s">
        <v>1459</v>
      </c>
      <c r="B3444" s="62" t="s">
        <v>929</v>
      </c>
      <c r="C3444" s="68" t="s">
        <v>1374</v>
      </c>
      <c r="D3444" s="68" t="s">
        <v>1478</v>
      </c>
      <c r="E3444" s="8" t="s">
        <v>1005</v>
      </c>
      <c r="F3444" s="45"/>
      <c r="G3444" s="23" t="s">
        <v>1006</v>
      </c>
      <c r="H3444" s="14">
        <f>H3445</f>
        <v>9158.869999999999</v>
      </c>
      <c r="I3444" s="14">
        <f t="shared" ref="I3444:L3445" si="1507">I3445</f>
        <v>9158.8700000000008</v>
      </c>
      <c r="J3444" s="14">
        <f t="shared" si="1507"/>
        <v>0</v>
      </c>
      <c r="K3444" s="78">
        <f t="shared" si="1491"/>
        <v>0</v>
      </c>
      <c r="L3444" s="14">
        <f t="shared" si="1507"/>
        <v>0</v>
      </c>
      <c r="M3444" s="50"/>
      <c r="N3444" s="50"/>
    </row>
    <row r="3445" spans="1:14" ht="31.2" x14ac:dyDescent="0.3">
      <c r="A3445" s="8" t="s">
        <v>1459</v>
      </c>
      <c r="B3445" s="62" t="s">
        <v>929</v>
      </c>
      <c r="C3445" s="68" t="s">
        <v>1374</v>
      </c>
      <c r="D3445" s="68" t="s">
        <v>1478</v>
      </c>
      <c r="E3445" s="8" t="s">
        <v>1005</v>
      </c>
      <c r="F3445" s="45" t="s">
        <v>478</v>
      </c>
      <c r="G3445" s="23" t="s">
        <v>817</v>
      </c>
      <c r="H3445" s="14">
        <f>H3446</f>
        <v>9158.869999999999</v>
      </c>
      <c r="I3445" s="14">
        <f t="shared" si="1507"/>
        <v>9158.8700000000008</v>
      </c>
      <c r="J3445" s="14">
        <f t="shared" si="1507"/>
        <v>0</v>
      </c>
      <c r="K3445" s="78">
        <f t="shared" si="1491"/>
        <v>0</v>
      </c>
      <c r="L3445" s="14">
        <f t="shared" si="1507"/>
        <v>0</v>
      </c>
      <c r="M3445" s="50"/>
      <c r="N3445" s="50"/>
    </row>
    <row r="3446" spans="1:14" x14ac:dyDescent="0.3">
      <c r="A3446" s="8" t="s">
        <v>1459</v>
      </c>
      <c r="B3446" s="62" t="s">
        <v>929</v>
      </c>
      <c r="C3446" s="68" t="s">
        <v>1374</v>
      </c>
      <c r="D3446" s="68" t="s">
        <v>1478</v>
      </c>
      <c r="E3446" s="8" t="s">
        <v>1005</v>
      </c>
      <c r="F3446" s="45" t="s">
        <v>1273</v>
      </c>
      <c r="G3446" s="23" t="s">
        <v>818</v>
      </c>
      <c r="H3446" s="14">
        <f>37573.505-28414.635</f>
        <v>9158.869999999999</v>
      </c>
      <c r="I3446" s="14">
        <v>9158.8700000000008</v>
      </c>
      <c r="J3446" s="20">
        <v>0</v>
      </c>
      <c r="K3446" s="77">
        <f t="shared" si="1491"/>
        <v>0</v>
      </c>
      <c r="L3446" s="14"/>
      <c r="M3446" s="50"/>
      <c r="N3446" s="50"/>
    </row>
    <row r="3447" spans="1:14" ht="62.4" x14ac:dyDescent="0.3">
      <c r="A3447" s="8" t="s">
        <v>1459</v>
      </c>
      <c r="B3447" s="62" t="s">
        <v>929</v>
      </c>
      <c r="C3447" s="68" t="s">
        <v>1374</v>
      </c>
      <c r="D3447" s="68" t="s">
        <v>1478</v>
      </c>
      <c r="E3447" s="8" t="s">
        <v>694</v>
      </c>
      <c r="F3447" s="45"/>
      <c r="G3447" s="23" t="s">
        <v>1045</v>
      </c>
      <c r="H3447" s="14">
        <f t="shared" ref="H3447:L3448" si="1508">H3448</f>
        <v>135271.174</v>
      </c>
      <c r="I3447" s="14">
        <f t="shared" si="1508"/>
        <v>135271.17376000001</v>
      </c>
      <c r="J3447" s="14">
        <f t="shared" si="1508"/>
        <v>135271.17376000001</v>
      </c>
      <c r="K3447" s="78">
        <f t="shared" si="1491"/>
        <v>100</v>
      </c>
      <c r="L3447" s="14">
        <f t="shared" si="1508"/>
        <v>0</v>
      </c>
      <c r="M3447" s="50"/>
      <c r="N3447" s="50"/>
    </row>
    <row r="3448" spans="1:14" ht="31.2" x14ac:dyDescent="0.3">
      <c r="A3448" s="8" t="s">
        <v>1459</v>
      </c>
      <c r="B3448" s="62" t="s">
        <v>929</v>
      </c>
      <c r="C3448" s="68" t="s">
        <v>1374</v>
      </c>
      <c r="D3448" s="68" t="s">
        <v>1478</v>
      </c>
      <c r="E3448" s="8" t="s">
        <v>694</v>
      </c>
      <c r="F3448" s="45" t="s">
        <v>478</v>
      </c>
      <c r="G3448" s="23" t="s">
        <v>817</v>
      </c>
      <c r="H3448" s="14">
        <f t="shared" si="1508"/>
        <v>135271.174</v>
      </c>
      <c r="I3448" s="14">
        <f t="shared" si="1508"/>
        <v>135271.17376000001</v>
      </c>
      <c r="J3448" s="14">
        <f t="shared" si="1508"/>
        <v>135271.17376000001</v>
      </c>
      <c r="K3448" s="78">
        <f t="shared" si="1491"/>
        <v>100</v>
      </c>
      <c r="L3448" s="14">
        <f t="shared" si="1508"/>
        <v>0</v>
      </c>
      <c r="M3448" s="50"/>
      <c r="N3448" s="50"/>
    </row>
    <row r="3449" spans="1:14" x14ac:dyDescent="0.3">
      <c r="A3449" s="8" t="s">
        <v>1459</v>
      </c>
      <c r="B3449" s="62" t="s">
        <v>929</v>
      </c>
      <c r="C3449" s="68" t="s">
        <v>1374</v>
      </c>
      <c r="D3449" s="68" t="s">
        <v>1478</v>
      </c>
      <c r="E3449" s="8" t="s">
        <v>694</v>
      </c>
      <c r="F3449" s="45" t="s">
        <v>1273</v>
      </c>
      <c r="G3449" s="23" t="s">
        <v>818</v>
      </c>
      <c r="H3449" s="14">
        <f>261502.3-75069.8-51161.326</f>
        <v>135271.174</v>
      </c>
      <c r="I3449" s="14">
        <v>135271.17376000001</v>
      </c>
      <c r="J3449" s="14">
        <v>135271.17376000001</v>
      </c>
      <c r="K3449" s="78">
        <f t="shared" si="1491"/>
        <v>100</v>
      </c>
      <c r="L3449" s="14"/>
      <c r="M3449" s="50"/>
      <c r="N3449" s="50"/>
    </row>
    <row r="3450" spans="1:14" ht="93.6" x14ac:dyDescent="0.3">
      <c r="A3450" s="8" t="s">
        <v>1459</v>
      </c>
      <c r="B3450" s="62" t="s">
        <v>929</v>
      </c>
      <c r="C3450" s="68" t="s">
        <v>1374</v>
      </c>
      <c r="D3450" s="68" t="s">
        <v>1478</v>
      </c>
      <c r="E3450" s="8" t="s">
        <v>1007</v>
      </c>
      <c r="F3450" s="45"/>
      <c r="G3450" s="23" t="s">
        <v>27</v>
      </c>
      <c r="H3450" s="14">
        <f>H3451</f>
        <v>27757.051999999996</v>
      </c>
      <c r="I3450" s="14">
        <f t="shared" ref="I3450:L3451" si="1509">I3451</f>
        <v>27757.052</v>
      </c>
      <c r="J3450" s="14">
        <f t="shared" si="1509"/>
        <v>27757.052</v>
      </c>
      <c r="K3450" s="78">
        <f t="shared" si="1491"/>
        <v>100</v>
      </c>
      <c r="L3450" s="14">
        <f t="shared" si="1509"/>
        <v>0</v>
      </c>
      <c r="M3450" s="50"/>
      <c r="N3450" s="50"/>
    </row>
    <row r="3451" spans="1:14" ht="31.2" x14ac:dyDescent="0.3">
      <c r="A3451" s="8" t="s">
        <v>1459</v>
      </c>
      <c r="B3451" s="62" t="s">
        <v>929</v>
      </c>
      <c r="C3451" s="68" t="s">
        <v>1374</v>
      </c>
      <c r="D3451" s="68" t="s">
        <v>1478</v>
      </c>
      <c r="E3451" s="8" t="s">
        <v>1007</v>
      </c>
      <c r="F3451" s="45" t="s">
        <v>478</v>
      </c>
      <c r="G3451" s="23" t="s">
        <v>817</v>
      </c>
      <c r="H3451" s="14">
        <f>H3452</f>
        <v>27757.051999999996</v>
      </c>
      <c r="I3451" s="14">
        <f t="shared" si="1509"/>
        <v>27757.052</v>
      </c>
      <c r="J3451" s="14">
        <f t="shared" si="1509"/>
        <v>27757.052</v>
      </c>
      <c r="K3451" s="78">
        <f t="shared" si="1491"/>
        <v>100</v>
      </c>
      <c r="L3451" s="14">
        <f t="shared" si="1509"/>
        <v>0</v>
      </c>
      <c r="M3451" s="50"/>
      <c r="N3451" s="50"/>
    </row>
    <row r="3452" spans="1:14" x14ac:dyDescent="0.3">
      <c r="A3452" s="8" t="s">
        <v>1459</v>
      </c>
      <c r="B3452" s="62" t="s">
        <v>929</v>
      </c>
      <c r="C3452" s="68" t="s">
        <v>1374</v>
      </c>
      <c r="D3452" s="68" t="s">
        <v>1478</v>
      </c>
      <c r="E3452" s="8" t="s">
        <v>1007</v>
      </c>
      <c r="F3452" s="45" t="s">
        <v>1273</v>
      </c>
      <c r="G3452" s="23" t="s">
        <v>818</v>
      </c>
      <c r="H3452" s="14">
        <f>44810.827-17053.775</f>
        <v>27757.051999999996</v>
      </c>
      <c r="I3452" s="14">
        <v>27757.052</v>
      </c>
      <c r="J3452" s="14">
        <v>27757.052</v>
      </c>
      <c r="K3452" s="78">
        <f t="shared" si="1491"/>
        <v>100</v>
      </c>
      <c r="L3452" s="14"/>
      <c r="M3452" s="50"/>
      <c r="N3452" s="50"/>
    </row>
    <row r="3453" spans="1:14" ht="78" x14ac:dyDescent="0.3">
      <c r="A3453" s="8" t="s">
        <v>1459</v>
      </c>
      <c r="B3453" s="62" t="s">
        <v>929</v>
      </c>
      <c r="C3453" s="68" t="s">
        <v>1374</v>
      </c>
      <c r="D3453" s="68" t="s">
        <v>1478</v>
      </c>
      <c r="E3453" s="8" t="s">
        <v>693</v>
      </c>
      <c r="F3453" s="8"/>
      <c r="G3453" s="23" t="s">
        <v>690</v>
      </c>
      <c r="H3453" s="14">
        <f t="shared" ref="H3453:L3454" si="1510">H3454</f>
        <v>17333.34</v>
      </c>
      <c r="I3453" s="14">
        <f t="shared" si="1510"/>
        <v>17333.34</v>
      </c>
      <c r="J3453" s="14">
        <f t="shared" si="1510"/>
        <v>17333.339059999998</v>
      </c>
      <c r="K3453" s="78">
        <f t="shared" si="1491"/>
        <v>99.999994576925161</v>
      </c>
      <c r="L3453" s="14">
        <f t="shared" si="1510"/>
        <v>0</v>
      </c>
      <c r="M3453" s="50"/>
      <c r="N3453" s="50"/>
    </row>
    <row r="3454" spans="1:14" ht="31.2" x14ac:dyDescent="0.3">
      <c r="A3454" s="8" t="s">
        <v>1459</v>
      </c>
      <c r="B3454" s="62" t="s">
        <v>929</v>
      </c>
      <c r="C3454" s="68" t="s">
        <v>1374</v>
      </c>
      <c r="D3454" s="68" t="s">
        <v>1478</v>
      </c>
      <c r="E3454" s="8" t="s">
        <v>693</v>
      </c>
      <c r="F3454" s="45" t="s">
        <v>478</v>
      </c>
      <c r="G3454" s="23" t="s">
        <v>817</v>
      </c>
      <c r="H3454" s="14">
        <f t="shared" si="1510"/>
        <v>17333.34</v>
      </c>
      <c r="I3454" s="14">
        <f t="shared" si="1510"/>
        <v>17333.34</v>
      </c>
      <c r="J3454" s="14">
        <f t="shared" si="1510"/>
        <v>17333.339059999998</v>
      </c>
      <c r="K3454" s="78">
        <f t="shared" si="1491"/>
        <v>99.999994576925161</v>
      </c>
      <c r="L3454" s="14">
        <f t="shared" si="1510"/>
        <v>0</v>
      </c>
      <c r="M3454" s="50"/>
      <c r="N3454" s="50"/>
    </row>
    <row r="3455" spans="1:14" x14ac:dyDescent="0.3">
      <c r="A3455" s="8" t="s">
        <v>1459</v>
      </c>
      <c r="B3455" s="62" t="s">
        <v>929</v>
      </c>
      <c r="C3455" s="68" t="s">
        <v>1374</v>
      </c>
      <c r="D3455" s="68" t="s">
        <v>1478</v>
      </c>
      <c r="E3455" s="8" t="s">
        <v>693</v>
      </c>
      <c r="F3455" s="45" t="s">
        <v>1273</v>
      </c>
      <c r="G3455" s="23" t="s">
        <v>818</v>
      </c>
      <c r="H3455" s="14">
        <f>20075.2-2741.86</f>
        <v>17333.34</v>
      </c>
      <c r="I3455" s="14">
        <v>17333.34</v>
      </c>
      <c r="J3455" s="14">
        <v>17333.339059999998</v>
      </c>
      <c r="K3455" s="78">
        <f t="shared" si="1491"/>
        <v>99.999994576925161</v>
      </c>
      <c r="L3455" s="14"/>
      <c r="M3455" s="50"/>
      <c r="N3455" s="50"/>
    </row>
    <row r="3456" spans="1:14" s="9" customFormat="1" x14ac:dyDescent="0.3">
      <c r="A3456" s="11" t="s">
        <v>1459</v>
      </c>
      <c r="B3456" s="48" t="s">
        <v>923</v>
      </c>
      <c r="C3456" s="48" t="s">
        <v>1374</v>
      </c>
      <c r="D3456" s="48" t="s">
        <v>1391</v>
      </c>
      <c r="E3456" s="11"/>
      <c r="F3456" s="11"/>
      <c r="G3456" s="7" t="s">
        <v>1166</v>
      </c>
      <c r="H3456" s="16">
        <f>H3463+H3457</f>
        <v>38436.108000000007</v>
      </c>
      <c r="I3456" s="16">
        <f>I3463+I3457</f>
        <v>38436.107090000005</v>
      </c>
      <c r="J3456" s="16">
        <f t="shared" ref="J3456" si="1511">J3463+J3457</f>
        <v>20269.184650000003</v>
      </c>
      <c r="K3456" s="82">
        <f t="shared" si="1491"/>
        <v>52.734749131952221</v>
      </c>
      <c r="L3456" s="16">
        <f>L3463+L3457</f>
        <v>0</v>
      </c>
      <c r="M3456" s="65"/>
      <c r="N3456" s="65"/>
    </row>
    <row r="3457" spans="1:14" ht="31.2" x14ac:dyDescent="0.3">
      <c r="A3457" s="8" t="s">
        <v>1459</v>
      </c>
      <c r="B3457" s="62" t="s">
        <v>923</v>
      </c>
      <c r="C3457" s="68" t="s">
        <v>1374</v>
      </c>
      <c r="D3457" s="68" t="s">
        <v>1391</v>
      </c>
      <c r="E3457" s="8" t="s">
        <v>446</v>
      </c>
      <c r="F3457" s="8"/>
      <c r="G3457" s="23" t="s">
        <v>864</v>
      </c>
      <c r="H3457" s="14">
        <f t="shared" ref="H3457:L3461" si="1512">H3458</f>
        <v>18851.691000000003</v>
      </c>
      <c r="I3457" s="14">
        <f t="shared" si="1512"/>
        <v>18851.69009</v>
      </c>
      <c r="J3457" s="14">
        <f t="shared" si="1512"/>
        <v>761.34441000000004</v>
      </c>
      <c r="K3457" s="78">
        <f t="shared" si="1491"/>
        <v>4.0386002865804596</v>
      </c>
      <c r="L3457" s="14">
        <f t="shared" si="1512"/>
        <v>0</v>
      </c>
      <c r="M3457" s="50"/>
      <c r="N3457" s="50"/>
    </row>
    <row r="3458" spans="1:14" ht="31.2" x14ac:dyDescent="0.3">
      <c r="A3458" s="8" t="s">
        <v>1459</v>
      </c>
      <c r="B3458" s="62" t="s">
        <v>923</v>
      </c>
      <c r="C3458" s="68" t="s">
        <v>1374</v>
      </c>
      <c r="D3458" s="68" t="s">
        <v>1391</v>
      </c>
      <c r="E3458" s="8" t="s">
        <v>447</v>
      </c>
      <c r="F3458" s="8"/>
      <c r="G3458" s="23" t="s">
        <v>865</v>
      </c>
      <c r="H3458" s="14">
        <f t="shared" si="1512"/>
        <v>18851.691000000003</v>
      </c>
      <c r="I3458" s="14">
        <f t="shared" si="1512"/>
        <v>18851.69009</v>
      </c>
      <c r="J3458" s="14">
        <f t="shared" si="1512"/>
        <v>761.34441000000004</v>
      </c>
      <c r="K3458" s="78">
        <f t="shared" si="1491"/>
        <v>4.0386002865804596</v>
      </c>
      <c r="L3458" s="14">
        <f t="shared" si="1512"/>
        <v>0</v>
      </c>
      <c r="M3458" s="50"/>
      <c r="N3458" s="50"/>
    </row>
    <row r="3459" spans="1:14" ht="62.4" x14ac:dyDescent="0.3">
      <c r="A3459" s="8" t="s">
        <v>1459</v>
      </c>
      <c r="B3459" s="62" t="s">
        <v>923</v>
      </c>
      <c r="C3459" s="68" t="s">
        <v>1374</v>
      </c>
      <c r="D3459" s="68" t="s">
        <v>1391</v>
      </c>
      <c r="E3459" s="8" t="s">
        <v>532</v>
      </c>
      <c r="F3459" s="8"/>
      <c r="G3459" s="23" t="s">
        <v>866</v>
      </c>
      <c r="H3459" s="14">
        <f t="shared" si="1512"/>
        <v>18851.691000000003</v>
      </c>
      <c r="I3459" s="14">
        <f t="shared" si="1512"/>
        <v>18851.69009</v>
      </c>
      <c r="J3459" s="14">
        <f t="shared" si="1512"/>
        <v>761.34441000000004</v>
      </c>
      <c r="K3459" s="78">
        <f t="shared" si="1491"/>
        <v>4.0386002865804596</v>
      </c>
      <c r="L3459" s="14">
        <f t="shared" si="1512"/>
        <v>0</v>
      </c>
      <c r="M3459" s="50"/>
      <c r="N3459" s="50"/>
    </row>
    <row r="3460" spans="1:14" ht="31.2" x14ac:dyDescent="0.3">
      <c r="A3460" s="8" t="s">
        <v>1459</v>
      </c>
      <c r="B3460" s="62" t="s">
        <v>923</v>
      </c>
      <c r="C3460" s="68" t="s">
        <v>1374</v>
      </c>
      <c r="D3460" s="68" t="s">
        <v>1391</v>
      </c>
      <c r="E3460" s="8" t="s">
        <v>50</v>
      </c>
      <c r="F3460" s="8"/>
      <c r="G3460" s="33" t="s">
        <v>1205</v>
      </c>
      <c r="H3460" s="14">
        <f t="shared" si="1512"/>
        <v>18851.691000000003</v>
      </c>
      <c r="I3460" s="14">
        <f t="shared" si="1512"/>
        <v>18851.69009</v>
      </c>
      <c r="J3460" s="14">
        <f t="shared" si="1512"/>
        <v>761.34441000000004</v>
      </c>
      <c r="K3460" s="78">
        <f t="shared" si="1491"/>
        <v>4.0386002865804596</v>
      </c>
      <c r="L3460" s="14">
        <f t="shared" si="1512"/>
        <v>0</v>
      </c>
      <c r="M3460" s="50"/>
      <c r="N3460" s="50"/>
    </row>
    <row r="3461" spans="1:14" ht="31.2" x14ac:dyDescent="0.3">
      <c r="A3461" s="8" t="s">
        <v>1459</v>
      </c>
      <c r="B3461" s="62" t="s">
        <v>923</v>
      </c>
      <c r="C3461" s="68" t="s">
        <v>1374</v>
      </c>
      <c r="D3461" s="68" t="s">
        <v>1391</v>
      </c>
      <c r="E3461" s="8" t="s">
        <v>50</v>
      </c>
      <c r="F3461" s="45" t="s">
        <v>478</v>
      </c>
      <c r="G3461" s="23" t="s">
        <v>817</v>
      </c>
      <c r="H3461" s="14">
        <f t="shared" si="1512"/>
        <v>18851.691000000003</v>
      </c>
      <c r="I3461" s="14">
        <f t="shared" si="1512"/>
        <v>18851.69009</v>
      </c>
      <c r="J3461" s="14">
        <f t="shared" si="1512"/>
        <v>761.34441000000004</v>
      </c>
      <c r="K3461" s="78">
        <f t="shared" si="1491"/>
        <v>4.0386002865804596</v>
      </c>
      <c r="L3461" s="14">
        <f t="shared" si="1512"/>
        <v>0</v>
      </c>
      <c r="M3461" s="50"/>
      <c r="N3461" s="50"/>
    </row>
    <row r="3462" spans="1:14" x14ac:dyDescent="0.3">
      <c r="A3462" s="8" t="s">
        <v>1459</v>
      </c>
      <c r="B3462" s="62" t="s">
        <v>923</v>
      </c>
      <c r="C3462" s="68" t="s">
        <v>1374</v>
      </c>
      <c r="D3462" s="68" t="s">
        <v>1391</v>
      </c>
      <c r="E3462" s="8" t="s">
        <v>50</v>
      </c>
      <c r="F3462" s="45" t="s">
        <v>1273</v>
      </c>
      <c r="G3462" s="23" t="s">
        <v>818</v>
      </c>
      <c r="H3462" s="14">
        <f>40461.302-21609.611</f>
        <v>18851.691000000003</v>
      </c>
      <c r="I3462" s="14">
        <v>18851.69009</v>
      </c>
      <c r="J3462" s="14">
        <v>761.34441000000004</v>
      </c>
      <c r="K3462" s="78">
        <f t="shared" si="1491"/>
        <v>4.0386002865804596</v>
      </c>
      <c r="L3462" s="14"/>
      <c r="M3462" s="50"/>
      <c r="N3462" s="50"/>
    </row>
    <row r="3463" spans="1:14" ht="31.2" x14ac:dyDescent="0.3">
      <c r="A3463" s="8" t="s">
        <v>1459</v>
      </c>
      <c r="B3463" s="62" t="s">
        <v>923</v>
      </c>
      <c r="C3463" s="68" t="s">
        <v>1374</v>
      </c>
      <c r="D3463" s="68" t="s">
        <v>1391</v>
      </c>
      <c r="E3463" s="8" t="s">
        <v>461</v>
      </c>
      <c r="F3463" s="8"/>
      <c r="G3463" s="23" t="s">
        <v>1137</v>
      </c>
      <c r="H3463" s="14">
        <f t="shared" ref="H3463:L3467" si="1513">H3464</f>
        <v>19584.417000000001</v>
      </c>
      <c r="I3463" s="14">
        <f t="shared" si="1513"/>
        <v>19584.417000000001</v>
      </c>
      <c r="J3463" s="14">
        <f t="shared" si="1513"/>
        <v>19507.840240000001</v>
      </c>
      <c r="K3463" s="78">
        <f t="shared" si="1491"/>
        <v>99.608991373090149</v>
      </c>
      <c r="L3463" s="14">
        <f t="shared" si="1513"/>
        <v>0</v>
      </c>
      <c r="M3463" s="50"/>
      <c r="N3463" s="50"/>
    </row>
    <row r="3464" spans="1:14" ht="46.8" x14ac:dyDescent="0.3">
      <c r="A3464" s="8" t="s">
        <v>1459</v>
      </c>
      <c r="B3464" s="62" t="s">
        <v>923</v>
      </c>
      <c r="C3464" s="68" t="s">
        <v>1374</v>
      </c>
      <c r="D3464" s="68" t="s">
        <v>1391</v>
      </c>
      <c r="E3464" s="8" t="s">
        <v>476</v>
      </c>
      <c r="F3464" s="8"/>
      <c r="G3464" s="18" t="s">
        <v>141</v>
      </c>
      <c r="H3464" s="14">
        <f t="shared" si="1513"/>
        <v>19584.417000000001</v>
      </c>
      <c r="I3464" s="14">
        <f t="shared" si="1513"/>
        <v>19584.417000000001</v>
      </c>
      <c r="J3464" s="14">
        <f t="shared" si="1513"/>
        <v>19507.840240000001</v>
      </c>
      <c r="K3464" s="78">
        <f t="shared" ref="K3464:K3527" si="1514">J3464/I3464*100</f>
        <v>99.608991373090149</v>
      </c>
      <c r="L3464" s="14">
        <f t="shared" si="1513"/>
        <v>0</v>
      </c>
      <c r="M3464" s="50"/>
      <c r="N3464" s="50"/>
    </row>
    <row r="3465" spans="1:14" ht="62.4" x14ac:dyDescent="0.3">
      <c r="A3465" s="8" t="s">
        <v>1459</v>
      </c>
      <c r="B3465" s="62" t="s">
        <v>923</v>
      </c>
      <c r="C3465" s="68" t="s">
        <v>1374</v>
      </c>
      <c r="D3465" s="68" t="s">
        <v>1391</v>
      </c>
      <c r="E3465" s="8" t="s">
        <v>477</v>
      </c>
      <c r="F3465" s="8"/>
      <c r="G3465" s="23" t="s">
        <v>1326</v>
      </c>
      <c r="H3465" s="14">
        <f>H3466</f>
        <v>19584.417000000001</v>
      </c>
      <c r="I3465" s="14">
        <f t="shared" si="1513"/>
        <v>19584.417000000001</v>
      </c>
      <c r="J3465" s="14">
        <f t="shared" si="1513"/>
        <v>19507.840240000001</v>
      </c>
      <c r="K3465" s="78">
        <f t="shared" si="1514"/>
        <v>99.608991373090149</v>
      </c>
      <c r="L3465" s="14">
        <f t="shared" si="1513"/>
        <v>0</v>
      </c>
      <c r="M3465" s="50"/>
      <c r="N3465" s="50"/>
    </row>
    <row r="3466" spans="1:14" ht="46.8" x14ac:dyDescent="0.3">
      <c r="A3466" s="8" t="s">
        <v>1459</v>
      </c>
      <c r="B3466" s="62" t="s">
        <v>923</v>
      </c>
      <c r="C3466" s="68" t="s">
        <v>1374</v>
      </c>
      <c r="D3466" s="68" t="s">
        <v>1391</v>
      </c>
      <c r="E3466" s="8" t="s">
        <v>525</v>
      </c>
      <c r="F3466" s="8"/>
      <c r="G3466" s="31" t="s">
        <v>1465</v>
      </c>
      <c r="H3466" s="14">
        <f t="shared" si="1513"/>
        <v>19584.417000000001</v>
      </c>
      <c r="I3466" s="14">
        <f t="shared" si="1513"/>
        <v>19584.417000000001</v>
      </c>
      <c r="J3466" s="14">
        <f t="shared" si="1513"/>
        <v>19507.840240000001</v>
      </c>
      <c r="K3466" s="78">
        <f t="shared" si="1514"/>
        <v>99.608991373090149</v>
      </c>
      <c r="L3466" s="14">
        <f t="shared" si="1513"/>
        <v>0</v>
      </c>
      <c r="M3466" s="50"/>
      <c r="N3466" s="50"/>
    </row>
    <row r="3467" spans="1:14" ht="31.2" x14ac:dyDescent="0.3">
      <c r="A3467" s="8" t="s">
        <v>1459</v>
      </c>
      <c r="B3467" s="62" t="s">
        <v>923</v>
      </c>
      <c r="C3467" s="68" t="s">
        <v>1374</v>
      </c>
      <c r="D3467" s="68" t="s">
        <v>1391</v>
      </c>
      <c r="E3467" s="8" t="s">
        <v>525</v>
      </c>
      <c r="F3467" s="45" t="s">
        <v>478</v>
      </c>
      <c r="G3467" s="23" t="s">
        <v>817</v>
      </c>
      <c r="H3467" s="14">
        <f t="shared" si="1513"/>
        <v>19584.417000000001</v>
      </c>
      <c r="I3467" s="14">
        <f t="shared" si="1513"/>
        <v>19584.417000000001</v>
      </c>
      <c r="J3467" s="14">
        <f t="shared" si="1513"/>
        <v>19507.840240000001</v>
      </c>
      <c r="K3467" s="78">
        <f t="shared" si="1514"/>
        <v>99.608991373090149</v>
      </c>
      <c r="L3467" s="14">
        <f t="shared" si="1513"/>
        <v>0</v>
      </c>
      <c r="M3467" s="50"/>
      <c r="N3467" s="50"/>
    </row>
    <row r="3468" spans="1:14" x14ac:dyDescent="0.3">
      <c r="A3468" s="8" t="s">
        <v>1459</v>
      </c>
      <c r="B3468" s="62" t="s">
        <v>923</v>
      </c>
      <c r="C3468" s="68" t="s">
        <v>1374</v>
      </c>
      <c r="D3468" s="68" t="s">
        <v>1391</v>
      </c>
      <c r="E3468" s="8" t="s">
        <v>525</v>
      </c>
      <c r="F3468" s="45" t="s">
        <v>1273</v>
      </c>
      <c r="G3468" s="23" t="s">
        <v>818</v>
      </c>
      <c r="H3468" s="14">
        <f>29815.4-10230.983</f>
        <v>19584.417000000001</v>
      </c>
      <c r="I3468" s="14">
        <v>19584.417000000001</v>
      </c>
      <c r="J3468" s="14">
        <v>19507.840240000001</v>
      </c>
      <c r="K3468" s="78">
        <f t="shared" si="1514"/>
        <v>99.608991373090149</v>
      </c>
      <c r="L3468" s="14"/>
      <c r="M3468" s="50"/>
      <c r="N3468" s="50"/>
    </row>
    <row r="3469" spans="1:14" s="9" customFormat="1" x14ac:dyDescent="0.3">
      <c r="A3469" s="11" t="s">
        <v>1459</v>
      </c>
      <c r="B3469" s="48" t="s">
        <v>924</v>
      </c>
      <c r="C3469" s="48" t="s">
        <v>1374</v>
      </c>
      <c r="D3469" s="48" t="s">
        <v>1374</v>
      </c>
      <c r="E3469" s="11"/>
      <c r="F3469" s="29"/>
      <c r="G3469" s="7" t="s">
        <v>1221</v>
      </c>
      <c r="H3469" s="16">
        <f t="shared" ref="H3469:L3473" si="1515">H3470</f>
        <v>14500</v>
      </c>
      <c r="I3469" s="16">
        <f t="shared" si="1515"/>
        <v>14500</v>
      </c>
      <c r="J3469" s="16">
        <f t="shared" si="1515"/>
        <v>0</v>
      </c>
      <c r="K3469" s="82">
        <f t="shared" si="1514"/>
        <v>0</v>
      </c>
      <c r="L3469" s="16">
        <f t="shared" si="1515"/>
        <v>0</v>
      </c>
      <c r="M3469" s="65"/>
      <c r="N3469" s="65"/>
    </row>
    <row r="3470" spans="1:14" x14ac:dyDescent="0.3">
      <c r="A3470" s="8" t="s">
        <v>1459</v>
      </c>
      <c r="B3470" s="62" t="s">
        <v>924</v>
      </c>
      <c r="C3470" s="68" t="s">
        <v>1374</v>
      </c>
      <c r="D3470" s="68" t="s">
        <v>1374</v>
      </c>
      <c r="E3470" s="8" t="s">
        <v>390</v>
      </c>
      <c r="F3470" s="45"/>
      <c r="G3470" s="13" t="s">
        <v>862</v>
      </c>
      <c r="H3470" s="14">
        <f t="shared" si="1515"/>
        <v>14500</v>
      </c>
      <c r="I3470" s="14">
        <f t="shared" si="1515"/>
        <v>14500</v>
      </c>
      <c r="J3470" s="14">
        <f t="shared" si="1515"/>
        <v>0</v>
      </c>
      <c r="K3470" s="78">
        <f t="shared" si="1514"/>
        <v>0</v>
      </c>
      <c r="L3470" s="14">
        <f t="shared" si="1515"/>
        <v>0</v>
      </c>
      <c r="M3470" s="50"/>
      <c r="N3470" s="50"/>
    </row>
    <row r="3471" spans="1:14" ht="31.2" x14ac:dyDescent="0.3">
      <c r="A3471" s="8" t="s">
        <v>1459</v>
      </c>
      <c r="B3471" s="62" t="s">
        <v>924</v>
      </c>
      <c r="C3471" s="68" t="s">
        <v>1374</v>
      </c>
      <c r="D3471" s="68" t="s">
        <v>1374</v>
      </c>
      <c r="E3471" s="8" t="s">
        <v>391</v>
      </c>
      <c r="F3471" s="45"/>
      <c r="G3471" s="13" t="s">
        <v>1294</v>
      </c>
      <c r="H3471" s="14">
        <f t="shared" si="1515"/>
        <v>14500</v>
      </c>
      <c r="I3471" s="14">
        <f t="shared" si="1515"/>
        <v>14500</v>
      </c>
      <c r="J3471" s="14">
        <f t="shared" si="1515"/>
        <v>0</v>
      </c>
      <c r="K3471" s="78">
        <f t="shared" si="1514"/>
        <v>0</v>
      </c>
      <c r="L3471" s="14">
        <f t="shared" si="1515"/>
        <v>0</v>
      </c>
      <c r="M3471" s="50"/>
      <c r="N3471" s="50"/>
    </row>
    <row r="3472" spans="1:14" ht="46.8" x14ac:dyDescent="0.3">
      <c r="A3472" s="8" t="s">
        <v>1459</v>
      </c>
      <c r="B3472" s="62" t="s">
        <v>924</v>
      </c>
      <c r="C3472" s="68" t="s">
        <v>1374</v>
      </c>
      <c r="D3472" s="68" t="s">
        <v>1374</v>
      </c>
      <c r="E3472" s="8" t="s">
        <v>227</v>
      </c>
      <c r="F3472" s="45"/>
      <c r="G3472" s="23" t="s">
        <v>296</v>
      </c>
      <c r="H3472" s="14">
        <f t="shared" si="1515"/>
        <v>14500</v>
      </c>
      <c r="I3472" s="14">
        <f t="shared" si="1515"/>
        <v>14500</v>
      </c>
      <c r="J3472" s="14">
        <f t="shared" si="1515"/>
        <v>0</v>
      </c>
      <c r="K3472" s="78">
        <f t="shared" si="1514"/>
        <v>0</v>
      </c>
      <c r="L3472" s="14">
        <f t="shared" si="1515"/>
        <v>0</v>
      </c>
      <c r="M3472" s="50"/>
      <c r="N3472" s="50"/>
    </row>
    <row r="3473" spans="1:14" ht="31.2" x14ac:dyDescent="0.3">
      <c r="A3473" s="8" t="s">
        <v>1459</v>
      </c>
      <c r="B3473" s="62" t="s">
        <v>924</v>
      </c>
      <c r="C3473" s="68" t="s">
        <v>1374</v>
      </c>
      <c r="D3473" s="68" t="s">
        <v>1374</v>
      </c>
      <c r="E3473" s="8" t="s">
        <v>228</v>
      </c>
      <c r="F3473" s="45"/>
      <c r="G3473" s="23" t="s">
        <v>297</v>
      </c>
      <c r="H3473" s="14">
        <f t="shared" si="1515"/>
        <v>14500</v>
      </c>
      <c r="I3473" s="14">
        <f t="shared" si="1515"/>
        <v>14500</v>
      </c>
      <c r="J3473" s="14">
        <f t="shared" si="1515"/>
        <v>0</v>
      </c>
      <c r="K3473" s="78">
        <f t="shared" si="1514"/>
        <v>0</v>
      </c>
      <c r="L3473" s="14">
        <f t="shared" si="1515"/>
        <v>0</v>
      </c>
      <c r="M3473" s="50"/>
      <c r="N3473" s="50"/>
    </row>
    <row r="3474" spans="1:14" ht="31.2" x14ac:dyDescent="0.3">
      <c r="A3474" s="8" t="s">
        <v>1459</v>
      </c>
      <c r="B3474" s="62" t="s">
        <v>924</v>
      </c>
      <c r="C3474" s="68" t="s">
        <v>1374</v>
      </c>
      <c r="D3474" s="68" t="s">
        <v>1374</v>
      </c>
      <c r="E3474" s="8" t="s">
        <v>228</v>
      </c>
      <c r="F3474" s="45" t="s">
        <v>478</v>
      </c>
      <c r="G3474" s="23" t="s">
        <v>817</v>
      </c>
      <c r="H3474" s="14">
        <f>H3476</f>
        <v>14500</v>
      </c>
      <c r="I3474" s="14">
        <f>I3476+I3475</f>
        <v>14500</v>
      </c>
      <c r="J3474" s="14">
        <f t="shared" ref="J3474:L3474" si="1516">J3476+J3475</f>
        <v>0</v>
      </c>
      <c r="K3474" s="78">
        <f t="shared" si="1514"/>
        <v>0</v>
      </c>
      <c r="L3474" s="14">
        <f t="shared" si="1516"/>
        <v>0</v>
      </c>
      <c r="M3474" s="50"/>
      <c r="N3474" s="50"/>
    </row>
    <row r="3475" spans="1:14" x14ac:dyDescent="0.3">
      <c r="A3475" s="8" t="s">
        <v>1459</v>
      </c>
      <c r="B3475" s="62" t="s">
        <v>924</v>
      </c>
      <c r="C3475" s="68" t="s">
        <v>1374</v>
      </c>
      <c r="D3475" s="68" t="s">
        <v>1374</v>
      </c>
      <c r="E3475" s="8" t="s">
        <v>228</v>
      </c>
      <c r="F3475" s="45" t="s">
        <v>1273</v>
      </c>
      <c r="G3475" s="23" t="s">
        <v>818</v>
      </c>
      <c r="H3475" s="20">
        <v>0</v>
      </c>
      <c r="I3475" s="14">
        <v>14500</v>
      </c>
      <c r="J3475" s="19">
        <v>0</v>
      </c>
      <c r="K3475" s="75">
        <f t="shared" si="1514"/>
        <v>0</v>
      </c>
      <c r="L3475" s="14"/>
      <c r="M3475" s="50"/>
      <c r="N3475" s="50"/>
    </row>
    <row r="3476" spans="1:14" ht="109.2" hidden="1" x14ac:dyDescent="0.3">
      <c r="A3476" s="8" t="s">
        <v>1459</v>
      </c>
      <c r="B3476" s="62" t="s">
        <v>924</v>
      </c>
      <c r="C3476" s="68" t="s">
        <v>1374</v>
      </c>
      <c r="D3476" s="68" t="s">
        <v>1374</v>
      </c>
      <c r="E3476" s="8" t="s">
        <v>228</v>
      </c>
      <c r="F3476" s="45" t="s">
        <v>725</v>
      </c>
      <c r="G3476" s="60" t="s">
        <v>828</v>
      </c>
      <c r="H3476" s="14">
        <f>15000-500</f>
        <v>14500</v>
      </c>
      <c r="I3476" s="14">
        <v>0</v>
      </c>
      <c r="J3476" s="14">
        <v>0</v>
      </c>
      <c r="K3476" s="78" t="e">
        <f t="shared" si="1514"/>
        <v>#DIV/0!</v>
      </c>
      <c r="L3476" s="14"/>
      <c r="M3476" s="50">
        <v>111</v>
      </c>
      <c r="N3476" s="50"/>
    </row>
    <row r="3477" spans="1:14" s="3" customFormat="1" x14ac:dyDescent="0.3">
      <c r="A3477" s="10" t="s">
        <v>1459</v>
      </c>
      <c r="B3477" s="43" t="s">
        <v>1398</v>
      </c>
      <c r="C3477" s="43" t="s">
        <v>1398</v>
      </c>
      <c r="D3477" s="43" t="s">
        <v>915</v>
      </c>
      <c r="E3477" s="10"/>
      <c r="F3477" s="26"/>
      <c r="G3477" s="27" t="s">
        <v>1233</v>
      </c>
      <c r="H3477" s="15">
        <f t="shared" ref="H3477:L3482" si="1517">H3478</f>
        <v>1561.5259999999998</v>
      </c>
      <c r="I3477" s="15">
        <f t="shared" si="1517"/>
        <v>1561.5260000000001</v>
      </c>
      <c r="J3477" s="15">
        <f t="shared" si="1517"/>
        <v>1561.52513</v>
      </c>
      <c r="K3477" s="81">
        <f t="shared" si="1514"/>
        <v>99.999944285269663</v>
      </c>
      <c r="L3477" s="15">
        <f t="shared" si="1517"/>
        <v>0</v>
      </c>
      <c r="M3477" s="65"/>
      <c r="N3477" s="65"/>
    </row>
    <row r="3478" spans="1:14" s="9" customFormat="1" x14ac:dyDescent="0.3">
      <c r="A3478" s="11" t="s">
        <v>1459</v>
      </c>
      <c r="B3478" s="48" t="s">
        <v>922</v>
      </c>
      <c r="C3478" s="48" t="s">
        <v>1398</v>
      </c>
      <c r="D3478" s="48" t="s">
        <v>1374</v>
      </c>
      <c r="E3478" s="11"/>
      <c r="F3478" s="29"/>
      <c r="G3478" s="25" t="s">
        <v>1234</v>
      </c>
      <c r="H3478" s="16">
        <f>H3479</f>
        <v>1561.5259999999998</v>
      </c>
      <c r="I3478" s="16">
        <f t="shared" si="1517"/>
        <v>1561.5260000000001</v>
      </c>
      <c r="J3478" s="16">
        <f t="shared" si="1517"/>
        <v>1561.52513</v>
      </c>
      <c r="K3478" s="82">
        <f t="shared" si="1514"/>
        <v>99.999944285269663</v>
      </c>
      <c r="L3478" s="16">
        <f t="shared" si="1517"/>
        <v>0</v>
      </c>
      <c r="M3478" s="65"/>
      <c r="N3478" s="65"/>
    </row>
    <row r="3479" spans="1:14" ht="31.2" x14ac:dyDescent="0.3">
      <c r="A3479" s="8" t="s">
        <v>1459</v>
      </c>
      <c r="B3479" s="62" t="s">
        <v>922</v>
      </c>
      <c r="C3479" s="68" t="s">
        <v>1398</v>
      </c>
      <c r="D3479" s="68" t="s">
        <v>1374</v>
      </c>
      <c r="E3479" s="8" t="s">
        <v>429</v>
      </c>
      <c r="F3479" s="45"/>
      <c r="G3479" s="23" t="s">
        <v>1140</v>
      </c>
      <c r="H3479" s="14">
        <f t="shared" si="1517"/>
        <v>1561.5259999999998</v>
      </c>
      <c r="I3479" s="14">
        <f t="shared" si="1517"/>
        <v>1561.5260000000001</v>
      </c>
      <c r="J3479" s="14">
        <f t="shared" si="1517"/>
        <v>1561.52513</v>
      </c>
      <c r="K3479" s="78">
        <f t="shared" si="1514"/>
        <v>99.999944285269663</v>
      </c>
      <c r="L3479" s="14">
        <f t="shared" si="1517"/>
        <v>0</v>
      </c>
      <c r="M3479" s="50"/>
      <c r="N3479" s="50"/>
    </row>
    <row r="3480" spans="1:14" ht="46.8" x14ac:dyDescent="0.3">
      <c r="A3480" s="8" t="s">
        <v>1459</v>
      </c>
      <c r="B3480" s="62" t="s">
        <v>922</v>
      </c>
      <c r="C3480" s="68" t="s">
        <v>1398</v>
      </c>
      <c r="D3480" s="68" t="s">
        <v>1374</v>
      </c>
      <c r="E3480" s="8" t="s">
        <v>550</v>
      </c>
      <c r="F3480" s="45"/>
      <c r="G3480" s="23" t="s">
        <v>1179</v>
      </c>
      <c r="H3480" s="14">
        <f t="shared" si="1517"/>
        <v>1561.5259999999998</v>
      </c>
      <c r="I3480" s="14">
        <f t="shared" si="1517"/>
        <v>1561.5260000000001</v>
      </c>
      <c r="J3480" s="14">
        <f t="shared" si="1517"/>
        <v>1561.52513</v>
      </c>
      <c r="K3480" s="78">
        <f t="shared" si="1514"/>
        <v>99.999944285269663</v>
      </c>
      <c r="L3480" s="14">
        <f t="shared" si="1517"/>
        <v>0</v>
      </c>
      <c r="M3480" s="50"/>
      <c r="N3480" s="50"/>
    </row>
    <row r="3481" spans="1:14" ht="31.2" x14ac:dyDescent="0.3">
      <c r="A3481" s="8" t="s">
        <v>1459</v>
      </c>
      <c r="B3481" s="62" t="s">
        <v>922</v>
      </c>
      <c r="C3481" s="68" t="s">
        <v>1398</v>
      </c>
      <c r="D3481" s="68" t="s">
        <v>1374</v>
      </c>
      <c r="E3481" s="8" t="s">
        <v>243</v>
      </c>
      <c r="F3481" s="45"/>
      <c r="G3481" s="23" t="s">
        <v>21</v>
      </c>
      <c r="H3481" s="14">
        <f t="shared" si="1517"/>
        <v>1561.5259999999998</v>
      </c>
      <c r="I3481" s="14">
        <f t="shared" si="1517"/>
        <v>1561.5260000000001</v>
      </c>
      <c r="J3481" s="14">
        <f t="shared" si="1517"/>
        <v>1561.52513</v>
      </c>
      <c r="K3481" s="78">
        <f t="shared" si="1514"/>
        <v>99.999944285269663</v>
      </c>
      <c r="L3481" s="14">
        <f t="shared" si="1517"/>
        <v>0</v>
      </c>
      <c r="M3481" s="50"/>
      <c r="N3481" s="50"/>
    </row>
    <row r="3482" spans="1:14" ht="31.2" x14ac:dyDescent="0.3">
      <c r="A3482" s="8" t="s">
        <v>1459</v>
      </c>
      <c r="B3482" s="62" t="s">
        <v>922</v>
      </c>
      <c r="C3482" s="68" t="s">
        <v>1398</v>
      </c>
      <c r="D3482" s="68" t="s">
        <v>1374</v>
      </c>
      <c r="E3482" s="8" t="s">
        <v>243</v>
      </c>
      <c r="F3482" s="45" t="s">
        <v>478</v>
      </c>
      <c r="G3482" s="23" t="s">
        <v>817</v>
      </c>
      <c r="H3482" s="14">
        <f t="shared" si="1517"/>
        <v>1561.5259999999998</v>
      </c>
      <c r="I3482" s="14">
        <f t="shared" si="1517"/>
        <v>1561.5260000000001</v>
      </c>
      <c r="J3482" s="14">
        <f t="shared" si="1517"/>
        <v>1561.52513</v>
      </c>
      <c r="K3482" s="78">
        <f t="shared" si="1514"/>
        <v>99.999944285269663</v>
      </c>
      <c r="L3482" s="14">
        <f t="shared" si="1517"/>
        <v>0</v>
      </c>
      <c r="M3482" s="50"/>
      <c r="N3482" s="50"/>
    </row>
    <row r="3483" spans="1:14" x14ac:dyDescent="0.3">
      <c r="A3483" s="8" t="s">
        <v>1459</v>
      </c>
      <c r="B3483" s="62" t="s">
        <v>922</v>
      </c>
      <c r="C3483" s="68" t="s">
        <v>1398</v>
      </c>
      <c r="D3483" s="68" t="s">
        <v>1374</v>
      </c>
      <c r="E3483" s="8" t="s">
        <v>243</v>
      </c>
      <c r="F3483" s="45" t="s">
        <v>1273</v>
      </c>
      <c r="G3483" s="23" t="s">
        <v>818</v>
      </c>
      <c r="H3483" s="14">
        <f>1791.3-229.774</f>
        <v>1561.5259999999998</v>
      </c>
      <c r="I3483" s="14">
        <v>1561.5260000000001</v>
      </c>
      <c r="J3483" s="14">
        <v>1561.52513</v>
      </c>
      <c r="K3483" s="78">
        <f t="shared" si="1514"/>
        <v>99.999944285269663</v>
      </c>
      <c r="L3483" s="14"/>
      <c r="M3483" s="50"/>
      <c r="N3483" s="50"/>
    </row>
    <row r="3484" spans="1:14" s="3" customFormat="1" x14ac:dyDescent="0.3">
      <c r="A3484" s="10" t="s">
        <v>1459</v>
      </c>
      <c r="B3484" s="43" t="s">
        <v>1382</v>
      </c>
      <c r="C3484" s="43" t="s">
        <v>1382</v>
      </c>
      <c r="D3484" s="43" t="s">
        <v>915</v>
      </c>
      <c r="E3484" s="10"/>
      <c r="F3484" s="10"/>
      <c r="G3484" s="5" t="s">
        <v>1417</v>
      </c>
      <c r="H3484" s="15">
        <f t="shared" ref="H3484:L3490" si="1518">H3485</f>
        <v>97647.357000000004</v>
      </c>
      <c r="I3484" s="15">
        <f t="shared" si="1518"/>
        <v>97647.355620000002</v>
      </c>
      <c r="J3484" s="15">
        <f t="shared" si="1518"/>
        <v>96226.89705</v>
      </c>
      <c r="K3484" s="81">
        <f t="shared" si="1514"/>
        <v>98.545317934130452</v>
      </c>
      <c r="L3484" s="15">
        <f t="shared" si="1518"/>
        <v>0</v>
      </c>
      <c r="M3484" s="65"/>
      <c r="N3484" s="65"/>
    </row>
    <row r="3485" spans="1:14" s="9" customFormat="1" x14ac:dyDescent="0.3">
      <c r="A3485" s="11" t="s">
        <v>1459</v>
      </c>
      <c r="B3485" s="48" t="s">
        <v>914</v>
      </c>
      <c r="C3485" s="48" t="s">
        <v>1382</v>
      </c>
      <c r="D3485" s="48" t="s">
        <v>1478</v>
      </c>
      <c r="E3485" s="11"/>
      <c r="F3485" s="11"/>
      <c r="G3485" s="7" t="s">
        <v>1425</v>
      </c>
      <c r="H3485" s="16">
        <f t="shared" si="1518"/>
        <v>97647.357000000004</v>
      </c>
      <c r="I3485" s="16">
        <f t="shared" si="1518"/>
        <v>97647.355620000002</v>
      </c>
      <c r="J3485" s="16">
        <f t="shared" si="1518"/>
        <v>96226.89705</v>
      </c>
      <c r="K3485" s="82">
        <f t="shared" si="1514"/>
        <v>98.545317934130452</v>
      </c>
      <c r="L3485" s="16">
        <f t="shared" si="1518"/>
        <v>0</v>
      </c>
      <c r="M3485" s="65"/>
      <c r="N3485" s="65"/>
    </row>
    <row r="3486" spans="1:14" ht="31.2" x14ac:dyDescent="0.3">
      <c r="A3486" s="8" t="s">
        <v>1459</v>
      </c>
      <c r="B3486" s="62" t="s">
        <v>914</v>
      </c>
      <c r="C3486" s="68" t="s">
        <v>1382</v>
      </c>
      <c r="D3486" s="68" t="s">
        <v>1478</v>
      </c>
      <c r="E3486" s="8" t="s">
        <v>446</v>
      </c>
      <c r="F3486" s="8"/>
      <c r="G3486" s="23" t="s">
        <v>864</v>
      </c>
      <c r="H3486" s="14">
        <f t="shared" si="1518"/>
        <v>97647.357000000004</v>
      </c>
      <c r="I3486" s="14">
        <f t="shared" si="1518"/>
        <v>97647.355620000002</v>
      </c>
      <c r="J3486" s="14">
        <f t="shared" si="1518"/>
        <v>96226.89705</v>
      </c>
      <c r="K3486" s="78">
        <f t="shared" si="1514"/>
        <v>98.545317934130452</v>
      </c>
      <c r="L3486" s="14">
        <f t="shared" si="1518"/>
        <v>0</v>
      </c>
      <c r="M3486" s="50"/>
      <c r="N3486" s="50"/>
    </row>
    <row r="3487" spans="1:14" ht="31.2" x14ac:dyDescent="0.3">
      <c r="A3487" s="8" t="s">
        <v>1459</v>
      </c>
      <c r="B3487" s="62" t="s">
        <v>914</v>
      </c>
      <c r="C3487" s="68" t="s">
        <v>1382</v>
      </c>
      <c r="D3487" s="68" t="s">
        <v>1478</v>
      </c>
      <c r="E3487" s="8" t="s">
        <v>447</v>
      </c>
      <c r="F3487" s="8"/>
      <c r="G3487" s="23" t="s">
        <v>865</v>
      </c>
      <c r="H3487" s="14">
        <f t="shared" si="1518"/>
        <v>97647.357000000004</v>
      </c>
      <c r="I3487" s="14">
        <f t="shared" si="1518"/>
        <v>97647.355620000002</v>
      </c>
      <c r="J3487" s="14">
        <f t="shared" si="1518"/>
        <v>96226.89705</v>
      </c>
      <c r="K3487" s="78">
        <f t="shared" si="1514"/>
        <v>98.545317934130452</v>
      </c>
      <c r="L3487" s="14">
        <f t="shared" si="1518"/>
        <v>0</v>
      </c>
      <c r="M3487" s="50"/>
      <c r="N3487" s="50"/>
    </row>
    <row r="3488" spans="1:14" ht="62.4" x14ac:dyDescent="0.3">
      <c r="A3488" s="8" t="s">
        <v>1459</v>
      </c>
      <c r="B3488" s="62" t="s">
        <v>914</v>
      </c>
      <c r="C3488" s="68" t="s">
        <v>1382</v>
      </c>
      <c r="D3488" s="68" t="s">
        <v>1478</v>
      </c>
      <c r="E3488" s="8" t="s">
        <v>532</v>
      </c>
      <c r="F3488" s="8"/>
      <c r="G3488" s="23" t="s">
        <v>866</v>
      </c>
      <c r="H3488" s="14">
        <f>H3489</f>
        <v>97647.357000000004</v>
      </c>
      <c r="I3488" s="14">
        <f t="shared" si="1518"/>
        <v>97647.355620000002</v>
      </c>
      <c r="J3488" s="14">
        <f t="shared" si="1518"/>
        <v>96226.89705</v>
      </c>
      <c r="K3488" s="78">
        <f t="shared" si="1514"/>
        <v>98.545317934130452</v>
      </c>
      <c r="L3488" s="14">
        <f t="shared" si="1518"/>
        <v>0</v>
      </c>
      <c r="M3488" s="50"/>
      <c r="N3488" s="50"/>
    </row>
    <row r="3489" spans="1:14" ht="31.2" x14ac:dyDescent="0.3">
      <c r="A3489" s="8" t="s">
        <v>1459</v>
      </c>
      <c r="B3489" s="62" t="s">
        <v>914</v>
      </c>
      <c r="C3489" s="68" t="s">
        <v>1382</v>
      </c>
      <c r="D3489" s="68" t="s">
        <v>1478</v>
      </c>
      <c r="E3489" s="8" t="s">
        <v>672</v>
      </c>
      <c r="F3489" s="8"/>
      <c r="G3489" s="18" t="s">
        <v>1204</v>
      </c>
      <c r="H3489" s="14">
        <f t="shared" si="1518"/>
        <v>97647.357000000004</v>
      </c>
      <c r="I3489" s="14">
        <f t="shared" si="1518"/>
        <v>97647.355620000002</v>
      </c>
      <c r="J3489" s="14">
        <f t="shared" si="1518"/>
        <v>96226.89705</v>
      </c>
      <c r="K3489" s="78">
        <f t="shared" si="1514"/>
        <v>98.545317934130452</v>
      </c>
      <c r="L3489" s="14">
        <f t="shared" si="1518"/>
        <v>0</v>
      </c>
      <c r="M3489" s="50"/>
      <c r="N3489" s="50"/>
    </row>
    <row r="3490" spans="1:14" ht="31.2" x14ac:dyDescent="0.3">
      <c r="A3490" s="8" t="s">
        <v>1459</v>
      </c>
      <c r="B3490" s="62" t="s">
        <v>914</v>
      </c>
      <c r="C3490" s="68" t="s">
        <v>1382</v>
      </c>
      <c r="D3490" s="68" t="s">
        <v>1478</v>
      </c>
      <c r="E3490" s="8" t="s">
        <v>672</v>
      </c>
      <c r="F3490" s="45" t="s">
        <v>478</v>
      </c>
      <c r="G3490" s="23" t="s">
        <v>817</v>
      </c>
      <c r="H3490" s="14">
        <f t="shared" si="1518"/>
        <v>97647.357000000004</v>
      </c>
      <c r="I3490" s="14">
        <f t="shared" si="1518"/>
        <v>97647.355620000002</v>
      </c>
      <c r="J3490" s="14">
        <f t="shared" si="1518"/>
        <v>96226.89705</v>
      </c>
      <c r="K3490" s="78">
        <f t="shared" si="1514"/>
        <v>98.545317934130452</v>
      </c>
      <c r="L3490" s="14">
        <f t="shared" si="1518"/>
        <v>0</v>
      </c>
      <c r="M3490" s="50"/>
      <c r="N3490" s="50"/>
    </row>
    <row r="3491" spans="1:14" x14ac:dyDescent="0.3">
      <c r="A3491" s="8" t="s">
        <v>1459</v>
      </c>
      <c r="B3491" s="62" t="s">
        <v>914</v>
      </c>
      <c r="C3491" s="68" t="s">
        <v>1382</v>
      </c>
      <c r="D3491" s="68" t="s">
        <v>1478</v>
      </c>
      <c r="E3491" s="8" t="s">
        <v>672</v>
      </c>
      <c r="F3491" s="45" t="s">
        <v>1273</v>
      </c>
      <c r="G3491" s="23" t="s">
        <v>818</v>
      </c>
      <c r="H3491" s="14">
        <f>91011.717-2488.36+9124</f>
        <v>97647.357000000004</v>
      </c>
      <c r="I3491" s="14">
        <v>97647.355620000002</v>
      </c>
      <c r="J3491" s="14">
        <v>96226.89705</v>
      </c>
      <c r="K3491" s="78">
        <f t="shared" si="1514"/>
        <v>98.545317934130452</v>
      </c>
      <c r="L3491" s="14"/>
      <c r="M3491" s="50"/>
      <c r="N3491" s="50"/>
    </row>
    <row r="3492" spans="1:14" s="3" customFormat="1" ht="31.2" x14ac:dyDescent="0.3">
      <c r="A3492" s="4" t="s">
        <v>272</v>
      </c>
      <c r="B3492" s="43" t="s">
        <v>915</v>
      </c>
      <c r="C3492" s="43" t="s">
        <v>915</v>
      </c>
      <c r="D3492" s="43" t="s">
        <v>915</v>
      </c>
      <c r="E3492" s="10"/>
      <c r="F3492" s="10"/>
      <c r="G3492" s="5" t="s">
        <v>1438</v>
      </c>
      <c r="H3492" s="15">
        <f t="shared" ref="H3492:L3492" si="1519">H3587+H3493+H3501</f>
        <v>2202642.4720000001</v>
      </c>
      <c r="I3492" s="15">
        <f t="shared" si="1519"/>
        <v>2051433.2839099998</v>
      </c>
      <c r="J3492" s="15">
        <f t="shared" si="1519"/>
        <v>1729188.3680800002</v>
      </c>
      <c r="K3492" s="81">
        <f t="shared" si="1514"/>
        <v>84.291718460577684</v>
      </c>
      <c r="L3492" s="15">
        <f t="shared" si="1519"/>
        <v>0</v>
      </c>
      <c r="M3492" s="65"/>
      <c r="N3492" s="65"/>
    </row>
    <row r="3493" spans="1:14" s="3" customFormat="1" ht="31.2" x14ac:dyDescent="0.3">
      <c r="A3493" s="4" t="s">
        <v>272</v>
      </c>
      <c r="B3493" s="43" t="s">
        <v>1391</v>
      </c>
      <c r="C3493" s="43" t="s">
        <v>1391</v>
      </c>
      <c r="D3493" s="43" t="s">
        <v>915</v>
      </c>
      <c r="E3493" s="10"/>
      <c r="F3493" s="10"/>
      <c r="G3493" s="5" t="s">
        <v>1415</v>
      </c>
      <c r="H3493" s="15">
        <f t="shared" ref="H3493:L3499" si="1520">H3494</f>
        <v>20000</v>
      </c>
      <c r="I3493" s="15">
        <f t="shared" si="1520"/>
        <v>20000</v>
      </c>
      <c r="J3493" s="15">
        <f t="shared" si="1520"/>
        <v>20000</v>
      </c>
      <c r="K3493" s="81">
        <f t="shared" si="1514"/>
        <v>100</v>
      </c>
      <c r="L3493" s="15">
        <f t="shared" si="1520"/>
        <v>0</v>
      </c>
      <c r="M3493" s="65"/>
      <c r="N3493" s="65"/>
    </row>
    <row r="3494" spans="1:14" s="9" customFormat="1" ht="46.8" x14ac:dyDescent="0.3">
      <c r="A3494" s="6" t="s">
        <v>272</v>
      </c>
      <c r="B3494" s="48" t="s">
        <v>935</v>
      </c>
      <c r="C3494" s="48" t="s">
        <v>1391</v>
      </c>
      <c r="D3494" s="48" t="s">
        <v>1398</v>
      </c>
      <c r="E3494" s="11"/>
      <c r="F3494" s="11"/>
      <c r="G3494" s="7" t="s">
        <v>1420</v>
      </c>
      <c r="H3494" s="16">
        <f t="shared" si="1520"/>
        <v>20000</v>
      </c>
      <c r="I3494" s="16">
        <f t="shared" si="1520"/>
        <v>20000</v>
      </c>
      <c r="J3494" s="16">
        <f t="shared" si="1520"/>
        <v>20000</v>
      </c>
      <c r="K3494" s="82">
        <f t="shared" si="1514"/>
        <v>100</v>
      </c>
      <c r="L3494" s="16">
        <f t="shared" si="1520"/>
        <v>0</v>
      </c>
      <c r="M3494" s="65"/>
      <c r="N3494" s="65"/>
    </row>
    <row r="3495" spans="1:14" ht="46.8" x14ac:dyDescent="0.3">
      <c r="A3495" s="64" t="s">
        <v>272</v>
      </c>
      <c r="B3495" s="62" t="s">
        <v>935</v>
      </c>
      <c r="C3495" s="68" t="s">
        <v>1391</v>
      </c>
      <c r="D3495" s="68" t="s">
        <v>1398</v>
      </c>
      <c r="E3495" s="8" t="s">
        <v>381</v>
      </c>
      <c r="F3495" s="8"/>
      <c r="G3495" s="18" t="s">
        <v>1061</v>
      </c>
      <c r="H3495" s="14">
        <f t="shared" si="1520"/>
        <v>20000</v>
      </c>
      <c r="I3495" s="14">
        <f t="shared" si="1520"/>
        <v>20000</v>
      </c>
      <c r="J3495" s="14">
        <f t="shared" si="1520"/>
        <v>20000</v>
      </c>
      <c r="K3495" s="78">
        <f t="shared" si="1514"/>
        <v>100</v>
      </c>
      <c r="L3495" s="14">
        <f t="shared" si="1520"/>
        <v>0</v>
      </c>
      <c r="M3495" s="50"/>
      <c r="N3495" s="50"/>
    </row>
    <row r="3496" spans="1:14" ht="62.4" x14ac:dyDescent="0.3">
      <c r="A3496" s="64" t="s">
        <v>272</v>
      </c>
      <c r="B3496" s="62" t="s">
        <v>935</v>
      </c>
      <c r="C3496" s="68" t="s">
        <v>1391</v>
      </c>
      <c r="D3496" s="68" t="s">
        <v>1398</v>
      </c>
      <c r="E3496" s="8" t="s">
        <v>382</v>
      </c>
      <c r="F3496" s="8"/>
      <c r="G3496" s="18" t="s">
        <v>1062</v>
      </c>
      <c r="H3496" s="14">
        <f t="shared" si="1520"/>
        <v>20000</v>
      </c>
      <c r="I3496" s="14">
        <f t="shared" si="1520"/>
        <v>20000</v>
      </c>
      <c r="J3496" s="14">
        <f t="shared" si="1520"/>
        <v>20000</v>
      </c>
      <c r="K3496" s="78">
        <f t="shared" si="1514"/>
        <v>100</v>
      </c>
      <c r="L3496" s="14">
        <f t="shared" si="1520"/>
        <v>0</v>
      </c>
      <c r="M3496" s="50"/>
      <c r="N3496" s="50"/>
    </row>
    <row r="3497" spans="1:14" ht="31.2" x14ac:dyDescent="0.3">
      <c r="A3497" s="64" t="s">
        <v>272</v>
      </c>
      <c r="B3497" s="62" t="s">
        <v>935</v>
      </c>
      <c r="C3497" s="68" t="s">
        <v>1391</v>
      </c>
      <c r="D3497" s="68" t="s">
        <v>1398</v>
      </c>
      <c r="E3497" s="8" t="s">
        <v>637</v>
      </c>
      <c r="F3497" s="8"/>
      <c r="G3497" s="18" t="s">
        <v>1254</v>
      </c>
      <c r="H3497" s="14">
        <f t="shared" si="1520"/>
        <v>20000</v>
      </c>
      <c r="I3497" s="14">
        <f t="shared" si="1520"/>
        <v>20000</v>
      </c>
      <c r="J3497" s="14">
        <f t="shared" si="1520"/>
        <v>20000</v>
      </c>
      <c r="K3497" s="78">
        <f t="shared" si="1514"/>
        <v>100</v>
      </c>
      <c r="L3497" s="14">
        <f t="shared" si="1520"/>
        <v>0</v>
      </c>
      <c r="M3497" s="50"/>
      <c r="N3497" s="50"/>
    </row>
    <row r="3498" spans="1:14" ht="31.2" x14ac:dyDescent="0.3">
      <c r="A3498" s="64" t="s">
        <v>272</v>
      </c>
      <c r="B3498" s="62" t="s">
        <v>935</v>
      </c>
      <c r="C3498" s="68" t="s">
        <v>1391</v>
      </c>
      <c r="D3498" s="68" t="s">
        <v>1398</v>
      </c>
      <c r="E3498" s="8" t="s">
        <v>1236</v>
      </c>
      <c r="F3498" s="8"/>
      <c r="G3498" s="23" t="s">
        <v>1349</v>
      </c>
      <c r="H3498" s="14">
        <f t="shared" si="1520"/>
        <v>20000</v>
      </c>
      <c r="I3498" s="14">
        <f t="shared" si="1520"/>
        <v>20000</v>
      </c>
      <c r="J3498" s="14">
        <f t="shared" si="1520"/>
        <v>20000</v>
      </c>
      <c r="K3498" s="78">
        <f t="shared" si="1514"/>
        <v>100</v>
      </c>
      <c r="L3498" s="14">
        <f t="shared" si="1520"/>
        <v>0</v>
      </c>
      <c r="M3498" s="50"/>
      <c r="N3498" s="50"/>
    </row>
    <row r="3499" spans="1:14" ht="31.2" x14ac:dyDescent="0.3">
      <c r="A3499" s="64" t="s">
        <v>272</v>
      </c>
      <c r="B3499" s="62" t="s">
        <v>935</v>
      </c>
      <c r="C3499" s="68" t="s">
        <v>1391</v>
      </c>
      <c r="D3499" s="68" t="s">
        <v>1398</v>
      </c>
      <c r="E3499" s="8" t="s">
        <v>1236</v>
      </c>
      <c r="F3499" s="45" t="s">
        <v>478</v>
      </c>
      <c r="G3499" s="23" t="s">
        <v>817</v>
      </c>
      <c r="H3499" s="14">
        <f t="shared" si="1520"/>
        <v>20000</v>
      </c>
      <c r="I3499" s="14">
        <f t="shared" si="1520"/>
        <v>20000</v>
      </c>
      <c r="J3499" s="14">
        <f t="shared" si="1520"/>
        <v>20000</v>
      </c>
      <c r="K3499" s="78">
        <f t="shared" si="1514"/>
        <v>100</v>
      </c>
      <c r="L3499" s="14">
        <f t="shared" si="1520"/>
        <v>0</v>
      </c>
      <c r="M3499" s="50"/>
      <c r="N3499" s="50"/>
    </row>
    <row r="3500" spans="1:14" x14ac:dyDescent="0.3">
      <c r="A3500" s="64" t="s">
        <v>272</v>
      </c>
      <c r="B3500" s="62" t="s">
        <v>935</v>
      </c>
      <c r="C3500" s="68" t="s">
        <v>1391</v>
      </c>
      <c r="D3500" s="68" t="s">
        <v>1398</v>
      </c>
      <c r="E3500" s="8" t="s">
        <v>1236</v>
      </c>
      <c r="F3500" s="45" t="s">
        <v>1273</v>
      </c>
      <c r="G3500" s="23" t="s">
        <v>818</v>
      </c>
      <c r="H3500" s="14">
        <v>20000</v>
      </c>
      <c r="I3500" s="14">
        <v>20000</v>
      </c>
      <c r="J3500" s="14">
        <v>20000</v>
      </c>
      <c r="K3500" s="78">
        <f t="shared" si="1514"/>
        <v>100</v>
      </c>
      <c r="L3500" s="14"/>
      <c r="M3500" s="50"/>
      <c r="N3500" s="50"/>
    </row>
    <row r="3501" spans="1:14" s="3" customFormat="1" x14ac:dyDescent="0.3">
      <c r="A3501" s="4" t="s">
        <v>272</v>
      </c>
      <c r="B3501" s="43" t="s">
        <v>1386</v>
      </c>
      <c r="C3501" s="43" t="s">
        <v>1386</v>
      </c>
      <c r="D3501" s="43" t="s">
        <v>915</v>
      </c>
      <c r="E3501" s="10"/>
      <c r="F3501" s="10"/>
      <c r="G3501" s="5" t="s">
        <v>1388</v>
      </c>
      <c r="H3501" s="15">
        <f t="shared" ref="H3501:L3501" si="1521">H3502</f>
        <v>1325580.0190000001</v>
      </c>
      <c r="I3501" s="15">
        <f t="shared" si="1521"/>
        <v>1069375.3604799998</v>
      </c>
      <c r="J3501" s="15">
        <f t="shared" si="1521"/>
        <v>831812.7392200001</v>
      </c>
      <c r="K3501" s="81">
        <f t="shared" si="1514"/>
        <v>77.784917248012206</v>
      </c>
      <c r="L3501" s="15">
        <f t="shared" si="1521"/>
        <v>0</v>
      </c>
      <c r="M3501" s="65"/>
      <c r="N3501" s="65"/>
    </row>
    <row r="3502" spans="1:14" s="9" customFormat="1" ht="16.5" customHeight="1" x14ac:dyDescent="0.3">
      <c r="A3502" s="6" t="s">
        <v>272</v>
      </c>
      <c r="B3502" s="48" t="s">
        <v>937</v>
      </c>
      <c r="C3502" s="48" t="s">
        <v>1386</v>
      </c>
      <c r="D3502" s="48" t="s">
        <v>1398</v>
      </c>
      <c r="E3502" s="11"/>
      <c r="F3502" s="11"/>
      <c r="G3502" s="7" t="s">
        <v>1419</v>
      </c>
      <c r="H3502" s="16">
        <f t="shared" ref="H3502:L3502" si="1522">H3503+H3581</f>
        <v>1325580.0190000001</v>
      </c>
      <c r="I3502" s="16">
        <f t="shared" si="1522"/>
        <v>1069375.3604799998</v>
      </c>
      <c r="J3502" s="16">
        <f t="shared" si="1522"/>
        <v>831812.7392200001</v>
      </c>
      <c r="K3502" s="82">
        <f t="shared" si="1514"/>
        <v>77.784917248012206</v>
      </c>
      <c r="L3502" s="16">
        <f t="shared" si="1522"/>
        <v>0</v>
      </c>
      <c r="M3502" s="65"/>
      <c r="N3502" s="65"/>
    </row>
    <row r="3503" spans="1:14" ht="31.2" x14ac:dyDescent="0.3">
      <c r="A3503" s="64" t="s">
        <v>272</v>
      </c>
      <c r="B3503" s="62" t="s">
        <v>937</v>
      </c>
      <c r="C3503" s="68" t="s">
        <v>1386</v>
      </c>
      <c r="D3503" s="68" t="s">
        <v>1398</v>
      </c>
      <c r="E3503" s="8" t="s">
        <v>355</v>
      </c>
      <c r="F3503" s="8"/>
      <c r="G3503" s="13" t="s">
        <v>893</v>
      </c>
      <c r="H3503" s="14">
        <f>H3504+H3525</f>
        <v>1311112.898</v>
      </c>
      <c r="I3503" s="14">
        <f>I3504+I3525</f>
        <v>1054908.2396799999</v>
      </c>
      <c r="J3503" s="14">
        <f t="shared" ref="J3503" si="1523">J3504+J3525</f>
        <v>817345.63842000009</v>
      </c>
      <c r="K3503" s="78">
        <f t="shared" si="1514"/>
        <v>77.48025919941027</v>
      </c>
      <c r="L3503" s="14">
        <f>L3504+L3525</f>
        <v>0</v>
      </c>
      <c r="M3503" s="50"/>
      <c r="N3503" s="50"/>
    </row>
    <row r="3504" spans="1:14" ht="31.2" x14ac:dyDescent="0.3">
      <c r="A3504" s="64" t="s">
        <v>272</v>
      </c>
      <c r="B3504" s="62" t="s">
        <v>937</v>
      </c>
      <c r="C3504" s="68" t="s">
        <v>1386</v>
      </c>
      <c r="D3504" s="68" t="s">
        <v>1398</v>
      </c>
      <c r="E3504" s="8" t="s">
        <v>356</v>
      </c>
      <c r="F3504" s="8"/>
      <c r="G3504" s="13" t="s">
        <v>894</v>
      </c>
      <c r="H3504" s="14">
        <f>H3505+H3518+H3521</f>
        <v>430701</v>
      </c>
      <c r="I3504" s="14">
        <f>I3505+I3518+I3521</f>
        <v>415479.90217999998</v>
      </c>
      <c r="J3504" s="14">
        <f t="shared" ref="J3504" si="1524">J3505+J3518+J3521</f>
        <v>343871.97354000004</v>
      </c>
      <c r="K3504" s="78">
        <f t="shared" si="1514"/>
        <v>82.765007822453711</v>
      </c>
      <c r="L3504" s="14">
        <f>L3505+L3518+L3521</f>
        <v>0</v>
      </c>
      <c r="M3504" s="50"/>
      <c r="N3504" s="50"/>
    </row>
    <row r="3505" spans="1:14" ht="46.8" x14ac:dyDescent="0.3">
      <c r="A3505" s="64" t="s">
        <v>272</v>
      </c>
      <c r="B3505" s="62" t="s">
        <v>937</v>
      </c>
      <c r="C3505" s="68" t="s">
        <v>1386</v>
      </c>
      <c r="D3505" s="68" t="s">
        <v>1398</v>
      </c>
      <c r="E3505" s="8" t="s">
        <v>357</v>
      </c>
      <c r="F3505" s="8"/>
      <c r="G3505" s="18" t="s">
        <v>121</v>
      </c>
      <c r="H3505" s="14">
        <f>H3506+H3509+H3512+H3515</f>
        <v>107549.935</v>
      </c>
      <c r="I3505" s="14">
        <f>I3506+I3509+I3512+I3515</f>
        <v>92416.339500000002</v>
      </c>
      <c r="J3505" s="14">
        <f t="shared" ref="J3505" si="1525">J3506+J3509+J3512+J3515</f>
        <v>90268.905400000003</v>
      </c>
      <c r="K3505" s="78">
        <f t="shared" si="1514"/>
        <v>97.676348022851528</v>
      </c>
      <c r="L3505" s="14">
        <f>L3506+L3509+L3512+L3515</f>
        <v>0</v>
      </c>
      <c r="M3505" s="50"/>
      <c r="N3505" s="50"/>
    </row>
    <row r="3506" spans="1:14" x14ac:dyDescent="0.3">
      <c r="A3506" s="64" t="s">
        <v>272</v>
      </c>
      <c r="B3506" s="62" t="s">
        <v>937</v>
      </c>
      <c r="C3506" s="68" t="s">
        <v>1386</v>
      </c>
      <c r="D3506" s="68" t="s">
        <v>1398</v>
      </c>
      <c r="E3506" s="8" t="s">
        <v>67</v>
      </c>
      <c r="F3506" s="8"/>
      <c r="G3506" s="23" t="s">
        <v>155</v>
      </c>
      <c r="H3506" s="14">
        <f t="shared" ref="H3506:L3507" si="1526">H3507</f>
        <v>12501.087</v>
      </c>
      <c r="I3506" s="14">
        <f t="shared" si="1526"/>
        <v>2501.0864999999999</v>
      </c>
      <c r="J3506" s="14">
        <f t="shared" si="1526"/>
        <v>2189.55105</v>
      </c>
      <c r="K3506" s="78">
        <f t="shared" si="1514"/>
        <v>87.543995379608035</v>
      </c>
      <c r="L3506" s="14">
        <f t="shared" si="1526"/>
        <v>0</v>
      </c>
      <c r="M3506" s="50"/>
      <c r="N3506" s="50"/>
    </row>
    <row r="3507" spans="1:14" ht="31.2" x14ac:dyDescent="0.3">
      <c r="A3507" s="64" t="s">
        <v>272</v>
      </c>
      <c r="B3507" s="62" t="s">
        <v>937</v>
      </c>
      <c r="C3507" s="68" t="s">
        <v>1386</v>
      </c>
      <c r="D3507" s="68" t="s">
        <v>1398</v>
      </c>
      <c r="E3507" s="8" t="s">
        <v>67</v>
      </c>
      <c r="F3507" s="45" t="s">
        <v>380</v>
      </c>
      <c r="G3507" s="23" t="s">
        <v>809</v>
      </c>
      <c r="H3507" s="14">
        <f t="shared" si="1526"/>
        <v>12501.087</v>
      </c>
      <c r="I3507" s="14">
        <f t="shared" si="1526"/>
        <v>2501.0864999999999</v>
      </c>
      <c r="J3507" s="14">
        <f t="shared" si="1526"/>
        <v>2189.55105</v>
      </c>
      <c r="K3507" s="78">
        <f t="shared" si="1514"/>
        <v>87.543995379608035</v>
      </c>
      <c r="L3507" s="14">
        <f t="shared" si="1526"/>
        <v>0</v>
      </c>
      <c r="M3507" s="50"/>
      <c r="N3507" s="50"/>
    </row>
    <row r="3508" spans="1:14" ht="31.2" x14ac:dyDescent="0.3">
      <c r="A3508" s="64" t="s">
        <v>272</v>
      </c>
      <c r="B3508" s="62" t="s">
        <v>937</v>
      </c>
      <c r="C3508" s="68" t="s">
        <v>1386</v>
      </c>
      <c r="D3508" s="68" t="s">
        <v>1398</v>
      </c>
      <c r="E3508" s="8" t="s">
        <v>67</v>
      </c>
      <c r="F3508" s="8" t="s">
        <v>247</v>
      </c>
      <c r="G3508" s="23" t="s">
        <v>810</v>
      </c>
      <c r="H3508" s="14">
        <f>14785.883-1129.469+522.497-111-1566.824</f>
        <v>12501.087</v>
      </c>
      <c r="I3508" s="14">
        <v>2501.0864999999999</v>
      </c>
      <c r="J3508" s="14">
        <v>2189.55105</v>
      </c>
      <c r="K3508" s="78">
        <f t="shared" si="1514"/>
        <v>87.543995379608035</v>
      </c>
      <c r="L3508" s="14"/>
      <c r="M3508" s="50"/>
      <c r="N3508" s="50"/>
    </row>
    <row r="3509" spans="1:14" ht="31.2" hidden="1" x14ac:dyDescent="0.3">
      <c r="A3509" s="64" t="s">
        <v>272</v>
      </c>
      <c r="B3509" s="62" t="s">
        <v>937</v>
      </c>
      <c r="C3509" s="68" t="s">
        <v>1386</v>
      </c>
      <c r="D3509" s="68" t="s">
        <v>1398</v>
      </c>
      <c r="E3509" s="8" t="s">
        <v>77</v>
      </c>
      <c r="F3509" s="8"/>
      <c r="G3509" s="23" t="s">
        <v>156</v>
      </c>
      <c r="H3509" s="14">
        <f t="shared" ref="H3509:L3510" si="1527">H3510</f>
        <v>75</v>
      </c>
      <c r="I3509" s="14">
        <f t="shared" si="1527"/>
        <v>0</v>
      </c>
      <c r="J3509" s="14">
        <f t="shared" si="1527"/>
        <v>0</v>
      </c>
      <c r="K3509" s="78" t="e">
        <f t="shared" si="1514"/>
        <v>#DIV/0!</v>
      </c>
      <c r="L3509" s="14">
        <f t="shared" si="1527"/>
        <v>0</v>
      </c>
      <c r="M3509" s="50">
        <v>111</v>
      </c>
      <c r="N3509" s="50"/>
    </row>
    <row r="3510" spans="1:14" ht="31.2" hidden="1" x14ac:dyDescent="0.3">
      <c r="A3510" s="64" t="s">
        <v>272</v>
      </c>
      <c r="B3510" s="62" t="s">
        <v>937</v>
      </c>
      <c r="C3510" s="68" t="s">
        <v>1386</v>
      </c>
      <c r="D3510" s="68" t="s">
        <v>1398</v>
      </c>
      <c r="E3510" s="8" t="s">
        <v>77</v>
      </c>
      <c r="F3510" s="45" t="s">
        <v>380</v>
      </c>
      <c r="G3510" s="23" t="s">
        <v>809</v>
      </c>
      <c r="H3510" s="14">
        <f t="shared" si="1527"/>
        <v>75</v>
      </c>
      <c r="I3510" s="14">
        <f t="shared" si="1527"/>
        <v>0</v>
      </c>
      <c r="J3510" s="14">
        <f t="shared" si="1527"/>
        <v>0</v>
      </c>
      <c r="K3510" s="78" t="e">
        <f t="shared" si="1514"/>
        <v>#DIV/0!</v>
      </c>
      <c r="L3510" s="14">
        <f t="shared" si="1527"/>
        <v>0</v>
      </c>
      <c r="M3510" s="50">
        <v>111</v>
      </c>
      <c r="N3510" s="50"/>
    </row>
    <row r="3511" spans="1:14" ht="31.2" hidden="1" x14ac:dyDescent="0.3">
      <c r="A3511" s="64" t="s">
        <v>272</v>
      </c>
      <c r="B3511" s="62" t="s">
        <v>937</v>
      </c>
      <c r="C3511" s="68" t="s">
        <v>1386</v>
      </c>
      <c r="D3511" s="68" t="s">
        <v>1398</v>
      </c>
      <c r="E3511" s="8" t="s">
        <v>77</v>
      </c>
      <c r="F3511" s="8" t="s">
        <v>247</v>
      </c>
      <c r="G3511" s="23" t="s">
        <v>810</v>
      </c>
      <c r="H3511" s="14">
        <f>4080.8-1610.238-2395.562</f>
        <v>75</v>
      </c>
      <c r="I3511" s="14">
        <v>0</v>
      </c>
      <c r="J3511" s="14">
        <v>0</v>
      </c>
      <c r="K3511" s="78" t="e">
        <f t="shared" si="1514"/>
        <v>#DIV/0!</v>
      </c>
      <c r="L3511" s="14"/>
      <c r="M3511" s="50">
        <v>111</v>
      </c>
      <c r="N3511" s="50"/>
    </row>
    <row r="3512" spans="1:14" ht="46.8" x14ac:dyDescent="0.3">
      <c r="A3512" s="64" t="s">
        <v>272</v>
      </c>
      <c r="B3512" s="62" t="s">
        <v>937</v>
      </c>
      <c r="C3512" s="68" t="s">
        <v>1386</v>
      </c>
      <c r="D3512" s="68" t="s">
        <v>1398</v>
      </c>
      <c r="E3512" s="8" t="s">
        <v>78</v>
      </c>
      <c r="F3512" s="8"/>
      <c r="G3512" s="23" t="s">
        <v>157</v>
      </c>
      <c r="H3512" s="14">
        <f t="shared" ref="H3512:L3513" si="1528">H3513</f>
        <v>61573.847999999998</v>
      </c>
      <c r="I3512" s="14">
        <f t="shared" si="1528"/>
        <v>61573.847999999998</v>
      </c>
      <c r="J3512" s="14">
        <f t="shared" si="1528"/>
        <v>61570.872799999997</v>
      </c>
      <c r="K3512" s="78">
        <f t="shared" si="1514"/>
        <v>99.995168078499816</v>
      </c>
      <c r="L3512" s="14">
        <f t="shared" si="1528"/>
        <v>0</v>
      </c>
      <c r="M3512" s="50"/>
      <c r="N3512" s="50"/>
    </row>
    <row r="3513" spans="1:14" x14ac:dyDescent="0.3">
      <c r="A3513" s="64" t="s">
        <v>272</v>
      </c>
      <c r="B3513" s="62" t="s">
        <v>937</v>
      </c>
      <c r="C3513" s="68" t="s">
        <v>1386</v>
      </c>
      <c r="D3513" s="68" t="s">
        <v>1398</v>
      </c>
      <c r="E3513" s="8" t="s">
        <v>78</v>
      </c>
      <c r="F3513" s="45" t="s">
        <v>464</v>
      </c>
      <c r="G3513" s="23" t="s">
        <v>822</v>
      </c>
      <c r="H3513" s="14">
        <f t="shared" si="1528"/>
        <v>61573.847999999998</v>
      </c>
      <c r="I3513" s="14">
        <f t="shared" si="1528"/>
        <v>61573.847999999998</v>
      </c>
      <c r="J3513" s="14">
        <f t="shared" si="1528"/>
        <v>61570.872799999997</v>
      </c>
      <c r="K3513" s="78">
        <f t="shared" si="1514"/>
        <v>99.995168078499816</v>
      </c>
      <c r="L3513" s="14">
        <f t="shared" si="1528"/>
        <v>0</v>
      </c>
      <c r="M3513" s="50"/>
      <c r="N3513" s="50"/>
    </row>
    <row r="3514" spans="1:14" ht="62.4" x14ac:dyDescent="0.3">
      <c r="A3514" s="64" t="s">
        <v>272</v>
      </c>
      <c r="B3514" s="62" t="s">
        <v>937</v>
      </c>
      <c r="C3514" s="68" t="s">
        <v>1386</v>
      </c>
      <c r="D3514" s="68" t="s">
        <v>1398</v>
      </c>
      <c r="E3514" s="8" t="s">
        <v>78</v>
      </c>
      <c r="F3514" s="45" t="s">
        <v>727</v>
      </c>
      <c r="G3514" s="18" t="s">
        <v>830</v>
      </c>
      <c r="H3514" s="14">
        <f>60734.1+599.857+239.891</f>
        <v>61573.847999999998</v>
      </c>
      <c r="I3514" s="14">
        <v>61573.847999999998</v>
      </c>
      <c r="J3514" s="14">
        <v>61570.872799999997</v>
      </c>
      <c r="K3514" s="78">
        <f t="shared" si="1514"/>
        <v>99.995168078499816</v>
      </c>
      <c r="L3514" s="14"/>
      <c r="M3514" s="50"/>
      <c r="N3514" s="50"/>
    </row>
    <row r="3515" spans="1:14" ht="62.4" x14ac:dyDescent="0.3">
      <c r="A3515" s="64" t="s">
        <v>272</v>
      </c>
      <c r="B3515" s="62" t="s">
        <v>937</v>
      </c>
      <c r="C3515" s="68" t="s">
        <v>1386</v>
      </c>
      <c r="D3515" s="68" t="s">
        <v>1398</v>
      </c>
      <c r="E3515" s="8" t="s">
        <v>789</v>
      </c>
      <c r="F3515" s="45"/>
      <c r="G3515" s="18" t="s">
        <v>688</v>
      </c>
      <c r="H3515" s="14">
        <f t="shared" ref="H3515:L3516" si="1529">H3516</f>
        <v>33400</v>
      </c>
      <c r="I3515" s="14">
        <f t="shared" si="1529"/>
        <v>28341.404999999999</v>
      </c>
      <c r="J3515" s="14">
        <f t="shared" si="1529"/>
        <v>26508.48155</v>
      </c>
      <c r="K3515" s="78">
        <f t="shared" si="1514"/>
        <v>93.532700831169109</v>
      </c>
      <c r="L3515" s="14">
        <f t="shared" si="1529"/>
        <v>0</v>
      </c>
      <c r="M3515" s="50"/>
      <c r="N3515" s="50"/>
    </row>
    <row r="3516" spans="1:14" ht="31.2" x14ac:dyDescent="0.3">
      <c r="A3516" s="64" t="s">
        <v>272</v>
      </c>
      <c r="B3516" s="62" t="s">
        <v>937</v>
      </c>
      <c r="C3516" s="68" t="s">
        <v>1386</v>
      </c>
      <c r="D3516" s="68" t="s">
        <v>1398</v>
      </c>
      <c r="E3516" s="8" t="s">
        <v>789</v>
      </c>
      <c r="F3516" s="45" t="s">
        <v>380</v>
      </c>
      <c r="G3516" s="23" t="s">
        <v>809</v>
      </c>
      <c r="H3516" s="14">
        <f t="shared" si="1529"/>
        <v>33400</v>
      </c>
      <c r="I3516" s="14">
        <f t="shared" si="1529"/>
        <v>28341.404999999999</v>
      </c>
      <c r="J3516" s="14">
        <f t="shared" si="1529"/>
        <v>26508.48155</v>
      </c>
      <c r="K3516" s="78">
        <f t="shared" si="1514"/>
        <v>93.532700831169109</v>
      </c>
      <c r="L3516" s="14">
        <f t="shared" si="1529"/>
        <v>0</v>
      </c>
      <c r="M3516" s="50"/>
      <c r="N3516" s="50"/>
    </row>
    <row r="3517" spans="1:14" ht="31.2" x14ac:dyDescent="0.3">
      <c r="A3517" s="64" t="s">
        <v>272</v>
      </c>
      <c r="B3517" s="62" t="s">
        <v>937</v>
      </c>
      <c r="C3517" s="68" t="s">
        <v>1386</v>
      </c>
      <c r="D3517" s="68" t="s">
        <v>1398</v>
      </c>
      <c r="E3517" s="8" t="s">
        <v>789</v>
      </c>
      <c r="F3517" s="8" t="s">
        <v>247</v>
      </c>
      <c r="G3517" s="23" t="s">
        <v>810</v>
      </c>
      <c r="H3517" s="14">
        <v>33400</v>
      </c>
      <c r="I3517" s="14">
        <v>28341.404999999999</v>
      </c>
      <c r="J3517" s="14">
        <v>26508.48155</v>
      </c>
      <c r="K3517" s="78">
        <f t="shared" si="1514"/>
        <v>93.532700831169109</v>
      </c>
      <c r="L3517" s="14"/>
      <c r="M3517" s="50"/>
      <c r="N3517" s="50"/>
    </row>
    <row r="3518" spans="1:14" ht="46.8" x14ac:dyDescent="0.3">
      <c r="A3518" s="64" t="s">
        <v>272</v>
      </c>
      <c r="B3518" s="62" t="s">
        <v>937</v>
      </c>
      <c r="C3518" s="68" t="s">
        <v>1386</v>
      </c>
      <c r="D3518" s="68" t="s">
        <v>1398</v>
      </c>
      <c r="E3518" s="8" t="s">
        <v>591</v>
      </c>
      <c r="F3518" s="8"/>
      <c r="G3518" s="18" t="s">
        <v>122</v>
      </c>
      <c r="H3518" s="14">
        <f t="shared" ref="H3518:L3519" si="1530">H3519</f>
        <v>88792.322</v>
      </c>
      <c r="I3518" s="14">
        <f t="shared" si="1530"/>
        <v>88704.821649999998</v>
      </c>
      <c r="J3518" s="14">
        <f t="shared" si="1530"/>
        <v>85856.964200000002</v>
      </c>
      <c r="K3518" s="78">
        <f t="shared" si="1514"/>
        <v>96.789512230533873</v>
      </c>
      <c r="L3518" s="14">
        <f t="shared" si="1530"/>
        <v>0</v>
      </c>
      <c r="M3518" s="50"/>
      <c r="N3518" s="50"/>
    </row>
    <row r="3519" spans="1:14" ht="31.2" x14ac:dyDescent="0.3">
      <c r="A3519" s="64" t="s">
        <v>272</v>
      </c>
      <c r="B3519" s="62" t="s">
        <v>937</v>
      </c>
      <c r="C3519" s="68" t="s">
        <v>1386</v>
      </c>
      <c r="D3519" s="68" t="s">
        <v>1398</v>
      </c>
      <c r="E3519" s="8" t="s">
        <v>591</v>
      </c>
      <c r="F3519" s="45" t="s">
        <v>380</v>
      </c>
      <c r="G3519" s="23" t="s">
        <v>809</v>
      </c>
      <c r="H3519" s="14">
        <f t="shared" si="1530"/>
        <v>88792.322</v>
      </c>
      <c r="I3519" s="14">
        <f t="shared" si="1530"/>
        <v>88704.821649999998</v>
      </c>
      <c r="J3519" s="14">
        <f t="shared" si="1530"/>
        <v>85856.964200000002</v>
      </c>
      <c r="K3519" s="78">
        <f t="shared" si="1514"/>
        <v>96.789512230533873</v>
      </c>
      <c r="L3519" s="14">
        <f t="shared" si="1530"/>
        <v>0</v>
      </c>
      <c r="M3519" s="50"/>
      <c r="N3519" s="50"/>
    </row>
    <row r="3520" spans="1:14" ht="31.2" x14ac:dyDescent="0.3">
      <c r="A3520" s="64" t="s">
        <v>272</v>
      </c>
      <c r="B3520" s="62" t="s">
        <v>937</v>
      </c>
      <c r="C3520" s="68" t="s">
        <v>1386</v>
      </c>
      <c r="D3520" s="68" t="s">
        <v>1398</v>
      </c>
      <c r="E3520" s="8" t="s">
        <v>591</v>
      </c>
      <c r="F3520" s="8" t="s">
        <v>247</v>
      </c>
      <c r="G3520" s="23" t="s">
        <v>810</v>
      </c>
      <c r="H3520" s="14">
        <f>90056.1-84.792-668.87-617.179+107.063</f>
        <v>88792.322</v>
      </c>
      <c r="I3520" s="14">
        <v>88704.821649999998</v>
      </c>
      <c r="J3520" s="14">
        <v>85856.964200000002</v>
      </c>
      <c r="K3520" s="78">
        <f t="shared" si="1514"/>
        <v>96.789512230533873</v>
      </c>
      <c r="L3520" s="14"/>
      <c r="M3520" s="50"/>
      <c r="N3520" s="50"/>
    </row>
    <row r="3521" spans="1:14" ht="62.4" x14ac:dyDescent="0.3">
      <c r="A3521" s="64" t="s">
        <v>272</v>
      </c>
      <c r="B3521" s="62" t="s">
        <v>937</v>
      </c>
      <c r="C3521" s="68" t="s">
        <v>1386</v>
      </c>
      <c r="D3521" s="68" t="s">
        <v>1398</v>
      </c>
      <c r="E3521" s="8" t="s">
        <v>592</v>
      </c>
      <c r="F3521" s="8"/>
      <c r="G3521" s="18" t="s">
        <v>123</v>
      </c>
      <c r="H3521" s="14">
        <f t="shared" ref="H3521:L3521" si="1531">H3522</f>
        <v>234358.74300000002</v>
      </c>
      <c r="I3521" s="14">
        <f t="shared" si="1531"/>
        <v>234358.74103</v>
      </c>
      <c r="J3521" s="14">
        <f t="shared" si="1531"/>
        <v>167746.10394</v>
      </c>
      <c r="K3521" s="78">
        <f t="shared" si="1514"/>
        <v>71.576636400571473</v>
      </c>
      <c r="L3521" s="14">
        <f t="shared" si="1531"/>
        <v>0</v>
      </c>
      <c r="M3521" s="50"/>
      <c r="N3521" s="50"/>
    </row>
    <row r="3522" spans="1:14" ht="31.2" x14ac:dyDescent="0.3">
      <c r="A3522" s="64" t="s">
        <v>272</v>
      </c>
      <c r="B3522" s="62" t="s">
        <v>937</v>
      </c>
      <c r="C3522" s="68" t="s">
        <v>1386</v>
      </c>
      <c r="D3522" s="68" t="s">
        <v>1398</v>
      </c>
      <c r="E3522" s="8" t="s">
        <v>79</v>
      </c>
      <c r="F3522" s="8"/>
      <c r="G3522" s="23" t="s">
        <v>158</v>
      </c>
      <c r="H3522" s="14">
        <f t="shared" ref="H3522:L3523" si="1532">H3523</f>
        <v>234358.74300000002</v>
      </c>
      <c r="I3522" s="14">
        <f t="shared" si="1532"/>
        <v>234358.74103</v>
      </c>
      <c r="J3522" s="14">
        <f t="shared" si="1532"/>
        <v>167746.10394</v>
      </c>
      <c r="K3522" s="78">
        <f t="shared" si="1514"/>
        <v>71.576636400571473</v>
      </c>
      <c r="L3522" s="14">
        <f t="shared" si="1532"/>
        <v>0</v>
      </c>
      <c r="M3522" s="50"/>
      <c r="N3522" s="50"/>
    </row>
    <row r="3523" spans="1:14" ht="31.2" x14ac:dyDescent="0.3">
      <c r="A3523" s="64" t="s">
        <v>272</v>
      </c>
      <c r="B3523" s="62" t="s">
        <v>937</v>
      </c>
      <c r="C3523" s="68" t="s">
        <v>1386</v>
      </c>
      <c r="D3523" s="68" t="s">
        <v>1398</v>
      </c>
      <c r="E3523" s="8" t="s">
        <v>79</v>
      </c>
      <c r="F3523" s="45" t="s">
        <v>380</v>
      </c>
      <c r="G3523" s="23" t="s">
        <v>809</v>
      </c>
      <c r="H3523" s="14">
        <f t="shared" si="1532"/>
        <v>234358.74300000002</v>
      </c>
      <c r="I3523" s="14">
        <f t="shared" si="1532"/>
        <v>234358.74103</v>
      </c>
      <c r="J3523" s="14">
        <f t="shared" si="1532"/>
        <v>167746.10394</v>
      </c>
      <c r="K3523" s="78">
        <f t="shared" si="1514"/>
        <v>71.576636400571473</v>
      </c>
      <c r="L3523" s="14">
        <f t="shared" si="1532"/>
        <v>0</v>
      </c>
      <c r="M3523" s="50"/>
      <c r="N3523" s="50"/>
    </row>
    <row r="3524" spans="1:14" ht="31.2" x14ac:dyDescent="0.3">
      <c r="A3524" s="64" t="s">
        <v>272</v>
      </c>
      <c r="B3524" s="62" t="s">
        <v>937</v>
      </c>
      <c r="C3524" s="68" t="s">
        <v>1386</v>
      </c>
      <c r="D3524" s="68" t="s">
        <v>1398</v>
      </c>
      <c r="E3524" s="8" t="s">
        <v>79</v>
      </c>
      <c r="F3524" s="8" t="s">
        <v>247</v>
      </c>
      <c r="G3524" s="23" t="s">
        <v>810</v>
      </c>
      <c r="H3524" s="14">
        <f>227117.872-23.09+20-35346.799+42590.76</f>
        <v>234358.74300000002</v>
      </c>
      <c r="I3524" s="14">
        <v>234358.74103</v>
      </c>
      <c r="J3524" s="14">
        <v>167746.10394</v>
      </c>
      <c r="K3524" s="78">
        <f t="shared" si="1514"/>
        <v>71.576636400571473</v>
      </c>
      <c r="L3524" s="14"/>
      <c r="M3524" s="50"/>
      <c r="N3524" s="50"/>
    </row>
    <row r="3525" spans="1:14" ht="62.4" x14ac:dyDescent="0.3">
      <c r="A3525" s="64" t="s">
        <v>272</v>
      </c>
      <c r="B3525" s="62" t="s">
        <v>937</v>
      </c>
      <c r="C3525" s="68" t="s">
        <v>1386</v>
      </c>
      <c r="D3525" s="68" t="s">
        <v>1398</v>
      </c>
      <c r="E3525" s="8" t="s">
        <v>594</v>
      </c>
      <c r="F3525" s="8"/>
      <c r="G3525" s="13" t="s">
        <v>1036</v>
      </c>
      <c r="H3525" s="14">
        <f t="shared" ref="H3525:L3525" si="1533">H3526+H3577</f>
        <v>880411.89799999993</v>
      </c>
      <c r="I3525" s="14">
        <f t="shared" si="1533"/>
        <v>639428.33749999991</v>
      </c>
      <c r="J3525" s="14">
        <f t="shared" si="1533"/>
        <v>473473.66488000005</v>
      </c>
      <c r="K3525" s="78">
        <f t="shared" si="1514"/>
        <v>74.046400059647041</v>
      </c>
      <c r="L3525" s="14">
        <f t="shared" si="1533"/>
        <v>0</v>
      </c>
      <c r="M3525" s="50"/>
      <c r="N3525" s="50"/>
    </row>
    <row r="3526" spans="1:14" ht="46.8" x14ac:dyDescent="0.3">
      <c r="A3526" s="64" t="s">
        <v>272</v>
      </c>
      <c r="B3526" s="62" t="s">
        <v>937</v>
      </c>
      <c r="C3526" s="68" t="s">
        <v>1386</v>
      </c>
      <c r="D3526" s="68" t="s">
        <v>1398</v>
      </c>
      <c r="E3526" s="8" t="s">
        <v>595</v>
      </c>
      <c r="F3526" s="8"/>
      <c r="G3526" s="13" t="s">
        <v>1037</v>
      </c>
      <c r="H3526" s="14">
        <f>H3536+H3530+H3539+H3556+H3559+H3562+H3568+H3571+H3574+H3553+H3533+H3565+H3550+H3527+H3545+H3542</f>
        <v>876979.67599999998</v>
      </c>
      <c r="I3526" s="14">
        <f>I3536+I3530+I3539+I3556+I3559+I3562+I3568+I3571+I3574+I3553+I3533+I3565+I3550+I3527+I3545+I3542</f>
        <v>636031.99749999994</v>
      </c>
      <c r="J3526" s="14">
        <f t="shared" ref="J3526:L3526" si="1534">J3536+J3530+J3539+J3556+J3559+J3562+J3568+J3571+J3574+J3553+J3533+J3565+J3550+J3527+J3545+J3542</f>
        <v>473473.66488000005</v>
      </c>
      <c r="K3526" s="78">
        <f t="shared" si="1514"/>
        <v>74.441799585719764</v>
      </c>
      <c r="L3526" s="14">
        <f t="shared" si="1534"/>
        <v>0</v>
      </c>
      <c r="M3526" s="50"/>
      <c r="N3526" s="50"/>
    </row>
    <row r="3527" spans="1:14" ht="46.8" x14ac:dyDescent="0.3">
      <c r="A3527" s="64" t="s">
        <v>272</v>
      </c>
      <c r="B3527" s="62" t="s">
        <v>937</v>
      </c>
      <c r="C3527" s="68" t="s">
        <v>1386</v>
      </c>
      <c r="D3527" s="68" t="s">
        <v>1398</v>
      </c>
      <c r="E3527" s="8" t="s">
        <v>775</v>
      </c>
      <c r="F3527" s="45"/>
      <c r="G3527" s="23" t="s">
        <v>776</v>
      </c>
      <c r="H3527" s="14">
        <f t="shared" ref="H3527:L3528" si="1535">H3528</f>
        <v>7520.6559999999999</v>
      </c>
      <c r="I3527" s="14">
        <f t="shared" si="1535"/>
        <v>7520.6559999999999</v>
      </c>
      <c r="J3527" s="14">
        <f t="shared" si="1535"/>
        <v>0</v>
      </c>
      <c r="K3527" s="78">
        <f t="shared" si="1514"/>
        <v>0</v>
      </c>
      <c r="L3527" s="14">
        <f t="shared" si="1535"/>
        <v>0</v>
      </c>
      <c r="M3527" s="50"/>
      <c r="N3527" s="50"/>
    </row>
    <row r="3528" spans="1:14" ht="31.2" x14ac:dyDescent="0.3">
      <c r="A3528" s="64" t="s">
        <v>272</v>
      </c>
      <c r="B3528" s="62" t="s">
        <v>937</v>
      </c>
      <c r="C3528" s="68" t="s">
        <v>1386</v>
      </c>
      <c r="D3528" s="68" t="s">
        <v>1398</v>
      </c>
      <c r="E3528" s="8" t="s">
        <v>775</v>
      </c>
      <c r="F3528" s="45" t="s">
        <v>478</v>
      </c>
      <c r="G3528" s="23" t="s">
        <v>817</v>
      </c>
      <c r="H3528" s="14">
        <f t="shared" si="1535"/>
        <v>7520.6559999999999</v>
      </c>
      <c r="I3528" s="14">
        <f t="shared" si="1535"/>
        <v>7520.6559999999999</v>
      </c>
      <c r="J3528" s="14">
        <f t="shared" si="1535"/>
        <v>0</v>
      </c>
      <c r="K3528" s="78">
        <f t="shared" ref="K3528:K3591" si="1536">J3528/I3528*100</f>
        <v>0</v>
      </c>
      <c r="L3528" s="14">
        <f t="shared" si="1535"/>
        <v>0</v>
      </c>
      <c r="M3528" s="50"/>
      <c r="N3528" s="50"/>
    </row>
    <row r="3529" spans="1:14" x14ac:dyDescent="0.3">
      <c r="A3529" s="64" t="s">
        <v>272</v>
      </c>
      <c r="B3529" s="62" t="s">
        <v>937</v>
      </c>
      <c r="C3529" s="68" t="s">
        <v>1386</v>
      </c>
      <c r="D3529" s="68" t="s">
        <v>1398</v>
      </c>
      <c r="E3529" s="8" t="s">
        <v>775</v>
      </c>
      <c r="F3529" s="45" t="s">
        <v>1273</v>
      </c>
      <c r="G3529" s="23" t="s">
        <v>818</v>
      </c>
      <c r="H3529" s="14">
        <v>7520.6559999999999</v>
      </c>
      <c r="I3529" s="14">
        <v>7520.6559999999999</v>
      </c>
      <c r="J3529" s="14">
        <v>0</v>
      </c>
      <c r="K3529" s="78">
        <f t="shared" si="1536"/>
        <v>0</v>
      </c>
      <c r="L3529" s="14"/>
      <c r="M3529" s="50"/>
      <c r="N3529" s="50"/>
    </row>
    <row r="3530" spans="1:14" ht="62.4" x14ac:dyDescent="0.3">
      <c r="A3530" s="64" t="s">
        <v>272</v>
      </c>
      <c r="B3530" s="62" t="s">
        <v>937</v>
      </c>
      <c r="C3530" s="68" t="s">
        <v>1386</v>
      </c>
      <c r="D3530" s="68" t="s">
        <v>1398</v>
      </c>
      <c r="E3530" s="8" t="s">
        <v>1263</v>
      </c>
      <c r="F3530" s="45"/>
      <c r="G3530" s="23" t="s">
        <v>1350</v>
      </c>
      <c r="H3530" s="14">
        <f t="shared" ref="H3530:L3531" si="1537">H3531</f>
        <v>6397.1</v>
      </c>
      <c r="I3530" s="14">
        <f t="shared" si="1537"/>
        <v>6397.1</v>
      </c>
      <c r="J3530" s="14">
        <f t="shared" si="1537"/>
        <v>0</v>
      </c>
      <c r="K3530" s="78">
        <f t="shared" si="1536"/>
        <v>0</v>
      </c>
      <c r="L3530" s="14">
        <f t="shared" si="1537"/>
        <v>0</v>
      </c>
      <c r="M3530" s="50"/>
      <c r="N3530" s="50"/>
    </row>
    <row r="3531" spans="1:14" ht="31.2" x14ac:dyDescent="0.3">
      <c r="A3531" s="64" t="s">
        <v>272</v>
      </c>
      <c r="B3531" s="62" t="s">
        <v>937</v>
      </c>
      <c r="C3531" s="68" t="s">
        <v>1386</v>
      </c>
      <c r="D3531" s="68" t="s">
        <v>1398</v>
      </c>
      <c r="E3531" s="8" t="s">
        <v>1263</v>
      </c>
      <c r="F3531" s="45" t="s">
        <v>478</v>
      </c>
      <c r="G3531" s="23" t="s">
        <v>817</v>
      </c>
      <c r="H3531" s="14">
        <f t="shared" si="1537"/>
        <v>6397.1</v>
      </c>
      <c r="I3531" s="14">
        <f t="shared" si="1537"/>
        <v>6397.1</v>
      </c>
      <c r="J3531" s="14">
        <f t="shared" si="1537"/>
        <v>0</v>
      </c>
      <c r="K3531" s="78">
        <f t="shared" si="1536"/>
        <v>0</v>
      </c>
      <c r="L3531" s="14">
        <f t="shared" si="1537"/>
        <v>0</v>
      </c>
      <c r="M3531" s="50"/>
      <c r="N3531" s="50"/>
    </row>
    <row r="3532" spans="1:14" x14ac:dyDescent="0.3">
      <c r="A3532" s="64" t="s">
        <v>272</v>
      </c>
      <c r="B3532" s="62" t="s">
        <v>937</v>
      </c>
      <c r="C3532" s="68" t="s">
        <v>1386</v>
      </c>
      <c r="D3532" s="68" t="s">
        <v>1398</v>
      </c>
      <c r="E3532" s="8" t="s">
        <v>1263</v>
      </c>
      <c r="F3532" s="45" t="s">
        <v>1273</v>
      </c>
      <c r="G3532" s="23" t="s">
        <v>818</v>
      </c>
      <c r="H3532" s="14">
        <v>6397.1</v>
      </c>
      <c r="I3532" s="14">
        <v>6397.1</v>
      </c>
      <c r="J3532" s="14">
        <v>0</v>
      </c>
      <c r="K3532" s="78">
        <f t="shared" si="1536"/>
        <v>0</v>
      </c>
      <c r="L3532" s="14"/>
      <c r="M3532" s="50"/>
      <c r="N3532" s="50"/>
    </row>
    <row r="3533" spans="1:14" ht="31.2" x14ac:dyDescent="0.3">
      <c r="A3533" s="64" t="s">
        <v>272</v>
      </c>
      <c r="B3533" s="62" t="s">
        <v>937</v>
      </c>
      <c r="C3533" s="68" t="s">
        <v>1386</v>
      </c>
      <c r="D3533" s="68" t="s">
        <v>1398</v>
      </c>
      <c r="E3533" s="8" t="s">
        <v>771</v>
      </c>
      <c r="F3533" s="45"/>
      <c r="G3533" s="23" t="s">
        <v>772</v>
      </c>
      <c r="H3533" s="14">
        <f t="shared" ref="H3533:L3534" si="1538">H3534</f>
        <v>21103.199000000001</v>
      </c>
      <c r="I3533" s="14">
        <f t="shared" si="1538"/>
        <v>21103.199000000001</v>
      </c>
      <c r="J3533" s="14">
        <f t="shared" si="1538"/>
        <v>21103.199000000001</v>
      </c>
      <c r="K3533" s="78">
        <f t="shared" si="1536"/>
        <v>100</v>
      </c>
      <c r="L3533" s="14">
        <f t="shared" si="1538"/>
        <v>0</v>
      </c>
      <c r="M3533" s="50"/>
      <c r="N3533" s="50"/>
    </row>
    <row r="3534" spans="1:14" ht="31.2" x14ac:dyDescent="0.3">
      <c r="A3534" s="64" t="s">
        <v>272</v>
      </c>
      <c r="B3534" s="62" t="s">
        <v>937</v>
      </c>
      <c r="C3534" s="68" t="s">
        <v>1386</v>
      </c>
      <c r="D3534" s="68" t="s">
        <v>1398</v>
      </c>
      <c r="E3534" s="8" t="s">
        <v>771</v>
      </c>
      <c r="F3534" s="45" t="s">
        <v>478</v>
      </c>
      <c r="G3534" s="23" t="s">
        <v>817</v>
      </c>
      <c r="H3534" s="14">
        <f t="shared" si="1538"/>
        <v>21103.199000000001</v>
      </c>
      <c r="I3534" s="14">
        <f t="shared" si="1538"/>
        <v>21103.199000000001</v>
      </c>
      <c r="J3534" s="14">
        <f t="shared" si="1538"/>
        <v>21103.199000000001</v>
      </c>
      <c r="K3534" s="78">
        <f t="shared" si="1536"/>
        <v>100</v>
      </c>
      <c r="L3534" s="14">
        <f t="shared" si="1538"/>
        <v>0</v>
      </c>
      <c r="M3534" s="50"/>
      <c r="N3534" s="50"/>
    </row>
    <row r="3535" spans="1:14" x14ac:dyDescent="0.3">
      <c r="A3535" s="64" t="s">
        <v>272</v>
      </c>
      <c r="B3535" s="62" t="s">
        <v>937</v>
      </c>
      <c r="C3535" s="68" t="s">
        <v>1386</v>
      </c>
      <c r="D3535" s="68" t="s">
        <v>1398</v>
      </c>
      <c r="E3535" s="8" t="s">
        <v>771</v>
      </c>
      <c r="F3535" s="45" t="s">
        <v>1273</v>
      </c>
      <c r="G3535" s="23" t="s">
        <v>818</v>
      </c>
      <c r="H3535" s="14">
        <v>21103.199000000001</v>
      </c>
      <c r="I3535" s="14">
        <v>21103.199000000001</v>
      </c>
      <c r="J3535" s="14">
        <v>21103.199000000001</v>
      </c>
      <c r="K3535" s="78">
        <f t="shared" si="1536"/>
        <v>100</v>
      </c>
      <c r="L3535" s="14"/>
      <c r="M3535" s="50"/>
      <c r="N3535" s="50"/>
    </row>
    <row r="3536" spans="1:14" ht="31.2" x14ac:dyDescent="0.3">
      <c r="A3536" s="64" t="s">
        <v>272</v>
      </c>
      <c r="B3536" s="62" t="s">
        <v>937</v>
      </c>
      <c r="C3536" s="68" t="s">
        <v>1386</v>
      </c>
      <c r="D3536" s="68" t="s">
        <v>1398</v>
      </c>
      <c r="E3536" s="8" t="s">
        <v>596</v>
      </c>
      <c r="F3536" s="8"/>
      <c r="G3536" s="18" t="s">
        <v>124</v>
      </c>
      <c r="H3536" s="14">
        <f t="shared" ref="H3536:L3537" si="1539">H3537</f>
        <v>12699.7</v>
      </c>
      <c r="I3536" s="14">
        <f t="shared" si="1539"/>
        <v>12699.7</v>
      </c>
      <c r="J3536" s="14">
        <f t="shared" si="1539"/>
        <v>0</v>
      </c>
      <c r="K3536" s="78">
        <f t="shared" si="1536"/>
        <v>0</v>
      </c>
      <c r="L3536" s="14">
        <f t="shared" si="1539"/>
        <v>0</v>
      </c>
      <c r="M3536" s="50"/>
      <c r="N3536" s="50"/>
    </row>
    <row r="3537" spans="1:14" ht="31.2" x14ac:dyDescent="0.3">
      <c r="A3537" s="64" t="s">
        <v>272</v>
      </c>
      <c r="B3537" s="62" t="s">
        <v>937</v>
      </c>
      <c r="C3537" s="68" t="s">
        <v>1386</v>
      </c>
      <c r="D3537" s="68" t="s">
        <v>1398</v>
      </c>
      <c r="E3537" s="8" t="s">
        <v>596</v>
      </c>
      <c r="F3537" s="45" t="s">
        <v>478</v>
      </c>
      <c r="G3537" s="23" t="s">
        <v>817</v>
      </c>
      <c r="H3537" s="14">
        <f t="shared" si="1539"/>
        <v>12699.7</v>
      </c>
      <c r="I3537" s="14">
        <f t="shared" si="1539"/>
        <v>12699.7</v>
      </c>
      <c r="J3537" s="14">
        <f t="shared" si="1539"/>
        <v>0</v>
      </c>
      <c r="K3537" s="78">
        <f t="shared" si="1536"/>
        <v>0</v>
      </c>
      <c r="L3537" s="14">
        <f t="shared" si="1539"/>
        <v>0</v>
      </c>
      <c r="M3537" s="50"/>
      <c r="N3537" s="50"/>
    </row>
    <row r="3538" spans="1:14" x14ac:dyDescent="0.3">
      <c r="A3538" s="64" t="s">
        <v>272</v>
      </c>
      <c r="B3538" s="62" t="s">
        <v>937</v>
      </c>
      <c r="C3538" s="68" t="s">
        <v>1386</v>
      </c>
      <c r="D3538" s="68" t="s">
        <v>1398</v>
      </c>
      <c r="E3538" s="8" t="s">
        <v>596</v>
      </c>
      <c r="F3538" s="45" t="s">
        <v>1273</v>
      </c>
      <c r="G3538" s="23" t="s">
        <v>818</v>
      </c>
      <c r="H3538" s="14">
        <v>12699.7</v>
      </c>
      <c r="I3538" s="14">
        <v>12699.7</v>
      </c>
      <c r="J3538" s="14">
        <v>0</v>
      </c>
      <c r="K3538" s="78">
        <f t="shared" si="1536"/>
        <v>0</v>
      </c>
      <c r="L3538" s="14"/>
      <c r="M3538" s="50"/>
      <c r="N3538" s="50"/>
    </row>
    <row r="3539" spans="1:14" ht="31.2" x14ac:dyDescent="0.3">
      <c r="A3539" s="64" t="s">
        <v>272</v>
      </c>
      <c r="B3539" s="62" t="s">
        <v>937</v>
      </c>
      <c r="C3539" s="68" t="s">
        <v>1386</v>
      </c>
      <c r="D3539" s="68" t="s">
        <v>1398</v>
      </c>
      <c r="E3539" s="8" t="s">
        <v>263</v>
      </c>
      <c r="F3539" s="45"/>
      <c r="G3539" s="23" t="s">
        <v>307</v>
      </c>
      <c r="H3539" s="14">
        <f t="shared" ref="H3539:L3540" si="1540">H3540</f>
        <v>765.95600000000002</v>
      </c>
      <c r="I3539" s="14">
        <f t="shared" si="1540"/>
        <v>765.95600000000002</v>
      </c>
      <c r="J3539" s="14">
        <f t="shared" si="1540"/>
        <v>394.13128</v>
      </c>
      <c r="K3539" s="78">
        <f t="shared" si="1536"/>
        <v>51.45612541712579</v>
      </c>
      <c r="L3539" s="14">
        <f t="shared" si="1540"/>
        <v>0</v>
      </c>
      <c r="M3539" s="50"/>
      <c r="N3539" s="50"/>
    </row>
    <row r="3540" spans="1:14" ht="31.2" x14ac:dyDescent="0.3">
      <c r="A3540" s="64" t="s">
        <v>272</v>
      </c>
      <c r="B3540" s="62" t="s">
        <v>937</v>
      </c>
      <c r="C3540" s="68" t="s">
        <v>1386</v>
      </c>
      <c r="D3540" s="68" t="s">
        <v>1398</v>
      </c>
      <c r="E3540" s="8" t="s">
        <v>263</v>
      </c>
      <c r="F3540" s="45" t="s">
        <v>478</v>
      </c>
      <c r="G3540" s="23" t="s">
        <v>817</v>
      </c>
      <c r="H3540" s="14">
        <f t="shared" si="1540"/>
        <v>765.95600000000002</v>
      </c>
      <c r="I3540" s="14">
        <f t="shared" si="1540"/>
        <v>765.95600000000002</v>
      </c>
      <c r="J3540" s="14">
        <f t="shared" si="1540"/>
        <v>394.13128</v>
      </c>
      <c r="K3540" s="78">
        <f t="shared" si="1536"/>
        <v>51.45612541712579</v>
      </c>
      <c r="L3540" s="14">
        <f t="shared" si="1540"/>
        <v>0</v>
      </c>
      <c r="M3540" s="50"/>
      <c r="N3540" s="50"/>
    </row>
    <row r="3541" spans="1:14" x14ac:dyDescent="0.3">
      <c r="A3541" s="64" t="s">
        <v>272</v>
      </c>
      <c r="B3541" s="62" t="s">
        <v>937</v>
      </c>
      <c r="C3541" s="68" t="s">
        <v>1386</v>
      </c>
      <c r="D3541" s="68" t="s">
        <v>1398</v>
      </c>
      <c r="E3541" s="8" t="s">
        <v>263</v>
      </c>
      <c r="F3541" s="45" t="s">
        <v>1273</v>
      </c>
      <c r="G3541" s="23" t="s">
        <v>818</v>
      </c>
      <c r="H3541" s="14">
        <v>765.95600000000002</v>
      </c>
      <c r="I3541" s="14">
        <v>765.95600000000002</v>
      </c>
      <c r="J3541" s="14">
        <v>394.13128</v>
      </c>
      <c r="K3541" s="78">
        <f t="shared" si="1536"/>
        <v>51.45612541712579</v>
      </c>
      <c r="L3541" s="14"/>
      <c r="M3541" s="50"/>
      <c r="N3541" s="50"/>
    </row>
    <row r="3542" spans="1:14" ht="31.2" x14ac:dyDescent="0.3">
      <c r="A3542" s="64" t="s">
        <v>272</v>
      </c>
      <c r="B3542" s="62" t="s">
        <v>937</v>
      </c>
      <c r="C3542" s="68" t="s">
        <v>1386</v>
      </c>
      <c r="D3542" s="68" t="s">
        <v>1398</v>
      </c>
      <c r="E3542" s="8" t="s">
        <v>786</v>
      </c>
      <c r="F3542" s="45"/>
      <c r="G3542" s="23" t="s">
        <v>798</v>
      </c>
      <c r="H3542" s="14">
        <f t="shared" ref="H3542:L3543" si="1541">H3543</f>
        <v>4401.8650000000007</v>
      </c>
      <c r="I3542" s="14">
        <f t="shared" si="1541"/>
        <v>3704.6977000000002</v>
      </c>
      <c r="J3542" s="14">
        <f t="shared" si="1541"/>
        <v>2976.4617199999998</v>
      </c>
      <c r="K3542" s="78">
        <f t="shared" si="1536"/>
        <v>80.342904091742753</v>
      </c>
      <c r="L3542" s="14">
        <f t="shared" si="1541"/>
        <v>0</v>
      </c>
      <c r="M3542" s="50"/>
      <c r="N3542" s="50"/>
    </row>
    <row r="3543" spans="1:14" ht="31.2" x14ac:dyDescent="0.3">
      <c r="A3543" s="64" t="s">
        <v>272</v>
      </c>
      <c r="B3543" s="62" t="s">
        <v>937</v>
      </c>
      <c r="C3543" s="68" t="s">
        <v>1386</v>
      </c>
      <c r="D3543" s="68" t="s">
        <v>1398</v>
      </c>
      <c r="E3543" s="8" t="s">
        <v>786</v>
      </c>
      <c r="F3543" s="45" t="s">
        <v>478</v>
      </c>
      <c r="G3543" s="23" t="s">
        <v>817</v>
      </c>
      <c r="H3543" s="14">
        <f t="shared" si="1541"/>
        <v>4401.8650000000007</v>
      </c>
      <c r="I3543" s="14">
        <f t="shared" si="1541"/>
        <v>3704.6977000000002</v>
      </c>
      <c r="J3543" s="14">
        <f t="shared" si="1541"/>
        <v>2976.4617199999998</v>
      </c>
      <c r="K3543" s="78">
        <f t="shared" si="1536"/>
        <v>80.342904091742753</v>
      </c>
      <c r="L3543" s="14">
        <f t="shared" si="1541"/>
        <v>0</v>
      </c>
      <c r="M3543" s="50"/>
      <c r="N3543" s="50"/>
    </row>
    <row r="3544" spans="1:14" x14ac:dyDescent="0.3">
      <c r="A3544" s="64" t="s">
        <v>272</v>
      </c>
      <c r="B3544" s="62" t="s">
        <v>937</v>
      </c>
      <c r="C3544" s="68" t="s">
        <v>1386</v>
      </c>
      <c r="D3544" s="68" t="s">
        <v>1398</v>
      </c>
      <c r="E3544" s="8" t="s">
        <v>786</v>
      </c>
      <c r="F3544" s="45" t="s">
        <v>1273</v>
      </c>
      <c r="G3544" s="23" t="s">
        <v>818</v>
      </c>
      <c r="H3544" s="14">
        <f>4501.734-99.869</f>
        <v>4401.8650000000007</v>
      </c>
      <c r="I3544" s="14">
        <v>3704.6977000000002</v>
      </c>
      <c r="J3544" s="14">
        <v>2976.4617199999998</v>
      </c>
      <c r="K3544" s="78">
        <f t="shared" si="1536"/>
        <v>80.342904091742753</v>
      </c>
      <c r="L3544" s="14"/>
      <c r="M3544" s="50"/>
      <c r="N3544" s="50"/>
    </row>
    <row r="3545" spans="1:14" ht="31.2" x14ac:dyDescent="0.3">
      <c r="A3545" s="64" t="s">
        <v>272</v>
      </c>
      <c r="B3545" s="62" t="s">
        <v>937</v>
      </c>
      <c r="C3545" s="68" t="s">
        <v>1386</v>
      </c>
      <c r="D3545" s="68" t="s">
        <v>1398</v>
      </c>
      <c r="E3545" s="8" t="s">
        <v>777</v>
      </c>
      <c r="F3545" s="45"/>
      <c r="G3545" s="23" t="s">
        <v>778</v>
      </c>
      <c r="H3545" s="14">
        <f>H3548+H3546</f>
        <v>4999.933</v>
      </c>
      <c r="I3545" s="14">
        <f t="shared" ref="I3545:L3545" si="1542">I3548+I3546</f>
        <v>5732.9822800000002</v>
      </c>
      <c r="J3545" s="14">
        <f t="shared" si="1542"/>
        <v>3308.2681600000001</v>
      </c>
      <c r="K3545" s="78">
        <f t="shared" si="1536"/>
        <v>57.705884972663824</v>
      </c>
      <c r="L3545" s="14">
        <f t="shared" si="1542"/>
        <v>0</v>
      </c>
      <c r="M3545" s="50"/>
      <c r="N3545" s="50"/>
    </row>
    <row r="3546" spans="1:14" ht="31.2" x14ac:dyDescent="0.3">
      <c r="A3546" s="64" t="s">
        <v>272</v>
      </c>
      <c r="B3546" s="62" t="s">
        <v>937</v>
      </c>
      <c r="C3546" s="68" t="s">
        <v>1386</v>
      </c>
      <c r="D3546" s="68" t="s">
        <v>1398</v>
      </c>
      <c r="E3546" s="8" t="s">
        <v>777</v>
      </c>
      <c r="F3546" s="45" t="s">
        <v>380</v>
      </c>
      <c r="G3546" s="23" t="s">
        <v>809</v>
      </c>
      <c r="H3546" s="14">
        <f>H3547</f>
        <v>1714.836</v>
      </c>
      <c r="I3546" s="14">
        <f t="shared" ref="I3546:L3546" si="1543">I3547</f>
        <v>1714.836</v>
      </c>
      <c r="J3546" s="14">
        <f t="shared" si="1543"/>
        <v>0</v>
      </c>
      <c r="K3546" s="78">
        <f t="shared" si="1536"/>
        <v>0</v>
      </c>
      <c r="L3546" s="14">
        <f t="shared" si="1543"/>
        <v>0</v>
      </c>
      <c r="M3546" s="50"/>
      <c r="N3546" s="50"/>
    </row>
    <row r="3547" spans="1:14" ht="31.2" x14ac:dyDescent="0.3">
      <c r="A3547" s="64" t="s">
        <v>272</v>
      </c>
      <c r="B3547" s="62" t="s">
        <v>937</v>
      </c>
      <c r="C3547" s="68" t="s">
        <v>1386</v>
      </c>
      <c r="D3547" s="68" t="s">
        <v>1398</v>
      </c>
      <c r="E3547" s="8" t="s">
        <v>777</v>
      </c>
      <c r="F3547" s="8" t="s">
        <v>247</v>
      </c>
      <c r="G3547" s="23" t="s">
        <v>810</v>
      </c>
      <c r="H3547" s="14">
        <v>1714.836</v>
      </c>
      <c r="I3547" s="14">
        <v>1714.836</v>
      </c>
      <c r="J3547" s="19">
        <v>0</v>
      </c>
      <c r="K3547" s="75">
        <f t="shared" si="1536"/>
        <v>0</v>
      </c>
      <c r="L3547" s="14"/>
      <c r="M3547" s="50"/>
      <c r="N3547" s="50"/>
    </row>
    <row r="3548" spans="1:14" ht="31.2" x14ac:dyDescent="0.3">
      <c r="A3548" s="64" t="s">
        <v>272</v>
      </c>
      <c r="B3548" s="62" t="s">
        <v>937</v>
      </c>
      <c r="C3548" s="68" t="s">
        <v>1386</v>
      </c>
      <c r="D3548" s="68" t="s">
        <v>1398</v>
      </c>
      <c r="E3548" s="8" t="s">
        <v>777</v>
      </c>
      <c r="F3548" s="45" t="s">
        <v>478</v>
      </c>
      <c r="G3548" s="23" t="s">
        <v>817</v>
      </c>
      <c r="H3548" s="14">
        <f t="shared" ref="H3548:L3548" si="1544">H3549</f>
        <v>3285.0970000000002</v>
      </c>
      <c r="I3548" s="14">
        <f t="shared" si="1544"/>
        <v>4018.1462799999999</v>
      </c>
      <c r="J3548" s="14">
        <f t="shared" si="1544"/>
        <v>3308.2681600000001</v>
      </c>
      <c r="K3548" s="78">
        <f t="shared" si="1536"/>
        <v>82.333193703440784</v>
      </c>
      <c r="L3548" s="14">
        <f t="shared" si="1544"/>
        <v>0</v>
      </c>
      <c r="M3548" s="50"/>
      <c r="N3548" s="50"/>
    </row>
    <row r="3549" spans="1:14" x14ac:dyDescent="0.3">
      <c r="A3549" s="64" t="s">
        <v>272</v>
      </c>
      <c r="B3549" s="62" t="s">
        <v>937</v>
      </c>
      <c r="C3549" s="68" t="s">
        <v>1386</v>
      </c>
      <c r="D3549" s="68" t="s">
        <v>1398</v>
      </c>
      <c r="E3549" s="8" t="s">
        <v>777</v>
      </c>
      <c r="F3549" s="45" t="s">
        <v>1273</v>
      </c>
      <c r="G3549" s="23" t="s">
        <v>818</v>
      </c>
      <c r="H3549" s="14">
        <f>84.795+43.5+3200.302-43.5</f>
        <v>3285.0970000000002</v>
      </c>
      <c r="I3549" s="14">
        <v>4018.1462799999999</v>
      </c>
      <c r="J3549" s="14">
        <v>3308.2681600000001</v>
      </c>
      <c r="K3549" s="78">
        <f t="shared" si="1536"/>
        <v>82.333193703440784</v>
      </c>
      <c r="L3549" s="14"/>
      <c r="M3549" s="50"/>
      <c r="N3549" s="50"/>
    </row>
    <row r="3550" spans="1:14" ht="31.2" x14ac:dyDescent="0.3">
      <c r="A3550" s="64" t="s">
        <v>272</v>
      </c>
      <c r="B3550" s="62" t="s">
        <v>937</v>
      </c>
      <c r="C3550" s="68" t="s">
        <v>1386</v>
      </c>
      <c r="D3550" s="68" t="s">
        <v>1398</v>
      </c>
      <c r="E3550" s="8" t="s">
        <v>774</v>
      </c>
      <c r="F3550" s="45"/>
      <c r="G3550" s="23" t="s">
        <v>906</v>
      </c>
      <c r="H3550" s="14">
        <f t="shared" ref="H3550:L3551" si="1545">H3551</f>
        <v>1213.567</v>
      </c>
      <c r="I3550" s="14">
        <f t="shared" si="1545"/>
        <v>1213.5665200000001</v>
      </c>
      <c r="J3550" s="14">
        <f t="shared" si="1545"/>
        <v>0</v>
      </c>
      <c r="K3550" s="78">
        <f t="shared" si="1536"/>
        <v>0</v>
      </c>
      <c r="L3550" s="14">
        <f t="shared" si="1545"/>
        <v>0</v>
      </c>
      <c r="M3550" s="50"/>
      <c r="N3550" s="50"/>
    </row>
    <row r="3551" spans="1:14" ht="31.2" x14ac:dyDescent="0.3">
      <c r="A3551" s="64" t="s">
        <v>272</v>
      </c>
      <c r="B3551" s="62" t="s">
        <v>937</v>
      </c>
      <c r="C3551" s="68" t="s">
        <v>1386</v>
      </c>
      <c r="D3551" s="68" t="s">
        <v>1398</v>
      </c>
      <c r="E3551" s="8" t="s">
        <v>774</v>
      </c>
      <c r="F3551" s="45" t="s">
        <v>478</v>
      </c>
      <c r="G3551" s="23" t="s">
        <v>817</v>
      </c>
      <c r="H3551" s="14">
        <f t="shared" si="1545"/>
        <v>1213.567</v>
      </c>
      <c r="I3551" s="14">
        <f t="shared" si="1545"/>
        <v>1213.5665200000001</v>
      </c>
      <c r="J3551" s="14">
        <f t="shared" si="1545"/>
        <v>0</v>
      </c>
      <c r="K3551" s="78">
        <f t="shared" si="1536"/>
        <v>0</v>
      </c>
      <c r="L3551" s="14">
        <f t="shared" si="1545"/>
        <v>0</v>
      </c>
      <c r="M3551" s="50"/>
      <c r="N3551" s="50"/>
    </row>
    <row r="3552" spans="1:14" x14ac:dyDescent="0.3">
      <c r="A3552" s="64" t="s">
        <v>272</v>
      </c>
      <c r="B3552" s="62" t="s">
        <v>937</v>
      </c>
      <c r="C3552" s="68" t="s">
        <v>1386</v>
      </c>
      <c r="D3552" s="68" t="s">
        <v>1398</v>
      </c>
      <c r="E3552" s="8" t="s">
        <v>774</v>
      </c>
      <c r="F3552" s="45" t="s">
        <v>1273</v>
      </c>
      <c r="G3552" s="23" t="s">
        <v>818</v>
      </c>
      <c r="H3552" s="14">
        <v>1213.567</v>
      </c>
      <c r="I3552" s="14">
        <v>1213.5665200000001</v>
      </c>
      <c r="J3552" s="14">
        <v>0</v>
      </c>
      <c r="K3552" s="78">
        <f t="shared" si="1536"/>
        <v>0</v>
      </c>
      <c r="L3552" s="14"/>
      <c r="M3552" s="50"/>
      <c r="N3552" s="50"/>
    </row>
    <row r="3553" spans="1:14" ht="62.4" x14ac:dyDescent="0.3">
      <c r="A3553" s="64" t="s">
        <v>272</v>
      </c>
      <c r="B3553" s="62" t="s">
        <v>937</v>
      </c>
      <c r="C3553" s="68" t="s">
        <v>1386</v>
      </c>
      <c r="D3553" s="68" t="s">
        <v>1398</v>
      </c>
      <c r="E3553" s="8" t="s">
        <v>695</v>
      </c>
      <c r="F3553" s="45"/>
      <c r="G3553" s="23" t="s">
        <v>688</v>
      </c>
      <c r="H3553" s="14">
        <f t="shared" ref="H3553:L3554" si="1546">H3554</f>
        <v>607665.80000000005</v>
      </c>
      <c r="I3553" s="14">
        <f t="shared" si="1546"/>
        <v>366682.24</v>
      </c>
      <c r="J3553" s="14">
        <f t="shared" si="1546"/>
        <v>318553.71010000003</v>
      </c>
      <c r="K3553" s="78">
        <f t="shared" si="1536"/>
        <v>86.874594771756605</v>
      </c>
      <c r="L3553" s="14">
        <f t="shared" si="1546"/>
        <v>0</v>
      </c>
      <c r="M3553" s="50"/>
      <c r="N3553" s="50"/>
    </row>
    <row r="3554" spans="1:14" ht="31.2" x14ac:dyDescent="0.3">
      <c r="A3554" s="64" t="s">
        <v>272</v>
      </c>
      <c r="B3554" s="62" t="s">
        <v>937</v>
      </c>
      <c r="C3554" s="68" t="s">
        <v>1386</v>
      </c>
      <c r="D3554" s="68" t="s">
        <v>1398</v>
      </c>
      <c r="E3554" s="8" t="s">
        <v>695</v>
      </c>
      <c r="F3554" s="45" t="s">
        <v>478</v>
      </c>
      <c r="G3554" s="23" t="s">
        <v>817</v>
      </c>
      <c r="H3554" s="14">
        <f t="shared" si="1546"/>
        <v>607665.80000000005</v>
      </c>
      <c r="I3554" s="14">
        <f t="shared" si="1546"/>
        <v>366682.24</v>
      </c>
      <c r="J3554" s="14">
        <f t="shared" si="1546"/>
        <v>318553.71010000003</v>
      </c>
      <c r="K3554" s="78">
        <f t="shared" si="1536"/>
        <v>86.874594771756605</v>
      </c>
      <c r="L3554" s="14">
        <f t="shared" si="1546"/>
        <v>0</v>
      </c>
      <c r="M3554" s="50"/>
      <c r="N3554" s="50"/>
    </row>
    <row r="3555" spans="1:14" x14ac:dyDescent="0.3">
      <c r="A3555" s="64" t="s">
        <v>272</v>
      </c>
      <c r="B3555" s="62" t="s">
        <v>937</v>
      </c>
      <c r="C3555" s="68" t="s">
        <v>1386</v>
      </c>
      <c r="D3555" s="68" t="s">
        <v>1398</v>
      </c>
      <c r="E3555" s="8" t="s">
        <v>695</v>
      </c>
      <c r="F3555" s="45" t="s">
        <v>1273</v>
      </c>
      <c r="G3555" s="23" t="s">
        <v>818</v>
      </c>
      <c r="H3555" s="14">
        <f>758065.1-150399.3</f>
        <v>607665.80000000005</v>
      </c>
      <c r="I3555" s="14">
        <v>366682.24</v>
      </c>
      <c r="J3555" s="14">
        <v>318553.71010000003</v>
      </c>
      <c r="K3555" s="78">
        <f t="shared" si="1536"/>
        <v>86.874594771756605</v>
      </c>
      <c r="L3555" s="14"/>
      <c r="M3555" s="50"/>
      <c r="N3555" s="50"/>
    </row>
    <row r="3556" spans="1:14" ht="93.6" x14ac:dyDescent="0.3">
      <c r="A3556" s="64" t="s">
        <v>272</v>
      </c>
      <c r="B3556" s="62" t="s">
        <v>937</v>
      </c>
      <c r="C3556" s="68" t="s">
        <v>1386</v>
      </c>
      <c r="D3556" s="68" t="s">
        <v>1398</v>
      </c>
      <c r="E3556" s="8" t="s">
        <v>696</v>
      </c>
      <c r="F3556" s="8"/>
      <c r="G3556" s="13" t="s">
        <v>1364</v>
      </c>
      <c r="H3556" s="14">
        <f t="shared" ref="H3556:L3563" si="1547">H3557</f>
        <v>112796.8</v>
      </c>
      <c r="I3556" s="14">
        <f t="shared" si="1547"/>
        <v>112796.8</v>
      </c>
      <c r="J3556" s="14">
        <f t="shared" si="1547"/>
        <v>112796.8</v>
      </c>
      <c r="K3556" s="78">
        <f t="shared" si="1536"/>
        <v>100</v>
      </c>
      <c r="L3556" s="14">
        <f t="shared" si="1547"/>
        <v>0</v>
      </c>
      <c r="M3556" s="50"/>
      <c r="N3556" s="50"/>
    </row>
    <row r="3557" spans="1:14" ht="31.2" x14ac:dyDescent="0.3">
      <c r="A3557" s="64" t="s">
        <v>272</v>
      </c>
      <c r="B3557" s="62" t="s">
        <v>937</v>
      </c>
      <c r="C3557" s="68" t="s">
        <v>1386</v>
      </c>
      <c r="D3557" s="68" t="s">
        <v>1398</v>
      </c>
      <c r="E3557" s="8" t="s">
        <v>696</v>
      </c>
      <c r="F3557" s="45" t="s">
        <v>478</v>
      </c>
      <c r="G3557" s="23" t="s">
        <v>817</v>
      </c>
      <c r="H3557" s="14">
        <f t="shared" si="1547"/>
        <v>112796.8</v>
      </c>
      <c r="I3557" s="14">
        <f t="shared" si="1547"/>
        <v>112796.8</v>
      </c>
      <c r="J3557" s="14">
        <f t="shared" si="1547"/>
        <v>112796.8</v>
      </c>
      <c r="K3557" s="78">
        <f t="shared" si="1536"/>
        <v>100</v>
      </c>
      <c r="L3557" s="14">
        <f t="shared" si="1547"/>
        <v>0</v>
      </c>
      <c r="M3557" s="50"/>
      <c r="N3557" s="50"/>
    </row>
    <row r="3558" spans="1:14" x14ac:dyDescent="0.3">
      <c r="A3558" s="64" t="s">
        <v>272</v>
      </c>
      <c r="B3558" s="62" t="s">
        <v>937</v>
      </c>
      <c r="C3558" s="68" t="s">
        <v>1386</v>
      </c>
      <c r="D3558" s="68" t="s">
        <v>1398</v>
      </c>
      <c r="E3558" s="8" t="s">
        <v>696</v>
      </c>
      <c r="F3558" s="45" t="s">
        <v>1273</v>
      </c>
      <c r="G3558" s="23" t="s">
        <v>818</v>
      </c>
      <c r="H3558" s="14">
        <v>112796.8</v>
      </c>
      <c r="I3558" s="14">
        <v>112796.8</v>
      </c>
      <c r="J3558" s="14">
        <v>112796.8</v>
      </c>
      <c r="K3558" s="78">
        <f t="shared" si="1536"/>
        <v>100</v>
      </c>
      <c r="L3558" s="14"/>
      <c r="M3558" s="50"/>
      <c r="N3558" s="50"/>
    </row>
    <row r="3559" spans="1:14" ht="93.6" x14ac:dyDescent="0.3">
      <c r="A3559" s="64" t="s">
        <v>272</v>
      </c>
      <c r="B3559" s="62" t="s">
        <v>937</v>
      </c>
      <c r="C3559" s="68" t="s">
        <v>1386</v>
      </c>
      <c r="D3559" s="68" t="s">
        <v>1398</v>
      </c>
      <c r="E3559" s="8" t="s">
        <v>697</v>
      </c>
      <c r="F3559" s="8"/>
      <c r="G3559" s="13" t="s">
        <v>759</v>
      </c>
      <c r="H3559" s="14">
        <f t="shared" si="1547"/>
        <v>58658.600000000006</v>
      </c>
      <c r="I3559" s="14">
        <f t="shared" si="1547"/>
        <v>58658.6</v>
      </c>
      <c r="J3559" s="14">
        <f t="shared" si="1547"/>
        <v>14341.09462</v>
      </c>
      <c r="K3559" s="78">
        <f t="shared" si="1536"/>
        <v>24.448409304006574</v>
      </c>
      <c r="L3559" s="14">
        <f t="shared" si="1547"/>
        <v>0</v>
      </c>
      <c r="M3559" s="50"/>
      <c r="N3559" s="50"/>
    </row>
    <row r="3560" spans="1:14" ht="31.2" x14ac:dyDescent="0.3">
      <c r="A3560" s="64" t="s">
        <v>272</v>
      </c>
      <c r="B3560" s="62" t="s">
        <v>937</v>
      </c>
      <c r="C3560" s="68" t="s">
        <v>1386</v>
      </c>
      <c r="D3560" s="68" t="s">
        <v>1398</v>
      </c>
      <c r="E3560" s="8" t="s">
        <v>697</v>
      </c>
      <c r="F3560" s="45" t="s">
        <v>478</v>
      </c>
      <c r="G3560" s="23" t="s">
        <v>817</v>
      </c>
      <c r="H3560" s="14">
        <f t="shared" si="1547"/>
        <v>58658.600000000006</v>
      </c>
      <c r="I3560" s="14">
        <f t="shared" si="1547"/>
        <v>58658.6</v>
      </c>
      <c r="J3560" s="14">
        <f t="shared" si="1547"/>
        <v>14341.09462</v>
      </c>
      <c r="K3560" s="78">
        <f t="shared" si="1536"/>
        <v>24.448409304006574</v>
      </c>
      <c r="L3560" s="14">
        <f t="shared" si="1547"/>
        <v>0</v>
      </c>
      <c r="M3560" s="50"/>
      <c r="N3560" s="50"/>
    </row>
    <row r="3561" spans="1:14" x14ac:dyDescent="0.3">
      <c r="A3561" s="64" t="s">
        <v>272</v>
      </c>
      <c r="B3561" s="62" t="s">
        <v>937</v>
      </c>
      <c r="C3561" s="68" t="s">
        <v>1386</v>
      </c>
      <c r="D3561" s="68" t="s">
        <v>1398</v>
      </c>
      <c r="E3561" s="8" t="s">
        <v>697</v>
      </c>
      <c r="F3561" s="45" t="s">
        <v>1273</v>
      </c>
      <c r="G3561" s="23" t="s">
        <v>818</v>
      </c>
      <c r="H3561" s="14">
        <f>108791.6-50133</f>
        <v>58658.600000000006</v>
      </c>
      <c r="I3561" s="14">
        <v>58658.6</v>
      </c>
      <c r="J3561" s="14">
        <v>14341.09462</v>
      </c>
      <c r="K3561" s="78">
        <f t="shared" si="1536"/>
        <v>24.448409304006574</v>
      </c>
      <c r="L3561" s="14"/>
      <c r="M3561" s="50"/>
      <c r="N3561" s="50"/>
    </row>
    <row r="3562" spans="1:14" ht="93.6" x14ac:dyDescent="0.3">
      <c r="A3562" s="64" t="s">
        <v>272</v>
      </c>
      <c r="B3562" s="62" t="s">
        <v>937</v>
      </c>
      <c r="C3562" s="68" t="s">
        <v>1386</v>
      </c>
      <c r="D3562" s="68" t="s">
        <v>1398</v>
      </c>
      <c r="E3562" s="8" t="s">
        <v>698</v>
      </c>
      <c r="F3562" s="8"/>
      <c r="G3562" s="13" t="s">
        <v>1365</v>
      </c>
      <c r="H3562" s="14">
        <f t="shared" si="1547"/>
        <v>18750</v>
      </c>
      <c r="I3562" s="14">
        <f t="shared" si="1547"/>
        <v>18750</v>
      </c>
      <c r="J3562" s="14">
        <f t="shared" si="1547"/>
        <v>0</v>
      </c>
      <c r="K3562" s="78">
        <f t="shared" si="1536"/>
        <v>0</v>
      </c>
      <c r="L3562" s="14">
        <f t="shared" si="1547"/>
        <v>0</v>
      </c>
      <c r="M3562" s="50"/>
      <c r="N3562" s="50"/>
    </row>
    <row r="3563" spans="1:14" ht="31.2" x14ac:dyDescent="0.3">
      <c r="A3563" s="64" t="s">
        <v>272</v>
      </c>
      <c r="B3563" s="62" t="s">
        <v>937</v>
      </c>
      <c r="C3563" s="68" t="s">
        <v>1386</v>
      </c>
      <c r="D3563" s="68" t="s">
        <v>1398</v>
      </c>
      <c r="E3563" s="8" t="s">
        <v>698</v>
      </c>
      <c r="F3563" s="45" t="s">
        <v>478</v>
      </c>
      <c r="G3563" s="23" t="s">
        <v>817</v>
      </c>
      <c r="H3563" s="14">
        <f t="shared" si="1547"/>
        <v>18750</v>
      </c>
      <c r="I3563" s="14">
        <f t="shared" si="1547"/>
        <v>18750</v>
      </c>
      <c r="J3563" s="14">
        <f t="shared" si="1547"/>
        <v>0</v>
      </c>
      <c r="K3563" s="78">
        <f t="shared" si="1536"/>
        <v>0</v>
      </c>
      <c r="L3563" s="14">
        <f t="shared" si="1547"/>
        <v>0</v>
      </c>
      <c r="M3563" s="50"/>
      <c r="N3563" s="50"/>
    </row>
    <row r="3564" spans="1:14" x14ac:dyDescent="0.3">
      <c r="A3564" s="64" t="s">
        <v>272</v>
      </c>
      <c r="B3564" s="62" t="s">
        <v>937</v>
      </c>
      <c r="C3564" s="68" t="s">
        <v>1386</v>
      </c>
      <c r="D3564" s="68" t="s">
        <v>1398</v>
      </c>
      <c r="E3564" s="8" t="s">
        <v>698</v>
      </c>
      <c r="F3564" s="45" t="s">
        <v>1273</v>
      </c>
      <c r="G3564" s="23" t="s">
        <v>818</v>
      </c>
      <c r="H3564" s="14">
        <v>18750</v>
      </c>
      <c r="I3564" s="14">
        <v>18750</v>
      </c>
      <c r="J3564" s="14">
        <v>0</v>
      </c>
      <c r="K3564" s="78">
        <f t="shared" si="1536"/>
        <v>0</v>
      </c>
      <c r="L3564" s="14"/>
      <c r="M3564" s="50"/>
      <c r="N3564" s="50"/>
    </row>
    <row r="3565" spans="1:14" ht="78" x14ac:dyDescent="0.3">
      <c r="A3565" s="64" t="s">
        <v>272</v>
      </c>
      <c r="B3565" s="62" t="s">
        <v>937</v>
      </c>
      <c r="C3565" s="68" t="s">
        <v>1386</v>
      </c>
      <c r="D3565" s="68" t="s">
        <v>1398</v>
      </c>
      <c r="E3565" s="8" t="s">
        <v>773</v>
      </c>
      <c r="F3565" s="45"/>
      <c r="G3565" s="32" t="s">
        <v>799</v>
      </c>
      <c r="H3565" s="14">
        <f t="shared" ref="H3565:L3566" si="1548">H3566</f>
        <v>5305</v>
      </c>
      <c r="I3565" s="14">
        <f t="shared" si="1548"/>
        <v>5305</v>
      </c>
      <c r="J3565" s="14">
        <f t="shared" si="1548"/>
        <v>0</v>
      </c>
      <c r="K3565" s="78">
        <f t="shared" si="1536"/>
        <v>0</v>
      </c>
      <c r="L3565" s="14">
        <f t="shared" si="1548"/>
        <v>0</v>
      </c>
      <c r="M3565" s="50"/>
      <c r="N3565" s="50"/>
    </row>
    <row r="3566" spans="1:14" ht="31.2" x14ac:dyDescent="0.3">
      <c r="A3566" s="64" t="s">
        <v>272</v>
      </c>
      <c r="B3566" s="62" t="s">
        <v>937</v>
      </c>
      <c r="C3566" s="68" t="s">
        <v>1386</v>
      </c>
      <c r="D3566" s="68" t="s">
        <v>1398</v>
      </c>
      <c r="E3566" s="8" t="s">
        <v>773</v>
      </c>
      <c r="F3566" s="45" t="s">
        <v>478</v>
      </c>
      <c r="G3566" s="23" t="s">
        <v>817</v>
      </c>
      <c r="H3566" s="14">
        <f t="shared" si="1548"/>
        <v>5305</v>
      </c>
      <c r="I3566" s="14">
        <f t="shared" si="1548"/>
        <v>5305</v>
      </c>
      <c r="J3566" s="14">
        <f t="shared" si="1548"/>
        <v>0</v>
      </c>
      <c r="K3566" s="78">
        <f t="shared" si="1536"/>
        <v>0</v>
      </c>
      <c r="L3566" s="14">
        <f t="shared" si="1548"/>
        <v>0</v>
      </c>
      <c r="M3566" s="50"/>
      <c r="N3566" s="50"/>
    </row>
    <row r="3567" spans="1:14" x14ac:dyDescent="0.3">
      <c r="A3567" s="64" t="s">
        <v>272</v>
      </c>
      <c r="B3567" s="62" t="s">
        <v>937</v>
      </c>
      <c r="C3567" s="68" t="s">
        <v>1386</v>
      </c>
      <c r="D3567" s="68" t="s">
        <v>1398</v>
      </c>
      <c r="E3567" s="8" t="s">
        <v>773</v>
      </c>
      <c r="F3567" s="45" t="s">
        <v>1273</v>
      </c>
      <c r="G3567" s="23" t="s">
        <v>818</v>
      </c>
      <c r="H3567" s="14">
        <v>5305</v>
      </c>
      <c r="I3567" s="14">
        <v>5305</v>
      </c>
      <c r="J3567" s="14">
        <v>0</v>
      </c>
      <c r="K3567" s="78">
        <f t="shared" si="1536"/>
        <v>0</v>
      </c>
      <c r="L3567" s="14"/>
      <c r="M3567" s="50"/>
      <c r="N3567" s="50"/>
    </row>
    <row r="3568" spans="1:14" ht="93.6" x14ac:dyDescent="0.3">
      <c r="A3568" s="64" t="s">
        <v>272</v>
      </c>
      <c r="B3568" s="62" t="s">
        <v>937</v>
      </c>
      <c r="C3568" s="68" t="s">
        <v>1386</v>
      </c>
      <c r="D3568" s="68" t="s">
        <v>1398</v>
      </c>
      <c r="E3568" s="8" t="s">
        <v>699</v>
      </c>
      <c r="F3568" s="8"/>
      <c r="G3568" s="23" t="s">
        <v>1366</v>
      </c>
      <c r="H3568" s="14">
        <f t="shared" ref="H3568:L3569" si="1549">H3569</f>
        <v>6465.7</v>
      </c>
      <c r="I3568" s="14">
        <f t="shared" si="1549"/>
        <v>6465.7</v>
      </c>
      <c r="J3568" s="14">
        <f t="shared" si="1549"/>
        <v>0</v>
      </c>
      <c r="K3568" s="78">
        <f t="shared" si="1536"/>
        <v>0</v>
      </c>
      <c r="L3568" s="14">
        <f t="shared" si="1549"/>
        <v>0</v>
      </c>
      <c r="M3568" s="50"/>
      <c r="N3568" s="50"/>
    </row>
    <row r="3569" spans="1:14" ht="31.2" x14ac:dyDescent="0.3">
      <c r="A3569" s="64" t="s">
        <v>272</v>
      </c>
      <c r="B3569" s="62" t="s">
        <v>937</v>
      </c>
      <c r="C3569" s="68" t="s">
        <v>1386</v>
      </c>
      <c r="D3569" s="68" t="s">
        <v>1398</v>
      </c>
      <c r="E3569" s="8" t="s">
        <v>699</v>
      </c>
      <c r="F3569" s="45" t="s">
        <v>478</v>
      </c>
      <c r="G3569" s="23" t="s">
        <v>817</v>
      </c>
      <c r="H3569" s="14">
        <f t="shared" si="1549"/>
        <v>6465.7</v>
      </c>
      <c r="I3569" s="14">
        <f t="shared" si="1549"/>
        <v>6465.7</v>
      </c>
      <c r="J3569" s="14">
        <f t="shared" si="1549"/>
        <v>0</v>
      </c>
      <c r="K3569" s="78">
        <f t="shared" si="1536"/>
        <v>0</v>
      </c>
      <c r="L3569" s="14">
        <f t="shared" si="1549"/>
        <v>0</v>
      </c>
      <c r="M3569" s="50"/>
      <c r="N3569" s="50"/>
    </row>
    <row r="3570" spans="1:14" x14ac:dyDescent="0.3">
      <c r="A3570" s="64" t="s">
        <v>272</v>
      </c>
      <c r="B3570" s="62" t="s">
        <v>937</v>
      </c>
      <c r="C3570" s="68" t="s">
        <v>1386</v>
      </c>
      <c r="D3570" s="68" t="s">
        <v>1398</v>
      </c>
      <c r="E3570" s="8" t="s">
        <v>699</v>
      </c>
      <c r="F3570" s="45" t="s">
        <v>1273</v>
      </c>
      <c r="G3570" s="23" t="s">
        <v>818</v>
      </c>
      <c r="H3570" s="14">
        <v>6465.7</v>
      </c>
      <c r="I3570" s="14">
        <v>6465.7</v>
      </c>
      <c r="J3570" s="14">
        <v>0</v>
      </c>
      <c r="K3570" s="78">
        <f t="shared" si="1536"/>
        <v>0</v>
      </c>
      <c r="L3570" s="14"/>
      <c r="M3570" s="50"/>
      <c r="N3570" s="50"/>
    </row>
    <row r="3571" spans="1:14" ht="78" x14ac:dyDescent="0.3">
      <c r="A3571" s="64" t="s">
        <v>272</v>
      </c>
      <c r="B3571" s="62" t="s">
        <v>937</v>
      </c>
      <c r="C3571" s="68" t="s">
        <v>1386</v>
      </c>
      <c r="D3571" s="68" t="s">
        <v>1398</v>
      </c>
      <c r="E3571" s="8" t="s">
        <v>700</v>
      </c>
      <c r="F3571" s="8"/>
      <c r="G3571" s="23" t="s">
        <v>1367</v>
      </c>
      <c r="H3571" s="14">
        <f t="shared" ref="H3571:L3572" si="1550">H3572</f>
        <v>5379.5</v>
      </c>
      <c r="I3571" s="14">
        <f t="shared" si="1550"/>
        <v>5379.5</v>
      </c>
      <c r="J3571" s="14">
        <f t="shared" si="1550"/>
        <v>0</v>
      </c>
      <c r="K3571" s="78">
        <f t="shared" si="1536"/>
        <v>0</v>
      </c>
      <c r="L3571" s="14">
        <f t="shared" si="1550"/>
        <v>0</v>
      </c>
      <c r="M3571" s="50"/>
      <c r="N3571" s="50"/>
    </row>
    <row r="3572" spans="1:14" ht="31.2" x14ac:dyDescent="0.3">
      <c r="A3572" s="64" t="s">
        <v>272</v>
      </c>
      <c r="B3572" s="62" t="s">
        <v>937</v>
      </c>
      <c r="C3572" s="68" t="s">
        <v>1386</v>
      </c>
      <c r="D3572" s="68" t="s">
        <v>1398</v>
      </c>
      <c r="E3572" s="8" t="s">
        <v>700</v>
      </c>
      <c r="F3572" s="45" t="s">
        <v>478</v>
      </c>
      <c r="G3572" s="23" t="s">
        <v>817</v>
      </c>
      <c r="H3572" s="14">
        <f t="shared" si="1550"/>
        <v>5379.5</v>
      </c>
      <c r="I3572" s="14">
        <f t="shared" si="1550"/>
        <v>5379.5</v>
      </c>
      <c r="J3572" s="14">
        <f t="shared" si="1550"/>
        <v>0</v>
      </c>
      <c r="K3572" s="78">
        <f t="shared" si="1536"/>
        <v>0</v>
      </c>
      <c r="L3572" s="14">
        <f t="shared" si="1550"/>
        <v>0</v>
      </c>
      <c r="M3572" s="50"/>
      <c r="N3572" s="50"/>
    </row>
    <row r="3573" spans="1:14" x14ac:dyDescent="0.3">
      <c r="A3573" s="64" t="s">
        <v>272</v>
      </c>
      <c r="B3573" s="62" t="s">
        <v>937</v>
      </c>
      <c r="C3573" s="68" t="s">
        <v>1386</v>
      </c>
      <c r="D3573" s="68" t="s">
        <v>1398</v>
      </c>
      <c r="E3573" s="8" t="s">
        <v>700</v>
      </c>
      <c r="F3573" s="45" t="s">
        <v>1273</v>
      </c>
      <c r="G3573" s="23" t="s">
        <v>818</v>
      </c>
      <c r="H3573" s="14">
        <v>5379.5</v>
      </c>
      <c r="I3573" s="14">
        <v>5379.5</v>
      </c>
      <c r="J3573" s="14">
        <v>0</v>
      </c>
      <c r="K3573" s="78">
        <f t="shared" si="1536"/>
        <v>0</v>
      </c>
      <c r="L3573" s="14"/>
      <c r="M3573" s="50"/>
      <c r="N3573" s="50"/>
    </row>
    <row r="3574" spans="1:14" ht="109.2" x14ac:dyDescent="0.3">
      <c r="A3574" s="64" t="s">
        <v>272</v>
      </c>
      <c r="B3574" s="62" t="s">
        <v>937</v>
      </c>
      <c r="C3574" s="68" t="s">
        <v>1386</v>
      </c>
      <c r="D3574" s="68" t="s">
        <v>1398</v>
      </c>
      <c r="E3574" s="8" t="s">
        <v>701</v>
      </c>
      <c r="F3574" s="45"/>
      <c r="G3574" s="23" t="s">
        <v>686</v>
      </c>
      <c r="H3574" s="14">
        <f t="shared" ref="H3574:L3575" si="1551">H3575</f>
        <v>2856.3</v>
      </c>
      <c r="I3574" s="14">
        <f t="shared" si="1551"/>
        <v>2856.3</v>
      </c>
      <c r="J3574" s="14">
        <f t="shared" si="1551"/>
        <v>0</v>
      </c>
      <c r="K3574" s="78">
        <f t="shared" si="1536"/>
        <v>0</v>
      </c>
      <c r="L3574" s="14">
        <f t="shared" si="1551"/>
        <v>0</v>
      </c>
      <c r="M3574" s="50"/>
      <c r="N3574" s="50"/>
    </row>
    <row r="3575" spans="1:14" ht="31.2" x14ac:dyDescent="0.3">
      <c r="A3575" s="64" t="s">
        <v>272</v>
      </c>
      <c r="B3575" s="62" t="s">
        <v>937</v>
      </c>
      <c r="C3575" s="68" t="s">
        <v>1386</v>
      </c>
      <c r="D3575" s="68" t="s">
        <v>1398</v>
      </c>
      <c r="E3575" s="8" t="s">
        <v>701</v>
      </c>
      <c r="F3575" s="45" t="s">
        <v>478</v>
      </c>
      <c r="G3575" s="23" t="s">
        <v>817</v>
      </c>
      <c r="H3575" s="14">
        <f t="shared" si="1551"/>
        <v>2856.3</v>
      </c>
      <c r="I3575" s="14">
        <f t="shared" si="1551"/>
        <v>2856.3</v>
      </c>
      <c r="J3575" s="14">
        <f t="shared" si="1551"/>
        <v>0</v>
      </c>
      <c r="K3575" s="78">
        <f t="shared" si="1536"/>
        <v>0</v>
      </c>
      <c r="L3575" s="14">
        <f t="shared" si="1551"/>
        <v>0</v>
      </c>
      <c r="M3575" s="50"/>
      <c r="N3575" s="50"/>
    </row>
    <row r="3576" spans="1:14" x14ac:dyDescent="0.3">
      <c r="A3576" s="64" t="s">
        <v>272</v>
      </c>
      <c r="B3576" s="62" t="s">
        <v>937</v>
      </c>
      <c r="C3576" s="68" t="s">
        <v>1386</v>
      </c>
      <c r="D3576" s="68" t="s">
        <v>1398</v>
      </c>
      <c r="E3576" s="8" t="s">
        <v>701</v>
      </c>
      <c r="F3576" s="45" t="s">
        <v>1273</v>
      </c>
      <c r="G3576" s="23" t="s">
        <v>818</v>
      </c>
      <c r="H3576" s="14">
        <v>2856.3</v>
      </c>
      <c r="I3576" s="14">
        <v>2856.3</v>
      </c>
      <c r="J3576" s="14">
        <v>0</v>
      </c>
      <c r="K3576" s="78">
        <f t="shared" si="1536"/>
        <v>0</v>
      </c>
      <c r="L3576" s="14"/>
      <c r="M3576" s="50"/>
      <c r="N3576" s="50"/>
    </row>
    <row r="3577" spans="1:14" ht="62.4" x14ac:dyDescent="0.3">
      <c r="A3577" s="64" t="s">
        <v>272</v>
      </c>
      <c r="B3577" s="62" t="s">
        <v>937</v>
      </c>
      <c r="C3577" s="68" t="s">
        <v>1386</v>
      </c>
      <c r="D3577" s="68" t="s">
        <v>1398</v>
      </c>
      <c r="E3577" s="8" t="s">
        <v>1264</v>
      </c>
      <c r="F3577" s="45"/>
      <c r="G3577" s="23" t="s">
        <v>746</v>
      </c>
      <c r="H3577" s="14">
        <f t="shared" ref="H3577:L3579" si="1552">H3578</f>
        <v>3432.2220000000002</v>
      </c>
      <c r="I3577" s="14">
        <f t="shared" si="1552"/>
        <v>3396.34</v>
      </c>
      <c r="J3577" s="14">
        <f t="shared" si="1552"/>
        <v>0</v>
      </c>
      <c r="K3577" s="78">
        <f t="shared" si="1536"/>
        <v>0</v>
      </c>
      <c r="L3577" s="14">
        <f t="shared" si="1552"/>
        <v>0</v>
      </c>
      <c r="M3577" s="50"/>
      <c r="N3577" s="50"/>
    </row>
    <row r="3578" spans="1:14" ht="46.8" x14ac:dyDescent="0.3">
      <c r="A3578" s="64" t="s">
        <v>272</v>
      </c>
      <c r="B3578" s="62" t="s">
        <v>937</v>
      </c>
      <c r="C3578" s="68" t="s">
        <v>1386</v>
      </c>
      <c r="D3578" s="68" t="s">
        <v>1398</v>
      </c>
      <c r="E3578" s="8" t="s">
        <v>1265</v>
      </c>
      <c r="F3578" s="45"/>
      <c r="G3578" s="23" t="s">
        <v>747</v>
      </c>
      <c r="H3578" s="14">
        <f t="shared" si="1552"/>
        <v>3432.2220000000002</v>
      </c>
      <c r="I3578" s="14">
        <f t="shared" si="1552"/>
        <v>3396.34</v>
      </c>
      <c r="J3578" s="14">
        <f t="shared" si="1552"/>
        <v>0</v>
      </c>
      <c r="K3578" s="78">
        <f t="shared" si="1536"/>
        <v>0</v>
      </c>
      <c r="L3578" s="14">
        <f t="shared" si="1552"/>
        <v>0</v>
      </c>
      <c r="M3578" s="50"/>
      <c r="N3578" s="50"/>
    </row>
    <row r="3579" spans="1:14" ht="31.2" x14ac:dyDescent="0.3">
      <c r="A3579" s="64" t="s">
        <v>272</v>
      </c>
      <c r="B3579" s="62" t="s">
        <v>937</v>
      </c>
      <c r="C3579" s="68" t="s">
        <v>1386</v>
      </c>
      <c r="D3579" s="68" t="s">
        <v>1398</v>
      </c>
      <c r="E3579" s="8" t="s">
        <v>1265</v>
      </c>
      <c r="F3579" s="45" t="s">
        <v>478</v>
      </c>
      <c r="G3579" s="23" t="s">
        <v>817</v>
      </c>
      <c r="H3579" s="14">
        <f t="shared" si="1552"/>
        <v>3432.2220000000002</v>
      </c>
      <c r="I3579" s="14">
        <f t="shared" si="1552"/>
        <v>3396.34</v>
      </c>
      <c r="J3579" s="14">
        <f t="shared" si="1552"/>
        <v>0</v>
      </c>
      <c r="K3579" s="78">
        <f t="shared" si="1536"/>
        <v>0</v>
      </c>
      <c r="L3579" s="14">
        <f t="shared" si="1552"/>
        <v>0</v>
      </c>
      <c r="M3579" s="50"/>
      <c r="N3579" s="50"/>
    </row>
    <row r="3580" spans="1:14" x14ac:dyDescent="0.3">
      <c r="A3580" s="64" t="s">
        <v>272</v>
      </c>
      <c r="B3580" s="62" t="s">
        <v>937</v>
      </c>
      <c r="C3580" s="68" t="s">
        <v>1386</v>
      </c>
      <c r="D3580" s="68" t="s">
        <v>1398</v>
      </c>
      <c r="E3580" s="8" t="s">
        <v>1265</v>
      </c>
      <c r="F3580" s="45" t="s">
        <v>1273</v>
      </c>
      <c r="G3580" s="23" t="s">
        <v>818</v>
      </c>
      <c r="H3580" s="14">
        <f>5018.7-381.842-1204.636</f>
        <v>3432.2220000000002</v>
      </c>
      <c r="I3580" s="14">
        <v>3396.34</v>
      </c>
      <c r="J3580" s="14">
        <v>0</v>
      </c>
      <c r="K3580" s="78">
        <f t="shared" si="1536"/>
        <v>0</v>
      </c>
      <c r="L3580" s="14"/>
      <c r="M3580" s="50"/>
      <c r="N3580" s="50"/>
    </row>
    <row r="3581" spans="1:14" ht="62.4" x14ac:dyDescent="0.3">
      <c r="A3581" s="64" t="s">
        <v>272</v>
      </c>
      <c r="B3581" s="62" t="s">
        <v>937</v>
      </c>
      <c r="C3581" s="68" t="s">
        <v>1386</v>
      </c>
      <c r="D3581" s="68" t="s">
        <v>1398</v>
      </c>
      <c r="E3581" s="8" t="s">
        <v>358</v>
      </c>
      <c r="F3581" s="45"/>
      <c r="G3581" s="13" t="s">
        <v>1040</v>
      </c>
      <c r="H3581" s="14">
        <f t="shared" ref="H3581:L3585" si="1553">H3582</f>
        <v>14467.121000000001</v>
      </c>
      <c r="I3581" s="14">
        <f t="shared" si="1553"/>
        <v>14467.120800000001</v>
      </c>
      <c r="J3581" s="14">
        <f t="shared" si="1553"/>
        <v>14467.1008</v>
      </c>
      <c r="K3581" s="78">
        <f t="shared" si="1536"/>
        <v>99.999861755491807</v>
      </c>
      <c r="L3581" s="14">
        <f t="shared" si="1553"/>
        <v>0</v>
      </c>
      <c r="M3581" s="50"/>
      <c r="N3581" s="50"/>
    </row>
    <row r="3582" spans="1:14" ht="31.2" x14ac:dyDescent="0.3">
      <c r="A3582" s="64" t="s">
        <v>272</v>
      </c>
      <c r="B3582" s="62" t="s">
        <v>937</v>
      </c>
      <c r="C3582" s="68" t="s">
        <v>1386</v>
      </c>
      <c r="D3582" s="68" t="s">
        <v>1398</v>
      </c>
      <c r="E3582" s="8" t="s">
        <v>359</v>
      </c>
      <c r="F3582" s="45"/>
      <c r="G3582" s="13" t="s">
        <v>1041</v>
      </c>
      <c r="H3582" s="14">
        <f t="shared" si="1553"/>
        <v>14467.121000000001</v>
      </c>
      <c r="I3582" s="14">
        <f t="shared" si="1553"/>
        <v>14467.120800000001</v>
      </c>
      <c r="J3582" s="14">
        <f t="shared" si="1553"/>
        <v>14467.1008</v>
      </c>
      <c r="K3582" s="78">
        <f t="shared" si="1536"/>
        <v>99.999861755491807</v>
      </c>
      <c r="L3582" s="14">
        <f t="shared" si="1553"/>
        <v>0</v>
      </c>
      <c r="M3582" s="50"/>
      <c r="N3582" s="50"/>
    </row>
    <row r="3583" spans="1:14" ht="46.8" x14ac:dyDescent="0.3">
      <c r="A3583" s="64" t="s">
        <v>272</v>
      </c>
      <c r="B3583" s="62" t="s">
        <v>937</v>
      </c>
      <c r="C3583" s="68" t="s">
        <v>1386</v>
      </c>
      <c r="D3583" s="68" t="s">
        <v>1398</v>
      </c>
      <c r="E3583" s="8" t="s">
        <v>264</v>
      </c>
      <c r="F3583" s="45"/>
      <c r="G3583" s="23" t="s">
        <v>314</v>
      </c>
      <c r="H3583" s="14">
        <f t="shared" si="1553"/>
        <v>14467.121000000001</v>
      </c>
      <c r="I3583" s="14">
        <f t="shared" si="1553"/>
        <v>14467.120800000001</v>
      </c>
      <c r="J3583" s="14">
        <f t="shared" si="1553"/>
        <v>14467.1008</v>
      </c>
      <c r="K3583" s="78">
        <f t="shared" si="1536"/>
        <v>99.999861755491807</v>
      </c>
      <c r="L3583" s="14">
        <f t="shared" si="1553"/>
        <v>0</v>
      </c>
      <c r="M3583" s="50"/>
      <c r="N3583" s="50"/>
    </row>
    <row r="3584" spans="1:14" ht="31.2" x14ac:dyDescent="0.3">
      <c r="A3584" s="64" t="s">
        <v>272</v>
      </c>
      <c r="B3584" s="62" t="s">
        <v>937</v>
      </c>
      <c r="C3584" s="68" t="s">
        <v>1386</v>
      </c>
      <c r="D3584" s="68" t="s">
        <v>1398</v>
      </c>
      <c r="E3584" s="8" t="s">
        <v>265</v>
      </c>
      <c r="F3584" s="45"/>
      <c r="G3584" s="23" t="s">
        <v>315</v>
      </c>
      <c r="H3584" s="14">
        <f t="shared" si="1553"/>
        <v>14467.121000000001</v>
      </c>
      <c r="I3584" s="14">
        <f t="shared" si="1553"/>
        <v>14467.120800000001</v>
      </c>
      <c r="J3584" s="14">
        <f t="shared" si="1553"/>
        <v>14467.1008</v>
      </c>
      <c r="K3584" s="78">
        <f t="shared" si="1536"/>
        <v>99.999861755491807</v>
      </c>
      <c r="L3584" s="14">
        <f t="shared" si="1553"/>
        <v>0</v>
      </c>
      <c r="M3584" s="50"/>
      <c r="N3584" s="50"/>
    </row>
    <row r="3585" spans="1:14" ht="31.2" x14ac:dyDescent="0.3">
      <c r="A3585" s="64" t="s">
        <v>272</v>
      </c>
      <c r="B3585" s="62" t="s">
        <v>937</v>
      </c>
      <c r="C3585" s="68" t="s">
        <v>1386</v>
      </c>
      <c r="D3585" s="68" t="s">
        <v>1398</v>
      </c>
      <c r="E3585" s="8" t="s">
        <v>265</v>
      </c>
      <c r="F3585" s="45" t="s">
        <v>478</v>
      </c>
      <c r="G3585" s="23" t="s">
        <v>817</v>
      </c>
      <c r="H3585" s="14">
        <f t="shared" si="1553"/>
        <v>14467.121000000001</v>
      </c>
      <c r="I3585" s="14">
        <f t="shared" si="1553"/>
        <v>14467.120800000001</v>
      </c>
      <c r="J3585" s="14">
        <f t="shared" si="1553"/>
        <v>14467.1008</v>
      </c>
      <c r="K3585" s="78">
        <f t="shared" si="1536"/>
        <v>99.999861755491807</v>
      </c>
      <c r="L3585" s="14">
        <f t="shared" si="1553"/>
        <v>0</v>
      </c>
      <c r="M3585" s="50"/>
      <c r="N3585" s="50"/>
    </row>
    <row r="3586" spans="1:14" x14ac:dyDescent="0.3">
      <c r="A3586" s="64" t="s">
        <v>272</v>
      </c>
      <c r="B3586" s="62" t="s">
        <v>937</v>
      </c>
      <c r="C3586" s="68" t="s">
        <v>1386</v>
      </c>
      <c r="D3586" s="68" t="s">
        <v>1398</v>
      </c>
      <c r="E3586" s="8" t="s">
        <v>265</v>
      </c>
      <c r="F3586" s="45" t="s">
        <v>1273</v>
      </c>
      <c r="G3586" s="23" t="s">
        <v>818</v>
      </c>
      <c r="H3586" s="14">
        <f>14473.323-6.202</f>
        <v>14467.121000000001</v>
      </c>
      <c r="I3586" s="14">
        <v>14467.120800000001</v>
      </c>
      <c r="J3586" s="14">
        <v>14467.1008</v>
      </c>
      <c r="K3586" s="78">
        <f t="shared" si="1536"/>
        <v>99.999861755491807</v>
      </c>
      <c r="L3586" s="14"/>
      <c r="M3586" s="50"/>
      <c r="N3586" s="50"/>
    </row>
    <row r="3587" spans="1:14" s="3" customFormat="1" x14ac:dyDescent="0.3">
      <c r="A3587" s="4" t="s">
        <v>272</v>
      </c>
      <c r="B3587" s="43" t="s">
        <v>1392</v>
      </c>
      <c r="C3587" s="43" t="s">
        <v>1392</v>
      </c>
      <c r="D3587" s="43" t="s">
        <v>915</v>
      </c>
      <c r="E3587" s="4"/>
      <c r="F3587" s="4"/>
      <c r="G3587" s="5" t="s">
        <v>1416</v>
      </c>
      <c r="H3587" s="15">
        <f t="shared" ref="H3587:L3587" si="1554">H3588+H3656</f>
        <v>857062.45299999998</v>
      </c>
      <c r="I3587" s="15">
        <f t="shared" si="1554"/>
        <v>962057.92342999997</v>
      </c>
      <c r="J3587" s="15">
        <f t="shared" si="1554"/>
        <v>877375.62886000006</v>
      </c>
      <c r="K3587" s="81">
        <f t="shared" si="1536"/>
        <v>91.197796670279033</v>
      </c>
      <c r="L3587" s="15">
        <f t="shared" si="1554"/>
        <v>0</v>
      </c>
      <c r="M3587" s="65"/>
      <c r="N3587" s="65"/>
    </row>
    <row r="3588" spans="1:14" s="9" customFormat="1" x14ac:dyDescent="0.3">
      <c r="A3588" s="6" t="s">
        <v>272</v>
      </c>
      <c r="B3588" s="48" t="s">
        <v>939</v>
      </c>
      <c r="C3588" s="48" t="s">
        <v>1392</v>
      </c>
      <c r="D3588" s="48" t="s">
        <v>1391</v>
      </c>
      <c r="E3588" s="6"/>
      <c r="F3588" s="6"/>
      <c r="G3588" s="7" t="s">
        <v>1423</v>
      </c>
      <c r="H3588" s="16">
        <f t="shared" ref="H3588:L3588" si="1555">H3589+H3602+H3640</f>
        <v>601182.902</v>
      </c>
      <c r="I3588" s="16">
        <f t="shared" si="1555"/>
        <v>699439.28</v>
      </c>
      <c r="J3588" s="16">
        <f t="shared" si="1555"/>
        <v>615150.66439000005</v>
      </c>
      <c r="K3588" s="82">
        <f t="shared" si="1536"/>
        <v>87.949116096253562</v>
      </c>
      <c r="L3588" s="16">
        <f t="shared" si="1555"/>
        <v>0</v>
      </c>
      <c r="M3588" s="65"/>
      <c r="N3588" s="65"/>
    </row>
    <row r="3589" spans="1:14" ht="31.2" x14ac:dyDescent="0.3">
      <c r="A3589" s="64" t="s">
        <v>272</v>
      </c>
      <c r="B3589" s="62" t="s">
        <v>939</v>
      </c>
      <c r="C3589" s="68" t="s">
        <v>1392</v>
      </c>
      <c r="D3589" s="68" t="s">
        <v>1391</v>
      </c>
      <c r="E3589" s="8" t="s">
        <v>355</v>
      </c>
      <c r="F3589" s="8"/>
      <c r="G3589" s="13" t="s">
        <v>893</v>
      </c>
      <c r="H3589" s="14">
        <f>H3590+H3598</f>
        <v>260579.42800000001</v>
      </c>
      <c r="I3589" s="14">
        <f>I3590+I3598</f>
        <v>259488.83611</v>
      </c>
      <c r="J3589" s="14">
        <f t="shared" ref="J3589" si="1556">J3590+J3598</f>
        <v>235410.51566</v>
      </c>
      <c r="K3589" s="78">
        <f t="shared" si="1536"/>
        <v>90.720864600204635</v>
      </c>
      <c r="L3589" s="14">
        <f>L3590+L3598</f>
        <v>0</v>
      </c>
      <c r="M3589" s="50"/>
      <c r="N3589" s="50"/>
    </row>
    <row r="3590" spans="1:14" ht="31.2" x14ac:dyDescent="0.3">
      <c r="A3590" s="64" t="s">
        <v>272</v>
      </c>
      <c r="B3590" s="62" t="s">
        <v>939</v>
      </c>
      <c r="C3590" s="68" t="s">
        <v>1392</v>
      </c>
      <c r="D3590" s="68" t="s">
        <v>1391</v>
      </c>
      <c r="E3590" s="8" t="s">
        <v>356</v>
      </c>
      <c r="F3590" s="8"/>
      <c r="G3590" s="13" t="s">
        <v>894</v>
      </c>
      <c r="H3590" s="14">
        <f t="shared" ref="H3590:L3590" si="1557">H3591</f>
        <v>179430.109</v>
      </c>
      <c r="I3590" s="14">
        <f t="shared" si="1557"/>
        <v>179430.109</v>
      </c>
      <c r="J3590" s="14">
        <f t="shared" si="1557"/>
        <v>179274.23358</v>
      </c>
      <c r="K3590" s="78">
        <f t="shared" si="1536"/>
        <v>99.913127500803114</v>
      </c>
      <c r="L3590" s="14">
        <f t="shared" si="1557"/>
        <v>0</v>
      </c>
      <c r="M3590" s="50"/>
      <c r="N3590" s="50"/>
    </row>
    <row r="3591" spans="1:14" ht="62.4" x14ac:dyDescent="0.3">
      <c r="A3591" s="64" t="s">
        <v>272</v>
      </c>
      <c r="B3591" s="62" t="s">
        <v>939</v>
      </c>
      <c r="C3591" s="68" t="s">
        <v>1392</v>
      </c>
      <c r="D3591" s="68" t="s">
        <v>1391</v>
      </c>
      <c r="E3591" s="8" t="s">
        <v>593</v>
      </c>
      <c r="F3591" s="8"/>
      <c r="G3591" s="18" t="s">
        <v>1035</v>
      </c>
      <c r="H3591" s="14">
        <f>H3592+H3595</f>
        <v>179430.109</v>
      </c>
      <c r="I3591" s="14">
        <f>I3592+I3595</f>
        <v>179430.109</v>
      </c>
      <c r="J3591" s="14">
        <f t="shared" ref="J3591" si="1558">J3592+J3595</f>
        <v>179274.23358</v>
      </c>
      <c r="K3591" s="78">
        <f t="shared" si="1536"/>
        <v>99.913127500803114</v>
      </c>
      <c r="L3591" s="14">
        <f>L3592+L3595</f>
        <v>0</v>
      </c>
      <c r="M3591" s="50"/>
      <c r="N3591" s="50"/>
    </row>
    <row r="3592" spans="1:14" ht="31.2" x14ac:dyDescent="0.3">
      <c r="A3592" s="64" t="s">
        <v>272</v>
      </c>
      <c r="B3592" s="62" t="s">
        <v>939</v>
      </c>
      <c r="C3592" s="68" t="s">
        <v>1392</v>
      </c>
      <c r="D3592" s="68" t="s">
        <v>1391</v>
      </c>
      <c r="E3592" s="8" t="s">
        <v>80</v>
      </c>
      <c r="F3592" s="8"/>
      <c r="G3592" s="13" t="s">
        <v>183</v>
      </c>
      <c r="H3592" s="14">
        <f t="shared" ref="H3592:L3593" si="1559">H3593</f>
        <v>1210.146</v>
      </c>
      <c r="I3592" s="14">
        <f t="shared" si="1559"/>
        <v>1210.146</v>
      </c>
      <c r="J3592" s="14">
        <f t="shared" si="1559"/>
        <v>1054.2705800000001</v>
      </c>
      <c r="K3592" s="78">
        <f t="shared" ref="K3592:K3655" si="1560">J3592/I3592*100</f>
        <v>87.119288085900394</v>
      </c>
      <c r="L3592" s="14">
        <f t="shared" si="1559"/>
        <v>0</v>
      </c>
      <c r="M3592" s="50"/>
      <c r="N3592" s="50"/>
    </row>
    <row r="3593" spans="1:14" ht="31.2" x14ac:dyDescent="0.3">
      <c r="A3593" s="64" t="s">
        <v>272</v>
      </c>
      <c r="B3593" s="62" t="s">
        <v>939</v>
      </c>
      <c r="C3593" s="68" t="s">
        <v>1392</v>
      </c>
      <c r="D3593" s="68" t="s">
        <v>1391</v>
      </c>
      <c r="E3593" s="8" t="s">
        <v>80</v>
      </c>
      <c r="F3593" s="45" t="s">
        <v>380</v>
      </c>
      <c r="G3593" s="23" t="s">
        <v>809</v>
      </c>
      <c r="H3593" s="14">
        <f t="shared" si="1559"/>
        <v>1210.146</v>
      </c>
      <c r="I3593" s="14">
        <f t="shared" si="1559"/>
        <v>1210.146</v>
      </c>
      <c r="J3593" s="14">
        <f t="shared" si="1559"/>
        <v>1054.2705800000001</v>
      </c>
      <c r="K3593" s="78">
        <f t="shared" si="1560"/>
        <v>87.119288085900394</v>
      </c>
      <c r="L3593" s="14">
        <f t="shared" si="1559"/>
        <v>0</v>
      </c>
      <c r="M3593" s="50"/>
      <c r="N3593" s="50"/>
    </row>
    <row r="3594" spans="1:14" ht="31.2" x14ac:dyDescent="0.3">
      <c r="A3594" s="64" t="s">
        <v>272</v>
      </c>
      <c r="B3594" s="62" t="s">
        <v>939</v>
      </c>
      <c r="C3594" s="68" t="s">
        <v>1392</v>
      </c>
      <c r="D3594" s="68" t="s">
        <v>1391</v>
      </c>
      <c r="E3594" s="8" t="s">
        <v>80</v>
      </c>
      <c r="F3594" s="8" t="s">
        <v>247</v>
      </c>
      <c r="G3594" s="23" t="s">
        <v>810</v>
      </c>
      <c r="H3594" s="14">
        <f>1215-4.854</f>
        <v>1210.146</v>
      </c>
      <c r="I3594" s="14">
        <v>1210.146</v>
      </c>
      <c r="J3594" s="14">
        <v>1054.2705800000001</v>
      </c>
      <c r="K3594" s="78">
        <f t="shared" si="1560"/>
        <v>87.119288085900394</v>
      </c>
      <c r="L3594" s="14"/>
      <c r="M3594" s="50"/>
      <c r="N3594" s="50"/>
    </row>
    <row r="3595" spans="1:14" ht="46.8" x14ac:dyDescent="0.3">
      <c r="A3595" s="64" t="s">
        <v>272</v>
      </c>
      <c r="B3595" s="62" t="s">
        <v>939</v>
      </c>
      <c r="C3595" s="68" t="s">
        <v>1392</v>
      </c>
      <c r="D3595" s="68" t="s">
        <v>1391</v>
      </c>
      <c r="E3595" s="8" t="s">
        <v>81</v>
      </c>
      <c r="F3595" s="8"/>
      <c r="G3595" s="13" t="s">
        <v>159</v>
      </c>
      <c r="H3595" s="14">
        <f t="shared" ref="H3595:L3596" si="1561">H3596</f>
        <v>178219.96299999999</v>
      </c>
      <c r="I3595" s="14">
        <f t="shared" si="1561"/>
        <v>178219.96299999999</v>
      </c>
      <c r="J3595" s="14">
        <f t="shared" si="1561"/>
        <v>178219.96299999999</v>
      </c>
      <c r="K3595" s="78">
        <f t="shared" si="1560"/>
        <v>100</v>
      </c>
      <c r="L3595" s="14">
        <f t="shared" si="1561"/>
        <v>0</v>
      </c>
      <c r="M3595" s="50"/>
      <c r="N3595" s="50"/>
    </row>
    <row r="3596" spans="1:14" x14ac:dyDescent="0.3">
      <c r="A3596" s="64" t="s">
        <v>272</v>
      </c>
      <c r="B3596" s="62" t="s">
        <v>939</v>
      </c>
      <c r="C3596" s="68" t="s">
        <v>1392</v>
      </c>
      <c r="D3596" s="68" t="s">
        <v>1391</v>
      </c>
      <c r="E3596" s="8" t="s">
        <v>81</v>
      </c>
      <c r="F3596" s="45" t="s">
        <v>464</v>
      </c>
      <c r="G3596" s="23" t="s">
        <v>822</v>
      </c>
      <c r="H3596" s="14">
        <f t="shared" si="1561"/>
        <v>178219.96299999999</v>
      </c>
      <c r="I3596" s="14">
        <f t="shared" si="1561"/>
        <v>178219.96299999999</v>
      </c>
      <c r="J3596" s="14">
        <f t="shared" si="1561"/>
        <v>178219.96299999999</v>
      </c>
      <c r="K3596" s="78">
        <f t="shared" si="1560"/>
        <v>100</v>
      </c>
      <c r="L3596" s="14">
        <f t="shared" si="1561"/>
        <v>0</v>
      </c>
      <c r="M3596" s="50"/>
      <c r="N3596" s="50"/>
    </row>
    <row r="3597" spans="1:14" ht="62.4" x14ac:dyDescent="0.3">
      <c r="A3597" s="64" t="s">
        <v>272</v>
      </c>
      <c r="B3597" s="62" t="s">
        <v>939</v>
      </c>
      <c r="C3597" s="68" t="s">
        <v>1392</v>
      </c>
      <c r="D3597" s="68" t="s">
        <v>1391</v>
      </c>
      <c r="E3597" s="8" t="s">
        <v>81</v>
      </c>
      <c r="F3597" s="45" t="s">
        <v>727</v>
      </c>
      <c r="G3597" s="18" t="s">
        <v>830</v>
      </c>
      <c r="H3597" s="14">
        <v>178219.96299999999</v>
      </c>
      <c r="I3597" s="14">
        <v>178219.96299999999</v>
      </c>
      <c r="J3597" s="14">
        <v>178219.96299999999</v>
      </c>
      <c r="K3597" s="78">
        <f t="shared" si="1560"/>
        <v>100</v>
      </c>
      <c r="L3597" s="14"/>
      <c r="M3597" s="50"/>
      <c r="N3597" s="50"/>
    </row>
    <row r="3598" spans="1:14" ht="62.4" x14ac:dyDescent="0.3">
      <c r="A3598" s="64" t="s">
        <v>272</v>
      </c>
      <c r="B3598" s="62" t="s">
        <v>939</v>
      </c>
      <c r="C3598" s="68" t="s">
        <v>1392</v>
      </c>
      <c r="D3598" s="68" t="s">
        <v>1391</v>
      </c>
      <c r="E3598" s="8" t="s">
        <v>594</v>
      </c>
      <c r="F3598" s="8"/>
      <c r="G3598" s="13" t="s">
        <v>1036</v>
      </c>
      <c r="H3598" s="14">
        <f t="shared" ref="H3598:L3598" si="1562">H3599</f>
        <v>81149.319000000003</v>
      </c>
      <c r="I3598" s="14">
        <f t="shared" si="1562"/>
        <v>80058.727110000007</v>
      </c>
      <c r="J3598" s="14">
        <f t="shared" si="1562"/>
        <v>56136.282079999997</v>
      </c>
      <c r="K3598" s="78">
        <f t="shared" si="1560"/>
        <v>70.118879110917192</v>
      </c>
      <c r="L3598" s="14">
        <f t="shared" si="1562"/>
        <v>0</v>
      </c>
      <c r="M3598" s="50"/>
      <c r="N3598" s="50"/>
    </row>
    <row r="3599" spans="1:14" ht="46.8" x14ac:dyDescent="0.3">
      <c r="A3599" s="64" t="s">
        <v>272</v>
      </c>
      <c r="B3599" s="62" t="s">
        <v>939</v>
      </c>
      <c r="C3599" s="68" t="s">
        <v>1392</v>
      </c>
      <c r="D3599" s="68" t="s">
        <v>1391</v>
      </c>
      <c r="E3599" s="8" t="s">
        <v>597</v>
      </c>
      <c r="F3599" s="8"/>
      <c r="G3599" s="18" t="s">
        <v>1193</v>
      </c>
      <c r="H3599" s="14">
        <f t="shared" ref="H3599:L3600" si="1563">H3600</f>
        <v>81149.319000000003</v>
      </c>
      <c r="I3599" s="14">
        <f t="shared" si="1563"/>
        <v>80058.727110000007</v>
      </c>
      <c r="J3599" s="14">
        <f t="shared" si="1563"/>
        <v>56136.282079999997</v>
      </c>
      <c r="K3599" s="78">
        <f t="shared" si="1560"/>
        <v>70.118879110917192</v>
      </c>
      <c r="L3599" s="14">
        <f t="shared" si="1563"/>
        <v>0</v>
      </c>
      <c r="M3599" s="50"/>
      <c r="N3599" s="50"/>
    </row>
    <row r="3600" spans="1:14" ht="31.2" x14ac:dyDescent="0.3">
      <c r="A3600" s="64" t="s">
        <v>272</v>
      </c>
      <c r="B3600" s="62" t="s">
        <v>939</v>
      </c>
      <c r="C3600" s="68" t="s">
        <v>1392</v>
      </c>
      <c r="D3600" s="68" t="s">
        <v>1391</v>
      </c>
      <c r="E3600" s="8" t="s">
        <v>597</v>
      </c>
      <c r="F3600" s="45" t="s">
        <v>478</v>
      </c>
      <c r="G3600" s="23" t="s">
        <v>817</v>
      </c>
      <c r="H3600" s="14">
        <f t="shared" si="1563"/>
        <v>81149.319000000003</v>
      </c>
      <c r="I3600" s="14">
        <f t="shared" si="1563"/>
        <v>80058.727110000007</v>
      </c>
      <c r="J3600" s="14">
        <f t="shared" si="1563"/>
        <v>56136.282079999997</v>
      </c>
      <c r="K3600" s="78">
        <f t="shared" si="1560"/>
        <v>70.118879110917192</v>
      </c>
      <c r="L3600" s="14">
        <f t="shared" si="1563"/>
        <v>0</v>
      </c>
      <c r="M3600" s="50"/>
      <c r="N3600" s="50"/>
    </row>
    <row r="3601" spans="1:14" x14ac:dyDescent="0.3">
      <c r="A3601" s="64" t="s">
        <v>272</v>
      </c>
      <c r="B3601" s="62" t="s">
        <v>939</v>
      </c>
      <c r="C3601" s="68" t="s">
        <v>1392</v>
      </c>
      <c r="D3601" s="68" t="s">
        <v>1391</v>
      </c>
      <c r="E3601" s="8" t="s">
        <v>597</v>
      </c>
      <c r="F3601" s="45" t="s">
        <v>1273</v>
      </c>
      <c r="G3601" s="23" t="s">
        <v>818</v>
      </c>
      <c r="H3601" s="14">
        <f>62878.883-998.722+20000-371.582-279.298-79.962</f>
        <v>81149.319000000003</v>
      </c>
      <c r="I3601" s="14">
        <v>80058.727110000007</v>
      </c>
      <c r="J3601" s="14">
        <v>56136.282079999997</v>
      </c>
      <c r="K3601" s="78">
        <f t="shared" si="1560"/>
        <v>70.118879110917192</v>
      </c>
      <c r="L3601" s="14"/>
      <c r="M3601" s="50"/>
      <c r="N3601" s="50"/>
    </row>
    <row r="3602" spans="1:14" ht="62.4" x14ac:dyDescent="0.3">
      <c r="A3602" s="64" t="s">
        <v>272</v>
      </c>
      <c r="B3602" s="62" t="s">
        <v>939</v>
      </c>
      <c r="C3602" s="68" t="s">
        <v>1392</v>
      </c>
      <c r="D3602" s="68" t="s">
        <v>1391</v>
      </c>
      <c r="E3602" s="8" t="s">
        <v>358</v>
      </c>
      <c r="F3602" s="8"/>
      <c r="G3602" s="13" t="s">
        <v>1040</v>
      </c>
      <c r="H3602" s="14">
        <f t="shared" ref="H3602:L3602" si="1564">H3603+H3626</f>
        <v>219289.59699999998</v>
      </c>
      <c r="I3602" s="14">
        <f t="shared" si="1564"/>
        <v>219289.59648000001</v>
      </c>
      <c r="J3602" s="14">
        <f t="shared" si="1564"/>
        <v>191946.72557999997</v>
      </c>
      <c r="K3602" s="78">
        <f t="shared" si="1560"/>
        <v>87.531159097876397</v>
      </c>
      <c r="L3602" s="14">
        <f t="shared" si="1564"/>
        <v>0</v>
      </c>
      <c r="M3602" s="50"/>
      <c r="N3602" s="50"/>
    </row>
    <row r="3603" spans="1:14" ht="31.2" x14ac:dyDescent="0.3">
      <c r="A3603" s="64" t="s">
        <v>272</v>
      </c>
      <c r="B3603" s="62" t="s">
        <v>939</v>
      </c>
      <c r="C3603" s="68" t="s">
        <v>1392</v>
      </c>
      <c r="D3603" s="68" t="s">
        <v>1391</v>
      </c>
      <c r="E3603" s="8" t="s">
        <v>359</v>
      </c>
      <c r="F3603" s="8"/>
      <c r="G3603" s="13" t="s">
        <v>1041</v>
      </c>
      <c r="H3603" s="14">
        <f>H3604+H3607+H3610</f>
        <v>127901.628</v>
      </c>
      <c r="I3603" s="14">
        <f>I3604+I3607+I3610</f>
        <v>127901.62836</v>
      </c>
      <c r="J3603" s="14">
        <f t="shared" ref="J3603" si="1565">J3604+J3607+J3610</f>
        <v>104000.03040999999</v>
      </c>
      <c r="K3603" s="78">
        <f t="shared" si="1560"/>
        <v>81.312514737713059</v>
      </c>
      <c r="L3603" s="14">
        <f>L3604+L3607+L3610</f>
        <v>0</v>
      </c>
      <c r="M3603" s="50"/>
      <c r="N3603" s="50"/>
    </row>
    <row r="3604" spans="1:14" ht="31.2" x14ac:dyDescent="0.3">
      <c r="A3604" s="64" t="s">
        <v>272</v>
      </c>
      <c r="B3604" s="62" t="s">
        <v>939</v>
      </c>
      <c r="C3604" s="68" t="s">
        <v>1392</v>
      </c>
      <c r="D3604" s="68" t="s">
        <v>1391</v>
      </c>
      <c r="E3604" s="8" t="s">
        <v>598</v>
      </c>
      <c r="F3604" s="8"/>
      <c r="G3604" s="18" t="s">
        <v>1194</v>
      </c>
      <c r="H3604" s="14">
        <f t="shared" ref="H3604:L3605" si="1566">H3605</f>
        <v>8677.9150000000009</v>
      </c>
      <c r="I3604" s="14">
        <f t="shared" si="1566"/>
        <v>8677.9150000000009</v>
      </c>
      <c r="J3604" s="14">
        <f t="shared" si="1566"/>
        <v>8677.9148800000003</v>
      </c>
      <c r="K3604" s="78">
        <f t="shared" si="1560"/>
        <v>99.999998617179358</v>
      </c>
      <c r="L3604" s="14">
        <f t="shared" si="1566"/>
        <v>0</v>
      </c>
      <c r="M3604" s="50"/>
      <c r="N3604" s="50"/>
    </row>
    <row r="3605" spans="1:14" ht="31.2" x14ac:dyDescent="0.3">
      <c r="A3605" s="64" t="s">
        <v>272</v>
      </c>
      <c r="B3605" s="62" t="s">
        <v>939</v>
      </c>
      <c r="C3605" s="68" t="s">
        <v>1392</v>
      </c>
      <c r="D3605" s="68" t="s">
        <v>1391</v>
      </c>
      <c r="E3605" s="8" t="s">
        <v>598</v>
      </c>
      <c r="F3605" s="45" t="s">
        <v>380</v>
      </c>
      <c r="G3605" s="23" t="s">
        <v>809</v>
      </c>
      <c r="H3605" s="14">
        <f t="shared" si="1566"/>
        <v>8677.9150000000009</v>
      </c>
      <c r="I3605" s="14">
        <f t="shared" si="1566"/>
        <v>8677.9150000000009</v>
      </c>
      <c r="J3605" s="14">
        <f t="shared" si="1566"/>
        <v>8677.9148800000003</v>
      </c>
      <c r="K3605" s="78">
        <f t="shared" si="1560"/>
        <v>99.999998617179358</v>
      </c>
      <c r="L3605" s="14">
        <f t="shared" si="1566"/>
        <v>0</v>
      </c>
      <c r="M3605" s="50"/>
      <c r="N3605" s="50"/>
    </row>
    <row r="3606" spans="1:14" ht="31.2" x14ac:dyDescent="0.3">
      <c r="A3606" s="64" t="s">
        <v>272</v>
      </c>
      <c r="B3606" s="62" t="s">
        <v>939</v>
      </c>
      <c r="C3606" s="68" t="s">
        <v>1392</v>
      </c>
      <c r="D3606" s="68" t="s">
        <v>1391</v>
      </c>
      <c r="E3606" s="8" t="s">
        <v>598</v>
      </c>
      <c r="F3606" s="8" t="s">
        <v>247</v>
      </c>
      <c r="G3606" s="23" t="s">
        <v>810</v>
      </c>
      <c r="H3606" s="14">
        <f>10757.7-2258.018+178.437-0.204</f>
        <v>8677.9150000000009</v>
      </c>
      <c r="I3606" s="14">
        <v>8677.9150000000009</v>
      </c>
      <c r="J3606" s="14">
        <v>8677.9148800000003</v>
      </c>
      <c r="K3606" s="78">
        <f t="shared" si="1560"/>
        <v>99.999998617179358</v>
      </c>
      <c r="L3606" s="14"/>
      <c r="M3606" s="50"/>
      <c r="N3606" s="50"/>
    </row>
    <row r="3607" spans="1:14" ht="46.8" x14ac:dyDescent="0.3">
      <c r="A3607" s="64" t="s">
        <v>272</v>
      </c>
      <c r="B3607" s="62" t="s">
        <v>939</v>
      </c>
      <c r="C3607" s="68" t="s">
        <v>1392</v>
      </c>
      <c r="D3607" s="68" t="s">
        <v>1391</v>
      </c>
      <c r="E3607" s="8" t="s">
        <v>599</v>
      </c>
      <c r="F3607" s="8"/>
      <c r="G3607" s="18" t="s">
        <v>127</v>
      </c>
      <c r="H3607" s="14">
        <f t="shared" ref="H3607:L3608" si="1567">H3608</f>
        <v>100301.928</v>
      </c>
      <c r="I3607" s="14">
        <f t="shared" si="1567"/>
        <v>100301.92836000001</v>
      </c>
      <c r="J3607" s="14">
        <f t="shared" si="1567"/>
        <v>90837.811759999997</v>
      </c>
      <c r="K3607" s="78">
        <f t="shared" si="1560"/>
        <v>90.564372236163052</v>
      </c>
      <c r="L3607" s="14">
        <f t="shared" si="1567"/>
        <v>0</v>
      </c>
      <c r="M3607" s="50"/>
      <c r="N3607" s="50"/>
    </row>
    <row r="3608" spans="1:14" ht="31.2" x14ac:dyDescent="0.3">
      <c r="A3608" s="64" t="s">
        <v>272</v>
      </c>
      <c r="B3608" s="62" t="s">
        <v>939</v>
      </c>
      <c r="C3608" s="68" t="s">
        <v>1392</v>
      </c>
      <c r="D3608" s="68" t="s">
        <v>1391</v>
      </c>
      <c r="E3608" s="8" t="s">
        <v>599</v>
      </c>
      <c r="F3608" s="45" t="s">
        <v>380</v>
      </c>
      <c r="G3608" s="23" t="s">
        <v>809</v>
      </c>
      <c r="H3608" s="14">
        <f t="shared" si="1567"/>
        <v>100301.928</v>
      </c>
      <c r="I3608" s="14">
        <f t="shared" si="1567"/>
        <v>100301.92836000001</v>
      </c>
      <c r="J3608" s="14">
        <f t="shared" si="1567"/>
        <v>90837.811759999997</v>
      </c>
      <c r="K3608" s="78">
        <f t="shared" si="1560"/>
        <v>90.564372236163052</v>
      </c>
      <c r="L3608" s="14">
        <f t="shared" si="1567"/>
        <v>0</v>
      </c>
      <c r="M3608" s="50"/>
      <c r="N3608" s="50"/>
    </row>
    <row r="3609" spans="1:14" ht="31.2" x14ac:dyDescent="0.3">
      <c r="A3609" s="64" t="s">
        <v>272</v>
      </c>
      <c r="B3609" s="62" t="s">
        <v>939</v>
      </c>
      <c r="C3609" s="68" t="s">
        <v>1392</v>
      </c>
      <c r="D3609" s="68" t="s">
        <v>1391</v>
      </c>
      <c r="E3609" s="8" t="s">
        <v>599</v>
      </c>
      <c r="F3609" s="8" t="s">
        <v>247</v>
      </c>
      <c r="G3609" s="23" t="s">
        <v>810</v>
      </c>
      <c r="H3609" s="14">
        <f>61275.024+1675.494+25.612+37325.798</f>
        <v>100301.928</v>
      </c>
      <c r="I3609" s="14">
        <v>100301.92836000001</v>
      </c>
      <c r="J3609" s="14">
        <v>90837.811759999997</v>
      </c>
      <c r="K3609" s="78">
        <f t="shared" si="1560"/>
        <v>90.564372236163052</v>
      </c>
      <c r="L3609" s="14"/>
      <c r="M3609" s="50"/>
      <c r="N3609" s="50"/>
    </row>
    <row r="3610" spans="1:14" ht="46.8" x14ac:dyDescent="0.3">
      <c r="A3610" s="64" t="s">
        <v>272</v>
      </c>
      <c r="B3610" s="62" t="s">
        <v>939</v>
      </c>
      <c r="C3610" s="68" t="s">
        <v>1392</v>
      </c>
      <c r="D3610" s="68" t="s">
        <v>1391</v>
      </c>
      <c r="E3610" s="8" t="s">
        <v>266</v>
      </c>
      <c r="F3610" s="8"/>
      <c r="G3610" s="23" t="s">
        <v>308</v>
      </c>
      <c r="H3610" s="14">
        <f>H3617+H3614+H3611+H3620+H3623</f>
        <v>18921.785</v>
      </c>
      <c r="I3610" s="14">
        <f>I3617+I3614+I3611+I3620+I3623</f>
        <v>18921.785</v>
      </c>
      <c r="J3610" s="14">
        <f t="shared" ref="J3610:L3610" si="1568">J3617+J3614+J3611+J3620+J3623</f>
        <v>4484.3037699999995</v>
      </c>
      <c r="K3610" s="78">
        <f t="shared" si="1560"/>
        <v>23.699158245376953</v>
      </c>
      <c r="L3610" s="14">
        <f t="shared" si="1568"/>
        <v>0</v>
      </c>
      <c r="M3610" s="50"/>
      <c r="N3610" s="50"/>
    </row>
    <row r="3611" spans="1:14" ht="46.8" x14ac:dyDescent="0.3">
      <c r="A3611" s="64" t="s">
        <v>272</v>
      </c>
      <c r="B3611" s="62" t="s">
        <v>939</v>
      </c>
      <c r="C3611" s="68" t="s">
        <v>1392</v>
      </c>
      <c r="D3611" s="68" t="s">
        <v>1391</v>
      </c>
      <c r="E3611" s="8" t="s">
        <v>267</v>
      </c>
      <c r="F3611" s="8"/>
      <c r="G3611" s="23" t="s">
        <v>309</v>
      </c>
      <c r="H3611" s="14">
        <f t="shared" ref="H3611:L3612" si="1569">H3612</f>
        <v>395.3</v>
      </c>
      <c r="I3611" s="14">
        <f t="shared" si="1569"/>
        <v>395.3</v>
      </c>
      <c r="J3611" s="14">
        <f t="shared" si="1569"/>
        <v>0</v>
      </c>
      <c r="K3611" s="78">
        <f t="shared" si="1560"/>
        <v>0</v>
      </c>
      <c r="L3611" s="14">
        <f t="shared" si="1569"/>
        <v>0</v>
      </c>
      <c r="M3611" s="50"/>
      <c r="N3611" s="50"/>
    </row>
    <row r="3612" spans="1:14" ht="31.2" x14ac:dyDescent="0.3">
      <c r="A3612" s="64" t="s">
        <v>272</v>
      </c>
      <c r="B3612" s="62" t="s">
        <v>939</v>
      </c>
      <c r="C3612" s="68" t="s">
        <v>1392</v>
      </c>
      <c r="D3612" s="68" t="s">
        <v>1391</v>
      </c>
      <c r="E3612" s="8" t="s">
        <v>267</v>
      </c>
      <c r="F3612" s="45" t="s">
        <v>478</v>
      </c>
      <c r="G3612" s="23" t="s">
        <v>817</v>
      </c>
      <c r="H3612" s="14">
        <f t="shared" si="1569"/>
        <v>395.3</v>
      </c>
      <c r="I3612" s="14">
        <f t="shared" si="1569"/>
        <v>395.3</v>
      </c>
      <c r="J3612" s="14">
        <f t="shared" si="1569"/>
        <v>0</v>
      </c>
      <c r="K3612" s="78">
        <f t="shared" si="1560"/>
        <v>0</v>
      </c>
      <c r="L3612" s="14">
        <f t="shared" si="1569"/>
        <v>0</v>
      </c>
      <c r="M3612" s="50"/>
      <c r="N3612" s="50"/>
    </row>
    <row r="3613" spans="1:14" x14ac:dyDescent="0.3">
      <c r="A3613" s="64" t="s">
        <v>272</v>
      </c>
      <c r="B3613" s="62" t="s">
        <v>939</v>
      </c>
      <c r="C3613" s="68" t="s">
        <v>1392</v>
      </c>
      <c r="D3613" s="68" t="s">
        <v>1391</v>
      </c>
      <c r="E3613" s="8" t="s">
        <v>267</v>
      </c>
      <c r="F3613" s="45" t="s">
        <v>1273</v>
      </c>
      <c r="G3613" s="23" t="s">
        <v>818</v>
      </c>
      <c r="H3613" s="14">
        <v>395.3</v>
      </c>
      <c r="I3613" s="14">
        <v>395.3</v>
      </c>
      <c r="J3613" s="14">
        <v>0</v>
      </c>
      <c r="K3613" s="78">
        <f t="shared" si="1560"/>
        <v>0</v>
      </c>
      <c r="L3613" s="14"/>
      <c r="M3613" s="50"/>
      <c r="N3613" s="50"/>
    </row>
    <row r="3614" spans="1:14" x14ac:dyDescent="0.3">
      <c r="A3614" s="64" t="s">
        <v>272</v>
      </c>
      <c r="B3614" s="62" t="s">
        <v>939</v>
      </c>
      <c r="C3614" s="68" t="s">
        <v>1392</v>
      </c>
      <c r="D3614" s="68" t="s">
        <v>1391</v>
      </c>
      <c r="E3614" s="8" t="s">
        <v>268</v>
      </c>
      <c r="F3614" s="8"/>
      <c r="G3614" s="23" t="s">
        <v>1352</v>
      </c>
      <c r="H3614" s="14">
        <f t="shared" ref="H3614:L3615" si="1570">H3615</f>
        <v>5072.8</v>
      </c>
      <c r="I3614" s="14">
        <f t="shared" si="1570"/>
        <v>5072.8</v>
      </c>
      <c r="J3614" s="14">
        <f t="shared" si="1570"/>
        <v>3450.2289999999998</v>
      </c>
      <c r="K3614" s="78">
        <f t="shared" si="1560"/>
        <v>68.0142919097934</v>
      </c>
      <c r="L3614" s="14">
        <f t="shared" si="1570"/>
        <v>0</v>
      </c>
      <c r="M3614" s="50"/>
      <c r="N3614" s="50"/>
    </row>
    <row r="3615" spans="1:14" ht="31.2" x14ac:dyDescent="0.3">
      <c r="A3615" s="64" t="s">
        <v>272</v>
      </c>
      <c r="B3615" s="62" t="s">
        <v>939</v>
      </c>
      <c r="C3615" s="68" t="s">
        <v>1392</v>
      </c>
      <c r="D3615" s="68" t="s">
        <v>1391</v>
      </c>
      <c r="E3615" s="8" t="s">
        <v>268</v>
      </c>
      <c r="F3615" s="45" t="s">
        <v>478</v>
      </c>
      <c r="G3615" s="23" t="s">
        <v>817</v>
      </c>
      <c r="H3615" s="14">
        <f t="shared" si="1570"/>
        <v>5072.8</v>
      </c>
      <c r="I3615" s="14">
        <f t="shared" si="1570"/>
        <v>5072.8</v>
      </c>
      <c r="J3615" s="14">
        <f t="shared" si="1570"/>
        <v>3450.2289999999998</v>
      </c>
      <c r="K3615" s="78">
        <f t="shared" si="1560"/>
        <v>68.0142919097934</v>
      </c>
      <c r="L3615" s="14">
        <f t="shared" si="1570"/>
        <v>0</v>
      </c>
      <c r="M3615" s="50"/>
      <c r="N3615" s="50"/>
    </row>
    <row r="3616" spans="1:14" x14ac:dyDescent="0.3">
      <c r="A3616" s="64" t="s">
        <v>272</v>
      </c>
      <c r="B3616" s="62" t="s">
        <v>939</v>
      </c>
      <c r="C3616" s="68" t="s">
        <v>1392</v>
      </c>
      <c r="D3616" s="68" t="s">
        <v>1391</v>
      </c>
      <c r="E3616" s="8" t="s">
        <v>268</v>
      </c>
      <c r="F3616" s="45" t="s">
        <v>1273</v>
      </c>
      <c r="G3616" s="23" t="s">
        <v>818</v>
      </c>
      <c r="H3616" s="14">
        <v>5072.8</v>
      </c>
      <c r="I3616" s="14">
        <v>5072.8</v>
      </c>
      <c r="J3616" s="14">
        <v>3450.2289999999998</v>
      </c>
      <c r="K3616" s="78">
        <f t="shared" si="1560"/>
        <v>68.0142919097934</v>
      </c>
      <c r="L3616" s="14"/>
      <c r="M3616" s="50"/>
      <c r="N3616" s="50"/>
    </row>
    <row r="3617" spans="1:14" x14ac:dyDescent="0.3">
      <c r="A3617" s="64" t="s">
        <v>272</v>
      </c>
      <c r="B3617" s="62" t="s">
        <v>939</v>
      </c>
      <c r="C3617" s="68" t="s">
        <v>1392</v>
      </c>
      <c r="D3617" s="68" t="s">
        <v>1391</v>
      </c>
      <c r="E3617" s="8" t="s">
        <v>269</v>
      </c>
      <c r="F3617" s="8"/>
      <c r="G3617" s="23" t="s">
        <v>310</v>
      </c>
      <c r="H3617" s="14">
        <f t="shared" ref="H3617:L3618" si="1571">H3618</f>
        <v>10236.084000000001</v>
      </c>
      <c r="I3617" s="14">
        <f t="shared" si="1571"/>
        <v>10236.084000000001</v>
      </c>
      <c r="J3617" s="14">
        <f t="shared" si="1571"/>
        <v>1034.0747699999999</v>
      </c>
      <c r="K3617" s="78">
        <f t="shared" si="1560"/>
        <v>10.102249747071241</v>
      </c>
      <c r="L3617" s="14">
        <f t="shared" si="1571"/>
        <v>0</v>
      </c>
      <c r="M3617" s="50"/>
      <c r="N3617" s="50"/>
    </row>
    <row r="3618" spans="1:14" ht="31.2" x14ac:dyDescent="0.3">
      <c r="A3618" s="64" t="s">
        <v>272</v>
      </c>
      <c r="B3618" s="62" t="s">
        <v>939</v>
      </c>
      <c r="C3618" s="68" t="s">
        <v>1392</v>
      </c>
      <c r="D3618" s="68" t="s">
        <v>1391</v>
      </c>
      <c r="E3618" s="8" t="s">
        <v>269</v>
      </c>
      <c r="F3618" s="45" t="s">
        <v>478</v>
      </c>
      <c r="G3618" s="23" t="s">
        <v>817</v>
      </c>
      <c r="H3618" s="14">
        <f t="shared" si="1571"/>
        <v>10236.084000000001</v>
      </c>
      <c r="I3618" s="14">
        <f t="shared" si="1571"/>
        <v>10236.084000000001</v>
      </c>
      <c r="J3618" s="14">
        <f t="shared" si="1571"/>
        <v>1034.0747699999999</v>
      </c>
      <c r="K3618" s="78">
        <f t="shared" si="1560"/>
        <v>10.102249747071241</v>
      </c>
      <c r="L3618" s="14">
        <f t="shared" si="1571"/>
        <v>0</v>
      </c>
      <c r="M3618" s="50"/>
      <c r="N3618" s="50"/>
    </row>
    <row r="3619" spans="1:14" x14ac:dyDescent="0.3">
      <c r="A3619" s="64" t="s">
        <v>272</v>
      </c>
      <c r="B3619" s="62" t="s">
        <v>939</v>
      </c>
      <c r="C3619" s="68" t="s">
        <v>1392</v>
      </c>
      <c r="D3619" s="68" t="s">
        <v>1391</v>
      </c>
      <c r="E3619" s="8" t="s">
        <v>269</v>
      </c>
      <c r="F3619" s="45" t="s">
        <v>1273</v>
      </c>
      <c r="G3619" s="23" t="s">
        <v>818</v>
      </c>
      <c r="H3619" s="14">
        <f>12833.2-2597.116</f>
        <v>10236.084000000001</v>
      </c>
      <c r="I3619" s="14">
        <v>10236.084000000001</v>
      </c>
      <c r="J3619" s="14">
        <v>1034.0747699999999</v>
      </c>
      <c r="K3619" s="78">
        <f t="shared" si="1560"/>
        <v>10.102249747071241</v>
      </c>
      <c r="L3619" s="14"/>
      <c r="M3619" s="50"/>
      <c r="N3619" s="50"/>
    </row>
    <row r="3620" spans="1:14" x14ac:dyDescent="0.3">
      <c r="A3620" s="64" t="s">
        <v>272</v>
      </c>
      <c r="B3620" s="62" t="s">
        <v>939</v>
      </c>
      <c r="C3620" s="68" t="s">
        <v>1392</v>
      </c>
      <c r="D3620" s="68" t="s">
        <v>1391</v>
      </c>
      <c r="E3620" s="8" t="s">
        <v>270</v>
      </c>
      <c r="F3620" s="45"/>
      <c r="G3620" s="23" t="s">
        <v>311</v>
      </c>
      <c r="H3620" s="14">
        <f t="shared" ref="H3620:L3621" si="1572">H3621</f>
        <v>2744.8009999999999</v>
      </c>
      <c r="I3620" s="14">
        <f t="shared" si="1572"/>
        <v>2744.8009999999999</v>
      </c>
      <c r="J3620" s="14">
        <f t="shared" si="1572"/>
        <v>0</v>
      </c>
      <c r="K3620" s="78">
        <f t="shared" si="1560"/>
        <v>0</v>
      </c>
      <c r="L3620" s="14">
        <f t="shared" si="1572"/>
        <v>0</v>
      </c>
      <c r="M3620" s="50"/>
      <c r="N3620" s="50"/>
    </row>
    <row r="3621" spans="1:14" ht="31.2" x14ac:dyDescent="0.3">
      <c r="A3621" s="64" t="s">
        <v>272</v>
      </c>
      <c r="B3621" s="62" t="s">
        <v>939</v>
      </c>
      <c r="C3621" s="68" t="s">
        <v>1392</v>
      </c>
      <c r="D3621" s="68" t="s">
        <v>1391</v>
      </c>
      <c r="E3621" s="8" t="s">
        <v>270</v>
      </c>
      <c r="F3621" s="45" t="s">
        <v>478</v>
      </c>
      <c r="G3621" s="23" t="s">
        <v>817</v>
      </c>
      <c r="H3621" s="14">
        <f t="shared" si="1572"/>
        <v>2744.8009999999999</v>
      </c>
      <c r="I3621" s="14">
        <f t="shared" si="1572"/>
        <v>2744.8009999999999</v>
      </c>
      <c r="J3621" s="14">
        <f t="shared" si="1572"/>
        <v>0</v>
      </c>
      <c r="K3621" s="78">
        <f t="shared" si="1560"/>
        <v>0</v>
      </c>
      <c r="L3621" s="14">
        <f t="shared" si="1572"/>
        <v>0</v>
      </c>
      <c r="M3621" s="50"/>
      <c r="N3621" s="50"/>
    </row>
    <row r="3622" spans="1:14" x14ac:dyDescent="0.3">
      <c r="A3622" s="64" t="s">
        <v>272</v>
      </c>
      <c r="B3622" s="62" t="s">
        <v>939</v>
      </c>
      <c r="C3622" s="68" t="s">
        <v>1392</v>
      </c>
      <c r="D3622" s="68" t="s">
        <v>1391</v>
      </c>
      <c r="E3622" s="8" t="s">
        <v>270</v>
      </c>
      <c r="F3622" s="45" t="s">
        <v>1273</v>
      </c>
      <c r="G3622" s="23" t="s">
        <v>818</v>
      </c>
      <c r="H3622" s="14">
        <f>2786.6-41.799</f>
        <v>2744.8009999999999</v>
      </c>
      <c r="I3622" s="14">
        <v>2744.8009999999999</v>
      </c>
      <c r="J3622" s="14">
        <v>0</v>
      </c>
      <c r="K3622" s="78">
        <f t="shared" si="1560"/>
        <v>0</v>
      </c>
      <c r="L3622" s="14"/>
      <c r="M3622" s="50"/>
      <c r="N3622" s="50"/>
    </row>
    <row r="3623" spans="1:14" x14ac:dyDescent="0.3">
      <c r="A3623" s="64" t="s">
        <v>272</v>
      </c>
      <c r="B3623" s="62" t="s">
        <v>939</v>
      </c>
      <c r="C3623" s="68" t="s">
        <v>1392</v>
      </c>
      <c r="D3623" s="68" t="s">
        <v>1391</v>
      </c>
      <c r="E3623" s="8" t="s">
        <v>271</v>
      </c>
      <c r="F3623" s="45"/>
      <c r="G3623" s="23" t="s">
        <v>312</v>
      </c>
      <c r="H3623" s="14">
        <f t="shared" ref="H3623:L3624" si="1573">H3624</f>
        <v>472.8</v>
      </c>
      <c r="I3623" s="14">
        <f t="shared" si="1573"/>
        <v>472.8</v>
      </c>
      <c r="J3623" s="14">
        <f t="shared" si="1573"/>
        <v>0</v>
      </c>
      <c r="K3623" s="78">
        <f t="shared" si="1560"/>
        <v>0</v>
      </c>
      <c r="L3623" s="14">
        <f t="shared" si="1573"/>
        <v>0</v>
      </c>
      <c r="M3623" s="50"/>
      <c r="N3623" s="50"/>
    </row>
    <row r="3624" spans="1:14" ht="31.2" x14ac:dyDescent="0.3">
      <c r="A3624" s="64" t="s">
        <v>272</v>
      </c>
      <c r="B3624" s="62" t="s">
        <v>939</v>
      </c>
      <c r="C3624" s="68" t="s">
        <v>1392</v>
      </c>
      <c r="D3624" s="68" t="s">
        <v>1391</v>
      </c>
      <c r="E3624" s="8" t="s">
        <v>271</v>
      </c>
      <c r="F3624" s="45" t="s">
        <v>478</v>
      </c>
      <c r="G3624" s="23" t="s">
        <v>817</v>
      </c>
      <c r="H3624" s="14">
        <f t="shared" si="1573"/>
        <v>472.8</v>
      </c>
      <c r="I3624" s="14">
        <f t="shared" si="1573"/>
        <v>472.8</v>
      </c>
      <c r="J3624" s="14">
        <f t="shared" si="1573"/>
        <v>0</v>
      </c>
      <c r="K3624" s="78">
        <f t="shared" si="1560"/>
        <v>0</v>
      </c>
      <c r="L3624" s="14">
        <f t="shared" si="1573"/>
        <v>0</v>
      </c>
      <c r="M3624" s="50"/>
      <c r="N3624" s="50"/>
    </row>
    <row r="3625" spans="1:14" x14ac:dyDescent="0.3">
      <c r="A3625" s="64" t="s">
        <v>272</v>
      </c>
      <c r="B3625" s="62" t="s">
        <v>939</v>
      </c>
      <c r="C3625" s="68" t="s">
        <v>1392</v>
      </c>
      <c r="D3625" s="68" t="s">
        <v>1391</v>
      </c>
      <c r="E3625" s="8" t="s">
        <v>271</v>
      </c>
      <c r="F3625" s="45" t="s">
        <v>1273</v>
      </c>
      <c r="G3625" s="23" t="s">
        <v>818</v>
      </c>
      <c r="H3625" s="14">
        <v>472.8</v>
      </c>
      <c r="I3625" s="14">
        <v>472.8</v>
      </c>
      <c r="J3625" s="14">
        <v>0</v>
      </c>
      <c r="K3625" s="78">
        <f t="shared" si="1560"/>
        <v>0</v>
      </c>
      <c r="L3625" s="14"/>
      <c r="M3625" s="50"/>
      <c r="N3625" s="50"/>
    </row>
    <row r="3626" spans="1:14" ht="31.2" x14ac:dyDescent="0.3">
      <c r="A3626" s="64" t="s">
        <v>272</v>
      </c>
      <c r="B3626" s="62" t="s">
        <v>939</v>
      </c>
      <c r="C3626" s="68" t="s">
        <v>1392</v>
      </c>
      <c r="D3626" s="68" t="s">
        <v>1391</v>
      </c>
      <c r="E3626" s="8" t="s">
        <v>600</v>
      </c>
      <c r="F3626" s="8"/>
      <c r="G3626" s="13" t="s">
        <v>1042</v>
      </c>
      <c r="H3626" s="14">
        <f>H3627+H3630+H3633+H3636</f>
        <v>91387.968999999983</v>
      </c>
      <c r="I3626" s="14">
        <f>I3627+I3630+I3633+I3636</f>
        <v>91387.968120000005</v>
      </c>
      <c r="J3626" s="14">
        <f t="shared" ref="J3626" si="1574">J3627+J3630+J3633+J3636</f>
        <v>87946.695169999992</v>
      </c>
      <c r="K3626" s="78">
        <f t="shared" si="1560"/>
        <v>96.234435428653654</v>
      </c>
      <c r="L3626" s="14">
        <f>L3627+L3630+L3633+L3636</f>
        <v>0</v>
      </c>
      <c r="M3626" s="50"/>
      <c r="N3626" s="50"/>
    </row>
    <row r="3627" spans="1:14" ht="31.2" x14ac:dyDescent="0.3">
      <c r="A3627" s="64" t="s">
        <v>272</v>
      </c>
      <c r="B3627" s="62" t="s">
        <v>939</v>
      </c>
      <c r="C3627" s="68" t="s">
        <v>1392</v>
      </c>
      <c r="D3627" s="68" t="s">
        <v>1391</v>
      </c>
      <c r="E3627" s="8" t="s">
        <v>601</v>
      </c>
      <c r="F3627" s="8"/>
      <c r="G3627" s="18" t="s">
        <v>1202</v>
      </c>
      <c r="H3627" s="14">
        <f t="shared" ref="H3627:L3628" si="1575">H3628</f>
        <v>34417.962999999996</v>
      </c>
      <c r="I3627" s="14">
        <f t="shared" si="1575"/>
        <v>34417.963000000003</v>
      </c>
      <c r="J3627" s="14">
        <f t="shared" si="1575"/>
        <v>33962.56738</v>
      </c>
      <c r="K3627" s="78">
        <f t="shared" si="1560"/>
        <v>98.676866437447202</v>
      </c>
      <c r="L3627" s="14">
        <f t="shared" si="1575"/>
        <v>0</v>
      </c>
      <c r="M3627" s="50"/>
      <c r="N3627" s="50"/>
    </row>
    <row r="3628" spans="1:14" ht="31.2" x14ac:dyDescent="0.3">
      <c r="A3628" s="64" t="s">
        <v>272</v>
      </c>
      <c r="B3628" s="62" t="s">
        <v>939</v>
      </c>
      <c r="C3628" s="68" t="s">
        <v>1392</v>
      </c>
      <c r="D3628" s="68" t="s">
        <v>1391</v>
      </c>
      <c r="E3628" s="8" t="s">
        <v>601</v>
      </c>
      <c r="F3628" s="45" t="s">
        <v>380</v>
      </c>
      <c r="G3628" s="23" t="s">
        <v>809</v>
      </c>
      <c r="H3628" s="14">
        <f t="shared" si="1575"/>
        <v>34417.962999999996</v>
      </c>
      <c r="I3628" s="14">
        <f t="shared" si="1575"/>
        <v>34417.963000000003</v>
      </c>
      <c r="J3628" s="14">
        <f t="shared" si="1575"/>
        <v>33962.56738</v>
      </c>
      <c r="K3628" s="78">
        <f t="shared" si="1560"/>
        <v>98.676866437447202</v>
      </c>
      <c r="L3628" s="14">
        <f t="shared" si="1575"/>
        <v>0</v>
      </c>
      <c r="M3628" s="50"/>
      <c r="N3628" s="50"/>
    </row>
    <row r="3629" spans="1:14" ht="31.2" x14ac:dyDescent="0.3">
      <c r="A3629" s="64" t="s">
        <v>272</v>
      </c>
      <c r="B3629" s="62" t="s">
        <v>939</v>
      </c>
      <c r="C3629" s="68" t="s">
        <v>1392</v>
      </c>
      <c r="D3629" s="68" t="s">
        <v>1391</v>
      </c>
      <c r="E3629" s="8" t="s">
        <v>601</v>
      </c>
      <c r="F3629" s="8" t="s">
        <v>247</v>
      </c>
      <c r="G3629" s="23" t="s">
        <v>810</v>
      </c>
      <c r="H3629" s="14">
        <f>34728.1-241.211-66.32-2.606</f>
        <v>34417.962999999996</v>
      </c>
      <c r="I3629" s="14">
        <v>34417.963000000003</v>
      </c>
      <c r="J3629" s="14">
        <v>33962.56738</v>
      </c>
      <c r="K3629" s="78">
        <f t="shared" si="1560"/>
        <v>98.676866437447202</v>
      </c>
      <c r="L3629" s="14"/>
      <c r="M3629" s="50"/>
      <c r="N3629" s="50"/>
    </row>
    <row r="3630" spans="1:14" ht="31.2" x14ac:dyDescent="0.3">
      <c r="A3630" s="64" t="s">
        <v>272</v>
      </c>
      <c r="B3630" s="62" t="s">
        <v>939</v>
      </c>
      <c r="C3630" s="68" t="s">
        <v>1392</v>
      </c>
      <c r="D3630" s="68" t="s">
        <v>1391</v>
      </c>
      <c r="E3630" s="8" t="s">
        <v>602</v>
      </c>
      <c r="F3630" s="8"/>
      <c r="G3630" s="13" t="s">
        <v>1043</v>
      </c>
      <c r="H3630" s="14">
        <f t="shared" ref="H3630:L3631" si="1576">H3631</f>
        <v>2579.2309999999998</v>
      </c>
      <c r="I3630" s="14">
        <f t="shared" si="1576"/>
        <v>2579.23135</v>
      </c>
      <c r="J3630" s="14">
        <f t="shared" si="1576"/>
        <v>2522.0463</v>
      </c>
      <c r="K3630" s="78">
        <f t="shared" si="1560"/>
        <v>97.782864650741772</v>
      </c>
      <c r="L3630" s="14">
        <f t="shared" si="1576"/>
        <v>0</v>
      </c>
      <c r="M3630" s="50"/>
      <c r="N3630" s="50"/>
    </row>
    <row r="3631" spans="1:14" ht="31.2" x14ac:dyDescent="0.3">
      <c r="A3631" s="64" t="s">
        <v>272</v>
      </c>
      <c r="B3631" s="62" t="s">
        <v>939</v>
      </c>
      <c r="C3631" s="68" t="s">
        <v>1392</v>
      </c>
      <c r="D3631" s="68" t="s">
        <v>1391</v>
      </c>
      <c r="E3631" s="8" t="s">
        <v>602</v>
      </c>
      <c r="F3631" s="45" t="s">
        <v>380</v>
      </c>
      <c r="G3631" s="23" t="s">
        <v>809</v>
      </c>
      <c r="H3631" s="14">
        <f t="shared" si="1576"/>
        <v>2579.2309999999998</v>
      </c>
      <c r="I3631" s="14">
        <f t="shared" si="1576"/>
        <v>2579.23135</v>
      </c>
      <c r="J3631" s="14">
        <f t="shared" si="1576"/>
        <v>2522.0463</v>
      </c>
      <c r="K3631" s="78">
        <f t="shared" si="1560"/>
        <v>97.782864650741772</v>
      </c>
      <c r="L3631" s="14">
        <f t="shared" si="1576"/>
        <v>0</v>
      </c>
      <c r="M3631" s="50"/>
      <c r="N3631" s="50"/>
    </row>
    <row r="3632" spans="1:14" ht="31.2" x14ac:dyDescent="0.3">
      <c r="A3632" s="64" t="s">
        <v>272</v>
      </c>
      <c r="B3632" s="62" t="s">
        <v>939</v>
      </c>
      <c r="C3632" s="68" t="s">
        <v>1392</v>
      </c>
      <c r="D3632" s="68" t="s">
        <v>1391</v>
      </c>
      <c r="E3632" s="8" t="s">
        <v>602</v>
      </c>
      <c r="F3632" s="8" t="s">
        <v>247</v>
      </c>
      <c r="G3632" s="23" t="s">
        <v>810</v>
      </c>
      <c r="H3632" s="14">
        <f>2291.6+1625.656-1338.025</f>
        <v>2579.2309999999998</v>
      </c>
      <c r="I3632" s="14">
        <v>2579.23135</v>
      </c>
      <c r="J3632" s="14">
        <v>2522.0463</v>
      </c>
      <c r="K3632" s="78">
        <f t="shared" si="1560"/>
        <v>97.782864650741772</v>
      </c>
      <c r="L3632" s="14"/>
      <c r="M3632" s="50"/>
      <c r="N3632" s="50"/>
    </row>
    <row r="3633" spans="1:14" ht="46.8" x14ac:dyDescent="0.3">
      <c r="A3633" s="64" t="s">
        <v>272</v>
      </c>
      <c r="B3633" s="62" t="s">
        <v>939</v>
      </c>
      <c r="C3633" s="68" t="s">
        <v>1392</v>
      </c>
      <c r="D3633" s="68" t="s">
        <v>1391</v>
      </c>
      <c r="E3633" s="8" t="s">
        <v>603</v>
      </c>
      <c r="F3633" s="8"/>
      <c r="G3633" s="18" t="s">
        <v>128</v>
      </c>
      <c r="H3633" s="14">
        <f t="shared" ref="H3633:L3634" si="1577">H3634</f>
        <v>4486.1170000000011</v>
      </c>
      <c r="I3633" s="14">
        <f t="shared" si="1577"/>
        <v>4486.1167500000001</v>
      </c>
      <c r="J3633" s="14">
        <f t="shared" si="1577"/>
        <v>1557.4244699999999</v>
      </c>
      <c r="K3633" s="78">
        <f t="shared" si="1560"/>
        <v>34.716538975495901</v>
      </c>
      <c r="L3633" s="14">
        <f t="shared" si="1577"/>
        <v>0</v>
      </c>
      <c r="M3633" s="50"/>
      <c r="N3633" s="50"/>
    </row>
    <row r="3634" spans="1:14" ht="31.2" x14ac:dyDescent="0.3">
      <c r="A3634" s="64" t="s">
        <v>272</v>
      </c>
      <c r="B3634" s="62" t="s">
        <v>939</v>
      </c>
      <c r="C3634" s="68" t="s">
        <v>1392</v>
      </c>
      <c r="D3634" s="68" t="s">
        <v>1391</v>
      </c>
      <c r="E3634" s="8" t="s">
        <v>603</v>
      </c>
      <c r="F3634" s="45" t="s">
        <v>380</v>
      </c>
      <c r="G3634" s="23" t="s">
        <v>809</v>
      </c>
      <c r="H3634" s="14">
        <f t="shared" si="1577"/>
        <v>4486.1170000000011</v>
      </c>
      <c r="I3634" s="14">
        <f t="shared" si="1577"/>
        <v>4486.1167500000001</v>
      </c>
      <c r="J3634" s="14">
        <f t="shared" si="1577"/>
        <v>1557.4244699999999</v>
      </c>
      <c r="K3634" s="78">
        <f t="shared" si="1560"/>
        <v>34.716538975495901</v>
      </c>
      <c r="L3634" s="14">
        <f t="shared" si="1577"/>
        <v>0</v>
      </c>
      <c r="M3634" s="50"/>
      <c r="N3634" s="50"/>
    </row>
    <row r="3635" spans="1:14" ht="31.2" x14ac:dyDescent="0.3">
      <c r="A3635" s="64" t="s">
        <v>272</v>
      </c>
      <c r="B3635" s="62" t="s">
        <v>939</v>
      </c>
      <c r="C3635" s="68" t="s">
        <v>1392</v>
      </c>
      <c r="D3635" s="68" t="s">
        <v>1391</v>
      </c>
      <c r="E3635" s="8" t="s">
        <v>603</v>
      </c>
      <c r="F3635" s="8" t="s">
        <v>247</v>
      </c>
      <c r="G3635" s="23" t="s">
        <v>810</v>
      </c>
      <c r="H3635" s="14">
        <f>7263.292-459.373-63.879-2053.158-200.765</f>
        <v>4486.1170000000011</v>
      </c>
      <c r="I3635" s="14">
        <v>4486.1167500000001</v>
      </c>
      <c r="J3635" s="14">
        <v>1557.4244699999999</v>
      </c>
      <c r="K3635" s="78">
        <f t="shared" si="1560"/>
        <v>34.716538975495901</v>
      </c>
      <c r="L3635" s="14"/>
      <c r="M3635" s="50"/>
      <c r="N3635" s="50"/>
    </row>
    <row r="3636" spans="1:14" ht="46.8" x14ac:dyDescent="0.3">
      <c r="A3636" s="64" t="s">
        <v>272</v>
      </c>
      <c r="B3636" s="62" t="s">
        <v>939</v>
      </c>
      <c r="C3636" s="68" t="s">
        <v>1392</v>
      </c>
      <c r="D3636" s="68" t="s">
        <v>1391</v>
      </c>
      <c r="E3636" s="8" t="s">
        <v>604</v>
      </c>
      <c r="F3636" s="8"/>
      <c r="G3636" s="13" t="s">
        <v>1044</v>
      </c>
      <c r="H3636" s="14">
        <f>H3637</f>
        <v>49904.657999999996</v>
      </c>
      <c r="I3636" s="14">
        <f>I3637</f>
        <v>49904.657019999999</v>
      </c>
      <c r="J3636" s="14">
        <f t="shared" ref="J3636:L3636" si="1578">J3637</f>
        <v>49904.657019999999</v>
      </c>
      <c r="K3636" s="78">
        <f t="shared" si="1560"/>
        <v>100</v>
      </c>
      <c r="L3636" s="14">
        <f t="shared" si="1578"/>
        <v>0</v>
      </c>
      <c r="M3636" s="50"/>
      <c r="N3636" s="50"/>
    </row>
    <row r="3637" spans="1:14" x14ac:dyDescent="0.3">
      <c r="A3637" s="64" t="s">
        <v>272</v>
      </c>
      <c r="B3637" s="62" t="s">
        <v>939</v>
      </c>
      <c r="C3637" s="68" t="s">
        <v>1392</v>
      </c>
      <c r="D3637" s="68" t="s">
        <v>1391</v>
      </c>
      <c r="E3637" s="8" t="s">
        <v>605</v>
      </c>
      <c r="F3637" s="8"/>
      <c r="G3637" s="31" t="s">
        <v>1208</v>
      </c>
      <c r="H3637" s="14">
        <f t="shared" ref="H3637:L3638" si="1579">H3638</f>
        <v>49904.657999999996</v>
      </c>
      <c r="I3637" s="14">
        <f t="shared" si="1579"/>
        <v>49904.657019999999</v>
      </c>
      <c r="J3637" s="14">
        <f t="shared" si="1579"/>
        <v>49904.657019999999</v>
      </c>
      <c r="K3637" s="78">
        <f t="shared" si="1560"/>
        <v>100</v>
      </c>
      <c r="L3637" s="14">
        <f t="shared" si="1579"/>
        <v>0</v>
      </c>
      <c r="M3637" s="50"/>
      <c r="N3637" s="50"/>
    </row>
    <row r="3638" spans="1:14" ht="31.2" x14ac:dyDescent="0.3">
      <c r="A3638" s="64" t="s">
        <v>272</v>
      </c>
      <c r="B3638" s="62" t="s">
        <v>939</v>
      </c>
      <c r="C3638" s="68" t="s">
        <v>1392</v>
      </c>
      <c r="D3638" s="68" t="s">
        <v>1391</v>
      </c>
      <c r="E3638" s="8" t="s">
        <v>605</v>
      </c>
      <c r="F3638" s="45" t="s">
        <v>478</v>
      </c>
      <c r="G3638" s="23" t="s">
        <v>817</v>
      </c>
      <c r="H3638" s="14">
        <f t="shared" si="1579"/>
        <v>49904.657999999996</v>
      </c>
      <c r="I3638" s="14">
        <f t="shared" si="1579"/>
        <v>49904.657019999999</v>
      </c>
      <c r="J3638" s="14">
        <f t="shared" si="1579"/>
        <v>49904.657019999999</v>
      </c>
      <c r="K3638" s="78">
        <f t="shared" si="1560"/>
        <v>100</v>
      </c>
      <c r="L3638" s="14">
        <f t="shared" si="1579"/>
        <v>0</v>
      </c>
      <c r="M3638" s="50"/>
      <c r="N3638" s="50"/>
    </row>
    <row r="3639" spans="1:14" x14ac:dyDescent="0.3">
      <c r="A3639" s="64" t="s">
        <v>272</v>
      </c>
      <c r="B3639" s="62" t="s">
        <v>939</v>
      </c>
      <c r="C3639" s="68" t="s">
        <v>1392</v>
      </c>
      <c r="D3639" s="68" t="s">
        <v>1391</v>
      </c>
      <c r="E3639" s="8" t="s">
        <v>605</v>
      </c>
      <c r="F3639" s="45" t="s">
        <v>1273</v>
      </c>
      <c r="G3639" s="23" t="s">
        <v>818</v>
      </c>
      <c r="H3639" s="14">
        <f>38512.392+30000-18607.734</f>
        <v>49904.657999999996</v>
      </c>
      <c r="I3639" s="14">
        <v>49904.657019999999</v>
      </c>
      <c r="J3639" s="14">
        <v>49904.657019999999</v>
      </c>
      <c r="K3639" s="78">
        <f t="shared" si="1560"/>
        <v>100</v>
      </c>
      <c r="L3639" s="14"/>
      <c r="M3639" s="50"/>
      <c r="N3639" s="50"/>
    </row>
    <row r="3640" spans="1:14" ht="31.2" x14ac:dyDescent="0.3">
      <c r="A3640" s="64" t="s">
        <v>272</v>
      </c>
      <c r="B3640" s="62" t="s">
        <v>939</v>
      </c>
      <c r="C3640" s="68" t="s">
        <v>1392</v>
      </c>
      <c r="D3640" s="68" t="s">
        <v>1391</v>
      </c>
      <c r="E3640" s="8" t="s">
        <v>1256</v>
      </c>
      <c r="F3640" s="45"/>
      <c r="G3640" s="23" t="s">
        <v>743</v>
      </c>
      <c r="H3640" s="14">
        <f t="shared" ref="H3640:L3640" si="1580">H3641</f>
        <v>121313.87699999999</v>
      </c>
      <c r="I3640" s="14">
        <f t="shared" si="1580"/>
        <v>220660.84740999999</v>
      </c>
      <c r="J3640" s="14">
        <f t="shared" si="1580"/>
        <v>187793.42314999999</v>
      </c>
      <c r="K3640" s="78">
        <f t="shared" si="1560"/>
        <v>85.105004061309288</v>
      </c>
      <c r="L3640" s="14">
        <f t="shared" si="1580"/>
        <v>0</v>
      </c>
      <c r="M3640" s="50"/>
      <c r="N3640" s="50"/>
    </row>
    <row r="3641" spans="1:14" ht="31.2" x14ac:dyDescent="0.3">
      <c r="A3641" s="64" t="s">
        <v>272</v>
      </c>
      <c r="B3641" s="62" t="s">
        <v>939</v>
      </c>
      <c r="C3641" s="68" t="s">
        <v>1392</v>
      </c>
      <c r="D3641" s="68" t="s">
        <v>1391</v>
      </c>
      <c r="E3641" s="8" t="s">
        <v>1257</v>
      </c>
      <c r="F3641" s="45"/>
      <c r="G3641" s="23" t="s">
        <v>748</v>
      </c>
      <c r="H3641" s="14">
        <f>H3642+H3652</f>
        <v>121313.87699999999</v>
      </c>
      <c r="I3641" s="14">
        <f t="shared" ref="I3641:L3641" si="1581">I3642+I3652</f>
        <v>220660.84740999999</v>
      </c>
      <c r="J3641" s="14">
        <f t="shared" si="1581"/>
        <v>187793.42314999999</v>
      </c>
      <c r="K3641" s="78">
        <f t="shared" si="1560"/>
        <v>85.105004061309288</v>
      </c>
      <c r="L3641" s="14">
        <f t="shared" si="1581"/>
        <v>0</v>
      </c>
      <c r="M3641" s="50"/>
      <c r="N3641" s="50"/>
    </row>
    <row r="3642" spans="1:14" ht="46.8" x14ac:dyDescent="0.3">
      <c r="A3642" s="64" t="s">
        <v>272</v>
      </c>
      <c r="B3642" s="62" t="s">
        <v>939</v>
      </c>
      <c r="C3642" s="68" t="s">
        <v>1392</v>
      </c>
      <c r="D3642" s="68" t="s">
        <v>1391</v>
      </c>
      <c r="E3642" s="8" t="s">
        <v>1259</v>
      </c>
      <c r="F3642" s="45"/>
      <c r="G3642" s="23" t="s">
        <v>749</v>
      </c>
      <c r="H3642" s="14">
        <f>H3646+H3643+H3649</f>
        <v>71180.876999999993</v>
      </c>
      <c r="I3642" s="14">
        <f t="shared" ref="I3642:L3642" si="1582">I3646+I3643+I3649</f>
        <v>170527.84740999999</v>
      </c>
      <c r="J3642" s="14">
        <f t="shared" si="1582"/>
        <v>137997.99919</v>
      </c>
      <c r="K3642" s="78">
        <f t="shared" si="1560"/>
        <v>80.924025774049397</v>
      </c>
      <c r="L3642" s="14">
        <f t="shared" si="1582"/>
        <v>0</v>
      </c>
      <c r="M3642" s="50"/>
      <c r="N3642" s="50"/>
    </row>
    <row r="3643" spans="1:14" ht="31.2" x14ac:dyDescent="0.3">
      <c r="A3643" s="64" t="s">
        <v>272</v>
      </c>
      <c r="B3643" s="62" t="s">
        <v>939</v>
      </c>
      <c r="C3643" s="68" t="s">
        <v>1392</v>
      </c>
      <c r="D3643" s="68" t="s">
        <v>1391</v>
      </c>
      <c r="E3643" s="8" t="s">
        <v>1008</v>
      </c>
      <c r="F3643" s="45"/>
      <c r="G3643" s="23" t="s">
        <v>1009</v>
      </c>
      <c r="H3643" s="14">
        <f>H3644</f>
        <v>47499.999000000003</v>
      </c>
      <c r="I3643" s="14">
        <f t="shared" ref="I3643:L3644" si="1583">I3644</f>
        <v>47499.998509999998</v>
      </c>
      <c r="J3643" s="14">
        <f t="shared" si="1583"/>
        <v>14970.15029</v>
      </c>
      <c r="K3643" s="78">
        <f t="shared" si="1560"/>
        <v>31.516106862294723</v>
      </c>
      <c r="L3643" s="14">
        <f t="shared" si="1583"/>
        <v>0</v>
      </c>
      <c r="M3643" s="50"/>
      <c r="N3643" s="50"/>
    </row>
    <row r="3644" spans="1:14" ht="31.2" x14ac:dyDescent="0.3">
      <c r="A3644" s="64" t="s">
        <v>272</v>
      </c>
      <c r="B3644" s="62" t="s">
        <v>939</v>
      </c>
      <c r="C3644" s="68" t="s">
        <v>1392</v>
      </c>
      <c r="D3644" s="68" t="s">
        <v>1391</v>
      </c>
      <c r="E3644" s="8" t="s">
        <v>1008</v>
      </c>
      <c r="F3644" s="45" t="s">
        <v>380</v>
      </c>
      <c r="G3644" s="23" t="s">
        <v>809</v>
      </c>
      <c r="H3644" s="14">
        <f>H3645</f>
        <v>47499.999000000003</v>
      </c>
      <c r="I3644" s="14">
        <f t="shared" si="1583"/>
        <v>47499.998509999998</v>
      </c>
      <c r="J3644" s="14">
        <f t="shared" si="1583"/>
        <v>14970.15029</v>
      </c>
      <c r="K3644" s="78">
        <f t="shared" si="1560"/>
        <v>31.516106862294723</v>
      </c>
      <c r="L3644" s="14">
        <f t="shared" si="1583"/>
        <v>0</v>
      </c>
      <c r="M3644" s="50"/>
      <c r="N3644" s="50"/>
    </row>
    <row r="3645" spans="1:14" ht="31.2" x14ac:dyDescent="0.3">
      <c r="A3645" s="64" t="s">
        <v>272</v>
      </c>
      <c r="B3645" s="62" t="s">
        <v>939</v>
      </c>
      <c r="C3645" s="68" t="s">
        <v>1392</v>
      </c>
      <c r="D3645" s="68" t="s">
        <v>1391</v>
      </c>
      <c r="E3645" s="8" t="s">
        <v>1008</v>
      </c>
      <c r="F3645" s="8" t="s">
        <v>247</v>
      </c>
      <c r="G3645" s="23" t="s">
        <v>810</v>
      </c>
      <c r="H3645" s="14">
        <v>47499.999000000003</v>
      </c>
      <c r="I3645" s="14">
        <v>47499.998509999998</v>
      </c>
      <c r="J3645" s="20">
        <v>14970.15029</v>
      </c>
      <c r="K3645" s="77">
        <f t="shared" si="1560"/>
        <v>31.516106862294723</v>
      </c>
      <c r="L3645" s="14"/>
      <c r="M3645" s="50"/>
      <c r="N3645" s="50"/>
    </row>
    <row r="3646" spans="1:14" ht="31.2" x14ac:dyDescent="0.3">
      <c r="A3646" s="64" t="s">
        <v>272</v>
      </c>
      <c r="B3646" s="62" t="s">
        <v>939</v>
      </c>
      <c r="C3646" s="68" t="s">
        <v>1392</v>
      </c>
      <c r="D3646" s="68" t="s">
        <v>1391</v>
      </c>
      <c r="E3646" s="8" t="s">
        <v>1258</v>
      </c>
      <c r="F3646" s="45"/>
      <c r="G3646" s="23" t="s">
        <v>691</v>
      </c>
      <c r="H3646" s="14">
        <f t="shared" ref="H3646:L3647" si="1584">H3647</f>
        <v>7673.9619999999923</v>
      </c>
      <c r="I3646" s="14">
        <f t="shared" si="1584"/>
        <v>33646.304120000001</v>
      </c>
      <c r="J3646" s="14">
        <f t="shared" si="1584"/>
        <v>33646.304120000001</v>
      </c>
      <c r="K3646" s="78">
        <f t="shared" si="1560"/>
        <v>100</v>
      </c>
      <c r="L3646" s="14">
        <f t="shared" si="1584"/>
        <v>0</v>
      </c>
      <c r="M3646" s="50"/>
      <c r="N3646" s="50"/>
    </row>
    <row r="3647" spans="1:14" ht="31.2" x14ac:dyDescent="0.3">
      <c r="A3647" s="64" t="s">
        <v>272</v>
      </c>
      <c r="B3647" s="62" t="s">
        <v>939</v>
      </c>
      <c r="C3647" s="68" t="s">
        <v>1392</v>
      </c>
      <c r="D3647" s="68" t="s">
        <v>1391</v>
      </c>
      <c r="E3647" s="8" t="s">
        <v>1258</v>
      </c>
      <c r="F3647" s="45" t="s">
        <v>380</v>
      </c>
      <c r="G3647" s="23" t="s">
        <v>809</v>
      </c>
      <c r="H3647" s="14">
        <f t="shared" si="1584"/>
        <v>7673.9619999999923</v>
      </c>
      <c r="I3647" s="14">
        <f t="shared" si="1584"/>
        <v>33646.304120000001</v>
      </c>
      <c r="J3647" s="14">
        <f t="shared" si="1584"/>
        <v>33646.304120000001</v>
      </c>
      <c r="K3647" s="78">
        <f t="shared" si="1560"/>
        <v>100</v>
      </c>
      <c r="L3647" s="14">
        <f t="shared" si="1584"/>
        <v>0</v>
      </c>
      <c r="M3647" s="50"/>
      <c r="N3647" s="50"/>
    </row>
    <row r="3648" spans="1:14" ht="31.2" x14ac:dyDescent="0.3">
      <c r="A3648" s="64" t="s">
        <v>272</v>
      </c>
      <c r="B3648" s="62" t="s">
        <v>939</v>
      </c>
      <c r="C3648" s="68" t="s">
        <v>1392</v>
      </c>
      <c r="D3648" s="68" t="s">
        <v>1391</v>
      </c>
      <c r="E3648" s="8" t="s">
        <v>1258</v>
      </c>
      <c r="F3648" s="8" t="s">
        <v>247</v>
      </c>
      <c r="G3648" s="23" t="s">
        <v>810</v>
      </c>
      <c r="H3648" s="14">
        <f>71180.877-63506.915</f>
        <v>7673.9619999999923</v>
      </c>
      <c r="I3648" s="14">
        <v>33646.304120000001</v>
      </c>
      <c r="J3648" s="14">
        <v>33646.304120000001</v>
      </c>
      <c r="K3648" s="78">
        <f t="shared" si="1560"/>
        <v>100</v>
      </c>
      <c r="L3648" s="14"/>
      <c r="M3648" s="50"/>
      <c r="N3648" s="50"/>
    </row>
    <row r="3649" spans="1:14" ht="46.8" x14ac:dyDescent="0.3">
      <c r="A3649" s="64" t="s">
        <v>272</v>
      </c>
      <c r="B3649" s="62" t="s">
        <v>939</v>
      </c>
      <c r="C3649" s="68" t="s">
        <v>1392</v>
      </c>
      <c r="D3649" s="68" t="s">
        <v>1391</v>
      </c>
      <c r="E3649" s="8" t="s">
        <v>1010</v>
      </c>
      <c r="F3649" s="8"/>
      <c r="G3649" s="23" t="s">
        <v>1011</v>
      </c>
      <c r="H3649" s="14">
        <f>H3650</f>
        <v>16006.915999999999</v>
      </c>
      <c r="I3649" s="14">
        <f t="shared" ref="I3649:L3650" si="1585">I3650</f>
        <v>89381.544779999997</v>
      </c>
      <c r="J3649" s="14">
        <f t="shared" si="1585"/>
        <v>89381.544779999997</v>
      </c>
      <c r="K3649" s="78">
        <f t="shared" si="1560"/>
        <v>100</v>
      </c>
      <c r="L3649" s="14">
        <f t="shared" si="1585"/>
        <v>0</v>
      </c>
      <c r="M3649" s="50"/>
      <c r="N3649" s="50"/>
    </row>
    <row r="3650" spans="1:14" ht="31.2" x14ac:dyDescent="0.3">
      <c r="A3650" s="64" t="s">
        <v>272</v>
      </c>
      <c r="B3650" s="62" t="s">
        <v>939</v>
      </c>
      <c r="C3650" s="68" t="s">
        <v>1392</v>
      </c>
      <c r="D3650" s="68" t="s">
        <v>1391</v>
      </c>
      <c r="E3650" s="8" t="s">
        <v>1010</v>
      </c>
      <c r="F3650" s="45" t="s">
        <v>380</v>
      </c>
      <c r="G3650" s="23" t="s">
        <v>809</v>
      </c>
      <c r="H3650" s="14">
        <f>H3651</f>
        <v>16006.915999999999</v>
      </c>
      <c r="I3650" s="14">
        <f t="shared" si="1585"/>
        <v>89381.544779999997</v>
      </c>
      <c r="J3650" s="14">
        <f t="shared" si="1585"/>
        <v>89381.544779999997</v>
      </c>
      <c r="K3650" s="78">
        <f t="shared" si="1560"/>
        <v>100</v>
      </c>
      <c r="L3650" s="14">
        <f t="shared" si="1585"/>
        <v>0</v>
      </c>
      <c r="M3650" s="50"/>
      <c r="N3650" s="50"/>
    </row>
    <row r="3651" spans="1:14" ht="31.2" x14ac:dyDescent="0.3">
      <c r="A3651" s="64" t="s">
        <v>272</v>
      </c>
      <c r="B3651" s="62" t="s">
        <v>939</v>
      </c>
      <c r="C3651" s="68" t="s">
        <v>1392</v>
      </c>
      <c r="D3651" s="68" t="s">
        <v>1391</v>
      </c>
      <c r="E3651" s="8" t="s">
        <v>1010</v>
      </c>
      <c r="F3651" s="8" t="s">
        <v>247</v>
      </c>
      <c r="G3651" s="23" t="s">
        <v>810</v>
      </c>
      <c r="H3651" s="14">
        <v>16006.915999999999</v>
      </c>
      <c r="I3651" s="14">
        <v>89381.544779999997</v>
      </c>
      <c r="J3651" s="20">
        <v>89381.544779999997</v>
      </c>
      <c r="K3651" s="77">
        <f t="shared" si="1560"/>
        <v>100</v>
      </c>
      <c r="L3651" s="14"/>
      <c r="M3651" s="50"/>
      <c r="N3651" s="50"/>
    </row>
    <row r="3652" spans="1:14" ht="46.8" x14ac:dyDescent="0.3">
      <c r="A3652" s="64" t="s">
        <v>272</v>
      </c>
      <c r="B3652" s="62" t="s">
        <v>939</v>
      </c>
      <c r="C3652" s="68" t="s">
        <v>1392</v>
      </c>
      <c r="D3652" s="68" t="s">
        <v>1391</v>
      </c>
      <c r="E3652" s="8" t="s">
        <v>1012</v>
      </c>
      <c r="F3652" s="8"/>
      <c r="G3652" s="23" t="s">
        <v>1013</v>
      </c>
      <c r="H3652" s="14">
        <f>H3653</f>
        <v>50133</v>
      </c>
      <c r="I3652" s="14">
        <f t="shared" ref="I3652:L3654" si="1586">I3653</f>
        <v>50133</v>
      </c>
      <c r="J3652" s="14">
        <f t="shared" si="1586"/>
        <v>49795.42396</v>
      </c>
      <c r="K3652" s="78">
        <f t="shared" si="1560"/>
        <v>99.326639060100135</v>
      </c>
      <c r="L3652" s="14">
        <f t="shared" si="1586"/>
        <v>0</v>
      </c>
      <c r="M3652" s="50"/>
      <c r="N3652" s="50"/>
    </row>
    <row r="3653" spans="1:14" x14ac:dyDescent="0.3">
      <c r="A3653" s="64" t="s">
        <v>272</v>
      </c>
      <c r="B3653" s="62" t="s">
        <v>939</v>
      </c>
      <c r="C3653" s="68" t="s">
        <v>1392</v>
      </c>
      <c r="D3653" s="68" t="s">
        <v>1391</v>
      </c>
      <c r="E3653" s="8" t="s">
        <v>1014</v>
      </c>
      <c r="F3653" s="8"/>
      <c r="G3653" s="23" t="s">
        <v>1015</v>
      </c>
      <c r="H3653" s="14">
        <f>H3654</f>
        <v>50133</v>
      </c>
      <c r="I3653" s="14">
        <f t="shared" si="1586"/>
        <v>50133</v>
      </c>
      <c r="J3653" s="14">
        <f t="shared" si="1586"/>
        <v>49795.42396</v>
      </c>
      <c r="K3653" s="78">
        <f t="shared" si="1560"/>
        <v>99.326639060100135</v>
      </c>
      <c r="L3653" s="14">
        <f t="shared" si="1586"/>
        <v>0</v>
      </c>
      <c r="M3653" s="50"/>
      <c r="N3653" s="50"/>
    </row>
    <row r="3654" spans="1:14" ht="31.2" x14ac:dyDescent="0.3">
      <c r="A3654" s="64" t="s">
        <v>272</v>
      </c>
      <c r="B3654" s="62" t="s">
        <v>939</v>
      </c>
      <c r="C3654" s="68" t="s">
        <v>1392</v>
      </c>
      <c r="D3654" s="68" t="s">
        <v>1391</v>
      </c>
      <c r="E3654" s="8" t="s">
        <v>1014</v>
      </c>
      <c r="F3654" s="45" t="s">
        <v>478</v>
      </c>
      <c r="G3654" s="23" t="s">
        <v>817</v>
      </c>
      <c r="H3654" s="14">
        <f>H3655</f>
        <v>50133</v>
      </c>
      <c r="I3654" s="14">
        <f t="shared" si="1586"/>
        <v>50133</v>
      </c>
      <c r="J3654" s="14">
        <f t="shared" si="1586"/>
        <v>49795.42396</v>
      </c>
      <c r="K3654" s="78">
        <f t="shared" si="1560"/>
        <v>99.326639060100135</v>
      </c>
      <c r="L3654" s="14">
        <f t="shared" si="1586"/>
        <v>0</v>
      </c>
      <c r="M3654" s="50"/>
      <c r="N3654" s="50"/>
    </row>
    <row r="3655" spans="1:14" x14ac:dyDescent="0.3">
      <c r="A3655" s="64" t="s">
        <v>272</v>
      </c>
      <c r="B3655" s="62" t="s">
        <v>939</v>
      </c>
      <c r="C3655" s="68" t="s">
        <v>1392</v>
      </c>
      <c r="D3655" s="68" t="s">
        <v>1391</v>
      </c>
      <c r="E3655" s="8" t="s">
        <v>1014</v>
      </c>
      <c r="F3655" s="45" t="s">
        <v>1273</v>
      </c>
      <c r="G3655" s="23" t="s">
        <v>818</v>
      </c>
      <c r="H3655" s="14">
        <v>50133</v>
      </c>
      <c r="I3655" s="14">
        <v>50133</v>
      </c>
      <c r="J3655" s="20">
        <v>49795.42396</v>
      </c>
      <c r="K3655" s="77">
        <f t="shared" si="1560"/>
        <v>99.326639060100135</v>
      </c>
      <c r="L3655" s="14"/>
      <c r="M3655" s="50"/>
      <c r="N3655" s="50"/>
    </row>
    <row r="3656" spans="1:14" s="9" customFormat="1" ht="31.2" x14ac:dyDescent="0.3">
      <c r="A3656" s="6" t="s">
        <v>272</v>
      </c>
      <c r="B3656" s="48" t="s">
        <v>940</v>
      </c>
      <c r="C3656" s="48" t="s">
        <v>1392</v>
      </c>
      <c r="D3656" s="48" t="s">
        <v>1392</v>
      </c>
      <c r="E3656" s="6"/>
      <c r="F3656" s="6"/>
      <c r="G3656" s="7" t="s">
        <v>1424</v>
      </c>
      <c r="H3656" s="16">
        <f>H3657+H3668</f>
        <v>255879.55100000001</v>
      </c>
      <c r="I3656" s="16">
        <f>I3657+I3668</f>
        <v>262618.64343</v>
      </c>
      <c r="J3656" s="16">
        <f t="shared" ref="J3656" si="1587">J3657+J3668</f>
        <v>262224.96447000001</v>
      </c>
      <c r="K3656" s="82">
        <f t="shared" ref="K3656:K3719" si="1588">J3656/I3656*100</f>
        <v>99.850094816248287</v>
      </c>
      <c r="L3656" s="16">
        <f>L3657+L3668</f>
        <v>0</v>
      </c>
      <c r="M3656" s="65"/>
      <c r="N3656" s="65"/>
    </row>
    <row r="3657" spans="1:14" ht="31.2" x14ac:dyDescent="0.3">
      <c r="A3657" s="64" t="s">
        <v>272</v>
      </c>
      <c r="B3657" s="62" t="s">
        <v>940</v>
      </c>
      <c r="C3657" s="68" t="s">
        <v>1392</v>
      </c>
      <c r="D3657" s="68" t="s">
        <v>1392</v>
      </c>
      <c r="E3657" s="8" t="s">
        <v>355</v>
      </c>
      <c r="F3657" s="8"/>
      <c r="G3657" s="13" t="s">
        <v>893</v>
      </c>
      <c r="H3657" s="14">
        <f t="shared" ref="H3657:L3658" si="1589">H3658</f>
        <v>228438.15100000001</v>
      </c>
      <c r="I3657" s="14">
        <f t="shared" si="1589"/>
        <v>229578.74343</v>
      </c>
      <c r="J3657" s="14">
        <f t="shared" si="1589"/>
        <v>229185.06447000001</v>
      </c>
      <c r="K3657" s="78">
        <f t="shared" si="1588"/>
        <v>99.828521162665908</v>
      </c>
      <c r="L3657" s="14">
        <f t="shared" si="1589"/>
        <v>0</v>
      </c>
      <c r="M3657" s="50"/>
      <c r="N3657" s="50"/>
    </row>
    <row r="3658" spans="1:14" ht="31.2" x14ac:dyDescent="0.3">
      <c r="A3658" s="64" t="s">
        <v>272</v>
      </c>
      <c r="B3658" s="62" t="s">
        <v>940</v>
      </c>
      <c r="C3658" s="68" t="s">
        <v>1392</v>
      </c>
      <c r="D3658" s="68" t="s">
        <v>1392</v>
      </c>
      <c r="E3658" s="8" t="s">
        <v>373</v>
      </c>
      <c r="F3658" s="8"/>
      <c r="G3658" s="13" t="s">
        <v>1038</v>
      </c>
      <c r="H3658" s="14">
        <f t="shared" si="1589"/>
        <v>228438.15100000001</v>
      </c>
      <c r="I3658" s="14">
        <f t="shared" si="1589"/>
        <v>229578.74343</v>
      </c>
      <c r="J3658" s="14">
        <f t="shared" si="1589"/>
        <v>229185.06447000001</v>
      </c>
      <c r="K3658" s="78">
        <f t="shared" si="1588"/>
        <v>99.828521162665908</v>
      </c>
      <c r="L3658" s="14">
        <f t="shared" si="1589"/>
        <v>0</v>
      </c>
      <c r="M3658" s="50"/>
      <c r="N3658" s="50"/>
    </row>
    <row r="3659" spans="1:14" ht="31.2" x14ac:dyDescent="0.3">
      <c r="A3659" s="64" t="s">
        <v>272</v>
      </c>
      <c r="B3659" s="62" t="s">
        <v>940</v>
      </c>
      <c r="C3659" s="68" t="s">
        <v>1392</v>
      </c>
      <c r="D3659" s="68" t="s">
        <v>1392</v>
      </c>
      <c r="E3659" s="8" t="s">
        <v>374</v>
      </c>
      <c r="F3659" s="8"/>
      <c r="G3659" s="13" t="s">
        <v>1039</v>
      </c>
      <c r="H3659" s="14">
        <f t="shared" ref="H3659:L3659" si="1590">H3660</f>
        <v>228438.15100000001</v>
      </c>
      <c r="I3659" s="14">
        <f t="shared" si="1590"/>
        <v>229578.74343</v>
      </c>
      <c r="J3659" s="14">
        <f t="shared" si="1590"/>
        <v>229185.06447000001</v>
      </c>
      <c r="K3659" s="78">
        <f t="shared" si="1588"/>
        <v>99.828521162665908</v>
      </c>
      <c r="L3659" s="14">
        <f t="shared" si="1590"/>
        <v>0</v>
      </c>
      <c r="M3659" s="50"/>
      <c r="N3659" s="50"/>
    </row>
    <row r="3660" spans="1:14" ht="62.4" x14ac:dyDescent="0.3">
      <c r="A3660" s="64" t="s">
        <v>272</v>
      </c>
      <c r="B3660" s="62" t="s">
        <v>940</v>
      </c>
      <c r="C3660" s="68" t="s">
        <v>1392</v>
      </c>
      <c r="D3660" s="68" t="s">
        <v>1392</v>
      </c>
      <c r="E3660" s="8" t="s">
        <v>375</v>
      </c>
      <c r="F3660" s="8"/>
      <c r="G3660" s="23" t="s">
        <v>1291</v>
      </c>
      <c r="H3660" s="14">
        <f>H3661+H3663+H3665</f>
        <v>228438.15100000001</v>
      </c>
      <c r="I3660" s="14">
        <f>I3661+I3663+I3665</f>
        <v>229578.74343</v>
      </c>
      <c r="J3660" s="14">
        <f t="shared" ref="J3660" si="1591">J3661+J3663+J3665</f>
        <v>229185.06447000001</v>
      </c>
      <c r="K3660" s="78">
        <f t="shared" si="1588"/>
        <v>99.828521162665908</v>
      </c>
      <c r="L3660" s="14">
        <f>L3661+L3663+L3665</f>
        <v>0</v>
      </c>
      <c r="M3660" s="50"/>
      <c r="N3660" s="50"/>
    </row>
    <row r="3661" spans="1:14" ht="78" x14ac:dyDescent="0.3">
      <c r="A3661" s="64" t="s">
        <v>272</v>
      </c>
      <c r="B3661" s="62" t="s">
        <v>940</v>
      </c>
      <c r="C3661" s="68" t="s">
        <v>1392</v>
      </c>
      <c r="D3661" s="68" t="s">
        <v>1392</v>
      </c>
      <c r="E3661" s="8" t="s">
        <v>375</v>
      </c>
      <c r="F3661" s="45" t="s">
        <v>431</v>
      </c>
      <c r="G3661" s="23" t="s">
        <v>806</v>
      </c>
      <c r="H3661" s="14">
        <f t="shared" ref="H3661:L3661" si="1592">H3662</f>
        <v>37739.670000000006</v>
      </c>
      <c r="I3661" s="14">
        <f t="shared" si="1592"/>
        <v>38779.709779999997</v>
      </c>
      <c r="J3661" s="14">
        <f t="shared" si="1592"/>
        <v>38779.709580000002</v>
      </c>
      <c r="K3661" s="78">
        <f t="shared" si="1588"/>
        <v>99.999999484266397</v>
      </c>
      <c r="L3661" s="14">
        <f t="shared" si="1592"/>
        <v>0</v>
      </c>
      <c r="M3661" s="50"/>
      <c r="N3661" s="50"/>
    </row>
    <row r="3662" spans="1:14" x14ac:dyDescent="0.3">
      <c r="A3662" s="64" t="s">
        <v>272</v>
      </c>
      <c r="B3662" s="62" t="s">
        <v>940</v>
      </c>
      <c r="C3662" s="68" t="s">
        <v>1392</v>
      </c>
      <c r="D3662" s="68" t="s">
        <v>1392</v>
      </c>
      <c r="E3662" s="8" t="s">
        <v>375</v>
      </c>
      <c r="F3662" s="8" t="s">
        <v>719</v>
      </c>
      <c r="G3662" s="23" t="s">
        <v>807</v>
      </c>
      <c r="H3662" s="14">
        <f>36650.3+1089.37</f>
        <v>37739.670000000006</v>
      </c>
      <c r="I3662" s="14">
        <v>38779.709779999997</v>
      </c>
      <c r="J3662" s="14">
        <v>38779.709580000002</v>
      </c>
      <c r="K3662" s="78">
        <f t="shared" si="1588"/>
        <v>99.999999484266397</v>
      </c>
      <c r="L3662" s="14"/>
      <c r="M3662" s="50"/>
      <c r="N3662" s="50"/>
    </row>
    <row r="3663" spans="1:14" ht="31.2" x14ac:dyDescent="0.3">
      <c r="A3663" s="64" t="s">
        <v>272</v>
      </c>
      <c r="B3663" s="62" t="s">
        <v>940</v>
      </c>
      <c r="C3663" s="68" t="s">
        <v>1392</v>
      </c>
      <c r="D3663" s="68" t="s">
        <v>1392</v>
      </c>
      <c r="E3663" s="8" t="s">
        <v>375</v>
      </c>
      <c r="F3663" s="45" t="s">
        <v>380</v>
      </c>
      <c r="G3663" s="23" t="s">
        <v>809</v>
      </c>
      <c r="H3663" s="14">
        <f t="shared" ref="H3663:L3663" si="1593">H3664</f>
        <v>16861.897000000001</v>
      </c>
      <c r="I3663" s="14">
        <f t="shared" si="1593"/>
        <v>15661.320669999999</v>
      </c>
      <c r="J3663" s="14">
        <f t="shared" si="1593"/>
        <v>15269.29226</v>
      </c>
      <c r="K3663" s="78">
        <f t="shared" si="1588"/>
        <v>97.496836836046981</v>
      </c>
      <c r="L3663" s="14">
        <f t="shared" si="1593"/>
        <v>0</v>
      </c>
      <c r="M3663" s="50"/>
      <c r="N3663" s="50"/>
    </row>
    <row r="3664" spans="1:14" ht="31.2" x14ac:dyDescent="0.3">
      <c r="A3664" s="64" t="s">
        <v>272</v>
      </c>
      <c r="B3664" s="62" t="s">
        <v>940</v>
      </c>
      <c r="C3664" s="68" t="s">
        <v>1392</v>
      </c>
      <c r="D3664" s="68" t="s">
        <v>1392</v>
      </c>
      <c r="E3664" s="8" t="s">
        <v>375</v>
      </c>
      <c r="F3664" s="8" t="s">
        <v>247</v>
      </c>
      <c r="G3664" s="23" t="s">
        <v>810</v>
      </c>
      <c r="H3664" s="14">
        <f>11337.897+5524</f>
        <v>16861.897000000001</v>
      </c>
      <c r="I3664" s="14">
        <v>15661.320669999999</v>
      </c>
      <c r="J3664" s="14">
        <v>15269.29226</v>
      </c>
      <c r="K3664" s="78">
        <f t="shared" si="1588"/>
        <v>97.496836836046981</v>
      </c>
      <c r="L3664" s="14"/>
      <c r="M3664" s="50"/>
      <c r="N3664" s="50"/>
    </row>
    <row r="3665" spans="1:14" x14ac:dyDescent="0.3">
      <c r="A3665" s="64" t="s">
        <v>272</v>
      </c>
      <c r="B3665" s="62" t="s">
        <v>940</v>
      </c>
      <c r="C3665" s="68" t="s">
        <v>1392</v>
      </c>
      <c r="D3665" s="68" t="s">
        <v>1392</v>
      </c>
      <c r="E3665" s="8" t="s">
        <v>375</v>
      </c>
      <c r="F3665" s="45" t="s">
        <v>464</v>
      </c>
      <c r="G3665" s="23" t="s">
        <v>822</v>
      </c>
      <c r="H3665" s="14">
        <f>H3667+H3666</f>
        <v>173836.584</v>
      </c>
      <c r="I3665" s="14">
        <f>I3667+I3666</f>
        <v>175137.71298000001</v>
      </c>
      <c r="J3665" s="14">
        <f t="shared" ref="J3665:L3665" si="1594">J3667+J3666</f>
        <v>175136.06263</v>
      </c>
      <c r="K3665" s="78">
        <f t="shared" si="1588"/>
        <v>99.999057684394799</v>
      </c>
      <c r="L3665" s="14">
        <f t="shared" si="1594"/>
        <v>0</v>
      </c>
      <c r="M3665" s="50"/>
      <c r="N3665" s="50"/>
    </row>
    <row r="3666" spans="1:14" x14ac:dyDescent="0.3">
      <c r="A3666" s="64" t="s">
        <v>272</v>
      </c>
      <c r="B3666" s="62" t="s">
        <v>940</v>
      </c>
      <c r="C3666" s="68" t="s">
        <v>1392</v>
      </c>
      <c r="D3666" s="68" t="s">
        <v>1392</v>
      </c>
      <c r="E3666" s="8" t="s">
        <v>375</v>
      </c>
      <c r="F3666" s="45" t="s">
        <v>728</v>
      </c>
      <c r="G3666" s="23" t="s">
        <v>823</v>
      </c>
      <c r="H3666" s="20">
        <f>116.09+5556.346</f>
        <v>5672.4359999999997</v>
      </c>
      <c r="I3666" s="14">
        <v>6926.4458599999998</v>
      </c>
      <c r="J3666" s="14">
        <v>6926.4458599999998</v>
      </c>
      <c r="K3666" s="78">
        <f t="shared" si="1588"/>
        <v>100</v>
      </c>
      <c r="L3666" s="66"/>
      <c r="M3666" s="50"/>
      <c r="N3666" s="50"/>
    </row>
    <row r="3667" spans="1:14" x14ac:dyDescent="0.3">
      <c r="A3667" s="64" t="s">
        <v>272</v>
      </c>
      <c r="B3667" s="62" t="s">
        <v>940</v>
      </c>
      <c r="C3667" s="68" t="s">
        <v>1392</v>
      </c>
      <c r="D3667" s="68" t="s">
        <v>1392</v>
      </c>
      <c r="E3667" s="8" t="s">
        <v>375</v>
      </c>
      <c r="F3667" s="45" t="s">
        <v>729</v>
      </c>
      <c r="G3667" s="23" t="s">
        <v>824</v>
      </c>
      <c r="H3667" s="14">
        <f>146060.6+22103.548</f>
        <v>168164.14800000002</v>
      </c>
      <c r="I3667" s="14">
        <v>168211.26712</v>
      </c>
      <c r="J3667" s="14">
        <v>168209.61676999999</v>
      </c>
      <c r="K3667" s="78">
        <f t="shared" si="1588"/>
        <v>99.999018882606222</v>
      </c>
      <c r="L3667" s="14"/>
      <c r="M3667" s="50"/>
      <c r="N3667" s="50"/>
    </row>
    <row r="3668" spans="1:14" ht="31.2" x14ac:dyDescent="0.3">
      <c r="A3668" s="64" t="s">
        <v>272</v>
      </c>
      <c r="B3668" s="62" t="s">
        <v>940</v>
      </c>
      <c r="C3668" s="68" t="s">
        <v>1392</v>
      </c>
      <c r="D3668" s="68" t="s">
        <v>1392</v>
      </c>
      <c r="E3668" s="8" t="s">
        <v>343</v>
      </c>
      <c r="F3668" s="8"/>
      <c r="G3668" s="23" t="s">
        <v>1157</v>
      </c>
      <c r="H3668" s="14">
        <f t="shared" ref="H3668:L3668" si="1595">H3669</f>
        <v>27441.4</v>
      </c>
      <c r="I3668" s="14">
        <f t="shared" si="1595"/>
        <v>33039.9</v>
      </c>
      <c r="J3668" s="14">
        <f t="shared" si="1595"/>
        <v>33039.9</v>
      </c>
      <c r="K3668" s="78">
        <f t="shared" si="1588"/>
        <v>100</v>
      </c>
      <c r="L3668" s="14">
        <f t="shared" si="1595"/>
        <v>0</v>
      </c>
      <c r="M3668" s="50"/>
      <c r="N3668" s="50"/>
    </row>
    <row r="3669" spans="1:14" x14ac:dyDescent="0.3">
      <c r="A3669" s="64" t="s">
        <v>272</v>
      </c>
      <c r="B3669" s="62" t="s">
        <v>940</v>
      </c>
      <c r="C3669" s="68" t="s">
        <v>1392</v>
      </c>
      <c r="D3669" s="68" t="s">
        <v>1392</v>
      </c>
      <c r="E3669" s="8" t="s">
        <v>344</v>
      </c>
      <c r="F3669" s="8"/>
      <c r="G3669" s="23" t="s">
        <v>1159</v>
      </c>
      <c r="H3669" s="14">
        <f>H3670+H3673</f>
        <v>27441.4</v>
      </c>
      <c r="I3669" s="14">
        <f>I3670+I3673</f>
        <v>33039.9</v>
      </c>
      <c r="J3669" s="14">
        <f t="shared" ref="J3669" si="1596">J3670+J3673</f>
        <v>33039.9</v>
      </c>
      <c r="K3669" s="78">
        <f t="shared" si="1588"/>
        <v>100</v>
      </c>
      <c r="L3669" s="14">
        <f>L3670+L3673</f>
        <v>0</v>
      </c>
      <c r="M3669" s="50"/>
      <c r="N3669" s="50"/>
    </row>
    <row r="3670" spans="1:14" ht="31.2" x14ac:dyDescent="0.3">
      <c r="A3670" s="64" t="s">
        <v>272</v>
      </c>
      <c r="B3670" s="62" t="s">
        <v>940</v>
      </c>
      <c r="C3670" s="83" t="s">
        <v>1392</v>
      </c>
      <c r="D3670" s="83" t="s">
        <v>1392</v>
      </c>
      <c r="E3670" s="45" t="s">
        <v>345</v>
      </c>
      <c r="F3670" s="8"/>
      <c r="G3670" s="23" t="s">
        <v>1152</v>
      </c>
      <c r="H3670" s="14">
        <f t="shared" ref="H3670:L3671" si="1597">H3671</f>
        <v>25581.7</v>
      </c>
      <c r="I3670" s="14">
        <f t="shared" si="1597"/>
        <v>30959.852029999998</v>
      </c>
      <c r="J3670" s="14">
        <f t="shared" si="1597"/>
        <v>30959.852029999998</v>
      </c>
      <c r="K3670" s="78">
        <f t="shared" si="1588"/>
        <v>100</v>
      </c>
      <c r="L3670" s="14">
        <f t="shared" si="1597"/>
        <v>0</v>
      </c>
      <c r="M3670" s="50"/>
      <c r="N3670" s="50"/>
    </row>
    <row r="3671" spans="1:14" ht="78" x14ac:dyDescent="0.3">
      <c r="A3671" s="64" t="s">
        <v>272</v>
      </c>
      <c r="B3671" s="62" t="s">
        <v>940</v>
      </c>
      <c r="C3671" s="83" t="s">
        <v>1392</v>
      </c>
      <c r="D3671" s="83" t="s">
        <v>1392</v>
      </c>
      <c r="E3671" s="45" t="s">
        <v>345</v>
      </c>
      <c r="F3671" s="45" t="s">
        <v>431</v>
      </c>
      <c r="G3671" s="23" t="s">
        <v>806</v>
      </c>
      <c r="H3671" s="14">
        <f t="shared" si="1597"/>
        <v>25581.7</v>
      </c>
      <c r="I3671" s="14">
        <f t="shared" si="1597"/>
        <v>30959.852029999998</v>
      </c>
      <c r="J3671" s="14">
        <f t="shared" si="1597"/>
        <v>30959.852029999998</v>
      </c>
      <c r="K3671" s="78">
        <f t="shared" si="1588"/>
        <v>100</v>
      </c>
      <c r="L3671" s="14">
        <f t="shared" si="1597"/>
        <v>0</v>
      </c>
      <c r="M3671" s="50"/>
      <c r="N3671" s="50"/>
    </row>
    <row r="3672" spans="1:14" ht="31.2" x14ac:dyDescent="0.3">
      <c r="A3672" s="64" t="s">
        <v>272</v>
      </c>
      <c r="B3672" s="62" t="s">
        <v>940</v>
      </c>
      <c r="C3672" s="83" t="s">
        <v>1392</v>
      </c>
      <c r="D3672" s="83" t="s">
        <v>1392</v>
      </c>
      <c r="E3672" s="45" t="s">
        <v>345</v>
      </c>
      <c r="F3672" s="45" t="s">
        <v>233</v>
      </c>
      <c r="G3672" s="23" t="s">
        <v>808</v>
      </c>
      <c r="H3672" s="14">
        <v>25581.7</v>
      </c>
      <c r="I3672" s="14">
        <v>30959.852029999998</v>
      </c>
      <c r="J3672" s="14">
        <v>30959.852029999998</v>
      </c>
      <c r="K3672" s="78">
        <f t="shared" si="1588"/>
        <v>100</v>
      </c>
      <c r="L3672" s="14"/>
      <c r="M3672" s="50"/>
      <c r="N3672" s="50"/>
    </row>
    <row r="3673" spans="1:14" ht="31.2" x14ac:dyDescent="0.3">
      <c r="A3673" s="64" t="s">
        <v>272</v>
      </c>
      <c r="B3673" s="62" t="s">
        <v>940</v>
      </c>
      <c r="C3673" s="83" t="s">
        <v>1392</v>
      </c>
      <c r="D3673" s="83" t="s">
        <v>1392</v>
      </c>
      <c r="E3673" s="45" t="s">
        <v>346</v>
      </c>
      <c r="F3673" s="8"/>
      <c r="G3673" s="23" t="s">
        <v>1154</v>
      </c>
      <c r="H3673" s="14">
        <f>H3674+H3676+H3678</f>
        <v>1859.7</v>
      </c>
      <c r="I3673" s="14">
        <f>I3674+I3676+I3678</f>
        <v>2080.0479700000001</v>
      </c>
      <c r="J3673" s="14">
        <f t="shared" ref="J3673" si="1598">J3674+J3676+J3678</f>
        <v>2080.0479700000001</v>
      </c>
      <c r="K3673" s="78">
        <f t="shared" si="1588"/>
        <v>100</v>
      </c>
      <c r="L3673" s="14">
        <f>L3674+L3676+L3678</f>
        <v>0</v>
      </c>
      <c r="M3673" s="50"/>
      <c r="N3673" s="50"/>
    </row>
    <row r="3674" spans="1:14" ht="78" x14ac:dyDescent="0.3">
      <c r="A3674" s="64" t="s">
        <v>272</v>
      </c>
      <c r="B3674" s="62" t="s">
        <v>940</v>
      </c>
      <c r="C3674" s="83" t="s">
        <v>1392</v>
      </c>
      <c r="D3674" s="83" t="s">
        <v>1392</v>
      </c>
      <c r="E3674" s="45" t="s">
        <v>346</v>
      </c>
      <c r="F3674" s="45" t="s">
        <v>431</v>
      </c>
      <c r="G3674" s="23" t="s">
        <v>806</v>
      </c>
      <c r="H3674" s="14">
        <f t="shared" ref="H3674:L3674" si="1599">H3675</f>
        <v>100</v>
      </c>
      <c r="I3674" s="14">
        <f t="shared" si="1599"/>
        <v>32.912649999999999</v>
      </c>
      <c r="J3674" s="14">
        <f t="shared" si="1599"/>
        <v>32.912649999999999</v>
      </c>
      <c r="K3674" s="78">
        <f t="shared" si="1588"/>
        <v>100</v>
      </c>
      <c r="L3674" s="14">
        <f t="shared" si="1599"/>
        <v>0</v>
      </c>
      <c r="M3674" s="50"/>
      <c r="N3674" s="50"/>
    </row>
    <row r="3675" spans="1:14" ht="31.2" x14ac:dyDescent="0.3">
      <c r="A3675" s="64" t="s">
        <v>272</v>
      </c>
      <c r="B3675" s="62" t="s">
        <v>940</v>
      </c>
      <c r="C3675" s="83" t="s">
        <v>1392</v>
      </c>
      <c r="D3675" s="83" t="s">
        <v>1392</v>
      </c>
      <c r="E3675" s="45" t="s">
        <v>346</v>
      </c>
      <c r="F3675" s="45" t="s">
        <v>233</v>
      </c>
      <c r="G3675" s="23" t="s">
        <v>808</v>
      </c>
      <c r="H3675" s="14">
        <v>100</v>
      </c>
      <c r="I3675" s="14">
        <v>32.912649999999999</v>
      </c>
      <c r="J3675" s="14">
        <v>32.912649999999999</v>
      </c>
      <c r="K3675" s="78">
        <f t="shared" si="1588"/>
        <v>100</v>
      </c>
      <c r="L3675" s="14"/>
      <c r="M3675" s="50"/>
      <c r="N3675" s="50"/>
    </row>
    <row r="3676" spans="1:14" ht="31.2" x14ac:dyDescent="0.3">
      <c r="A3676" s="64" t="s">
        <v>272</v>
      </c>
      <c r="B3676" s="62" t="s">
        <v>940</v>
      </c>
      <c r="C3676" s="83" t="s">
        <v>1392</v>
      </c>
      <c r="D3676" s="83" t="s">
        <v>1392</v>
      </c>
      <c r="E3676" s="45" t="s">
        <v>346</v>
      </c>
      <c r="F3676" s="45" t="s">
        <v>380</v>
      </c>
      <c r="G3676" s="23" t="s">
        <v>809</v>
      </c>
      <c r="H3676" s="14">
        <f t="shared" ref="H3676:L3676" si="1600">H3677</f>
        <v>1758</v>
      </c>
      <c r="I3676" s="14">
        <f t="shared" si="1600"/>
        <v>1934</v>
      </c>
      <c r="J3676" s="14">
        <f t="shared" si="1600"/>
        <v>1934</v>
      </c>
      <c r="K3676" s="78">
        <f t="shared" si="1588"/>
        <v>100</v>
      </c>
      <c r="L3676" s="14">
        <f t="shared" si="1600"/>
        <v>0</v>
      </c>
      <c r="M3676" s="50"/>
      <c r="N3676" s="50"/>
    </row>
    <row r="3677" spans="1:14" ht="31.2" x14ac:dyDescent="0.3">
      <c r="A3677" s="64" t="s">
        <v>272</v>
      </c>
      <c r="B3677" s="62" t="s">
        <v>940</v>
      </c>
      <c r="C3677" s="83" t="s">
        <v>1392</v>
      </c>
      <c r="D3677" s="83" t="s">
        <v>1392</v>
      </c>
      <c r="E3677" s="45" t="s">
        <v>346</v>
      </c>
      <c r="F3677" s="8" t="s">
        <v>247</v>
      </c>
      <c r="G3677" s="23" t="s">
        <v>810</v>
      </c>
      <c r="H3677" s="14">
        <v>1758</v>
      </c>
      <c r="I3677" s="14">
        <v>1934</v>
      </c>
      <c r="J3677" s="14">
        <v>1934</v>
      </c>
      <c r="K3677" s="78">
        <f t="shared" si="1588"/>
        <v>100</v>
      </c>
      <c r="L3677" s="14"/>
      <c r="M3677" s="50"/>
      <c r="N3677" s="50"/>
    </row>
    <row r="3678" spans="1:14" x14ac:dyDescent="0.3">
      <c r="A3678" s="64" t="s">
        <v>272</v>
      </c>
      <c r="B3678" s="62" t="s">
        <v>940</v>
      </c>
      <c r="C3678" s="83" t="s">
        <v>1392</v>
      </c>
      <c r="D3678" s="83" t="s">
        <v>1392</v>
      </c>
      <c r="E3678" s="45" t="s">
        <v>346</v>
      </c>
      <c r="F3678" s="45" t="s">
        <v>464</v>
      </c>
      <c r="G3678" s="23" t="s">
        <v>822</v>
      </c>
      <c r="H3678" s="14">
        <f t="shared" ref="H3678:L3678" si="1601">H3679</f>
        <v>1.7</v>
      </c>
      <c r="I3678" s="14">
        <f t="shared" si="1601"/>
        <v>113.13531999999999</v>
      </c>
      <c r="J3678" s="14">
        <f t="shared" si="1601"/>
        <v>113.13531999999999</v>
      </c>
      <c r="K3678" s="78">
        <f t="shared" si="1588"/>
        <v>100</v>
      </c>
      <c r="L3678" s="14">
        <f t="shared" si="1601"/>
        <v>0</v>
      </c>
      <c r="M3678" s="50"/>
      <c r="N3678" s="50"/>
    </row>
    <row r="3679" spans="1:14" x14ac:dyDescent="0.3">
      <c r="A3679" s="64" t="s">
        <v>272</v>
      </c>
      <c r="B3679" s="62" t="s">
        <v>940</v>
      </c>
      <c r="C3679" s="83" t="s">
        <v>1392</v>
      </c>
      <c r="D3679" s="83" t="s">
        <v>1392</v>
      </c>
      <c r="E3679" s="45" t="s">
        <v>346</v>
      </c>
      <c r="F3679" s="45" t="s">
        <v>729</v>
      </c>
      <c r="G3679" s="23" t="s">
        <v>824</v>
      </c>
      <c r="H3679" s="14">
        <v>1.7</v>
      </c>
      <c r="I3679" s="14">
        <v>113.13531999999999</v>
      </c>
      <c r="J3679" s="14">
        <v>113.13531999999999</v>
      </c>
      <c r="K3679" s="78">
        <f t="shared" si="1588"/>
        <v>100</v>
      </c>
      <c r="L3679" s="14"/>
      <c r="M3679" s="50"/>
      <c r="N3679" s="50"/>
    </row>
    <row r="3680" spans="1:14" s="3" customFormat="1" ht="31.2" x14ac:dyDescent="0.3">
      <c r="A3680" s="4" t="s">
        <v>711</v>
      </c>
      <c r="B3680" s="43" t="s">
        <v>915</v>
      </c>
      <c r="C3680" s="43" t="s">
        <v>915</v>
      </c>
      <c r="D3680" s="43" t="s">
        <v>915</v>
      </c>
      <c r="E3680" s="4"/>
      <c r="F3680" s="4"/>
      <c r="G3680" s="5" t="s">
        <v>1439</v>
      </c>
      <c r="H3680" s="15">
        <f t="shared" ref="H3680:L3680" si="1602">H3696+H3794+H3681</f>
        <v>1505435.2680000002</v>
      </c>
      <c r="I3680" s="15">
        <f t="shared" si="1602"/>
        <v>1737619.06905</v>
      </c>
      <c r="J3680" s="15">
        <f t="shared" si="1602"/>
        <v>1637797.2317500003</v>
      </c>
      <c r="K3680" s="81">
        <f t="shared" si="1588"/>
        <v>94.255251966440795</v>
      </c>
      <c r="L3680" s="15">
        <f t="shared" si="1602"/>
        <v>0</v>
      </c>
      <c r="M3680" s="65"/>
      <c r="N3680" s="65"/>
    </row>
    <row r="3681" spans="1:14" s="3" customFormat="1" ht="31.2" x14ac:dyDescent="0.3">
      <c r="A3681" s="4" t="s">
        <v>711</v>
      </c>
      <c r="B3681" s="43" t="s">
        <v>1391</v>
      </c>
      <c r="C3681" s="43" t="s">
        <v>1391</v>
      </c>
      <c r="D3681" s="43" t="s">
        <v>915</v>
      </c>
      <c r="E3681" s="4"/>
      <c r="F3681" s="4"/>
      <c r="G3681" s="5" t="s">
        <v>1415</v>
      </c>
      <c r="H3681" s="15">
        <f t="shared" ref="H3681:L3687" si="1603">H3682</f>
        <v>96626.5</v>
      </c>
      <c r="I3681" s="15">
        <f t="shared" si="1603"/>
        <v>97669.168999999994</v>
      </c>
      <c r="J3681" s="15">
        <f t="shared" si="1603"/>
        <v>97582.926930000001</v>
      </c>
      <c r="K3681" s="81">
        <f t="shared" si="1588"/>
        <v>99.911699801602708</v>
      </c>
      <c r="L3681" s="15">
        <f t="shared" si="1603"/>
        <v>0</v>
      </c>
      <c r="M3681" s="65"/>
      <c r="N3681" s="65"/>
    </row>
    <row r="3682" spans="1:14" s="9" customFormat="1" ht="31.2" x14ac:dyDescent="0.3">
      <c r="A3682" s="6" t="s">
        <v>711</v>
      </c>
      <c r="B3682" s="48" t="s">
        <v>936</v>
      </c>
      <c r="C3682" s="48" t="s">
        <v>1391</v>
      </c>
      <c r="D3682" s="48" t="s">
        <v>1480</v>
      </c>
      <c r="E3682" s="6"/>
      <c r="F3682" s="6"/>
      <c r="G3682" s="7" t="s">
        <v>1421</v>
      </c>
      <c r="H3682" s="16">
        <f t="shared" si="1603"/>
        <v>96626.5</v>
      </c>
      <c r="I3682" s="16">
        <f>I3683+I3689</f>
        <v>97669.168999999994</v>
      </c>
      <c r="J3682" s="16">
        <f t="shared" ref="J3682:L3682" si="1604">J3683+J3689</f>
        <v>97582.926930000001</v>
      </c>
      <c r="K3682" s="82">
        <f t="shared" si="1588"/>
        <v>99.911699801602708</v>
      </c>
      <c r="L3682" s="16">
        <f t="shared" si="1604"/>
        <v>0</v>
      </c>
      <c r="M3682" s="65"/>
      <c r="N3682" s="65"/>
    </row>
    <row r="3683" spans="1:14" ht="62.4" x14ac:dyDescent="0.3">
      <c r="A3683" s="64" t="s">
        <v>711</v>
      </c>
      <c r="B3683" s="62" t="s">
        <v>936</v>
      </c>
      <c r="C3683" s="68" t="s">
        <v>1391</v>
      </c>
      <c r="D3683" s="68" t="s">
        <v>1480</v>
      </c>
      <c r="E3683" s="8" t="s">
        <v>361</v>
      </c>
      <c r="F3683" s="8"/>
      <c r="G3683" s="18" t="s">
        <v>1191</v>
      </c>
      <c r="H3683" s="14">
        <f t="shared" si="1603"/>
        <v>96626.5</v>
      </c>
      <c r="I3683" s="14">
        <f t="shared" si="1603"/>
        <v>96626.5</v>
      </c>
      <c r="J3683" s="14">
        <f t="shared" si="1603"/>
        <v>96604.759059999997</v>
      </c>
      <c r="K3683" s="78">
        <f t="shared" si="1588"/>
        <v>99.977500023285543</v>
      </c>
      <c r="L3683" s="14">
        <f t="shared" si="1603"/>
        <v>0</v>
      </c>
      <c r="M3683" s="50"/>
      <c r="N3683" s="50"/>
    </row>
    <row r="3684" spans="1:14" ht="46.8" x14ac:dyDescent="0.3">
      <c r="A3684" s="64" t="s">
        <v>711</v>
      </c>
      <c r="B3684" s="62" t="s">
        <v>936</v>
      </c>
      <c r="C3684" s="68" t="s">
        <v>1391</v>
      </c>
      <c r="D3684" s="68" t="s">
        <v>1480</v>
      </c>
      <c r="E3684" s="8" t="s">
        <v>625</v>
      </c>
      <c r="F3684" s="8"/>
      <c r="G3684" s="13" t="s">
        <v>1046</v>
      </c>
      <c r="H3684" s="14">
        <f t="shared" si="1603"/>
        <v>96626.5</v>
      </c>
      <c r="I3684" s="14">
        <f t="shared" si="1603"/>
        <v>96626.5</v>
      </c>
      <c r="J3684" s="14">
        <f t="shared" si="1603"/>
        <v>96604.759059999997</v>
      </c>
      <c r="K3684" s="78">
        <f t="shared" si="1588"/>
        <v>99.977500023285543</v>
      </c>
      <c r="L3684" s="14">
        <f t="shared" si="1603"/>
        <v>0</v>
      </c>
      <c r="M3684" s="50"/>
      <c r="N3684" s="50"/>
    </row>
    <row r="3685" spans="1:14" ht="62.4" x14ac:dyDescent="0.3">
      <c r="A3685" s="64" t="s">
        <v>711</v>
      </c>
      <c r="B3685" s="62" t="s">
        <v>936</v>
      </c>
      <c r="C3685" s="68" t="s">
        <v>1391</v>
      </c>
      <c r="D3685" s="68" t="s">
        <v>1480</v>
      </c>
      <c r="E3685" s="64" t="s">
        <v>629</v>
      </c>
      <c r="F3685" s="64"/>
      <c r="G3685" s="13" t="s">
        <v>1049</v>
      </c>
      <c r="H3685" s="14">
        <f t="shared" si="1603"/>
        <v>96626.5</v>
      </c>
      <c r="I3685" s="14">
        <f t="shared" si="1603"/>
        <v>96626.5</v>
      </c>
      <c r="J3685" s="14">
        <f t="shared" si="1603"/>
        <v>96604.759059999997</v>
      </c>
      <c r="K3685" s="78">
        <f t="shared" si="1588"/>
        <v>99.977500023285543</v>
      </c>
      <c r="L3685" s="14">
        <f t="shared" si="1603"/>
        <v>0</v>
      </c>
      <c r="M3685" s="50"/>
      <c r="N3685" s="50"/>
    </row>
    <row r="3686" spans="1:14" ht="62.4" x14ac:dyDescent="0.3">
      <c r="A3686" s="64" t="s">
        <v>711</v>
      </c>
      <c r="B3686" s="62" t="s">
        <v>936</v>
      </c>
      <c r="C3686" s="68" t="s">
        <v>1391</v>
      </c>
      <c r="D3686" s="68" t="s">
        <v>1480</v>
      </c>
      <c r="E3686" s="8" t="s">
        <v>273</v>
      </c>
      <c r="F3686" s="8"/>
      <c r="G3686" s="13" t="s">
        <v>317</v>
      </c>
      <c r="H3686" s="14">
        <f t="shared" si="1603"/>
        <v>96626.5</v>
      </c>
      <c r="I3686" s="14">
        <f t="shared" si="1603"/>
        <v>96626.5</v>
      </c>
      <c r="J3686" s="14">
        <f t="shared" si="1603"/>
        <v>96604.759059999997</v>
      </c>
      <c r="K3686" s="78">
        <f t="shared" si="1588"/>
        <v>99.977500023285543</v>
      </c>
      <c r="L3686" s="14">
        <f t="shared" si="1603"/>
        <v>0</v>
      </c>
      <c r="M3686" s="50"/>
      <c r="N3686" s="50"/>
    </row>
    <row r="3687" spans="1:14" ht="31.2" x14ac:dyDescent="0.3">
      <c r="A3687" s="64" t="s">
        <v>711</v>
      </c>
      <c r="B3687" s="62" t="s">
        <v>936</v>
      </c>
      <c r="C3687" s="68" t="s">
        <v>1391</v>
      </c>
      <c r="D3687" s="68" t="s">
        <v>1480</v>
      </c>
      <c r="E3687" s="8" t="s">
        <v>273</v>
      </c>
      <c r="F3687" s="45" t="s">
        <v>380</v>
      </c>
      <c r="G3687" s="23" t="s">
        <v>809</v>
      </c>
      <c r="H3687" s="14">
        <f t="shared" si="1603"/>
        <v>96626.5</v>
      </c>
      <c r="I3687" s="14">
        <f t="shared" si="1603"/>
        <v>96626.5</v>
      </c>
      <c r="J3687" s="14">
        <f t="shared" si="1603"/>
        <v>96604.759059999997</v>
      </c>
      <c r="K3687" s="78">
        <f t="shared" si="1588"/>
        <v>99.977500023285543</v>
      </c>
      <c r="L3687" s="14">
        <f t="shared" si="1603"/>
        <v>0</v>
      </c>
      <c r="M3687" s="50"/>
      <c r="N3687" s="50"/>
    </row>
    <row r="3688" spans="1:14" ht="31.2" x14ac:dyDescent="0.3">
      <c r="A3688" s="64" t="s">
        <v>711</v>
      </c>
      <c r="B3688" s="62" t="s">
        <v>936</v>
      </c>
      <c r="C3688" s="68" t="s">
        <v>1391</v>
      </c>
      <c r="D3688" s="68" t="s">
        <v>1480</v>
      </c>
      <c r="E3688" s="8" t="s">
        <v>273</v>
      </c>
      <c r="F3688" s="8" t="s">
        <v>247</v>
      </c>
      <c r="G3688" s="23" t="s">
        <v>810</v>
      </c>
      <c r="H3688" s="14">
        <v>96626.5</v>
      </c>
      <c r="I3688" s="14">
        <v>96626.5</v>
      </c>
      <c r="J3688" s="14">
        <v>96604.759059999997</v>
      </c>
      <c r="K3688" s="78">
        <f t="shared" si="1588"/>
        <v>99.977500023285543</v>
      </c>
      <c r="L3688" s="14"/>
      <c r="M3688" s="50"/>
      <c r="N3688" s="50"/>
    </row>
    <row r="3689" spans="1:14" ht="31.2" x14ac:dyDescent="0.3">
      <c r="A3689" s="64" t="s">
        <v>711</v>
      </c>
      <c r="B3689" s="62" t="s">
        <v>936</v>
      </c>
      <c r="C3689" s="68" t="s">
        <v>1391</v>
      </c>
      <c r="D3689" s="68" t="s">
        <v>1480</v>
      </c>
      <c r="E3689" s="8" t="s">
        <v>429</v>
      </c>
      <c r="F3689" s="8"/>
      <c r="G3689" s="13" t="s">
        <v>1140</v>
      </c>
      <c r="H3689" s="20">
        <v>0</v>
      </c>
      <c r="I3689" s="14">
        <f>I3690</f>
        <v>1042.6689999999999</v>
      </c>
      <c r="J3689" s="14">
        <f t="shared" ref="J3689:L3690" si="1605">J3690</f>
        <v>978.16786999999999</v>
      </c>
      <c r="K3689" s="78">
        <f t="shared" si="1588"/>
        <v>93.813844086666052</v>
      </c>
      <c r="L3689" s="14">
        <f t="shared" si="1605"/>
        <v>0</v>
      </c>
      <c r="M3689" s="50"/>
      <c r="N3689" s="50"/>
    </row>
    <row r="3690" spans="1:14" x14ac:dyDescent="0.3">
      <c r="A3690" s="64" t="s">
        <v>711</v>
      </c>
      <c r="B3690" s="62" t="s">
        <v>936</v>
      </c>
      <c r="C3690" s="68" t="s">
        <v>1391</v>
      </c>
      <c r="D3690" s="68" t="s">
        <v>1480</v>
      </c>
      <c r="E3690" s="8" t="s">
        <v>430</v>
      </c>
      <c r="F3690" s="8"/>
      <c r="G3690" s="13" t="s">
        <v>1141</v>
      </c>
      <c r="H3690" s="20">
        <v>0</v>
      </c>
      <c r="I3690" s="14">
        <f>I3691</f>
        <v>1042.6689999999999</v>
      </c>
      <c r="J3690" s="14">
        <f t="shared" si="1605"/>
        <v>978.16786999999999</v>
      </c>
      <c r="K3690" s="78">
        <f t="shared" si="1588"/>
        <v>93.813844086666052</v>
      </c>
      <c r="L3690" s="14">
        <f t="shared" si="1605"/>
        <v>0</v>
      </c>
      <c r="M3690" s="50"/>
      <c r="N3690" s="50"/>
    </row>
    <row r="3691" spans="1:14" ht="31.2" x14ac:dyDescent="0.3">
      <c r="A3691" s="64" t="s">
        <v>711</v>
      </c>
      <c r="B3691" s="62" t="s">
        <v>936</v>
      </c>
      <c r="C3691" s="68" t="s">
        <v>1391</v>
      </c>
      <c r="D3691" s="68" t="s">
        <v>1480</v>
      </c>
      <c r="E3691" s="8" t="s">
        <v>210</v>
      </c>
      <c r="F3691" s="8"/>
      <c r="G3691" s="13" t="s">
        <v>1183</v>
      </c>
      <c r="H3691" s="20">
        <v>0</v>
      </c>
      <c r="I3691" s="14">
        <f>I3692+I3694</f>
        <v>1042.6689999999999</v>
      </c>
      <c r="J3691" s="14">
        <f t="shared" ref="J3691:L3691" si="1606">J3692+J3694</f>
        <v>978.16786999999999</v>
      </c>
      <c r="K3691" s="78">
        <f t="shared" si="1588"/>
        <v>93.813844086666052</v>
      </c>
      <c r="L3691" s="14">
        <f t="shared" si="1606"/>
        <v>0</v>
      </c>
      <c r="M3691" s="50"/>
      <c r="N3691" s="50"/>
    </row>
    <row r="3692" spans="1:14" ht="78" x14ac:dyDescent="0.3">
      <c r="A3692" s="64" t="s">
        <v>711</v>
      </c>
      <c r="B3692" s="62" t="s">
        <v>936</v>
      </c>
      <c r="C3692" s="68" t="s">
        <v>1391</v>
      </c>
      <c r="D3692" s="68" t="s">
        <v>1480</v>
      </c>
      <c r="E3692" s="8" t="s">
        <v>210</v>
      </c>
      <c r="F3692" s="8" t="s">
        <v>431</v>
      </c>
      <c r="G3692" s="13" t="s">
        <v>806</v>
      </c>
      <c r="H3692" s="20">
        <v>0</v>
      </c>
      <c r="I3692" s="14">
        <f>I3693</f>
        <v>543.41139999999996</v>
      </c>
      <c r="J3692" s="14">
        <f t="shared" ref="J3692:L3692" si="1607">J3693</f>
        <v>543.41139999999996</v>
      </c>
      <c r="K3692" s="78">
        <f t="shared" si="1588"/>
        <v>100</v>
      </c>
      <c r="L3692" s="14">
        <f t="shared" si="1607"/>
        <v>0</v>
      </c>
      <c r="M3692" s="50"/>
      <c r="N3692" s="50"/>
    </row>
    <row r="3693" spans="1:14" x14ac:dyDescent="0.3">
      <c r="A3693" s="64" t="s">
        <v>711</v>
      </c>
      <c r="B3693" s="62" t="s">
        <v>936</v>
      </c>
      <c r="C3693" s="68" t="s">
        <v>1391</v>
      </c>
      <c r="D3693" s="68" t="s">
        <v>1480</v>
      </c>
      <c r="E3693" s="8" t="s">
        <v>210</v>
      </c>
      <c r="F3693" s="8" t="s">
        <v>719</v>
      </c>
      <c r="G3693" s="13" t="s">
        <v>807</v>
      </c>
      <c r="H3693" s="20">
        <v>0</v>
      </c>
      <c r="I3693" s="14">
        <v>543.41139999999996</v>
      </c>
      <c r="J3693" s="14">
        <v>543.41139999999996</v>
      </c>
      <c r="K3693" s="78">
        <f t="shared" si="1588"/>
        <v>100</v>
      </c>
      <c r="L3693" s="14"/>
      <c r="M3693" s="50"/>
      <c r="N3693" s="50"/>
    </row>
    <row r="3694" spans="1:14" ht="31.2" x14ac:dyDescent="0.3">
      <c r="A3694" s="64" t="s">
        <v>711</v>
      </c>
      <c r="B3694" s="62" t="s">
        <v>936</v>
      </c>
      <c r="C3694" s="68" t="s">
        <v>1391</v>
      </c>
      <c r="D3694" s="68" t="s">
        <v>1480</v>
      </c>
      <c r="E3694" s="8" t="s">
        <v>210</v>
      </c>
      <c r="F3694" s="8" t="s">
        <v>380</v>
      </c>
      <c r="G3694" s="13" t="s">
        <v>809</v>
      </c>
      <c r="H3694" s="20">
        <v>0</v>
      </c>
      <c r="I3694" s="14">
        <f>I3695</f>
        <v>499.25760000000002</v>
      </c>
      <c r="J3694" s="14">
        <f t="shared" ref="J3694:L3694" si="1608">J3695</f>
        <v>434.75646999999998</v>
      </c>
      <c r="K3694" s="78">
        <f t="shared" si="1588"/>
        <v>87.080591261905667</v>
      </c>
      <c r="L3694" s="14">
        <f t="shared" si="1608"/>
        <v>0</v>
      </c>
      <c r="M3694" s="50"/>
      <c r="N3694" s="50"/>
    </row>
    <row r="3695" spans="1:14" ht="31.2" x14ac:dyDescent="0.3">
      <c r="A3695" s="64" t="s">
        <v>711</v>
      </c>
      <c r="B3695" s="62" t="s">
        <v>936</v>
      </c>
      <c r="C3695" s="68" t="s">
        <v>1391</v>
      </c>
      <c r="D3695" s="68" t="s">
        <v>1480</v>
      </c>
      <c r="E3695" s="8" t="s">
        <v>210</v>
      </c>
      <c r="F3695" s="8" t="s">
        <v>247</v>
      </c>
      <c r="G3695" s="23" t="s">
        <v>810</v>
      </c>
      <c r="H3695" s="20">
        <v>0</v>
      </c>
      <c r="I3695" s="14">
        <v>499.25760000000002</v>
      </c>
      <c r="J3695" s="14">
        <v>434.75646999999998</v>
      </c>
      <c r="K3695" s="78">
        <f t="shared" si="1588"/>
        <v>87.080591261905667</v>
      </c>
      <c r="L3695" s="14"/>
      <c r="M3695" s="50"/>
      <c r="N3695" s="50"/>
    </row>
    <row r="3696" spans="1:14" s="3" customFormat="1" x14ac:dyDescent="0.3">
      <c r="A3696" s="4" t="s">
        <v>711</v>
      </c>
      <c r="B3696" s="43" t="s">
        <v>1386</v>
      </c>
      <c r="C3696" s="43" t="s">
        <v>1386</v>
      </c>
      <c r="D3696" s="43" t="s">
        <v>915</v>
      </c>
      <c r="E3696" s="4"/>
      <c r="F3696" s="4"/>
      <c r="G3696" s="5" t="s">
        <v>1388</v>
      </c>
      <c r="H3696" s="15">
        <f>H3697+H3754</f>
        <v>1067306.7680000002</v>
      </c>
      <c r="I3696" s="15">
        <f>I3697+I3754</f>
        <v>1070563.3347100001</v>
      </c>
      <c r="J3696" s="15">
        <f t="shared" ref="J3696" si="1609">J3697+J3754</f>
        <v>1048591.9583700001</v>
      </c>
      <c r="K3696" s="81">
        <f t="shared" si="1588"/>
        <v>97.947680849171647</v>
      </c>
      <c r="L3696" s="15">
        <f>L3697+L3754</f>
        <v>0</v>
      </c>
      <c r="M3696" s="65"/>
      <c r="N3696" s="65"/>
    </row>
    <row r="3697" spans="1:14" s="9" customFormat="1" x14ac:dyDescent="0.3">
      <c r="A3697" s="6" t="s">
        <v>711</v>
      </c>
      <c r="B3697" s="48" t="s">
        <v>942</v>
      </c>
      <c r="C3697" s="48" t="s">
        <v>1386</v>
      </c>
      <c r="D3697" s="48" t="s">
        <v>1402</v>
      </c>
      <c r="E3697" s="6"/>
      <c r="F3697" s="6"/>
      <c r="G3697" s="7" t="s">
        <v>1450</v>
      </c>
      <c r="H3697" s="16">
        <f>H3698+H3732+H3737</f>
        <v>817804.80700000003</v>
      </c>
      <c r="I3697" s="16">
        <f>I3698+I3732+I3737+I3749</f>
        <v>821011.37366000004</v>
      </c>
      <c r="J3697" s="16">
        <f t="shared" ref="J3697:L3697" si="1610">J3698+J3732+J3737+J3749</f>
        <v>807933.91044000012</v>
      </c>
      <c r="K3697" s="82">
        <f t="shared" si="1588"/>
        <v>98.407152003059139</v>
      </c>
      <c r="L3697" s="16">
        <f t="shared" si="1610"/>
        <v>0</v>
      </c>
      <c r="M3697" s="65"/>
      <c r="N3697" s="65"/>
    </row>
    <row r="3698" spans="1:14" ht="62.4" x14ac:dyDescent="0.3">
      <c r="A3698" s="64" t="s">
        <v>711</v>
      </c>
      <c r="B3698" s="62" t="s">
        <v>942</v>
      </c>
      <c r="C3698" s="68" t="s">
        <v>1386</v>
      </c>
      <c r="D3698" s="68" t="s">
        <v>1402</v>
      </c>
      <c r="E3698" s="8" t="s">
        <v>361</v>
      </c>
      <c r="F3698" s="8"/>
      <c r="G3698" s="18" t="s">
        <v>1191</v>
      </c>
      <c r="H3698" s="14">
        <f t="shared" ref="H3698:L3698" si="1611">H3699</f>
        <v>798090.70700000005</v>
      </c>
      <c r="I3698" s="14">
        <f t="shared" si="1611"/>
        <v>800950.60700000008</v>
      </c>
      <c r="J3698" s="14">
        <f t="shared" si="1611"/>
        <v>787916.05854000011</v>
      </c>
      <c r="K3698" s="78">
        <f t="shared" si="1588"/>
        <v>98.372615196732099</v>
      </c>
      <c r="L3698" s="14">
        <f t="shared" si="1611"/>
        <v>0</v>
      </c>
      <c r="M3698" s="50"/>
      <c r="N3698" s="50"/>
    </row>
    <row r="3699" spans="1:14" ht="46.8" x14ac:dyDescent="0.3">
      <c r="A3699" s="64" t="s">
        <v>711</v>
      </c>
      <c r="B3699" s="62" t="s">
        <v>942</v>
      </c>
      <c r="C3699" s="68" t="s">
        <v>1386</v>
      </c>
      <c r="D3699" s="68" t="s">
        <v>1402</v>
      </c>
      <c r="E3699" s="8" t="s">
        <v>362</v>
      </c>
      <c r="F3699" s="8"/>
      <c r="G3699" s="18" t="s">
        <v>1209</v>
      </c>
      <c r="H3699" s="14">
        <f>H3700+H3719+H3728</f>
        <v>798090.70700000005</v>
      </c>
      <c r="I3699" s="14">
        <f t="shared" ref="I3699:L3699" si="1612">I3700+I3719+I3728</f>
        <v>800950.60700000008</v>
      </c>
      <c r="J3699" s="14">
        <f t="shared" si="1612"/>
        <v>787916.05854000011</v>
      </c>
      <c r="K3699" s="78">
        <f t="shared" si="1588"/>
        <v>98.372615196732099</v>
      </c>
      <c r="L3699" s="14">
        <f t="shared" si="1612"/>
        <v>0</v>
      </c>
      <c r="M3699" s="50"/>
      <c r="N3699" s="50"/>
    </row>
    <row r="3700" spans="1:14" ht="78" x14ac:dyDescent="0.3">
      <c r="A3700" s="64" t="s">
        <v>711</v>
      </c>
      <c r="B3700" s="62" t="s">
        <v>942</v>
      </c>
      <c r="C3700" s="68" t="s">
        <v>1386</v>
      </c>
      <c r="D3700" s="68" t="s">
        <v>1402</v>
      </c>
      <c r="E3700" s="8" t="s">
        <v>617</v>
      </c>
      <c r="F3700" s="8"/>
      <c r="G3700" s="18" t="s">
        <v>129</v>
      </c>
      <c r="H3700" s="14">
        <f>H3704+H3713+H3716+H3707+H3701</f>
        <v>738768.99900000007</v>
      </c>
      <c r="I3700" s="14">
        <f>I3704+I3713+I3716+I3707+I3701+I3710</f>
        <v>741628.89900000009</v>
      </c>
      <c r="J3700" s="14">
        <f t="shared" ref="J3700:L3700" si="1613">J3704+J3713+J3716+J3707+J3701+J3710</f>
        <v>738653.56313000014</v>
      </c>
      <c r="K3700" s="78">
        <f t="shared" si="1588"/>
        <v>99.598810689010122</v>
      </c>
      <c r="L3700" s="14">
        <f t="shared" si="1613"/>
        <v>0</v>
      </c>
      <c r="M3700" s="50"/>
      <c r="N3700" s="50"/>
    </row>
    <row r="3701" spans="1:14" ht="62.4" x14ac:dyDescent="0.3">
      <c r="A3701" s="64" t="s">
        <v>711</v>
      </c>
      <c r="B3701" s="62" t="s">
        <v>942</v>
      </c>
      <c r="C3701" s="68" t="s">
        <v>1386</v>
      </c>
      <c r="D3701" s="68" t="s">
        <v>1402</v>
      </c>
      <c r="E3701" s="8" t="s">
        <v>985</v>
      </c>
      <c r="F3701" s="8"/>
      <c r="G3701" s="18" t="s">
        <v>986</v>
      </c>
      <c r="H3701" s="14">
        <f>H3702</f>
        <v>68.446000000000367</v>
      </c>
      <c r="I3701" s="14">
        <f t="shared" ref="I3701:L3702" si="1614">I3702</f>
        <v>68.445999999999998</v>
      </c>
      <c r="J3701" s="14">
        <f t="shared" si="1614"/>
        <v>48.010779999999997</v>
      </c>
      <c r="K3701" s="78">
        <f t="shared" si="1588"/>
        <v>70.144025947462225</v>
      </c>
      <c r="L3701" s="14">
        <f t="shared" si="1614"/>
        <v>0</v>
      </c>
      <c r="M3701" s="50"/>
      <c r="N3701" s="50"/>
    </row>
    <row r="3702" spans="1:14" ht="31.2" x14ac:dyDescent="0.3">
      <c r="A3702" s="64" t="s">
        <v>711</v>
      </c>
      <c r="B3702" s="62" t="s">
        <v>942</v>
      </c>
      <c r="C3702" s="68" t="s">
        <v>1386</v>
      </c>
      <c r="D3702" s="68" t="s">
        <v>1402</v>
      </c>
      <c r="E3702" s="8" t="s">
        <v>985</v>
      </c>
      <c r="F3702" s="45" t="s">
        <v>380</v>
      </c>
      <c r="G3702" s="23" t="s">
        <v>809</v>
      </c>
      <c r="H3702" s="14">
        <f>H3703</f>
        <v>68.446000000000367</v>
      </c>
      <c r="I3702" s="14">
        <f t="shared" si="1614"/>
        <v>68.445999999999998</v>
      </c>
      <c r="J3702" s="14">
        <f t="shared" si="1614"/>
        <v>48.010779999999997</v>
      </c>
      <c r="K3702" s="78">
        <f t="shared" si="1588"/>
        <v>70.144025947462225</v>
      </c>
      <c r="L3702" s="14">
        <f t="shared" si="1614"/>
        <v>0</v>
      </c>
      <c r="M3702" s="50"/>
      <c r="N3702" s="50"/>
    </row>
    <row r="3703" spans="1:14" ht="31.2" x14ac:dyDescent="0.3">
      <c r="A3703" s="64" t="s">
        <v>711</v>
      </c>
      <c r="B3703" s="62" t="s">
        <v>942</v>
      </c>
      <c r="C3703" s="68" t="s">
        <v>1386</v>
      </c>
      <c r="D3703" s="68" t="s">
        <v>1402</v>
      </c>
      <c r="E3703" s="8" t="s">
        <v>985</v>
      </c>
      <c r="F3703" s="8" t="s">
        <v>247</v>
      </c>
      <c r="G3703" s="23" t="s">
        <v>810</v>
      </c>
      <c r="H3703" s="14">
        <f>2673.646-2605.2</f>
        <v>68.446000000000367</v>
      </c>
      <c r="I3703" s="14">
        <v>68.445999999999998</v>
      </c>
      <c r="J3703" s="20">
        <v>48.010779999999997</v>
      </c>
      <c r="K3703" s="77">
        <f t="shared" si="1588"/>
        <v>70.144025947462225</v>
      </c>
      <c r="L3703" s="14"/>
      <c r="M3703" s="50"/>
      <c r="N3703" s="50"/>
    </row>
    <row r="3704" spans="1:14" ht="78" x14ac:dyDescent="0.3">
      <c r="A3704" s="64" t="s">
        <v>711</v>
      </c>
      <c r="B3704" s="62" t="s">
        <v>942</v>
      </c>
      <c r="C3704" s="68" t="s">
        <v>1386</v>
      </c>
      <c r="D3704" s="68" t="s">
        <v>1402</v>
      </c>
      <c r="E3704" s="8" t="s">
        <v>618</v>
      </c>
      <c r="F3704" s="8"/>
      <c r="G3704" s="18" t="s">
        <v>184</v>
      </c>
      <c r="H3704" s="14">
        <f t="shared" ref="H3704:L3705" si="1615">H3705</f>
        <v>95</v>
      </c>
      <c r="I3704" s="14">
        <f t="shared" si="1615"/>
        <v>95</v>
      </c>
      <c r="J3704" s="14">
        <f t="shared" si="1615"/>
        <v>0</v>
      </c>
      <c r="K3704" s="78">
        <f t="shared" si="1588"/>
        <v>0</v>
      </c>
      <c r="L3704" s="14">
        <f t="shared" si="1615"/>
        <v>0</v>
      </c>
      <c r="M3704" s="50"/>
      <c r="N3704" s="50"/>
    </row>
    <row r="3705" spans="1:14" ht="31.2" x14ac:dyDescent="0.3">
      <c r="A3705" s="64" t="s">
        <v>711</v>
      </c>
      <c r="B3705" s="62" t="s">
        <v>942</v>
      </c>
      <c r="C3705" s="68" t="s">
        <v>1386</v>
      </c>
      <c r="D3705" s="68" t="s">
        <v>1402</v>
      </c>
      <c r="E3705" s="8" t="s">
        <v>618</v>
      </c>
      <c r="F3705" s="45" t="s">
        <v>380</v>
      </c>
      <c r="G3705" s="23" t="s">
        <v>809</v>
      </c>
      <c r="H3705" s="14">
        <f t="shared" si="1615"/>
        <v>95</v>
      </c>
      <c r="I3705" s="14">
        <f t="shared" si="1615"/>
        <v>95</v>
      </c>
      <c r="J3705" s="14">
        <f t="shared" si="1615"/>
        <v>0</v>
      </c>
      <c r="K3705" s="78">
        <f t="shared" si="1588"/>
        <v>0</v>
      </c>
      <c r="L3705" s="14">
        <f t="shared" si="1615"/>
        <v>0</v>
      </c>
      <c r="M3705" s="50"/>
      <c r="N3705" s="50"/>
    </row>
    <row r="3706" spans="1:14" ht="31.2" x14ac:dyDescent="0.3">
      <c r="A3706" s="64" t="s">
        <v>711</v>
      </c>
      <c r="B3706" s="62" t="s">
        <v>942</v>
      </c>
      <c r="C3706" s="68" t="s">
        <v>1386</v>
      </c>
      <c r="D3706" s="68" t="s">
        <v>1402</v>
      </c>
      <c r="E3706" s="8" t="s">
        <v>618</v>
      </c>
      <c r="F3706" s="8" t="s">
        <v>247</v>
      </c>
      <c r="G3706" s="23" t="s">
        <v>810</v>
      </c>
      <c r="H3706" s="14">
        <v>95</v>
      </c>
      <c r="I3706" s="14">
        <v>95</v>
      </c>
      <c r="J3706" s="14">
        <v>0</v>
      </c>
      <c r="K3706" s="78">
        <f t="shared" si="1588"/>
        <v>0</v>
      </c>
      <c r="L3706" s="14"/>
      <c r="M3706" s="50"/>
      <c r="N3706" s="50"/>
    </row>
    <row r="3707" spans="1:14" ht="93.6" x14ac:dyDescent="0.3">
      <c r="A3707" s="64" t="s">
        <v>711</v>
      </c>
      <c r="B3707" s="62" t="s">
        <v>942</v>
      </c>
      <c r="C3707" s="68" t="s">
        <v>1386</v>
      </c>
      <c r="D3707" s="68" t="s">
        <v>1402</v>
      </c>
      <c r="E3707" s="8" t="s">
        <v>1275</v>
      </c>
      <c r="F3707" s="8"/>
      <c r="G3707" s="23" t="s">
        <v>22</v>
      </c>
      <c r="H3707" s="14">
        <f t="shared" ref="H3707:L3708" si="1616">H3708</f>
        <v>265.56100000000004</v>
      </c>
      <c r="I3707" s="14">
        <f t="shared" si="1616"/>
        <v>265.56099999999998</v>
      </c>
      <c r="J3707" s="14">
        <f t="shared" si="1616"/>
        <v>265.56035000000003</v>
      </c>
      <c r="K3707" s="78">
        <f t="shared" si="1588"/>
        <v>99.999755235143724</v>
      </c>
      <c r="L3707" s="14">
        <f t="shared" si="1616"/>
        <v>0</v>
      </c>
      <c r="M3707" s="50"/>
      <c r="N3707" s="50"/>
    </row>
    <row r="3708" spans="1:14" ht="31.2" x14ac:dyDescent="0.3">
      <c r="A3708" s="64" t="s">
        <v>711</v>
      </c>
      <c r="B3708" s="62" t="s">
        <v>942</v>
      </c>
      <c r="C3708" s="68" t="s">
        <v>1386</v>
      </c>
      <c r="D3708" s="68" t="s">
        <v>1402</v>
      </c>
      <c r="E3708" s="8" t="s">
        <v>1275</v>
      </c>
      <c r="F3708" s="45" t="s">
        <v>380</v>
      </c>
      <c r="G3708" s="23" t="s">
        <v>809</v>
      </c>
      <c r="H3708" s="14">
        <f t="shared" si="1616"/>
        <v>265.56100000000004</v>
      </c>
      <c r="I3708" s="14">
        <f t="shared" si="1616"/>
        <v>265.56099999999998</v>
      </c>
      <c r="J3708" s="14">
        <f t="shared" si="1616"/>
        <v>265.56035000000003</v>
      </c>
      <c r="K3708" s="78">
        <f t="shared" si="1588"/>
        <v>99.999755235143724</v>
      </c>
      <c r="L3708" s="14">
        <f t="shared" si="1616"/>
        <v>0</v>
      </c>
      <c r="M3708" s="50"/>
      <c r="N3708" s="50"/>
    </row>
    <row r="3709" spans="1:14" ht="31.2" x14ac:dyDescent="0.3">
      <c r="A3709" s="64" t="s">
        <v>711</v>
      </c>
      <c r="B3709" s="62" t="s">
        <v>942</v>
      </c>
      <c r="C3709" s="68" t="s">
        <v>1386</v>
      </c>
      <c r="D3709" s="68" t="s">
        <v>1402</v>
      </c>
      <c r="E3709" s="8" t="s">
        <v>1275</v>
      </c>
      <c r="F3709" s="8" t="s">
        <v>247</v>
      </c>
      <c r="G3709" s="23" t="s">
        <v>810</v>
      </c>
      <c r="H3709" s="14">
        <f>320.1-54.539</f>
        <v>265.56100000000004</v>
      </c>
      <c r="I3709" s="14">
        <v>265.56099999999998</v>
      </c>
      <c r="J3709" s="14">
        <v>265.56035000000003</v>
      </c>
      <c r="K3709" s="78">
        <f t="shared" si="1588"/>
        <v>99.999755235143724</v>
      </c>
      <c r="L3709" s="14"/>
      <c r="M3709" s="50"/>
      <c r="N3709" s="50"/>
    </row>
    <row r="3710" spans="1:14" ht="62.4" x14ac:dyDescent="0.3">
      <c r="A3710" s="64" t="s">
        <v>711</v>
      </c>
      <c r="B3710" s="62" t="s">
        <v>942</v>
      </c>
      <c r="C3710" s="68" t="s">
        <v>1386</v>
      </c>
      <c r="D3710" s="68" t="s">
        <v>1402</v>
      </c>
      <c r="E3710" s="8" t="s">
        <v>43</v>
      </c>
      <c r="F3710" s="8"/>
      <c r="G3710" s="13" t="s">
        <v>44</v>
      </c>
      <c r="H3710" s="19">
        <v>0</v>
      </c>
      <c r="I3710" s="14">
        <f>I3711</f>
        <v>2859.9</v>
      </c>
      <c r="J3710" s="14">
        <f t="shared" ref="J3710:L3711" si="1617">J3711</f>
        <v>0</v>
      </c>
      <c r="K3710" s="78">
        <f t="shared" si="1588"/>
        <v>0</v>
      </c>
      <c r="L3710" s="14">
        <f t="shared" si="1617"/>
        <v>0</v>
      </c>
      <c r="M3710" s="50"/>
      <c r="N3710" s="50"/>
    </row>
    <row r="3711" spans="1:14" ht="31.2" x14ac:dyDescent="0.3">
      <c r="A3711" s="64" t="s">
        <v>711</v>
      </c>
      <c r="B3711" s="62" t="s">
        <v>942</v>
      </c>
      <c r="C3711" s="68" t="s">
        <v>1386</v>
      </c>
      <c r="D3711" s="68" t="s">
        <v>1402</v>
      </c>
      <c r="E3711" s="8" t="s">
        <v>43</v>
      </c>
      <c r="F3711" s="45" t="s">
        <v>380</v>
      </c>
      <c r="G3711" s="23" t="s">
        <v>809</v>
      </c>
      <c r="H3711" s="19">
        <v>0</v>
      </c>
      <c r="I3711" s="14">
        <f>I3712</f>
        <v>2859.9</v>
      </c>
      <c r="J3711" s="14">
        <f t="shared" si="1617"/>
        <v>0</v>
      </c>
      <c r="K3711" s="78">
        <f t="shared" si="1588"/>
        <v>0</v>
      </c>
      <c r="L3711" s="14">
        <f t="shared" si="1617"/>
        <v>0</v>
      </c>
      <c r="M3711" s="50"/>
      <c r="N3711" s="50"/>
    </row>
    <row r="3712" spans="1:14" ht="31.2" x14ac:dyDescent="0.3">
      <c r="A3712" s="64" t="s">
        <v>711</v>
      </c>
      <c r="B3712" s="62" t="s">
        <v>942</v>
      </c>
      <c r="C3712" s="68" t="s">
        <v>1386</v>
      </c>
      <c r="D3712" s="68" t="s">
        <v>1402</v>
      </c>
      <c r="E3712" s="8" t="s">
        <v>43</v>
      </c>
      <c r="F3712" s="8" t="s">
        <v>247</v>
      </c>
      <c r="G3712" s="23" t="s">
        <v>810</v>
      </c>
      <c r="H3712" s="19">
        <v>0</v>
      </c>
      <c r="I3712" s="14">
        <v>2859.9</v>
      </c>
      <c r="J3712" s="20">
        <v>0</v>
      </c>
      <c r="K3712" s="77">
        <f t="shared" si="1588"/>
        <v>0</v>
      </c>
      <c r="L3712" s="14"/>
      <c r="M3712" s="50"/>
      <c r="N3712" s="50"/>
    </row>
    <row r="3713" spans="1:14" ht="46.8" x14ac:dyDescent="0.3">
      <c r="A3713" s="64" t="s">
        <v>711</v>
      </c>
      <c r="B3713" s="62" t="s">
        <v>942</v>
      </c>
      <c r="C3713" s="68" t="s">
        <v>1386</v>
      </c>
      <c r="D3713" s="68" t="s">
        <v>1402</v>
      </c>
      <c r="E3713" s="8" t="s">
        <v>619</v>
      </c>
      <c r="F3713" s="8"/>
      <c r="G3713" s="13" t="s">
        <v>185</v>
      </c>
      <c r="H3713" s="14">
        <f t="shared" ref="H3713:L3714" si="1618">H3714</f>
        <v>159950.891</v>
      </c>
      <c r="I3713" s="14">
        <f t="shared" si="1618"/>
        <v>159950.891</v>
      </c>
      <c r="J3713" s="14">
        <f t="shared" si="1618"/>
        <v>159950.891</v>
      </c>
      <c r="K3713" s="78">
        <f t="shared" si="1588"/>
        <v>100</v>
      </c>
      <c r="L3713" s="14">
        <f t="shared" si="1618"/>
        <v>0</v>
      </c>
      <c r="M3713" s="50"/>
      <c r="N3713" s="50"/>
    </row>
    <row r="3714" spans="1:14" x14ac:dyDescent="0.3">
      <c r="A3714" s="64" t="s">
        <v>711</v>
      </c>
      <c r="B3714" s="62" t="s">
        <v>942</v>
      </c>
      <c r="C3714" s="68" t="s">
        <v>1386</v>
      </c>
      <c r="D3714" s="68" t="s">
        <v>1402</v>
      </c>
      <c r="E3714" s="8" t="s">
        <v>619</v>
      </c>
      <c r="F3714" s="45" t="s">
        <v>464</v>
      </c>
      <c r="G3714" s="23" t="s">
        <v>822</v>
      </c>
      <c r="H3714" s="14">
        <f t="shared" si="1618"/>
        <v>159950.891</v>
      </c>
      <c r="I3714" s="14">
        <f t="shared" si="1618"/>
        <v>159950.891</v>
      </c>
      <c r="J3714" s="14">
        <f t="shared" si="1618"/>
        <v>159950.891</v>
      </c>
      <c r="K3714" s="78">
        <f t="shared" si="1588"/>
        <v>100</v>
      </c>
      <c r="L3714" s="14">
        <f t="shared" si="1618"/>
        <v>0</v>
      </c>
      <c r="M3714" s="50"/>
      <c r="N3714" s="50"/>
    </row>
    <row r="3715" spans="1:14" ht="62.4" x14ac:dyDescent="0.3">
      <c r="A3715" s="64" t="s">
        <v>711</v>
      </c>
      <c r="B3715" s="62" t="s">
        <v>942</v>
      </c>
      <c r="C3715" s="68" t="s">
        <v>1386</v>
      </c>
      <c r="D3715" s="68" t="s">
        <v>1402</v>
      </c>
      <c r="E3715" s="8" t="s">
        <v>619</v>
      </c>
      <c r="F3715" s="45" t="s">
        <v>727</v>
      </c>
      <c r="G3715" s="18" t="s">
        <v>830</v>
      </c>
      <c r="H3715" s="14">
        <f>87474.5+29000+19479.896+23996.495</f>
        <v>159950.891</v>
      </c>
      <c r="I3715" s="14">
        <v>159950.891</v>
      </c>
      <c r="J3715" s="14">
        <v>159950.891</v>
      </c>
      <c r="K3715" s="78">
        <f t="shared" si="1588"/>
        <v>100</v>
      </c>
      <c r="L3715" s="14"/>
      <c r="M3715" s="50"/>
      <c r="N3715" s="50"/>
    </row>
    <row r="3716" spans="1:14" ht="46.8" x14ac:dyDescent="0.3">
      <c r="A3716" s="64" t="s">
        <v>711</v>
      </c>
      <c r="B3716" s="62" t="s">
        <v>942</v>
      </c>
      <c r="C3716" s="68" t="s">
        <v>1386</v>
      </c>
      <c r="D3716" s="68" t="s">
        <v>1402</v>
      </c>
      <c r="E3716" s="8" t="s">
        <v>621</v>
      </c>
      <c r="F3716" s="8"/>
      <c r="G3716" s="18" t="s">
        <v>187</v>
      </c>
      <c r="H3716" s="14">
        <f t="shared" ref="H3716:L3717" si="1619">H3717</f>
        <v>578389.10100000002</v>
      </c>
      <c r="I3716" s="14">
        <f t="shared" si="1619"/>
        <v>578389.10100000002</v>
      </c>
      <c r="J3716" s="14">
        <f t="shared" si="1619"/>
        <v>578389.10100000002</v>
      </c>
      <c r="K3716" s="78">
        <f t="shared" si="1588"/>
        <v>100</v>
      </c>
      <c r="L3716" s="14">
        <f t="shared" si="1619"/>
        <v>0</v>
      </c>
      <c r="M3716" s="50"/>
      <c r="N3716" s="50"/>
    </row>
    <row r="3717" spans="1:14" x14ac:dyDescent="0.3">
      <c r="A3717" s="64" t="s">
        <v>711</v>
      </c>
      <c r="B3717" s="62" t="s">
        <v>942</v>
      </c>
      <c r="C3717" s="68" t="s">
        <v>1386</v>
      </c>
      <c r="D3717" s="68" t="s">
        <v>1402</v>
      </c>
      <c r="E3717" s="8" t="s">
        <v>621</v>
      </c>
      <c r="F3717" s="45" t="s">
        <v>464</v>
      </c>
      <c r="G3717" s="23" t="s">
        <v>822</v>
      </c>
      <c r="H3717" s="14">
        <f t="shared" si="1619"/>
        <v>578389.10100000002</v>
      </c>
      <c r="I3717" s="14">
        <f t="shared" si="1619"/>
        <v>578389.10100000002</v>
      </c>
      <c r="J3717" s="14">
        <f t="shared" si="1619"/>
        <v>578389.10100000002</v>
      </c>
      <c r="K3717" s="78">
        <f t="shared" si="1588"/>
        <v>100</v>
      </c>
      <c r="L3717" s="14">
        <f t="shared" si="1619"/>
        <v>0</v>
      </c>
      <c r="M3717" s="50"/>
      <c r="N3717" s="50"/>
    </row>
    <row r="3718" spans="1:14" ht="62.4" x14ac:dyDescent="0.3">
      <c r="A3718" s="64" t="s">
        <v>711</v>
      </c>
      <c r="B3718" s="62" t="s">
        <v>942</v>
      </c>
      <c r="C3718" s="68" t="s">
        <v>1386</v>
      </c>
      <c r="D3718" s="68" t="s">
        <v>1402</v>
      </c>
      <c r="E3718" s="8" t="s">
        <v>621</v>
      </c>
      <c r="F3718" s="45" t="s">
        <v>727</v>
      </c>
      <c r="G3718" s="18" t="s">
        <v>830</v>
      </c>
      <c r="H3718" s="14">
        <f>471425.4+60412.403+26551.298+20000</f>
        <v>578389.10100000002</v>
      </c>
      <c r="I3718" s="14">
        <v>578389.10100000002</v>
      </c>
      <c r="J3718" s="14">
        <v>578389.10100000002</v>
      </c>
      <c r="K3718" s="78">
        <f t="shared" si="1588"/>
        <v>100</v>
      </c>
      <c r="L3718" s="14"/>
      <c r="M3718" s="50"/>
      <c r="N3718" s="50"/>
    </row>
    <row r="3719" spans="1:14" ht="46.8" x14ac:dyDescent="0.3">
      <c r="A3719" s="64" t="s">
        <v>711</v>
      </c>
      <c r="B3719" s="62" t="s">
        <v>942</v>
      </c>
      <c r="C3719" s="68" t="s">
        <v>1386</v>
      </c>
      <c r="D3719" s="68" t="s">
        <v>1402</v>
      </c>
      <c r="E3719" s="8" t="s">
        <v>623</v>
      </c>
      <c r="F3719" s="8"/>
      <c r="G3719" s="13" t="s">
        <v>130</v>
      </c>
      <c r="H3719" s="14">
        <f t="shared" ref="H3719:L3719" si="1620">H3720</f>
        <v>49321.708000000006</v>
      </c>
      <c r="I3719" s="14">
        <f t="shared" si="1620"/>
        <v>49321.707999999999</v>
      </c>
      <c r="J3719" s="14">
        <f t="shared" si="1620"/>
        <v>49262.495410000003</v>
      </c>
      <c r="K3719" s="78">
        <f t="shared" si="1588"/>
        <v>99.879946189211466</v>
      </c>
      <c r="L3719" s="14">
        <f t="shared" si="1620"/>
        <v>0</v>
      </c>
      <c r="M3719" s="50"/>
      <c r="N3719" s="50"/>
    </row>
    <row r="3720" spans="1:14" ht="62.4" x14ac:dyDescent="0.3">
      <c r="A3720" s="64" t="s">
        <v>711</v>
      </c>
      <c r="B3720" s="62" t="s">
        <v>942</v>
      </c>
      <c r="C3720" s="68" t="s">
        <v>1386</v>
      </c>
      <c r="D3720" s="68" t="s">
        <v>1402</v>
      </c>
      <c r="E3720" s="8" t="s">
        <v>624</v>
      </c>
      <c r="F3720" s="8"/>
      <c r="G3720" s="23" t="s">
        <v>1291</v>
      </c>
      <c r="H3720" s="14">
        <f>H3721+H3723+H3725</f>
        <v>49321.708000000006</v>
      </c>
      <c r="I3720" s="14">
        <f>I3721+I3723+I3725</f>
        <v>49321.707999999999</v>
      </c>
      <c r="J3720" s="14">
        <f t="shared" ref="J3720" si="1621">J3721+J3723+J3725</f>
        <v>49262.495410000003</v>
      </c>
      <c r="K3720" s="78">
        <f t="shared" ref="K3720:K3783" si="1622">J3720/I3720*100</f>
        <v>99.879946189211466</v>
      </c>
      <c r="L3720" s="14">
        <f>L3721+L3723+L3725</f>
        <v>0</v>
      </c>
      <c r="M3720" s="50"/>
      <c r="N3720" s="50"/>
    </row>
    <row r="3721" spans="1:14" ht="78" x14ac:dyDescent="0.3">
      <c r="A3721" s="64" t="s">
        <v>711</v>
      </c>
      <c r="B3721" s="62" t="s">
        <v>942</v>
      </c>
      <c r="C3721" s="68" t="s">
        <v>1386</v>
      </c>
      <c r="D3721" s="68" t="s">
        <v>1402</v>
      </c>
      <c r="E3721" s="8" t="s">
        <v>624</v>
      </c>
      <c r="F3721" s="45" t="s">
        <v>431</v>
      </c>
      <c r="G3721" s="23" t="s">
        <v>806</v>
      </c>
      <c r="H3721" s="14">
        <f t="shared" ref="H3721:L3721" si="1623">H3722</f>
        <v>31702.400000000001</v>
      </c>
      <c r="I3721" s="14">
        <f t="shared" si="1623"/>
        <v>32281.714540000001</v>
      </c>
      <c r="J3721" s="14">
        <f t="shared" si="1623"/>
        <v>32260.64964</v>
      </c>
      <c r="K3721" s="78">
        <f t="shared" si="1622"/>
        <v>99.934746650541442</v>
      </c>
      <c r="L3721" s="14">
        <f t="shared" si="1623"/>
        <v>0</v>
      </c>
      <c r="M3721" s="50"/>
      <c r="N3721" s="50"/>
    </row>
    <row r="3722" spans="1:14" x14ac:dyDescent="0.3">
      <c r="A3722" s="64" t="s">
        <v>711</v>
      </c>
      <c r="B3722" s="62" t="s">
        <v>942</v>
      </c>
      <c r="C3722" s="68" t="s">
        <v>1386</v>
      </c>
      <c r="D3722" s="68" t="s">
        <v>1402</v>
      </c>
      <c r="E3722" s="8" t="s">
        <v>624</v>
      </c>
      <c r="F3722" s="8" t="s">
        <v>719</v>
      </c>
      <c r="G3722" s="23" t="s">
        <v>807</v>
      </c>
      <c r="H3722" s="14">
        <v>31702.400000000001</v>
      </c>
      <c r="I3722" s="14">
        <v>32281.714540000001</v>
      </c>
      <c r="J3722" s="14">
        <v>32260.64964</v>
      </c>
      <c r="K3722" s="78">
        <f t="shared" si="1622"/>
        <v>99.934746650541442</v>
      </c>
      <c r="L3722" s="14"/>
      <c r="M3722" s="50"/>
      <c r="N3722" s="50"/>
    </row>
    <row r="3723" spans="1:14" ht="31.2" x14ac:dyDescent="0.3">
      <c r="A3723" s="64" t="s">
        <v>711</v>
      </c>
      <c r="B3723" s="62" t="s">
        <v>942</v>
      </c>
      <c r="C3723" s="68" t="s">
        <v>1386</v>
      </c>
      <c r="D3723" s="68" t="s">
        <v>1402</v>
      </c>
      <c r="E3723" s="8" t="s">
        <v>624</v>
      </c>
      <c r="F3723" s="45" t="s">
        <v>380</v>
      </c>
      <c r="G3723" s="23" t="s">
        <v>809</v>
      </c>
      <c r="H3723" s="14">
        <f t="shared" ref="H3723:L3723" si="1624">H3724</f>
        <v>17582.708000000002</v>
      </c>
      <c r="I3723" s="14">
        <f t="shared" si="1624"/>
        <v>17001.007509999999</v>
      </c>
      <c r="J3723" s="14">
        <f t="shared" si="1624"/>
        <v>16962.859820000001</v>
      </c>
      <c r="K3723" s="78">
        <f t="shared" si="1622"/>
        <v>99.775615121765227</v>
      </c>
      <c r="L3723" s="14">
        <f t="shared" si="1624"/>
        <v>0</v>
      </c>
      <c r="M3723" s="50"/>
      <c r="N3723" s="50"/>
    </row>
    <row r="3724" spans="1:14" ht="31.2" x14ac:dyDescent="0.3">
      <c r="A3724" s="64" t="s">
        <v>711</v>
      </c>
      <c r="B3724" s="62" t="s">
        <v>942</v>
      </c>
      <c r="C3724" s="68" t="s">
        <v>1386</v>
      </c>
      <c r="D3724" s="68" t="s">
        <v>1402</v>
      </c>
      <c r="E3724" s="8" t="s">
        <v>624</v>
      </c>
      <c r="F3724" s="8" t="s">
        <v>247</v>
      </c>
      <c r="G3724" s="23" t="s">
        <v>810</v>
      </c>
      <c r="H3724" s="14">
        <f>19109-64.193-722.209-601.386-138.504</f>
        <v>17582.708000000002</v>
      </c>
      <c r="I3724" s="14">
        <v>17001.007509999999</v>
      </c>
      <c r="J3724" s="14">
        <v>16962.859820000001</v>
      </c>
      <c r="K3724" s="78">
        <f t="shared" si="1622"/>
        <v>99.775615121765227</v>
      </c>
      <c r="L3724" s="14"/>
      <c r="M3724" s="50"/>
      <c r="N3724" s="50"/>
    </row>
    <row r="3725" spans="1:14" x14ac:dyDescent="0.3">
      <c r="A3725" s="64" t="s">
        <v>711</v>
      </c>
      <c r="B3725" s="62" t="s">
        <v>942</v>
      </c>
      <c r="C3725" s="68" t="s">
        <v>1386</v>
      </c>
      <c r="D3725" s="68" t="s">
        <v>1402</v>
      </c>
      <c r="E3725" s="8" t="s">
        <v>624</v>
      </c>
      <c r="F3725" s="45" t="s">
        <v>464</v>
      </c>
      <c r="G3725" s="23" t="s">
        <v>822</v>
      </c>
      <c r="H3725" s="14">
        <f>H3727+H3726</f>
        <v>36.6</v>
      </c>
      <c r="I3725" s="14">
        <f t="shared" ref="I3725:L3725" si="1625">I3727+I3726</f>
        <v>38.985950000000003</v>
      </c>
      <c r="J3725" s="14">
        <f t="shared" si="1625"/>
        <v>38.985950000000003</v>
      </c>
      <c r="K3725" s="78">
        <f t="shared" si="1622"/>
        <v>100</v>
      </c>
      <c r="L3725" s="14">
        <f t="shared" si="1625"/>
        <v>0</v>
      </c>
      <c r="M3725" s="50"/>
      <c r="N3725" s="50"/>
    </row>
    <row r="3726" spans="1:14" x14ac:dyDescent="0.3">
      <c r="A3726" s="64" t="s">
        <v>711</v>
      </c>
      <c r="B3726" s="62" t="s">
        <v>942</v>
      </c>
      <c r="C3726" s="68" t="s">
        <v>1386</v>
      </c>
      <c r="D3726" s="68" t="s">
        <v>1402</v>
      </c>
      <c r="E3726" s="8" t="s">
        <v>624</v>
      </c>
      <c r="F3726" s="45" t="s">
        <v>728</v>
      </c>
      <c r="G3726" s="23" t="s">
        <v>823</v>
      </c>
      <c r="H3726" s="20">
        <v>0</v>
      </c>
      <c r="I3726" s="14">
        <v>3</v>
      </c>
      <c r="J3726" s="14">
        <v>3</v>
      </c>
      <c r="K3726" s="78">
        <f t="shared" si="1622"/>
        <v>100</v>
      </c>
      <c r="L3726" s="14"/>
      <c r="M3726" s="50"/>
      <c r="N3726" s="50"/>
    </row>
    <row r="3727" spans="1:14" x14ac:dyDescent="0.3">
      <c r="A3727" s="64" t="s">
        <v>711</v>
      </c>
      <c r="B3727" s="62" t="s">
        <v>942</v>
      </c>
      <c r="C3727" s="68" t="s">
        <v>1386</v>
      </c>
      <c r="D3727" s="68" t="s">
        <v>1402</v>
      </c>
      <c r="E3727" s="8" t="s">
        <v>624</v>
      </c>
      <c r="F3727" s="45" t="s">
        <v>729</v>
      </c>
      <c r="G3727" s="23" t="s">
        <v>824</v>
      </c>
      <c r="H3727" s="14">
        <v>36.6</v>
      </c>
      <c r="I3727" s="14">
        <v>35.985950000000003</v>
      </c>
      <c r="J3727" s="14">
        <v>35.985950000000003</v>
      </c>
      <c r="K3727" s="78">
        <f t="shared" si="1622"/>
        <v>100</v>
      </c>
      <c r="L3727" s="14"/>
      <c r="M3727" s="50"/>
      <c r="N3727" s="50"/>
    </row>
    <row r="3728" spans="1:14" ht="46.8" x14ac:dyDescent="0.3">
      <c r="A3728" s="64" t="s">
        <v>711</v>
      </c>
      <c r="B3728" s="62" t="s">
        <v>942</v>
      </c>
      <c r="C3728" s="68" t="s">
        <v>1386</v>
      </c>
      <c r="D3728" s="68" t="s">
        <v>1402</v>
      </c>
      <c r="E3728" s="8" t="s">
        <v>11</v>
      </c>
      <c r="F3728" s="8"/>
      <c r="G3728" s="23" t="s">
        <v>12</v>
      </c>
      <c r="H3728" s="14">
        <f>H3729</f>
        <v>10000</v>
      </c>
      <c r="I3728" s="14">
        <f t="shared" ref="I3728:L3730" si="1626">I3729</f>
        <v>10000</v>
      </c>
      <c r="J3728" s="14">
        <f t="shared" si="1626"/>
        <v>0</v>
      </c>
      <c r="K3728" s="78">
        <f t="shared" si="1622"/>
        <v>0</v>
      </c>
      <c r="L3728" s="14">
        <f t="shared" si="1626"/>
        <v>0</v>
      </c>
      <c r="M3728" s="50"/>
      <c r="N3728" s="50"/>
    </row>
    <row r="3729" spans="1:14" ht="46.8" x14ac:dyDescent="0.3">
      <c r="A3729" s="64" t="s">
        <v>711</v>
      </c>
      <c r="B3729" s="62" t="s">
        <v>942</v>
      </c>
      <c r="C3729" s="68" t="s">
        <v>1386</v>
      </c>
      <c r="D3729" s="68" t="s">
        <v>1402</v>
      </c>
      <c r="E3729" s="8" t="s">
        <v>10</v>
      </c>
      <c r="F3729" s="8"/>
      <c r="G3729" s="23" t="s">
        <v>23</v>
      </c>
      <c r="H3729" s="14">
        <f>H3730</f>
        <v>10000</v>
      </c>
      <c r="I3729" s="14">
        <f t="shared" si="1626"/>
        <v>10000</v>
      </c>
      <c r="J3729" s="14">
        <f t="shared" si="1626"/>
        <v>0</v>
      </c>
      <c r="K3729" s="78">
        <f t="shared" si="1622"/>
        <v>0</v>
      </c>
      <c r="L3729" s="14">
        <f t="shared" si="1626"/>
        <v>0</v>
      </c>
      <c r="M3729" s="50"/>
      <c r="N3729" s="50"/>
    </row>
    <row r="3730" spans="1:14" ht="31.2" x14ac:dyDescent="0.3">
      <c r="A3730" s="64" t="s">
        <v>711</v>
      </c>
      <c r="B3730" s="62" t="s">
        <v>942</v>
      </c>
      <c r="C3730" s="68" t="s">
        <v>1386</v>
      </c>
      <c r="D3730" s="68" t="s">
        <v>1402</v>
      </c>
      <c r="E3730" s="8" t="s">
        <v>10</v>
      </c>
      <c r="F3730" s="45" t="s">
        <v>380</v>
      </c>
      <c r="G3730" s="23" t="s">
        <v>809</v>
      </c>
      <c r="H3730" s="14">
        <f>H3731</f>
        <v>10000</v>
      </c>
      <c r="I3730" s="14">
        <f t="shared" si="1626"/>
        <v>10000</v>
      </c>
      <c r="J3730" s="14">
        <f t="shared" si="1626"/>
        <v>0</v>
      </c>
      <c r="K3730" s="78">
        <f t="shared" si="1622"/>
        <v>0</v>
      </c>
      <c r="L3730" s="14">
        <f t="shared" si="1626"/>
        <v>0</v>
      </c>
      <c r="M3730" s="50"/>
      <c r="N3730" s="50"/>
    </row>
    <row r="3731" spans="1:14" ht="31.2" x14ac:dyDescent="0.3">
      <c r="A3731" s="64" t="s">
        <v>711</v>
      </c>
      <c r="B3731" s="62" t="s">
        <v>942</v>
      </c>
      <c r="C3731" s="68" t="s">
        <v>1386</v>
      </c>
      <c r="D3731" s="68" t="s">
        <v>1402</v>
      </c>
      <c r="E3731" s="8" t="s">
        <v>10</v>
      </c>
      <c r="F3731" s="8" t="s">
        <v>247</v>
      </c>
      <c r="G3731" s="23" t="s">
        <v>810</v>
      </c>
      <c r="H3731" s="14">
        <v>10000</v>
      </c>
      <c r="I3731" s="14">
        <v>10000</v>
      </c>
      <c r="J3731" s="19">
        <v>0</v>
      </c>
      <c r="K3731" s="75">
        <f t="shared" si="1622"/>
        <v>0</v>
      </c>
      <c r="L3731" s="14"/>
      <c r="M3731" s="50"/>
      <c r="N3731" s="50"/>
    </row>
    <row r="3732" spans="1:14" ht="31.2" x14ac:dyDescent="0.3">
      <c r="A3732" s="64" t="s">
        <v>711</v>
      </c>
      <c r="B3732" s="62" t="s">
        <v>942</v>
      </c>
      <c r="C3732" s="68" t="s">
        <v>1386</v>
      </c>
      <c r="D3732" s="68" t="s">
        <v>1402</v>
      </c>
      <c r="E3732" s="8" t="s">
        <v>429</v>
      </c>
      <c r="F3732" s="8"/>
      <c r="G3732" s="23" t="s">
        <v>1140</v>
      </c>
      <c r="H3732" s="14">
        <f t="shared" ref="H3732:L3735" si="1627">H3733</f>
        <v>37.6</v>
      </c>
      <c r="I3732" s="14">
        <f t="shared" si="1627"/>
        <v>37.6</v>
      </c>
      <c r="J3732" s="14">
        <f t="shared" si="1627"/>
        <v>0</v>
      </c>
      <c r="K3732" s="78">
        <f t="shared" si="1622"/>
        <v>0</v>
      </c>
      <c r="L3732" s="14">
        <f t="shared" si="1627"/>
        <v>0</v>
      </c>
      <c r="M3732" s="50"/>
      <c r="N3732" s="50"/>
    </row>
    <row r="3733" spans="1:14" x14ac:dyDescent="0.3">
      <c r="A3733" s="64" t="s">
        <v>711</v>
      </c>
      <c r="B3733" s="62" t="s">
        <v>942</v>
      </c>
      <c r="C3733" s="68" t="s">
        <v>1386</v>
      </c>
      <c r="D3733" s="68" t="s">
        <v>1402</v>
      </c>
      <c r="E3733" s="8" t="s">
        <v>430</v>
      </c>
      <c r="F3733" s="8"/>
      <c r="G3733" s="23" t="s">
        <v>1141</v>
      </c>
      <c r="H3733" s="14">
        <f t="shared" si="1627"/>
        <v>37.6</v>
      </c>
      <c r="I3733" s="14">
        <f t="shared" si="1627"/>
        <v>37.6</v>
      </c>
      <c r="J3733" s="14">
        <f t="shared" si="1627"/>
        <v>0</v>
      </c>
      <c r="K3733" s="78">
        <f t="shared" si="1622"/>
        <v>0</v>
      </c>
      <c r="L3733" s="14">
        <f t="shared" si="1627"/>
        <v>0</v>
      </c>
      <c r="M3733" s="50"/>
      <c r="N3733" s="50"/>
    </row>
    <row r="3734" spans="1:14" ht="62.4" x14ac:dyDescent="0.3">
      <c r="A3734" s="64" t="s">
        <v>711</v>
      </c>
      <c r="B3734" s="62" t="s">
        <v>942</v>
      </c>
      <c r="C3734" s="68" t="s">
        <v>1386</v>
      </c>
      <c r="D3734" s="68" t="s">
        <v>1402</v>
      </c>
      <c r="E3734" s="8" t="s">
        <v>213</v>
      </c>
      <c r="F3734" s="8"/>
      <c r="G3734" s="13" t="s">
        <v>1239</v>
      </c>
      <c r="H3734" s="14">
        <f t="shared" si="1627"/>
        <v>37.6</v>
      </c>
      <c r="I3734" s="14">
        <f t="shared" si="1627"/>
        <v>37.6</v>
      </c>
      <c r="J3734" s="14">
        <f t="shared" si="1627"/>
        <v>0</v>
      </c>
      <c r="K3734" s="78">
        <f t="shared" si="1622"/>
        <v>0</v>
      </c>
      <c r="L3734" s="14">
        <f t="shared" si="1627"/>
        <v>0</v>
      </c>
      <c r="M3734" s="50"/>
      <c r="N3734" s="50"/>
    </row>
    <row r="3735" spans="1:14" ht="78" x14ac:dyDescent="0.3">
      <c r="A3735" s="64" t="s">
        <v>711</v>
      </c>
      <c r="B3735" s="62" t="s">
        <v>942</v>
      </c>
      <c r="C3735" s="68" t="s">
        <v>1386</v>
      </c>
      <c r="D3735" s="68" t="s">
        <v>1402</v>
      </c>
      <c r="E3735" s="8" t="s">
        <v>213</v>
      </c>
      <c r="F3735" s="45" t="s">
        <v>431</v>
      </c>
      <c r="G3735" s="23" t="s">
        <v>806</v>
      </c>
      <c r="H3735" s="14">
        <f t="shared" si="1627"/>
        <v>37.6</v>
      </c>
      <c r="I3735" s="14">
        <f t="shared" si="1627"/>
        <v>37.6</v>
      </c>
      <c r="J3735" s="14">
        <f t="shared" si="1627"/>
        <v>0</v>
      </c>
      <c r="K3735" s="78">
        <f t="shared" si="1622"/>
        <v>0</v>
      </c>
      <c r="L3735" s="14">
        <f t="shared" si="1627"/>
        <v>0</v>
      </c>
      <c r="M3735" s="50"/>
      <c r="N3735" s="50"/>
    </row>
    <row r="3736" spans="1:14" ht="31.2" x14ac:dyDescent="0.3">
      <c r="A3736" s="64" t="s">
        <v>711</v>
      </c>
      <c r="B3736" s="62" t="s">
        <v>942</v>
      </c>
      <c r="C3736" s="68" t="s">
        <v>1386</v>
      </c>
      <c r="D3736" s="68" t="s">
        <v>1402</v>
      </c>
      <c r="E3736" s="8" t="s">
        <v>213</v>
      </c>
      <c r="F3736" s="45" t="s">
        <v>233</v>
      </c>
      <c r="G3736" s="23" t="s">
        <v>808</v>
      </c>
      <c r="H3736" s="14">
        <v>37.6</v>
      </c>
      <c r="I3736" s="14">
        <v>37.6</v>
      </c>
      <c r="J3736" s="14">
        <v>0</v>
      </c>
      <c r="K3736" s="78">
        <f t="shared" si="1622"/>
        <v>0</v>
      </c>
      <c r="L3736" s="14"/>
      <c r="M3736" s="50"/>
      <c r="N3736" s="50"/>
    </row>
    <row r="3737" spans="1:14" ht="31.2" x14ac:dyDescent="0.3">
      <c r="A3737" s="64" t="s">
        <v>711</v>
      </c>
      <c r="B3737" s="62" t="s">
        <v>942</v>
      </c>
      <c r="C3737" s="68" t="s">
        <v>1386</v>
      </c>
      <c r="D3737" s="68" t="s">
        <v>1402</v>
      </c>
      <c r="E3737" s="8" t="s">
        <v>343</v>
      </c>
      <c r="F3737" s="8"/>
      <c r="G3737" s="23" t="s">
        <v>1157</v>
      </c>
      <c r="H3737" s="14">
        <f t="shared" ref="H3737:L3737" si="1628">H3738</f>
        <v>19676.5</v>
      </c>
      <c r="I3737" s="14">
        <f t="shared" si="1628"/>
        <v>19755.199999999997</v>
      </c>
      <c r="J3737" s="14">
        <f t="shared" si="1628"/>
        <v>19749.88524</v>
      </c>
      <c r="K3737" s="78">
        <f t="shared" si="1622"/>
        <v>99.973096906131047</v>
      </c>
      <c r="L3737" s="14">
        <f t="shared" si="1628"/>
        <v>0</v>
      </c>
      <c r="M3737" s="50"/>
      <c r="N3737" s="50"/>
    </row>
    <row r="3738" spans="1:14" x14ac:dyDescent="0.3">
      <c r="A3738" s="64" t="s">
        <v>711</v>
      </c>
      <c r="B3738" s="62" t="s">
        <v>942</v>
      </c>
      <c r="C3738" s="68" t="s">
        <v>1386</v>
      </c>
      <c r="D3738" s="68" t="s">
        <v>1402</v>
      </c>
      <c r="E3738" s="8" t="s">
        <v>344</v>
      </c>
      <c r="F3738" s="8"/>
      <c r="G3738" s="23" t="s">
        <v>1159</v>
      </c>
      <c r="H3738" s="14">
        <f>H3739+H3742</f>
        <v>19676.5</v>
      </c>
      <c r="I3738" s="14">
        <f>I3739+I3742</f>
        <v>19755.199999999997</v>
      </c>
      <c r="J3738" s="14">
        <f t="shared" ref="J3738" si="1629">J3739+J3742</f>
        <v>19749.88524</v>
      </c>
      <c r="K3738" s="78">
        <f t="shared" si="1622"/>
        <v>99.973096906131047</v>
      </c>
      <c r="L3738" s="14">
        <f>L3739+L3742</f>
        <v>0</v>
      </c>
      <c r="M3738" s="50"/>
      <c r="N3738" s="50"/>
    </row>
    <row r="3739" spans="1:14" ht="31.2" x14ac:dyDescent="0.3">
      <c r="A3739" s="64" t="s">
        <v>711</v>
      </c>
      <c r="B3739" s="62" t="s">
        <v>942</v>
      </c>
      <c r="C3739" s="83" t="s">
        <v>1386</v>
      </c>
      <c r="D3739" s="83" t="s">
        <v>1402</v>
      </c>
      <c r="E3739" s="45" t="s">
        <v>345</v>
      </c>
      <c r="F3739" s="8"/>
      <c r="G3739" s="23" t="s">
        <v>1152</v>
      </c>
      <c r="H3739" s="14">
        <f t="shared" ref="H3739:L3740" si="1630">H3740</f>
        <v>17663.400000000001</v>
      </c>
      <c r="I3739" s="14">
        <f t="shared" si="1630"/>
        <v>17622.099999999999</v>
      </c>
      <c r="J3739" s="14">
        <f t="shared" si="1630"/>
        <v>17622.099999999999</v>
      </c>
      <c r="K3739" s="78">
        <f t="shared" si="1622"/>
        <v>100</v>
      </c>
      <c r="L3739" s="14">
        <f t="shared" si="1630"/>
        <v>0</v>
      </c>
      <c r="M3739" s="50"/>
      <c r="N3739" s="50"/>
    </row>
    <row r="3740" spans="1:14" ht="78" x14ac:dyDescent="0.3">
      <c r="A3740" s="64" t="s">
        <v>711</v>
      </c>
      <c r="B3740" s="62" t="s">
        <v>942</v>
      </c>
      <c r="C3740" s="83" t="s">
        <v>1386</v>
      </c>
      <c r="D3740" s="83" t="s">
        <v>1402</v>
      </c>
      <c r="E3740" s="45" t="s">
        <v>345</v>
      </c>
      <c r="F3740" s="45" t="s">
        <v>431</v>
      </c>
      <c r="G3740" s="23" t="s">
        <v>806</v>
      </c>
      <c r="H3740" s="14">
        <f t="shared" si="1630"/>
        <v>17663.400000000001</v>
      </c>
      <c r="I3740" s="14">
        <f t="shared" si="1630"/>
        <v>17622.099999999999</v>
      </c>
      <c r="J3740" s="14">
        <f t="shared" si="1630"/>
        <v>17622.099999999999</v>
      </c>
      <c r="K3740" s="78">
        <f t="shared" si="1622"/>
        <v>100</v>
      </c>
      <c r="L3740" s="14">
        <f t="shared" si="1630"/>
        <v>0</v>
      </c>
      <c r="M3740" s="50"/>
      <c r="N3740" s="50"/>
    </row>
    <row r="3741" spans="1:14" ht="31.2" x14ac:dyDescent="0.3">
      <c r="A3741" s="64" t="s">
        <v>711</v>
      </c>
      <c r="B3741" s="62" t="s">
        <v>942</v>
      </c>
      <c r="C3741" s="83" t="s">
        <v>1386</v>
      </c>
      <c r="D3741" s="83" t="s">
        <v>1402</v>
      </c>
      <c r="E3741" s="45" t="s">
        <v>345</v>
      </c>
      <c r="F3741" s="45" t="s">
        <v>233</v>
      </c>
      <c r="G3741" s="23" t="s">
        <v>808</v>
      </c>
      <c r="H3741" s="14">
        <v>17663.400000000001</v>
      </c>
      <c r="I3741" s="14">
        <v>17622.099999999999</v>
      </c>
      <c r="J3741" s="14">
        <v>17622.099999999999</v>
      </c>
      <c r="K3741" s="78">
        <f t="shared" si="1622"/>
        <v>100</v>
      </c>
      <c r="L3741" s="14"/>
      <c r="M3741" s="50"/>
      <c r="N3741" s="50"/>
    </row>
    <row r="3742" spans="1:14" ht="31.2" x14ac:dyDescent="0.3">
      <c r="A3742" s="64" t="s">
        <v>711</v>
      </c>
      <c r="B3742" s="62" t="s">
        <v>942</v>
      </c>
      <c r="C3742" s="83" t="s">
        <v>1386</v>
      </c>
      <c r="D3742" s="83" t="s">
        <v>1402</v>
      </c>
      <c r="E3742" s="45" t="s">
        <v>346</v>
      </c>
      <c r="F3742" s="8"/>
      <c r="G3742" s="23" t="s">
        <v>1154</v>
      </c>
      <c r="H3742" s="14">
        <f>H3743+H3745+H3747</f>
        <v>2013.1</v>
      </c>
      <c r="I3742" s="14">
        <f>I3743+I3745+I3747</f>
        <v>2133.1000000000004</v>
      </c>
      <c r="J3742" s="14">
        <f t="shared" ref="J3742" si="1631">J3743+J3745+J3747</f>
        <v>2127.7852400000002</v>
      </c>
      <c r="K3742" s="78">
        <f t="shared" si="1622"/>
        <v>99.750843373493964</v>
      </c>
      <c r="L3742" s="14">
        <f>L3743+L3745+L3747</f>
        <v>0</v>
      </c>
      <c r="M3742" s="50"/>
      <c r="N3742" s="50"/>
    </row>
    <row r="3743" spans="1:14" ht="78" x14ac:dyDescent="0.3">
      <c r="A3743" s="64" t="s">
        <v>711</v>
      </c>
      <c r="B3743" s="62" t="s">
        <v>942</v>
      </c>
      <c r="C3743" s="83" t="s">
        <v>1386</v>
      </c>
      <c r="D3743" s="83" t="s">
        <v>1402</v>
      </c>
      <c r="E3743" s="45" t="s">
        <v>346</v>
      </c>
      <c r="F3743" s="45" t="s">
        <v>431</v>
      </c>
      <c r="G3743" s="23" t="s">
        <v>806</v>
      </c>
      <c r="H3743" s="14">
        <f t="shared" ref="H3743:L3743" si="1632">H3744</f>
        <v>13.4</v>
      </c>
      <c r="I3743" s="14">
        <f t="shared" si="1632"/>
        <v>1.1880900000000001</v>
      </c>
      <c r="J3743" s="14">
        <f t="shared" si="1632"/>
        <v>1.1880900000000001</v>
      </c>
      <c r="K3743" s="78">
        <f t="shared" si="1622"/>
        <v>100</v>
      </c>
      <c r="L3743" s="14">
        <f t="shared" si="1632"/>
        <v>0</v>
      </c>
      <c r="M3743" s="50"/>
      <c r="N3743" s="50"/>
    </row>
    <row r="3744" spans="1:14" ht="31.2" x14ac:dyDescent="0.3">
      <c r="A3744" s="64" t="s">
        <v>711</v>
      </c>
      <c r="B3744" s="62" t="s">
        <v>942</v>
      </c>
      <c r="C3744" s="83" t="s">
        <v>1386</v>
      </c>
      <c r="D3744" s="83" t="s">
        <v>1402</v>
      </c>
      <c r="E3744" s="45" t="s">
        <v>346</v>
      </c>
      <c r="F3744" s="45" t="s">
        <v>233</v>
      </c>
      <c r="G3744" s="23" t="s">
        <v>808</v>
      </c>
      <c r="H3744" s="14">
        <v>13.4</v>
      </c>
      <c r="I3744" s="14">
        <v>1.1880900000000001</v>
      </c>
      <c r="J3744" s="14">
        <v>1.1880900000000001</v>
      </c>
      <c r="K3744" s="78">
        <f t="shared" si="1622"/>
        <v>100</v>
      </c>
      <c r="L3744" s="14"/>
      <c r="M3744" s="50"/>
      <c r="N3744" s="50"/>
    </row>
    <row r="3745" spans="1:14" ht="31.2" x14ac:dyDescent="0.3">
      <c r="A3745" s="64" t="s">
        <v>711</v>
      </c>
      <c r="B3745" s="62" t="s">
        <v>942</v>
      </c>
      <c r="C3745" s="83" t="s">
        <v>1386</v>
      </c>
      <c r="D3745" s="83" t="s">
        <v>1402</v>
      </c>
      <c r="E3745" s="45" t="s">
        <v>346</v>
      </c>
      <c r="F3745" s="45" t="s">
        <v>380</v>
      </c>
      <c r="G3745" s="23" t="s">
        <v>809</v>
      </c>
      <c r="H3745" s="14">
        <f t="shared" ref="H3745:L3745" si="1633">H3746</f>
        <v>1994.6999999999998</v>
      </c>
      <c r="I3745" s="14">
        <f t="shared" si="1633"/>
        <v>1960.41191</v>
      </c>
      <c r="J3745" s="14">
        <f t="shared" si="1633"/>
        <v>1955.0971500000001</v>
      </c>
      <c r="K3745" s="78">
        <f t="shared" si="1622"/>
        <v>99.728895750281382</v>
      </c>
      <c r="L3745" s="14">
        <f t="shared" si="1633"/>
        <v>0</v>
      </c>
      <c r="M3745" s="50"/>
      <c r="N3745" s="50"/>
    </row>
    <row r="3746" spans="1:14" ht="31.2" x14ac:dyDescent="0.3">
      <c r="A3746" s="64" t="s">
        <v>711</v>
      </c>
      <c r="B3746" s="62" t="s">
        <v>942</v>
      </c>
      <c r="C3746" s="83" t="s">
        <v>1386</v>
      </c>
      <c r="D3746" s="83" t="s">
        <v>1402</v>
      </c>
      <c r="E3746" s="45" t="s">
        <v>346</v>
      </c>
      <c r="F3746" s="8" t="s">
        <v>247</v>
      </c>
      <c r="G3746" s="23" t="s">
        <v>810</v>
      </c>
      <c r="H3746" s="14">
        <f>1388.6+606.1</f>
        <v>1994.6999999999998</v>
      </c>
      <c r="I3746" s="14">
        <v>1960.41191</v>
      </c>
      <c r="J3746" s="14">
        <v>1955.0971500000001</v>
      </c>
      <c r="K3746" s="78">
        <f t="shared" si="1622"/>
        <v>99.728895750281382</v>
      </c>
      <c r="L3746" s="14"/>
      <c r="M3746" s="50"/>
      <c r="N3746" s="50"/>
    </row>
    <row r="3747" spans="1:14" x14ac:dyDescent="0.3">
      <c r="A3747" s="64" t="s">
        <v>711</v>
      </c>
      <c r="B3747" s="62" t="s">
        <v>942</v>
      </c>
      <c r="C3747" s="83" t="s">
        <v>1386</v>
      </c>
      <c r="D3747" s="83" t="s">
        <v>1402</v>
      </c>
      <c r="E3747" s="45" t="s">
        <v>346</v>
      </c>
      <c r="F3747" s="45" t="s">
        <v>464</v>
      </c>
      <c r="G3747" s="23" t="s">
        <v>822</v>
      </c>
      <c r="H3747" s="14">
        <f t="shared" ref="H3747:L3747" si="1634">H3748</f>
        <v>5</v>
      </c>
      <c r="I3747" s="14">
        <f t="shared" si="1634"/>
        <v>171.5</v>
      </c>
      <c r="J3747" s="14">
        <f t="shared" si="1634"/>
        <v>171.5</v>
      </c>
      <c r="K3747" s="78">
        <f t="shared" si="1622"/>
        <v>100</v>
      </c>
      <c r="L3747" s="14">
        <f t="shared" si="1634"/>
        <v>0</v>
      </c>
      <c r="M3747" s="50"/>
      <c r="N3747" s="50"/>
    </row>
    <row r="3748" spans="1:14" x14ac:dyDescent="0.3">
      <c r="A3748" s="64" t="s">
        <v>711</v>
      </c>
      <c r="B3748" s="62" t="s">
        <v>942</v>
      </c>
      <c r="C3748" s="83" t="s">
        <v>1386</v>
      </c>
      <c r="D3748" s="83" t="s">
        <v>1402</v>
      </c>
      <c r="E3748" s="45" t="s">
        <v>346</v>
      </c>
      <c r="F3748" s="45" t="s">
        <v>729</v>
      </c>
      <c r="G3748" s="23" t="s">
        <v>824</v>
      </c>
      <c r="H3748" s="14">
        <v>5</v>
      </c>
      <c r="I3748" s="14">
        <v>171.5</v>
      </c>
      <c r="J3748" s="14">
        <v>171.5</v>
      </c>
      <c r="K3748" s="78">
        <f t="shared" si="1622"/>
        <v>100</v>
      </c>
      <c r="L3748" s="14"/>
      <c r="M3748" s="50"/>
      <c r="N3748" s="50"/>
    </row>
    <row r="3749" spans="1:14" ht="46.8" x14ac:dyDescent="0.3">
      <c r="A3749" s="64" t="s">
        <v>711</v>
      </c>
      <c r="B3749" s="62" t="s">
        <v>942</v>
      </c>
      <c r="C3749" s="68" t="s">
        <v>1386</v>
      </c>
      <c r="D3749" s="68" t="s">
        <v>1402</v>
      </c>
      <c r="E3749" s="8" t="s">
        <v>493</v>
      </c>
      <c r="F3749" s="8"/>
      <c r="G3749" s="13" t="s">
        <v>1160</v>
      </c>
      <c r="H3749" s="20">
        <v>0</v>
      </c>
      <c r="I3749" s="14">
        <f>I3750</f>
        <v>267.96665999999999</v>
      </c>
      <c r="J3749" s="14">
        <f t="shared" ref="J3749:L3752" si="1635">J3750</f>
        <v>267.96665999999999</v>
      </c>
      <c r="K3749" s="78">
        <f t="shared" si="1622"/>
        <v>100</v>
      </c>
      <c r="L3749" s="14">
        <f t="shared" si="1635"/>
        <v>0</v>
      </c>
      <c r="M3749" s="50"/>
      <c r="N3749" s="50"/>
    </row>
    <row r="3750" spans="1:14" ht="31.2" x14ac:dyDescent="0.3">
      <c r="A3750" s="64" t="s">
        <v>711</v>
      </c>
      <c r="B3750" s="62" t="s">
        <v>942</v>
      </c>
      <c r="C3750" s="68" t="s">
        <v>1386</v>
      </c>
      <c r="D3750" s="68" t="s">
        <v>1402</v>
      </c>
      <c r="E3750" s="8" t="s">
        <v>494</v>
      </c>
      <c r="F3750" s="8"/>
      <c r="G3750" s="13" t="s">
        <v>1161</v>
      </c>
      <c r="H3750" s="20">
        <v>0</v>
      </c>
      <c r="I3750" s="14">
        <f>I3751</f>
        <v>267.96665999999999</v>
      </c>
      <c r="J3750" s="14">
        <f t="shared" si="1635"/>
        <v>267.96665999999999</v>
      </c>
      <c r="K3750" s="78">
        <f t="shared" si="1622"/>
        <v>100</v>
      </c>
      <c r="L3750" s="14">
        <f t="shared" si="1635"/>
        <v>0</v>
      </c>
      <c r="M3750" s="50"/>
      <c r="N3750" s="50"/>
    </row>
    <row r="3751" spans="1:14" ht="31.2" x14ac:dyDescent="0.3">
      <c r="A3751" s="64" t="s">
        <v>711</v>
      </c>
      <c r="B3751" s="62" t="s">
        <v>942</v>
      </c>
      <c r="C3751" s="68" t="s">
        <v>1386</v>
      </c>
      <c r="D3751" s="68" t="s">
        <v>1402</v>
      </c>
      <c r="E3751" s="8" t="s">
        <v>495</v>
      </c>
      <c r="F3751" s="8"/>
      <c r="G3751" s="13" t="s">
        <v>687</v>
      </c>
      <c r="H3751" s="20">
        <v>0</v>
      </c>
      <c r="I3751" s="14">
        <f>I3752</f>
        <v>267.96665999999999</v>
      </c>
      <c r="J3751" s="14">
        <f t="shared" si="1635"/>
        <v>267.96665999999999</v>
      </c>
      <c r="K3751" s="78">
        <f t="shared" si="1622"/>
        <v>100</v>
      </c>
      <c r="L3751" s="14">
        <f t="shared" si="1635"/>
        <v>0</v>
      </c>
      <c r="M3751" s="50"/>
      <c r="N3751" s="50"/>
    </row>
    <row r="3752" spans="1:14" x14ac:dyDescent="0.3">
      <c r="A3752" s="64" t="s">
        <v>711</v>
      </c>
      <c r="B3752" s="62" t="s">
        <v>942</v>
      </c>
      <c r="C3752" s="68" t="s">
        <v>1386</v>
      </c>
      <c r="D3752" s="68" t="s">
        <v>1402</v>
      </c>
      <c r="E3752" s="8" t="s">
        <v>495</v>
      </c>
      <c r="F3752" s="45" t="s">
        <v>464</v>
      </c>
      <c r="G3752" s="23" t="s">
        <v>822</v>
      </c>
      <c r="H3752" s="20">
        <v>0</v>
      </c>
      <c r="I3752" s="14">
        <f>I3753</f>
        <v>267.96665999999999</v>
      </c>
      <c r="J3752" s="14">
        <f t="shared" si="1635"/>
        <v>267.96665999999999</v>
      </c>
      <c r="K3752" s="78">
        <f t="shared" si="1622"/>
        <v>100</v>
      </c>
      <c r="L3752" s="14">
        <f t="shared" si="1635"/>
        <v>0</v>
      </c>
      <c r="M3752" s="50"/>
      <c r="N3752" s="50"/>
    </row>
    <row r="3753" spans="1:14" x14ac:dyDescent="0.3">
      <c r="A3753" s="64" t="s">
        <v>711</v>
      </c>
      <c r="B3753" s="62" t="s">
        <v>942</v>
      </c>
      <c r="C3753" s="68" t="s">
        <v>1386</v>
      </c>
      <c r="D3753" s="68" t="s">
        <v>1402</v>
      </c>
      <c r="E3753" s="8" t="s">
        <v>495</v>
      </c>
      <c r="F3753" s="8" t="s">
        <v>728</v>
      </c>
      <c r="G3753" s="23" t="s">
        <v>823</v>
      </c>
      <c r="H3753" s="20">
        <v>0</v>
      </c>
      <c r="I3753" s="14">
        <v>267.96665999999999</v>
      </c>
      <c r="J3753" s="14">
        <v>267.96665999999999</v>
      </c>
      <c r="K3753" s="78">
        <f t="shared" si="1622"/>
        <v>100</v>
      </c>
      <c r="L3753" s="14"/>
      <c r="M3753" s="50"/>
      <c r="N3753" s="50"/>
    </row>
    <row r="3754" spans="1:14" s="24" customFormat="1" x14ac:dyDescent="0.3">
      <c r="A3754" s="6" t="s">
        <v>711</v>
      </c>
      <c r="B3754" s="48" t="s">
        <v>937</v>
      </c>
      <c r="C3754" s="48" t="s">
        <v>1386</v>
      </c>
      <c r="D3754" s="48" t="s">
        <v>1398</v>
      </c>
      <c r="E3754" s="6"/>
      <c r="F3754" s="6"/>
      <c r="G3754" s="7" t="s">
        <v>1419</v>
      </c>
      <c r="H3754" s="16">
        <f>H3755</f>
        <v>249501.96100000001</v>
      </c>
      <c r="I3754" s="16">
        <f>I3755+I3790</f>
        <v>249551.96104999998</v>
      </c>
      <c r="J3754" s="16">
        <f t="shared" ref="J3754:L3754" si="1636">J3755+J3790</f>
        <v>240658.04792999997</v>
      </c>
      <c r="K3754" s="82">
        <f t="shared" si="1622"/>
        <v>96.4360475940247</v>
      </c>
      <c r="L3754" s="16">
        <f t="shared" si="1636"/>
        <v>0</v>
      </c>
      <c r="M3754" s="65"/>
      <c r="N3754" s="65"/>
    </row>
    <row r="3755" spans="1:14" ht="62.4" x14ac:dyDescent="0.3">
      <c r="A3755" s="64" t="s">
        <v>711</v>
      </c>
      <c r="B3755" s="62" t="s">
        <v>937</v>
      </c>
      <c r="C3755" s="68" t="s">
        <v>1386</v>
      </c>
      <c r="D3755" s="68" t="s">
        <v>1398</v>
      </c>
      <c r="E3755" s="8" t="s">
        <v>361</v>
      </c>
      <c r="F3755" s="8"/>
      <c r="G3755" s="18" t="s">
        <v>1191</v>
      </c>
      <c r="H3755" s="14">
        <f>H3756+H3785</f>
        <v>249501.96100000001</v>
      </c>
      <c r="I3755" s="14">
        <f>I3756+I3785</f>
        <v>249381.96104999998</v>
      </c>
      <c r="J3755" s="14">
        <f t="shared" ref="J3755" si="1637">J3756+J3785</f>
        <v>240488.04792999997</v>
      </c>
      <c r="K3755" s="78">
        <f t="shared" si="1622"/>
        <v>96.433618100301643</v>
      </c>
      <c r="L3755" s="14">
        <f>L3756+L3785</f>
        <v>0</v>
      </c>
      <c r="M3755" s="50"/>
      <c r="N3755" s="50"/>
    </row>
    <row r="3756" spans="1:14" ht="46.8" x14ac:dyDescent="0.3">
      <c r="A3756" s="64" t="s">
        <v>711</v>
      </c>
      <c r="B3756" s="62" t="s">
        <v>937</v>
      </c>
      <c r="C3756" s="68" t="s">
        <v>1386</v>
      </c>
      <c r="D3756" s="68" t="s">
        <v>1398</v>
      </c>
      <c r="E3756" s="8" t="s">
        <v>625</v>
      </c>
      <c r="F3756" s="8"/>
      <c r="G3756" s="13" t="s">
        <v>1046</v>
      </c>
      <c r="H3756" s="14">
        <f>H3757+H3760+H3768+H3775+H3779</f>
        <v>244891.372</v>
      </c>
      <c r="I3756" s="14">
        <f>I3757+I3760+I3768+I3775+I3779</f>
        <v>244791.37204999998</v>
      </c>
      <c r="J3756" s="14">
        <f t="shared" ref="J3756" si="1638">J3757+J3760+J3768+J3775+J3779</f>
        <v>235974.23872999998</v>
      </c>
      <c r="K3756" s="78">
        <f t="shared" si="1622"/>
        <v>96.3981029044606</v>
      </c>
      <c r="L3756" s="14">
        <f>L3757+L3760+L3768+L3775+L3779</f>
        <v>0</v>
      </c>
      <c r="M3756" s="50"/>
      <c r="N3756" s="50"/>
    </row>
    <row r="3757" spans="1:14" ht="62.4" x14ac:dyDescent="0.3">
      <c r="A3757" s="64" t="s">
        <v>711</v>
      </c>
      <c r="B3757" s="62" t="s">
        <v>937</v>
      </c>
      <c r="C3757" s="68" t="s">
        <v>1386</v>
      </c>
      <c r="D3757" s="68" t="s">
        <v>1398</v>
      </c>
      <c r="E3757" s="8" t="s">
        <v>626</v>
      </c>
      <c r="F3757" s="8"/>
      <c r="G3757" s="13" t="s">
        <v>1047</v>
      </c>
      <c r="H3757" s="14">
        <f t="shared" ref="H3757:L3758" si="1639">H3758</f>
        <v>114361.59</v>
      </c>
      <c r="I3757" s="14">
        <f t="shared" si="1639"/>
        <v>114361.59</v>
      </c>
      <c r="J3757" s="14">
        <f t="shared" si="1639"/>
        <v>113213.36224</v>
      </c>
      <c r="K3757" s="78">
        <f t="shared" si="1622"/>
        <v>98.995967299860027</v>
      </c>
      <c r="L3757" s="14">
        <f t="shared" si="1639"/>
        <v>0</v>
      </c>
      <c r="M3757" s="50"/>
      <c r="N3757" s="50"/>
    </row>
    <row r="3758" spans="1:14" ht="31.2" x14ac:dyDescent="0.3">
      <c r="A3758" s="64" t="s">
        <v>711</v>
      </c>
      <c r="B3758" s="62" t="s">
        <v>937</v>
      </c>
      <c r="C3758" s="68" t="s">
        <v>1386</v>
      </c>
      <c r="D3758" s="68" t="s">
        <v>1398</v>
      </c>
      <c r="E3758" s="8" t="s">
        <v>626</v>
      </c>
      <c r="F3758" s="45" t="s">
        <v>380</v>
      </c>
      <c r="G3758" s="23" t="s">
        <v>809</v>
      </c>
      <c r="H3758" s="14">
        <f t="shared" si="1639"/>
        <v>114361.59</v>
      </c>
      <c r="I3758" s="14">
        <f t="shared" si="1639"/>
        <v>114361.59</v>
      </c>
      <c r="J3758" s="14">
        <f t="shared" si="1639"/>
        <v>113213.36224</v>
      </c>
      <c r="K3758" s="78">
        <f t="shared" si="1622"/>
        <v>98.995967299860027</v>
      </c>
      <c r="L3758" s="14">
        <f t="shared" si="1639"/>
        <v>0</v>
      </c>
      <c r="M3758" s="50"/>
      <c r="N3758" s="50"/>
    </row>
    <row r="3759" spans="1:14" s="1" customFormat="1" ht="31.2" x14ac:dyDescent="0.3">
      <c r="A3759" s="64" t="s">
        <v>711</v>
      </c>
      <c r="B3759" s="62" t="s">
        <v>937</v>
      </c>
      <c r="C3759" s="68" t="s">
        <v>1386</v>
      </c>
      <c r="D3759" s="68" t="s">
        <v>1398</v>
      </c>
      <c r="E3759" s="8" t="s">
        <v>626</v>
      </c>
      <c r="F3759" s="8" t="s">
        <v>247</v>
      </c>
      <c r="G3759" s="23" t="s">
        <v>810</v>
      </c>
      <c r="H3759" s="14">
        <f>119216.1-3332.857-1482.88-38.773</f>
        <v>114361.59</v>
      </c>
      <c r="I3759" s="14">
        <v>114361.59</v>
      </c>
      <c r="J3759" s="14">
        <v>113213.36224</v>
      </c>
      <c r="K3759" s="78">
        <f t="shared" si="1622"/>
        <v>98.995967299860027</v>
      </c>
      <c r="L3759" s="14"/>
      <c r="M3759" s="50"/>
      <c r="N3759" s="50"/>
    </row>
    <row r="3760" spans="1:14" ht="31.2" x14ac:dyDescent="0.3">
      <c r="A3760" s="64" t="s">
        <v>711</v>
      </c>
      <c r="B3760" s="62" t="s">
        <v>937</v>
      </c>
      <c r="C3760" s="68" t="s">
        <v>1386</v>
      </c>
      <c r="D3760" s="68" t="s">
        <v>1398</v>
      </c>
      <c r="E3760" s="8" t="s">
        <v>627</v>
      </c>
      <c r="F3760" s="8"/>
      <c r="G3760" s="13" t="s">
        <v>1048</v>
      </c>
      <c r="H3760" s="14">
        <f t="shared" ref="H3760:L3760" si="1640">H3761</f>
        <v>35777.599999999999</v>
      </c>
      <c r="I3760" s="14">
        <f t="shared" si="1640"/>
        <v>35777.599999999999</v>
      </c>
      <c r="J3760" s="14">
        <f t="shared" si="1640"/>
        <v>35761.730049999998</v>
      </c>
      <c r="K3760" s="78">
        <f t="shared" si="1622"/>
        <v>99.955642776485846</v>
      </c>
      <c r="L3760" s="14">
        <f t="shared" si="1640"/>
        <v>0</v>
      </c>
      <c r="M3760" s="50"/>
      <c r="N3760" s="50"/>
    </row>
    <row r="3761" spans="1:14" ht="62.4" x14ac:dyDescent="0.3">
      <c r="A3761" s="64" t="s">
        <v>711</v>
      </c>
      <c r="B3761" s="62" t="s">
        <v>937</v>
      </c>
      <c r="C3761" s="68" t="s">
        <v>1386</v>
      </c>
      <c r="D3761" s="68" t="s">
        <v>1398</v>
      </c>
      <c r="E3761" s="8" t="s">
        <v>628</v>
      </c>
      <c r="F3761" s="8"/>
      <c r="G3761" s="23" t="s">
        <v>1291</v>
      </c>
      <c r="H3761" s="14">
        <f>H3762+H3764+H3766</f>
        <v>35777.599999999999</v>
      </c>
      <c r="I3761" s="14">
        <f>I3762+I3764+I3766</f>
        <v>35777.599999999999</v>
      </c>
      <c r="J3761" s="14">
        <f t="shared" ref="J3761" si="1641">J3762+J3764+J3766</f>
        <v>35761.730049999998</v>
      </c>
      <c r="K3761" s="78">
        <f t="shared" si="1622"/>
        <v>99.955642776485846</v>
      </c>
      <c r="L3761" s="14">
        <f>L3762+L3764+L3766</f>
        <v>0</v>
      </c>
      <c r="M3761" s="50"/>
      <c r="N3761" s="50"/>
    </row>
    <row r="3762" spans="1:14" ht="78" x14ac:dyDescent="0.3">
      <c r="A3762" s="64" t="s">
        <v>711</v>
      </c>
      <c r="B3762" s="62" t="s">
        <v>937</v>
      </c>
      <c r="C3762" s="68" t="s">
        <v>1386</v>
      </c>
      <c r="D3762" s="68" t="s">
        <v>1398</v>
      </c>
      <c r="E3762" s="8" t="s">
        <v>628</v>
      </c>
      <c r="F3762" s="45" t="s">
        <v>431</v>
      </c>
      <c r="G3762" s="23" t="s">
        <v>806</v>
      </c>
      <c r="H3762" s="14">
        <f t="shared" ref="H3762:L3762" si="1642">H3763</f>
        <v>27288.799999999999</v>
      </c>
      <c r="I3762" s="14">
        <f t="shared" si="1642"/>
        <v>28127.11623</v>
      </c>
      <c r="J3762" s="14">
        <f t="shared" si="1642"/>
        <v>28127.097679999999</v>
      </c>
      <c r="K3762" s="78">
        <f t="shared" si="1622"/>
        <v>99.999934049406818</v>
      </c>
      <c r="L3762" s="14">
        <f t="shared" si="1642"/>
        <v>0</v>
      </c>
      <c r="M3762" s="50"/>
      <c r="N3762" s="50"/>
    </row>
    <row r="3763" spans="1:14" x14ac:dyDescent="0.3">
      <c r="A3763" s="64" t="s">
        <v>711</v>
      </c>
      <c r="B3763" s="62" t="s">
        <v>937</v>
      </c>
      <c r="C3763" s="68" t="s">
        <v>1386</v>
      </c>
      <c r="D3763" s="68" t="s">
        <v>1398</v>
      </c>
      <c r="E3763" s="8" t="s">
        <v>628</v>
      </c>
      <c r="F3763" s="8" t="s">
        <v>719</v>
      </c>
      <c r="G3763" s="23" t="s">
        <v>807</v>
      </c>
      <c r="H3763" s="14">
        <f>24232.2+3056.6</f>
        <v>27288.799999999999</v>
      </c>
      <c r="I3763" s="14">
        <v>28127.11623</v>
      </c>
      <c r="J3763" s="14">
        <v>28127.097679999999</v>
      </c>
      <c r="K3763" s="78">
        <f t="shared" si="1622"/>
        <v>99.999934049406818</v>
      </c>
      <c r="L3763" s="14"/>
      <c r="M3763" s="50"/>
      <c r="N3763" s="50"/>
    </row>
    <row r="3764" spans="1:14" ht="31.2" x14ac:dyDescent="0.3">
      <c r="A3764" s="64" t="s">
        <v>711</v>
      </c>
      <c r="B3764" s="62" t="s">
        <v>937</v>
      </c>
      <c r="C3764" s="68" t="s">
        <v>1386</v>
      </c>
      <c r="D3764" s="68" t="s">
        <v>1398</v>
      </c>
      <c r="E3764" s="8" t="s">
        <v>628</v>
      </c>
      <c r="F3764" s="45" t="s">
        <v>380</v>
      </c>
      <c r="G3764" s="23" t="s">
        <v>809</v>
      </c>
      <c r="H3764" s="14">
        <f t="shared" ref="H3764:L3764" si="1643">H3765</f>
        <v>6343.8</v>
      </c>
      <c r="I3764" s="14">
        <f t="shared" si="1643"/>
        <v>6222.6819599999999</v>
      </c>
      <c r="J3764" s="14">
        <f t="shared" si="1643"/>
        <v>6206.8305600000003</v>
      </c>
      <c r="K3764" s="78">
        <f t="shared" si="1622"/>
        <v>99.745264178662936</v>
      </c>
      <c r="L3764" s="14">
        <f t="shared" si="1643"/>
        <v>0</v>
      </c>
      <c r="M3764" s="50"/>
      <c r="N3764" s="50"/>
    </row>
    <row r="3765" spans="1:14" ht="31.2" x14ac:dyDescent="0.3">
      <c r="A3765" s="64" t="s">
        <v>711</v>
      </c>
      <c r="B3765" s="62" t="s">
        <v>937</v>
      </c>
      <c r="C3765" s="68" t="s">
        <v>1386</v>
      </c>
      <c r="D3765" s="68" t="s">
        <v>1398</v>
      </c>
      <c r="E3765" s="8" t="s">
        <v>628</v>
      </c>
      <c r="F3765" s="8" t="s">
        <v>247</v>
      </c>
      <c r="G3765" s="23" t="s">
        <v>810</v>
      </c>
      <c r="H3765" s="14">
        <f>4518.5+715.032+1261.3-54.67-96.362</f>
        <v>6343.8</v>
      </c>
      <c r="I3765" s="14">
        <v>6222.6819599999999</v>
      </c>
      <c r="J3765" s="14">
        <v>6206.8305600000003</v>
      </c>
      <c r="K3765" s="78">
        <f t="shared" si="1622"/>
        <v>99.745264178662936</v>
      </c>
      <c r="L3765" s="14"/>
      <c r="M3765" s="50"/>
      <c r="N3765" s="50"/>
    </row>
    <row r="3766" spans="1:14" x14ac:dyDescent="0.3">
      <c r="A3766" s="64" t="s">
        <v>711</v>
      </c>
      <c r="B3766" s="62" t="s">
        <v>937</v>
      </c>
      <c r="C3766" s="68" t="s">
        <v>1386</v>
      </c>
      <c r="D3766" s="68" t="s">
        <v>1398</v>
      </c>
      <c r="E3766" s="8" t="s">
        <v>628</v>
      </c>
      <c r="F3766" s="45" t="s">
        <v>464</v>
      </c>
      <c r="G3766" s="23" t="s">
        <v>822</v>
      </c>
      <c r="H3766" s="14">
        <f t="shared" ref="H3766:L3766" si="1644">H3767</f>
        <v>2145</v>
      </c>
      <c r="I3766" s="14">
        <f t="shared" si="1644"/>
        <v>1427.8018099999999</v>
      </c>
      <c r="J3766" s="14">
        <f t="shared" si="1644"/>
        <v>1427.8018099999999</v>
      </c>
      <c r="K3766" s="78">
        <f t="shared" si="1622"/>
        <v>100</v>
      </c>
      <c r="L3766" s="14">
        <f t="shared" si="1644"/>
        <v>0</v>
      </c>
      <c r="M3766" s="50"/>
      <c r="N3766" s="50"/>
    </row>
    <row r="3767" spans="1:14" x14ac:dyDescent="0.3">
      <c r="A3767" s="64" t="s">
        <v>711</v>
      </c>
      <c r="B3767" s="62" t="s">
        <v>937</v>
      </c>
      <c r="C3767" s="68" t="s">
        <v>1386</v>
      </c>
      <c r="D3767" s="68" t="s">
        <v>1398</v>
      </c>
      <c r="E3767" s="8" t="s">
        <v>628</v>
      </c>
      <c r="F3767" s="45" t="s">
        <v>729</v>
      </c>
      <c r="G3767" s="23" t="s">
        <v>824</v>
      </c>
      <c r="H3767" s="14">
        <v>2145</v>
      </c>
      <c r="I3767" s="14">
        <v>1427.8018099999999</v>
      </c>
      <c r="J3767" s="14">
        <v>1427.8018099999999</v>
      </c>
      <c r="K3767" s="78">
        <f t="shared" si="1622"/>
        <v>100</v>
      </c>
      <c r="L3767" s="14"/>
      <c r="M3767" s="50"/>
      <c r="N3767" s="50"/>
    </row>
    <row r="3768" spans="1:14" ht="62.4" x14ac:dyDescent="0.3">
      <c r="A3768" s="64" t="s">
        <v>711</v>
      </c>
      <c r="B3768" s="62" t="s">
        <v>937</v>
      </c>
      <c r="C3768" s="68" t="s">
        <v>1386</v>
      </c>
      <c r="D3768" s="68" t="s">
        <v>1398</v>
      </c>
      <c r="E3768" s="8" t="s">
        <v>629</v>
      </c>
      <c r="F3768" s="8"/>
      <c r="G3768" s="13" t="s">
        <v>1049</v>
      </c>
      <c r="H3768" s="14">
        <f>H3772+H3769</f>
        <v>41728.477000000006</v>
      </c>
      <c r="I3768" s="14">
        <f>I3772+I3769</f>
        <v>41628.477050000001</v>
      </c>
      <c r="J3768" s="14">
        <f t="shared" ref="J3768" si="1645">J3772+J3769</f>
        <v>34933.63147</v>
      </c>
      <c r="K3768" s="78">
        <f t="shared" si="1622"/>
        <v>83.917630299184822</v>
      </c>
      <c r="L3768" s="14">
        <f>L3772+L3769</f>
        <v>0</v>
      </c>
      <c r="M3768" s="50"/>
      <c r="N3768" s="50"/>
    </row>
    <row r="3769" spans="1:14" ht="31.2" x14ac:dyDescent="0.3">
      <c r="A3769" s="64" t="s">
        <v>711</v>
      </c>
      <c r="B3769" s="62" t="s">
        <v>937</v>
      </c>
      <c r="C3769" s="68" t="s">
        <v>1386</v>
      </c>
      <c r="D3769" s="68" t="s">
        <v>1398</v>
      </c>
      <c r="E3769" s="8" t="s">
        <v>1274</v>
      </c>
      <c r="F3769" s="8"/>
      <c r="G3769" s="13" t="s">
        <v>1277</v>
      </c>
      <c r="H3769" s="14">
        <f t="shared" ref="H3769:L3770" si="1646">H3770</f>
        <v>5350</v>
      </c>
      <c r="I3769" s="14">
        <f t="shared" si="1646"/>
        <v>5300</v>
      </c>
      <c r="J3769" s="14">
        <f t="shared" si="1646"/>
        <v>5300</v>
      </c>
      <c r="K3769" s="78">
        <f t="shared" si="1622"/>
        <v>100</v>
      </c>
      <c r="L3769" s="14">
        <f t="shared" si="1646"/>
        <v>0</v>
      </c>
      <c r="M3769" s="50"/>
      <c r="N3769" s="50"/>
    </row>
    <row r="3770" spans="1:14" ht="31.2" x14ac:dyDescent="0.3">
      <c r="A3770" s="64" t="s">
        <v>711</v>
      </c>
      <c r="B3770" s="62" t="s">
        <v>937</v>
      </c>
      <c r="C3770" s="68" t="s">
        <v>1386</v>
      </c>
      <c r="D3770" s="68" t="s">
        <v>1398</v>
      </c>
      <c r="E3770" s="8" t="s">
        <v>1274</v>
      </c>
      <c r="F3770" s="45" t="s">
        <v>380</v>
      </c>
      <c r="G3770" s="23" t="s">
        <v>809</v>
      </c>
      <c r="H3770" s="14">
        <f t="shared" si="1646"/>
        <v>5350</v>
      </c>
      <c r="I3770" s="14">
        <f t="shared" si="1646"/>
        <v>5300</v>
      </c>
      <c r="J3770" s="14">
        <f t="shared" si="1646"/>
        <v>5300</v>
      </c>
      <c r="K3770" s="78">
        <f t="shared" si="1622"/>
        <v>100</v>
      </c>
      <c r="L3770" s="14">
        <f t="shared" si="1646"/>
        <v>0</v>
      </c>
      <c r="M3770" s="50"/>
      <c r="N3770" s="50"/>
    </row>
    <row r="3771" spans="1:14" ht="31.2" x14ac:dyDescent="0.3">
      <c r="A3771" s="64" t="s">
        <v>711</v>
      </c>
      <c r="B3771" s="62" t="s">
        <v>937</v>
      </c>
      <c r="C3771" s="68" t="s">
        <v>1386</v>
      </c>
      <c r="D3771" s="68" t="s">
        <v>1398</v>
      </c>
      <c r="E3771" s="8" t="s">
        <v>1274</v>
      </c>
      <c r="F3771" s="8" t="s">
        <v>247</v>
      </c>
      <c r="G3771" s="23" t="s">
        <v>810</v>
      </c>
      <c r="H3771" s="14">
        <f>5500-50-100</f>
        <v>5350</v>
      </c>
      <c r="I3771" s="14">
        <v>5300</v>
      </c>
      <c r="J3771" s="20">
        <v>5300</v>
      </c>
      <c r="K3771" s="77">
        <f t="shared" si="1622"/>
        <v>100</v>
      </c>
      <c r="L3771" s="14"/>
      <c r="M3771" s="50"/>
      <c r="N3771" s="50"/>
    </row>
    <row r="3772" spans="1:14" ht="62.4" x14ac:dyDescent="0.3">
      <c r="A3772" s="64" t="s">
        <v>711</v>
      </c>
      <c r="B3772" s="62" t="s">
        <v>937</v>
      </c>
      <c r="C3772" s="68" t="s">
        <v>1386</v>
      </c>
      <c r="D3772" s="68" t="s">
        <v>1398</v>
      </c>
      <c r="E3772" s="8" t="s">
        <v>630</v>
      </c>
      <c r="F3772" s="8"/>
      <c r="G3772" s="13" t="s">
        <v>1050</v>
      </c>
      <c r="H3772" s="14">
        <f t="shared" ref="H3772:L3773" si="1647">H3773</f>
        <v>36378.477000000006</v>
      </c>
      <c r="I3772" s="14">
        <f t="shared" si="1647"/>
        <v>36328.477050000001</v>
      </c>
      <c r="J3772" s="14">
        <f t="shared" si="1647"/>
        <v>29633.63147</v>
      </c>
      <c r="K3772" s="78">
        <f t="shared" si="1622"/>
        <v>81.571356347292848</v>
      </c>
      <c r="L3772" s="14">
        <f t="shared" si="1647"/>
        <v>0</v>
      </c>
      <c r="M3772" s="50"/>
      <c r="N3772" s="50"/>
    </row>
    <row r="3773" spans="1:14" ht="31.2" x14ac:dyDescent="0.3">
      <c r="A3773" s="64" t="s">
        <v>711</v>
      </c>
      <c r="B3773" s="62" t="s">
        <v>937</v>
      </c>
      <c r="C3773" s="68" t="s">
        <v>1386</v>
      </c>
      <c r="D3773" s="68" t="s">
        <v>1398</v>
      </c>
      <c r="E3773" s="8" t="s">
        <v>630</v>
      </c>
      <c r="F3773" s="45" t="s">
        <v>380</v>
      </c>
      <c r="G3773" s="23" t="s">
        <v>809</v>
      </c>
      <c r="H3773" s="14">
        <f t="shared" si="1647"/>
        <v>36378.477000000006</v>
      </c>
      <c r="I3773" s="14">
        <f t="shared" si="1647"/>
        <v>36328.477050000001</v>
      </c>
      <c r="J3773" s="14">
        <f t="shared" si="1647"/>
        <v>29633.63147</v>
      </c>
      <c r="K3773" s="78">
        <f t="shared" si="1622"/>
        <v>81.571356347292848</v>
      </c>
      <c r="L3773" s="14">
        <f t="shared" si="1647"/>
        <v>0</v>
      </c>
      <c r="M3773" s="50"/>
      <c r="N3773" s="50"/>
    </row>
    <row r="3774" spans="1:14" ht="31.2" x14ac:dyDescent="0.3">
      <c r="A3774" s="64" t="s">
        <v>711</v>
      </c>
      <c r="B3774" s="62" t="s">
        <v>937</v>
      </c>
      <c r="C3774" s="68" t="s">
        <v>1386</v>
      </c>
      <c r="D3774" s="68" t="s">
        <v>1398</v>
      </c>
      <c r="E3774" s="8" t="s">
        <v>630</v>
      </c>
      <c r="F3774" s="8" t="s">
        <v>247</v>
      </c>
      <c r="G3774" s="23" t="s">
        <v>810</v>
      </c>
      <c r="H3774" s="14">
        <f>31571.7-14.98+3464.4-85+1467.881-25.524</f>
        <v>36378.477000000006</v>
      </c>
      <c r="I3774" s="14">
        <v>36328.477050000001</v>
      </c>
      <c r="J3774" s="14">
        <v>29633.63147</v>
      </c>
      <c r="K3774" s="78">
        <f t="shared" si="1622"/>
        <v>81.571356347292848</v>
      </c>
      <c r="L3774" s="14"/>
      <c r="M3774" s="50"/>
      <c r="N3774" s="50"/>
    </row>
    <row r="3775" spans="1:14" ht="46.8" x14ac:dyDescent="0.3">
      <c r="A3775" s="64" t="s">
        <v>711</v>
      </c>
      <c r="B3775" s="62" t="s">
        <v>937</v>
      </c>
      <c r="C3775" s="68" t="s">
        <v>1386</v>
      </c>
      <c r="D3775" s="68" t="s">
        <v>1398</v>
      </c>
      <c r="E3775" s="8" t="s">
        <v>631</v>
      </c>
      <c r="F3775" s="8"/>
      <c r="G3775" s="13" t="s">
        <v>1270</v>
      </c>
      <c r="H3775" s="14">
        <f t="shared" ref="H3775:L3775" si="1648">H3776</f>
        <v>4294.875</v>
      </c>
      <c r="I3775" s="14">
        <f t="shared" si="1648"/>
        <v>4294.875</v>
      </c>
      <c r="J3775" s="14">
        <f t="shared" si="1648"/>
        <v>4293.0450600000004</v>
      </c>
      <c r="K3775" s="78">
        <f t="shared" si="1622"/>
        <v>99.957392473587717</v>
      </c>
      <c r="L3775" s="14">
        <f t="shared" si="1648"/>
        <v>0</v>
      </c>
      <c r="M3775" s="50"/>
      <c r="N3775" s="50"/>
    </row>
    <row r="3776" spans="1:14" ht="31.2" x14ac:dyDescent="0.3">
      <c r="A3776" s="64" t="s">
        <v>711</v>
      </c>
      <c r="B3776" s="62" t="s">
        <v>937</v>
      </c>
      <c r="C3776" s="68" t="s">
        <v>1386</v>
      </c>
      <c r="D3776" s="68" t="s">
        <v>1398</v>
      </c>
      <c r="E3776" s="8" t="s">
        <v>1266</v>
      </c>
      <c r="F3776" s="8"/>
      <c r="G3776" s="13" t="s">
        <v>1269</v>
      </c>
      <c r="H3776" s="14">
        <f t="shared" ref="H3776:L3777" si="1649">H3777</f>
        <v>4294.875</v>
      </c>
      <c r="I3776" s="14">
        <f t="shared" si="1649"/>
        <v>4294.875</v>
      </c>
      <c r="J3776" s="14">
        <f t="shared" si="1649"/>
        <v>4293.0450600000004</v>
      </c>
      <c r="K3776" s="78">
        <f t="shared" si="1622"/>
        <v>99.957392473587717</v>
      </c>
      <c r="L3776" s="14">
        <f t="shared" si="1649"/>
        <v>0</v>
      </c>
      <c r="M3776" s="50"/>
      <c r="N3776" s="50"/>
    </row>
    <row r="3777" spans="1:14" ht="31.2" x14ac:dyDescent="0.3">
      <c r="A3777" s="64" t="s">
        <v>711</v>
      </c>
      <c r="B3777" s="62" t="s">
        <v>937</v>
      </c>
      <c r="C3777" s="68" t="s">
        <v>1386</v>
      </c>
      <c r="D3777" s="68" t="s">
        <v>1398</v>
      </c>
      <c r="E3777" s="8" t="s">
        <v>1266</v>
      </c>
      <c r="F3777" s="45" t="s">
        <v>380</v>
      </c>
      <c r="G3777" s="23" t="s">
        <v>809</v>
      </c>
      <c r="H3777" s="14">
        <f t="shared" si="1649"/>
        <v>4294.875</v>
      </c>
      <c r="I3777" s="14">
        <f t="shared" si="1649"/>
        <v>4294.875</v>
      </c>
      <c r="J3777" s="14">
        <f t="shared" si="1649"/>
        <v>4293.0450600000004</v>
      </c>
      <c r="K3777" s="78">
        <f t="shared" si="1622"/>
        <v>99.957392473587717</v>
      </c>
      <c r="L3777" s="14">
        <f t="shared" si="1649"/>
        <v>0</v>
      </c>
      <c r="M3777" s="50"/>
      <c r="N3777" s="50"/>
    </row>
    <row r="3778" spans="1:14" ht="31.2" x14ac:dyDescent="0.3">
      <c r="A3778" s="64" t="s">
        <v>711</v>
      </c>
      <c r="B3778" s="62" t="s">
        <v>937</v>
      </c>
      <c r="C3778" s="68" t="s">
        <v>1386</v>
      </c>
      <c r="D3778" s="68" t="s">
        <v>1398</v>
      </c>
      <c r="E3778" s="8" t="s">
        <v>1266</v>
      </c>
      <c r="F3778" s="8" t="s">
        <v>247</v>
      </c>
      <c r="G3778" s="23" t="s">
        <v>810</v>
      </c>
      <c r="H3778" s="14">
        <f>3000+1314.514-19.639</f>
        <v>4294.875</v>
      </c>
      <c r="I3778" s="14">
        <v>4294.875</v>
      </c>
      <c r="J3778" s="14">
        <v>4293.0450600000004</v>
      </c>
      <c r="K3778" s="78">
        <f t="shared" si="1622"/>
        <v>99.957392473587717</v>
      </c>
      <c r="L3778" s="14"/>
      <c r="M3778" s="50"/>
      <c r="N3778" s="50"/>
    </row>
    <row r="3779" spans="1:14" ht="46.8" x14ac:dyDescent="0.3">
      <c r="A3779" s="64" t="s">
        <v>711</v>
      </c>
      <c r="B3779" s="62" t="s">
        <v>937</v>
      </c>
      <c r="C3779" s="68" t="s">
        <v>1386</v>
      </c>
      <c r="D3779" s="68" t="s">
        <v>1398</v>
      </c>
      <c r="E3779" s="8" t="s">
        <v>632</v>
      </c>
      <c r="F3779" s="8"/>
      <c r="G3779" s="13" t="s">
        <v>1051</v>
      </c>
      <c r="H3779" s="14">
        <f t="shared" ref="H3779:L3779" si="1650">H3780</f>
        <v>48728.829999999987</v>
      </c>
      <c r="I3779" s="14">
        <f t="shared" si="1650"/>
        <v>48728.829999999994</v>
      </c>
      <c r="J3779" s="14">
        <f t="shared" si="1650"/>
        <v>47772.46991</v>
      </c>
      <c r="K3779" s="78">
        <f t="shared" si="1622"/>
        <v>98.037383433995856</v>
      </c>
      <c r="L3779" s="14">
        <f t="shared" si="1650"/>
        <v>0</v>
      </c>
      <c r="M3779" s="50"/>
      <c r="N3779" s="50"/>
    </row>
    <row r="3780" spans="1:14" ht="62.4" x14ac:dyDescent="0.3">
      <c r="A3780" s="64" t="s">
        <v>711</v>
      </c>
      <c r="B3780" s="62" t="s">
        <v>937</v>
      </c>
      <c r="C3780" s="68" t="s">
        <v>1386</v>
      </c>
      <c r="D3780" s="68" t="s">
        <v>1398</v>
      </c>
      <c r="E3780" s="8" t="s">
        <v>633</v>
      </c>
      <c r="F3780" s="8"/>
      <c r="G3780" s="13" t="s">
        <v>1052</v>
      </c>
      <c r="H3780" s="14">
        <f>H3781+H3783</f>
        <v>48728.829999999987</v>
      </c>
      <c r="I3780" s="14">
        <f>I3781+I3783</f>
        <v>48728.829999999994</v>
      </c>
      <c r="J3780" s="14">
        <f t="shared" ref="J3780" si="1651">J3781+J3783</f>
        <v>47772.46991</v>
      </c>
      <c r="K3780" s="78">
        <f t="shared" si="1622"/>
        <v>98.037383433995856</v>
      </c>
      <c r="L3780" s="14">
        <f>L3781+L3783</f>
        <v>0</v>
      </c>
      <c r="M3780" s="50"/>
      <c r="N3780" s="50"/>
    </row>
    <row r="3781" spans="1:14" ht="31.2" x14ac:dyDescent="0.3">
      <c r="A3781" s="64" t="s">
        <v>711</v>
      </c>
      <c r="B3781" s="62" t="s">
        <v>937</v>
      </c>
      <c r="C3781" s="68" t="s">
        <v>1386</v>
      </c>
      <c r="D3781" s="68" t="s">
        <v>1398</v>
      </c>
      <c r="E3781" s="8" t="s">
        <v>633</v>
      </c>
      <c r="F3781" s="45" t="s">
        <v>380</v>
      </c>
      <c r="G3781" s="23" t="s">
        <v>809</v>
      </c>
      <c r="H3781" s="14">
        <f t="shared" ref="H3781:L3781" si="1652">H3782</f>
        <v>48718.229999999989</v>
      </c>
      <c r="I3781" s="14">
        <f t="shared" si="1652"/>
        <v>48712.884039999997</v>
      </c>
      <c r="J3781" s="14">
        <f t="shared" si="1652"/>
        <v>47761.83395</v>
      </c>
      <c r="K3781" s="78">
        <f t="shared" si="1622"/>
        <v>98.04764158652759</v>
      </c>
      <c r="L3781" s="14">
        <f t="shared" si="1652"/>
        <v>0</v>
      </c>
      <c r="M3781" s="50"/>
      <c r="N3781" s="50"/>
    </row>
    <row r="3782" spans="1:14" ht="31.2" x14ac:dyDescent="0.3">
      <c r="A3782" s="64" t="s">
        <v>711</v>
      </c>
      <c r="B3782" s="62" t="s">
        <v>937</v>
      </c>
      <c r="C3782" s="68" t="s">
        <v>1386</v>
      </c>
      <c r="D3782" s="68" t="s">
        <v>1398</v>
      </c>
      <c r="E3782" s="8" t="s">
        <v>633</v>
      </c>
      <c r="F3782" s="8" t="s">
        <v>247</v>
      </c>
      <c r="G3782" s="23" t="s">
        <v>810</v>
      </c>
      <c r="H3782" s="14">
        <f>39415.7-81.044+9783.5-13.082-261.525-125.319</f>
        <v>48718.229999999989</v>
      </c>
      <c r="I3782" s="14">
        <v>48712.884039999997</v>
      </c>
      <c r="J3782" s="14">
        <v>47761.83395</v>
      </c>
      <c r="K3782" s="78">
        <f t="shared" si="1622"/>
        <v>98.04764158652759</v>
      </c>
      <c r="L3782" s="14"/>
      <c r="M3782" s="50"/>
      <c r="N3782" s="50"/>
    </row>
    <row r="3783" spans="1:14" x14ac:dyDescent="0.3">
      <c r="A3783" s="64" t="s">
        <v>711</v>
      </c>
      <c r="B3783" s="62" t="s">
        <v>937</v>
      </c>
      <c r="C3783" s="68" t="s">
        <v>1386</v>
      </c>
      <c r="D3783" s="68" t="s">
        <v>1398</v>
      </c>
      <c r="E3783" s="8" t="s">
        <v>633</v>
      </c>
      <c r="F3783" s="45" t="s">
        <v>464</v>
      </c>
      <c r="G3783" s="23" t="s">
        <v>822</v>
      </c>
      <c r="H3783" s="14">
        <f t="shared" ref="H3783:L3783" si="1653">H3784</f>
        <v>10.6</v>
      </c>
      <c r="I3783" s="14">
        <f t="shared" si="1653"/>
        <v>15.945959999999999</v>
      </c>
      <c r="J3783" s="14">
        <f t="shared" si="1653"/>
        <v>10.635960000000001</v>
      </c>
      <c r="K3783" s="78">
        <f t="shared" si="1622"/>
        <v>66.70002934912668</v>
      </c>
      <c r="L3783" s="14">
        <f t="shared" si="1653"/>
        <v>0</v>
      </c>
      <c r="M3783" s="50"/>
      <c r="N3783" s="50"/>
    </row>
    <row r="3784" spans="1:14" x14ac:dyDescent="0.3">
      <c r="A3784" s="64" t="s">
        <v>711</v>
      </c>
      <c r="B3784" s="62" t="s">
        <v>937</v>
      </c>
      <c r="C3784" s="68" t="s">
        <v>1386</v>
      </c>
      <c r="D3784" s="68" t="s">
        <v>1398</v>
      </c>
      <c r="E3784" s="8" t="s">
        <v>633</v>
      </c>
      <c r="F3784" s="45" t="s">
        <v>729</v>
      </c>
      <c r="G3784" s="23" t="s">
        <v>824</v>
      </c>
      <c r="H3784" s="14">
        <v>10.6</v>
      </c>
      <c r="I3784" s="14">
        <v>15.945959999999999</v>
      </c>
      <c r="J3784" s="14">
        <v>10.635960000000001</v>
      </c>
      <c r="K3784" s="78">
        <f t="shared" ref="K3784:K3847" si="1654">J3784/I3784*100</f>
        <v>66.70002934912668</v>
      </c>
      <c r="L3784" s="14"/>
      <c r="M3784" s="50"/>
      <c r="N3784" s="50"/>
    </row>
    <row r="3785" spans="1:14" ht="46.8" x14ac:dyDescent="0.3">
      <c r="A3785" s="64" t="s">
        <v>711</v>
      </c>
      <c r="B3785" s="62" t="s">
        <v>937</v>
      </c>
      <c r="C3785" s="68" t="s">
        <v>1386</v>
      </c>
      <c r="D3785" s="68" t="s">
        <v>1398</v>
      </c>
      <c r="E3785" s="8" t="s">
        <v>362</v>
      </c>
      <c r="F3785" s="8"/>
      <c r="G3785" s="18" t="s">
        <v>1209</v>
      </c>
      <c r="H3785" s="14">
        <f t="shared" ref="H3785:L3788" si="1655">H3786</f>
        <v>4610.5889999999999</v>
      </c>
      <c r="I3785" s="14">
        <f t="shared" si="1655"/>
        <v>4590.5889999999999</v>
      </c>
      <c r="J3785" s="14">
        <f t="shared" si="1655"/>
        <v>4513.8091999999997</v>
      </c>
      <c r="K3785" s="78">
        <f t="shared" si="1654"/>
        <v>98.327452098194797</v>
      </c>
      <c r="L3785" s="14">
        <f t="shared" si="1655"/>
        <v>0</v>
      </c>
      <c r="M3785" s="50"/>
      <c r="N3785" s="50"/>
    </row>
    <row r="3786" spans="1:14" ht="62.4" x14ac:dyDescent="0.3">
      <c r="A3786" s="64" t="s">
        <v>711</v>
      </c>
      <c r="B3786" s="62" t="s">
        <v>937</v>
      </c>
      <c r="C3786" s="68" t="s">
        <v>1386</v>
      </c>
      <c r="D3786" s="68" t="s">
        <v>1398</v>
      </c>
      <c r="E3786" s="8" t="s">
        <v>363</v>
      </c>
      <c r="F3786" s="8"/>
      <c r="G3786" s="13" t="s">
        <v>1053</v>
      </c>
      <c r="H3786" s="14">
        <f t="shared" si="1655"/>
        <v>4610.5889999999999</v>
      </c>
      <c r="I3786" s="14">
        <f t="shared" si="1655"/>
        <v>4590.5889999999999</v>
      </c>
      <c r="J3786" s="14">
        <f t="shared" si="1655"/>
        <v>4513.8091999999997</v>
      </c>
      <c r="K3786" s="78">
        <f t="shared" si="1654"/>
        <v>98.327452098194797</v>
      </c>
      <c r="L3786" s="14">
        <f t="shared" si="1655"/>
        <v>0</v>
      </c>
      <c r="M3786" s="50"/>
      <c r="N3786" s="50"/>
    </row>
    <row r="3787" spans="1:14" ht="31.2" x14ac:dyDescent="0.3">
      <c r="A3787" s="64" t="s">
        <v>711</v>
      </c>
      <c r="B3787" s="62" t="s">
        <v>937</v>
      </c>
      <c r="C3787" s="68" t="s">
        <v>1386</v>
      </c>
      <c r="D3787" s="68" t="s">
        <v>1398</v>
      </c>
      <c r="E3787" s="8" t="s">
        <v>634</v>
      </c>
      <c r="F3787" s="8"/>
      <c r="G3787" s="18" t="s">
        <v>131</v>
      </c>
      <c r="H3787" s="14">
        <f t="shared" si="1655"/>
        <v>4610.5889999999999</v>
      </c>
      <c r="I3787" s="14">
        <f t="shared" si="1655"/>
        <v>4590.5889999999999</v>
      </c>
      <c r="J3787" s="14">
        <f t="shared" si="1655"/>
        <v>4513.8091999999997</v>
      </c>
      <c r="K3787" s="78">
        <f t="shared" si="1654"/>
        <v>98.327452098194797</v>
      </c>
      <c r="L3787" s="14">
        <f t="shared" si="1655"/>
        <v>0</v>
      </c>
      <c r="M3787" s="50"/>
      <c r="N3787" s="50"/>
    </row>
    <row r="3788" spans="1:14" ht="31.2" x14ac:dyDescent="0.3">
      <c r="A3788" s="64" t="s">
        <v>711</v>
      </c>
      <c r="B3788" s="62" t="s">
        <v>937</v>
      </c>
      <c r="C3788" s="68" t="s">
        <v>1386</v>
      </c>
      <c r="D3788" s="68" t="s">
        <v>1398</v>
      </c>
      <c r="E3788" s="8" t="s">
        <v>634</v>
      </c>
      <c r="F3788" s="45" t="s">
        <v>380</v>
      </c>
      <c r="G3788" s="23" t="s">
        <v>809</v>
      </c>
      <c r="H3788" s="14">
        <f t="shared" si="1655"/>
        <v>4610.5889999999999</v>
      </c>
      <c r="I3788" s="14">
        <f t="shared" si="1655"/>
        <v>4590.5889999999999</v>
      </c>
      <c r="J3788" s="14">
        <f t="shared" si="1655"/>
        <v>4513.8091999999997</v>
      </c>
      <c r="K3788" s="78">
        <f t="shared" si="1654"/>
        <v>98.327452098194797</v>
      </c>
      <c r="L3788" s="14">
        <f t="shared" si="1655"/>
        <v>0</v>
      </c>
      <c r="M3788" s="50"/>
      <c r="N3788" s="50"/>
    </row>
    <row r="3789" spans="1:14" ht="31.2" x14ac:dyDescent="0.3">
      <c r="A3789" s="64" t="s">
        <v>711</v>
      </c>
      <c r="B3789" s="62" t="s">
        <v>937</v>
      </c>
      <c r="C3789" s="68" t="s">
        <v>1386</v>
      </c>
      <c r="D3789" s="68" t="s">
        <v>1398</v>
      </c>
      <c r="E3789" s="8" t="s">
        <v>634</v>
      </c>
      <c r="F3789" s="8" t="s">
        <v>247</v>
      </c>
      <c r="G3789" s="23" t="s">
        <v>810</v>
      </c>
      <c r="H3789" s="14">
        <f>4508-1.95+104.539</f>
        <v>4610.5889999999999</v>
      </c>
      <c r="I3789" s="14">
        <v>4590.5889999999999</v>
      </c>
      <c r="J3789" s="14">
        <v>4513.8091999999997</v>
      </c>
      <c r="K3789" s="78">
        <f t="shared" si="1654"/>
        <v>98.327452098194797</v>
      </c>
      <c r="L3789" s="14"/>
      <c r="M3789" s="50"/>
      <c r="N3789" s="50"/>
    </row>
    <row r="3790" spans="1:14" ht="31.2" x14ac:dyDescent="0.3">
      <c r="A3790" s="64" t="s">
        <v>711</v>
      </c>
      <c r="B3790" s="62" t="s">
        <v>937</v>
      </c>
      <c r="C3790" s="68" t="s">
        <v>1386</v>
      </c>
      <c r="D3790" s="68" t="s">
        <v>1398</v>
      </c>
      <c r="E3790" s="8" t="s">
        <v>429</v>
      </c>
      <c r="F3790" s="8"/>
      <c r="G3790" s="13" t="s">
        <v>1140</v>
      </c>
      <c r="H3790" s="20">
        <v>0</v>
      </c>
      <c r="I3790" s="14">
        <f>I3791</f>
        <v>170</v>
      </c>
      <c r="J3790" s="14">
        <f t="shared" ref="J3790:L3792" si="1656">J3791</f>
        <v>170</v>
      </c>
      <c r="K3790" s="78">
        <f t="shared" si="1654"/>
        <v>100</v>
      </c>
      <c r="L3790" s="14">
        <f t="shared" si="1656"/>
        <v>0</v>
      </c>
      <c r="M3790" s="50"/>
      <c r="N3790" s="50"/>
    </row>
    <row r="3791" spans="1:14" ht="46.8" x14ac:dyDescent="0.3">
      <c r="A3791" s="64" t="s">
        <v>711</v>
      </c>
      <c r="B3791" s="62" t="s">
        <v>937</v>
      </c>
      <c r="C3791" s="68" t="s">
        <v>1386</v>
      </c>
      <c r="D3791" s="68" t="s">
        <v>1398</v>
      </c>
      <c r="E3791" s="8" t="s">
        <v>535</v>
      </c>
      <c r="F3791" s="8"/>
      <c r="G3791" s="13" t="s">
        <v>176</v>
      </c>
      <c r="H3791" s="20">
        <v>0</v>
      </c>
      <c r="I3791" s="14">
        <f>I3792</f>
        <v>170</v>
      </c>
      <c r="J3791" s="14">
        <f t="shared" si="1656"/>
        <v>170</v>
      </c>
      <c r="K3791" s="78">
        <f t="shared" si="1654"/>
        <v>100</v>
      </c>
      <c r="L3791" s="14">
        <f t="shared" si="1656"/>
        <v>0</v>
      </c>
      <c r="M3791" s="50"/>
      <c r="N3791" s="50"/>
    </row>
    <row r="3792" spans="1:14" ht="31.2" x14ac:dyDescent="0.3">
      <c r="A3792" s="64" t="s">
        <v>711</v>
      </c>
      <c r="B3792" s="62" t="s">
        <v>937</v>
      </c>
      <c r="C3792" s="68" t="s">
        <v>1386</v>
      </c>
      <c r="D3792" s="68" t="s">
        <v>1398</v>
      </c>
      <c r="E3792" s="8" t="s">
        <v>535</v>
      </c>
      <c r="F3792" s="45" t="s">
        <v>380</v>
      </c>
      <c r="G3792" s="23" t="s">
        <v>809</v>
      </c>
      <c r="H3792" s="20">
        <v>0</v>
      </c>
      <c r="I3792" s="14">
        <f>I3793</f>
        <v>170</v>
      </c>
      <c r="J3792" s="14">
        <f t="shared" si="1656"/>
        <v>170</v>
      </c>
      <c r="K3792" s="78">
        <f t="shared" si="1654"/>
        <v>100</v>
      </c>
      <c r="L3792" s="14">
        <f t="shared" si="1656"/>
        <v>0</v>
      </c>
      <c r="M3792" s="50"/>
      <c r="N3792" s="50"/>
    </row>
    <row r="3793" spans="1:14" ht="31.2" x14ac:dyDescent="0.3">
      <c r="A3793" s="64" t="s">
        <v>711</v>
      </c>
      <c r="B3793" s="62" t="s">
        <v>937</v>
      </c>
      <c r="C3793" s="68" t="s">
        <v>1386</v>
      </c>
      <c r="D3793" s="68" t="s">
        <v>1398</v>
      </c>
      <c r="E3793" s="8" t="s">
        <v>535</v>
      </c>
      <c r="F3793" s="8" t="s">
        <v>247</v>
      </c>
      <c r="G3793" s="23" t="s">
        <v>810</v>
      </c>
      <c r="H3793" s="20">
        <v>0</v>
      </c>
      <c r="I3793" s="14">
        <v>170</v>
      </c>
      <c r="J3793" s="14">
        <v>170</v>
      </c>
      <c r="K3793" s="78">
        <f t="shared" si="1654"/>
        <v>100</v>
      </c>
      <c r="L3793" s="14"/>
      <c r="M3793" s="50"/>
      <c r="N3793" s="50"/>
    </row>
    <row r="3794" spans="1:14" s="3" customFormat="1" x14ac:dyDescent="0.3">
      <c r="A3794" s="4" t="s">
        <v>711</v>
      </c>
      <c r="B3794" s="43" t="s">
        <v>1399</v>
      </c>
      <c r="C3794" s="43" t="s">
        <v>1399</v>
      </c>
      <c r="D3794" s="43" t="s">
        <v>915</v>
      </c>
      <c r="E3794" s="10"/>
      <c r="F3794" s="10"/>
      <c r="G3794" s="5" t="s">
        <v>1400</v>
      </c>
      <c r="H3794" s="15">
        <f t="shared" ref="H3794:L3800" si="1657">H3795</f>
        <v>341502</v>
      </c>
      <c r="I3794" s="15">
        <f>I3795</f>
        <v>569386.56533999997</v>
      </c>
      <c r="J3794" s="15">
        <f t="shared" si="1657"/>
        <v>491622.34644999995</v>
      </c>
      <c r="K3794" s="81">
        <f t="shared" si="1654"/>
        <v>86.342456316375433</v>
      </c>
      <c r="L3794" s="15">
        <f t="shared" si="1657"/>
        <v>0</v>
      </c>
      <c r="M3794" s="65"/>
      <c r="N3794" s="65"/>
    </row>
    <row r="3795" spans="1:14" s="9" customFormat="1" x14ac:dyDescent="0.3">
      <c r="A3795" s="6" t="s">
        <v>711</v>
      </c>
      <c r="B3795" s="48" t="s">
        <v>928</v>
      </c>
      <c r="C3795" s="48" t="s">
        <v>1399</v>
      </c>
      <c r="D3795" s="48" t="s">
        <v>1391</v>
      </c>
      <c r="E3795" s="11"/>
      <c r="F3795" s="11"/>
      <c r="G3795" s="7" t="s">
        <v>1401</v>
      </c>
      <c r="H3795" s="16">
        <f t="shared" si="1657"/>
        <v>341502</v>
      </c>
      <c r="I3795" s="16">
        <f>I3796+I3808</f>
        <v>569386.56533999997</v>
      </c>
      <c r="J3795" s="16">
        <f t="shared" ref="J3795:L3795" si="1658">J3796+J3808</f>
        <v>491622.34644999995</v>
      </c>
      <c r="K3795" s="82">
        <f t="shared" si="1654"/>
        <v>86.342456316375433</v>
      </c>
      <c r="L3795" s="16">
        <f t="shared" si="1658"/>
        <v>0</v>
      </c>
      <c r="M3795" s="65"/>
      <c r="N3795" s="65"/>
    </row>
    <row r="3796" spans="1:14" ht="62.4" x14ac:dyDescent="0.3">
      <c r="A3796" s="64" t="s">
        <v>711</v>
      </c>
      <c r="B3796" s="62" t="s">
        <v>928</v>
      </c>
      <c r="C3796" s="68" t="s">
        <v>1399</v>
      </c>
      <c r="D3796" s="68" t="s">
        <v>1391</v>
      </c>
      <c r="E3796" s="8" t="s">
        <v>361</v>
      </c>
      <c r="F3796" s="8"/>
      <c r="G3796" s="18" t="s">
        <v>1191</v>
      </c>
      <c r="H3796" s="14">
        <f t="shared" si="1657"/>
        <v>341502</v>
      </c>
      <c r="I3796" s="14">
        <f t="shared" si="1657"/>
        <v>341502</v>
      </c>
      <c r="J3796" s="14">
        <f t="shared" si="1657"/>
        <v>263802.61699999997</v>
      </c>
      <c r="K3796" s="78">
        <f t="shared" si="1654"/>
        <v>77.247751696915373</v>
      </c>
      <c r="L3796" s="14">
        <f t="shared" si="1657"/>
        <v>0</v>
      </c>
      <c r="M3796" s="50"/>
      <c r="N3796" s="50"/>
    </row>
    <row r="3797" spans="1:14" ht="46.8" x14ac:dyDescent="0.3">
      <c r="A3797" s="64" t="s">
        <v>711</v>
      </c>
      <c r="B3797" s="62" t="s">
        <v>928</v>
      </c>
      <c r="C3797" s="68" t="s">
        <v>1399</v>
      </c>
      <c r="D3797" s="68" t="s">
        <v>1391</v>
      </c>
      <c r="E3797" s="8" t="s">
        <v>362</v>
      </c>
      <c r="F3797" s="8"/>
      <c r="G3797" s="18" t="s">
        <v>1209</v>
      </c>
      <c r="H3797" s="14">
        <f t="shared" si="1657"/>
        <v>341502</v>
      </c>
      <c r="I3797" s="14">
        <f t="shared" si="1657"/>
        <v>341502</v>
      </c>
      <c r="J3797" s="14">
        <f t="shared" si="1657"/>
        <v>263802.61699999997</v>
      </c>
      <c r="K3797" s="78">
        <f t="shared" si="1654"/>
        <v>77.247751696915373</v>
      </c>
      <c r="L3797" s="14">
        <f t="shared" si="1657"/>
        <v>0</v>
      </c>
      <c r="M3797" s="50"/>
      <c r="N3797" s="50"/>
    </row>
    <row r="3798" spans="1:14" ht="78" x14ac:dyDescent="0.3">
      <c r="A3798" s="64" t="s">
        <v>711</v>
      </c>
      <c r="B3798" s="62" t="s">
        <v>928</v>
      </c>
      <c r="C3798" s="68" t="s">
        <v>1399</v>
      </c>
      <c r="D3798" s="68" t="s">
        <v>1391</v>
      </c>
      <c r="E3798" s="8" t="s">
        <v>617</v>
      </c>
      <c r="F3798" s="8"/>
      <c r="G3798" s="18" t="s">
        <v>129</v>
      </c>
      <c r="H3798" s="14">
        <f>H3799+H3802+H3805</f>
        <v>341502</v>
      </c>
      <c r="I3798" s="14">
        <f>I3799+I3802+I3805</f>
        <v>341502</v>
      </c>
      <c r="J3798" s="14">
        <f t="shared" ref="J3798" si="1659">J3799+J3802+J3805</f>
        <v>263802.61699999997</v>
      </c>
      <c r="K3798" s="78">
        <f t="shared" si="1654"/>
        <v>77.247751696915373</v>
      </c>
      <c r="L3798" s="14">
        <f>L3799+L3802+L3805</f>
        <v>0</v>
      </c>
      <c r="M3798" s="50"/>
      <c r="N3798" s="50"/>
    </row>
    <row r="3799" spans="1:14" ht="62.4" x14ac:dyDescent="0.3">
      <c r="A3799" s="64" t="s">
        <v>711</v>
      </c>
      <c r="B3799" s="62" t="s">
        <v>928</v>
      </c>
      <c r="C3799" s="68" t="s">
        <v>1399</v>
      </c>
      <c r="D3799" s="68" t="s">
        <v>1391</v>
      </c>
      <c r="E3799" s="8" t="s">
        <v>620</v>
      </c>
      <c r="F3799" s="8"/>
      <c r="G3799" s="13" t="s">
        <v>186</v>
      </c>
      <c r="H3799" s="14">
        <f t="shared" si="1657"/>
        <v>88694.911999999997</v>
      </c>
      <c r="I3799" s="14">
        <f t="shared" si="1657"/>
        <v>88694.911999999997</v>
      </c>
      <c r="J3799" s="14">
        <f t="shared" si="1657"/>
        <v>84104.072</v>
      </c>
      <c r="K3799" s="78">
        <f t="shared" si="1654"/>
        <v>94.82400974703036</v>
      </c>
      <c r="L3799" s="14">
        <f t="shared" si="1657"/>
        <v>0</v>
      </c>
      <c r="M3799" s="50"/>
      <c r="N3799" s="50"/>
    </row>
    <row r="3800" spans="1:14" x14ac:dyDescent="0.3">
      <c r="A3800" s="64" t="s">
        <v>711</v>
      </c>
      <c r="B3800" s="62" t="s">
        <v>928</v>
      </c>
      <c r="C3800" s="68" t="s">
        <v>1399</v>
      </c>
      <c r="D3800" s="68" t="s">
        <v>1391</v>
      </c>
      <c r="E3800" s="8" t="s">
        <v>620</v>
      </c>
      <c r="F3800" s="45" t="s">
        <v>464</v>
      </c>
      <c r="G3800" s="23" t="s">
        <v>822</v>
      </c>
      <c r="H3800" s="14">
        <f t="shared" si="1657"/>
        <v>88694.911999999997</v>
      </c>
      <c r="I3800" s="14">
        <f t="shared" si="1657"/>
        <v>88694.911999999997</v>
      </c>
      <c r="J3800" s="14">
        <f t="shared" si="1657"/>
        <v>84104.072</v>
      </c>
      <c r="K3800" s="78">
        <f t="shared" si="1654"/>
        <v>94.82400974703036</v>
      </c>
      <c r="L3800" s="14">
        <f t="shared" si="1657"/>
        <v>0</v>
      </c>
      <c r="M3800" s="50"/>
      <c r="N3800" s="50"/>
    </row>
    <row r="3801" spans="1:14" ht="62.4" x14ac:dyDescent="0.3">
      <c r="A3801" s="64" t="s">
        <v>711</v>
      </c>
      <c r="B3801" s="62" t="s">
        <v>928</v>
      </c>
      <c r="C3801" s="68" t="s">
        <v>1399</v>
      </c>
      <c r="D3801" s="68" t="s">
        <v>1391</v>
      </c>
      <c r="E3801" s="8" t="s">
        <v>620</v>
      </c>
      <c r="F3801" s="45" t="s">
        <v>727</v>
      </c>
      <c r="G3801" s="18" t="s">
        <v>830</v>
      </c>
      <c r="H3801" s="14">
        <f>104621.4-15926.488</f>
        <v>88694.911999999997</v>
      </c>
      <c r="I3801" s="14">
        <v>88694.911999999997</v>
      </c>
      <c r="J3801" s="14">
        <v>84104.072</v>
      </c>
      <c r="K3801" s="78">
        <f t="shared" si="1654"/>
        <v>94.82400974703036</v>
      </c>
      <c r="L3801" s="14"/>
      <c r="M3801" s="50"/>
      <c r="N3801" s="50"/>
    </row>
    <row r="3802" spans="1:14" ht="62.4" x14ac:dyDescent="0.3">
      <c r="A3802" s="64" t="s">
        <v>711</v>
      </c>
      <c r="B3802" s="62" t="s">
        <v>928</v>
      </c>
      <c r="C3802" s="68" t="s">
        <v>1399</v>
      </c>
      <c r="D3802" s="68" t="s">
        <v>1391</v>
      </c>
      <c r="E3802" s="8" t="s">
        <v>622</v>
      </c>
      <c r="F3802" s="8"/>
      <c r="G3802" s="18" t="s">
        <v>762</v>
      </c>
      <c r="H3802" s="14">
        <f t="shared" ref="H3802:L3806" si="1660">H3803</f>
        <v>23194.161</v>
      </c>
      <c r="I3802" s="14">
        <f t="shared" si="1660"/>
        <v>23194.161</v>
      </c>
      <c r="J3802" s="14">
        <f t="shared" si="1660"/>
        <v>23194.161</v>
      </c>
      <c r="K3802" s="78">
        <f t="shared" si="1654"/>
        <v>100</v>
      </c>
      <c r="L3802" s="14">
        <f t="shared" si="1660"/>
        <v>0</v>
      </c>
      <c r="M3802" s="50"/>
      <c r="N3802" s="50"/>
    </row>
    <row r="3803" spans="1:14" x14ac:dyDescent="0.3">
      <c r="A3803" s="64" t="s">
        <v>711</v>
      </c>
      <c r="B3803" s="62" t="s">
        <v>928</v>
      </c>
      <c r="C3803" s="68" t="s">
        <v>1399</v>
      </c>
      <c r="D3803" s="68" t="s">
        <v>1391</v>
      </c>
      <c r="E3803" s="8" t="s">
        <v>622</v>
      </c>
      <c r="F3803" s="45" t="s">
        <v>464</v>
      </c>
      <c r="G3803" s="23" t="s">
        <v>822</v>
      </c>
      <c r="H3803" s="14">
        <f t="shared" si="1660"/>
        <v>23194.161</v>
      </c>
      <c r="I3803" s="14">
        <f t="shared" si="1660"/>
        <v>23194.161</v>
      </c>
      <c r="J3803" s="14">
        <f t="shared" si="1660"/>
        <v>23194.161</v>
      </c>
      <c r="K3803" s="78">
        <f t="shared" si="1654"/>
        <v>100</v>
      </c>
      <c r="L3803" s="14">
        <f t="shared" si="1660"/>
        <v>0</v>
      </c>
      <c r="M3803" s="50"/>
      <c r="N3803" s="50"/>
    </row>
    <row r="3804" spans="1:14" ht="62.4" x14ac:dyDescent="0.3">
      <c r="A3804" s="64" t="s">
        <v>711</v>
      </c>
      <c r="B3804" s="62" t="s">
        <v>928</v>
      </c>
      <c r="C3804" s="68" t="s">
        <v>1399</v>
      </c>
      <c r="D3804" s="68" t="s">
        <v>1391</v>
      </c>
      <c r="E3804" s="8" t="s">
        <v>622</v>
      </c>
      <c r="F3804" s="45" t="s">
        <v>727</v>
      </c>
      <c r="G3804" s="18" t="s">
        <v>830</v>
      </c>
      <c r="H3804" s="14">
        <f>14481+5860.755+2852.406</f>
        <v>23194.161</v>
      </c>
      <c r="I3804" s="14">
        <v>23194.161</v>
      </c>
      <c r="J3804" s="14">
        <v>23194.161</v>
      </c>
      <c r="K3804" s="78">
        <f t="shared" si="1654"/>
        <v>100</v>
      </c>
      <c r="L3804" s="14"/>
      <c r="M3804" s="50"/>
      <c r="N3804" s="50"/>
    </row>
    <row r="3805" spans="1:14" ht="93.6" x14ac:dyDescent="0.3">
      <c r="A3805" s="64" t="s">
        <v>711</v>
      </c>
      <c r="B3805" s="62" t="s">
        <v>928</v>
      </c>
      <c r="C3805" s="68" t="s">
        <v>1399</v>
      </c>
      <c r="D3805" s="68" t="s">
        <v>1391</v>
      </c>
      <c r="E3805" s="8" t="s">
        <v>82</v>
      </c>
      <c r="F3805" s="8"/>
      <c r="G3805" s="13" t="s">
        <v>188</v>
      </c>
      <c r="H3805" s="14">
        <f t="shared" si="1660"/>
        <v>229612.927</v>
      </c>
      <c r="I3805" s="14">
        <f t="shared" si="1660"/>
        <v>229612.927</v>
      </c>
      <c r="J3805" s="14">
        <f t="shared" si="1660"/>
        <v>156504.38399999999</v>
      </c>
      <c r="K3805" s="78">
        <f t="shared" si="1654"/>
        <v>68.160092745997702</v>
      </c>
      <c r="L3805" s="14">
        <f t="shared" si="1660"/>
        <v>0</v>
      </c>
      <c r="M3805" s="50"/>
      <c r="N3805" s="50"/>
    </row>
    <row r="3806" spans="1:14" x14ac:dyDescent="0.3">
      <c r="A3806" s="64" t="s">
        <v>711</v>
      </c>
      <c r="B3806" s="62" t="s">
        <v>928</v>
      </c>
      <c r="C3806" s="68" t="s">
        <v>1399</v>
      </c>
      <c r="D3806" s="68" t="s">
        <v>1391</v>
      </c>
      <c r="E3806" s="8" t="s">
        <v>82</v>
      </c>
      <c r="F3806" s="45" t="s">
        <v>464</v>
      </c>
      <c r="G3806" s="23" t="s">
        <v>822</v>
      </c>
      <c r="H3806" s="14">
        <f t="shared" si="1660"/>
        <v>229612.927</v>
      </c>
      <c r="I3806" s="14">
        <f t="shared" si="1660"/>
        <v>229612.927</v>
      </c>
      <c r="J3806" s="14">
        <f t="shared" si="1660"/>
        <v>156504.38399999999</v>
      </c>
      <c r="K3806" s="78">
        <f t="shared" si="1654"/>
        <v>68.160092745997702</v>
      </c>
      <c r="L3806" s="14">
        <f t="shared" si="1660"/>
        <v>0</v>
      </c>
      <c r="M3806" s="50"/>
      <c r="N3806" s="50"/>
    </row>
    <row r="3807" spans="1:14" ht="62.4" x14ac:dyDescent="0.3">
      <c r="A3807" s="64" t="s">
        <v>711</v>
      </c>
      <c r="B3807" s="62" t="s">
        <v>928</v>
      </c>
      <c r="C3807" s="68" t="s">
        <v>1399</v>
      </c>
      <c r="D3807" s="68" t="s">
        <v>1391</v>
      </c>
      <c r="E3807" s="8" t="s">
        <v>82</v>
      </c>
      <c r="F3807" s="45" t="s">
        <v>727</v>
      </c>
      <c r="G3807" s="18" t="s">
        <v>830</v>
      </c>
      <c r="H3807" s="14">
        <v>229612.927</v>
      </c>
      <c r="I3807" s="14">
        <v>229612.927</v>
      </c>
      <c r="J3807" s="14">
        <v>156504.38399999999</v>
      </c>
      <c r="K3807" s="78">
        <f t="shared" si="1654"/>
        <v>68.160092745997702</v>
      </c>
      <c r="L3807" s="14"/>
      <c r="M3807" s="50"/>
      <c r="N3807" s="50"/>
    </row>
    <row r="3808" spans="1:14" ht="31.2" x14ac:dyDescent="0.3">
      <c r="A3808" s="64" t="s">
        <v>711</v>
      </c>
      <c r="B3808" s="62" t="s">
        <v>928</v>
      </c>
      <c r="C3808" s="68" t="s">
        <v>1399</v>
      </c>
      <c r="D3808" s="68" t="s">
        <v>1391</v>
      </c>
      <c r="E3808" s="8" t="s">
        <v>429</v>
      </c>
      <c r="F3808" s="8"/>
      <c r="G3808" s="13" t="s">
        <v>1140</v>
      </c>
      <c r="H3808" s="20">
        <v>0</v>
      </c>
      <c r="I3808" s="14">
        <f>I3809</f>
        <v>227884.56534</v>
      </c>
      <c r="J3808" s="14">
        <f t="shared" ref="J3808:L3811" si="1661">J3809</f>
        <v>227819.72945000001</v>
      </c>
      <c r="K3808" s="78">
        <f t="shared" si="1654"/>
        <v>99.971548801515681</v>
      </c>
      <c r="L3808" s="14">
        <f t="shared" si="1661"/>
        <v>0</v>
      </c>
      <c r="M3808" s="50"/>
      <c r="N3808" s="50"/>
    </row>
    <row r="3809" spans="1:14" x14ac:dyDescent="0.3">
      <c r="A3809" s="64" t="s">
        <v>711</v>
      </c>
      <c r="B3809" s="62" t="s">
        <v>928</v>
      </c>
      <c r="C3809" s="68" t="s">
        <v>1399</v>
      </c>
      <c r="D3809" s="68" t="s">
        <v>1391</v>
      </c>
      <c r="E3809" s="8" t="s">
        <v>430</v>
      </c>
      <c r="F3809" s="8"/>
      <c r="G3809" s="13" t="s">
        <v>1141</v>
      </c>
      <c r="H3809" s="20">
        <v>0</v>
      </c>
      <c r="I3809" s="14">
        <f>I3810</f>
        <v>227884.56534</v>
      </c>
      <c r="J3809" s="14">
        <f t="shared" si="1661"/>
        <v>227819.72945000001</v>
      </c>
      <c r="K3809" s="78">
        <f t="shared" si="1654"/>
        <v>99.971548801515681</v>
      </c>
      <c r="L3809" s="14">
        <f t="shared" si="1661"/>
        <v>0</v>
      </c>
      <c r="M3809" s="50"/>
      <c r="N3809" s="50"/>
    </row>
    <row r="3810" spans="1:14" ht="46.8" x14ac:dyDescent="0.3">
      <c r="A3810" s="64" t="s">
        <v>711</v>
      </c>
      <c r="B3810" s="62" t="s">
        <v>928</v>
      </c>
      <c r="C3810" s="68" t="s">
        <v>1399</v>
      </c>
      <c r="D3810" s="68" t="s">
        <v>1391</v>
      </c>
      <c r="E3810" s="8" t="s">
        <v>965</v>
      </c>
      <c r="F3810" s="8"/>
      <c r="G3810" s="13" t="s">
        <v>966</v>
      </c>
      <c r="H3810" s="20">
        <v>0</v>
      </c>
      <c r="I3810" s="14">
        <f>I3811</f>
        <v>227884.56534</v>
      </c>
      <c r="J3810" s="14">
        <f t="shared" si="1661"/>
        <v>227819.72945000001</v>
      </c>
      <c r="K3810" s="78">
        <f t="shared" si="1654"/>
        <v>99.971548801515681</v>
      </c>
      <c r="L3810" s="14">
        <f t="shared" si="1661"/>
        <v>0</v>
      </c>
      <c r="M3810" s="50"/>
      <c r="N3810" s="50"/>
    </row>
    <row r="3811" spans="1:14" x14ac:dyDescent="0.3">
      <c r="A3811" s="64" t="s">
        <v>711</v>
      </c>
      <c r="B3811" s="62" t="s">
        <v>928</v>
      </c>
      <c r="C3811" s="68" t="s">
        <v>1399</v>
      </c>
      <c r="D3811" s="68" t="s">
        <v>1391</v>
      </c>
      <c r="E3811" s="8" t="s">
        <v>965</v>
      </c>
      <c r="F3811" s="45" t="s">
        <v>464</v>
      </c>
      <c r="G3811" s="23" t="s">
        <v>822</v>
      </c>
      <c r="H3811" s="20">
        <v>0</v>
      </c>
      <c r="I3811" s="14">
        <f>I3812</f>
        <v>227884.56534</v>
      </c>
      <c r="J3811" s="14">
        <f t="shared" si="1661"/>
        <v>227819.72945000001</v>
      </c>
      <c r="K3811" s="78">
        <f t="shared" si="1654"/>
        <v>99.971548801515681</v>
      </c>
      <c r="L3811" s="14">
        <f t="shared" si="1661"/>
        <v>0</v>
      </c>
      <c r="M3811" s="50"/>
      <c r="N3811" s="50"/>
    </row>
    <row r="3812" spans="1:14" ht="62.4" x14ac:dyDescent="0.3">
      <c r="A3812" s="64" t="s">
        <v>711</v>
      </c>
      <c r="B3812" s="62" t="s">
        <v>928</v>
      </c>
      <c r="C3812" s="68" t="s">
        <v>1399</v>
      </c>
      <c r="D3812" s="68" t="s">
        <v>1391</v>
      </c>
      <c r="E3812" s="8" t="s">
        <v>965</v>
      </c>
      <c r="F3812" s="45" t="s">
        <v>727</v>
      </c>
      <c r="G3812" s="18" t="s">
        <v>830</v>
      </c>
      <c r="H3812" s="20">
        <v>0</v>
      </c>
      <c r="I3812" s="14">
        <v>227884.56534</v>
      </c>
      <c r="J3812" s="14">
        <v>227819.72945000001</v>
      </c>
      <c r="K3812" s="78">
        <f t="shared" si="1654"/>
        <v>99.971548801515681</v>
      </c>
      <c r="L3812" s="14"/>
      <c r="M3812" s="50"/>
      <c r="N3812" s="50"/>
    </row>
    <row r="3813" spans="1:14" s="3" customFormat="1" ht="31.2" x14ac:dyDescent="0.3">
      <c r="A3813" s="4" t="s">
        <v>1436</v>
      </c>
      <c r="B3813" s="43" t="s">
        <v>915</v>
      </c>
      <c r="C3813" s="43" t="s">
        <v>915</v>
      </c>
      <c r="D3813" s="43" t="s">
        <v>915</v>
      </c>
      <c r="E3813" s="4"/>
      <c r="F3813" s="4"/>
      <c r="G3813" s="5" t="s">
        <v>334</v>
      </c>
      <c r="H3813" s="15">
        <f>H3814+H3834+H3842</f>
        <v>50361.01200000001</v>
      </c>
      <c r="I3813" s="15">
        <f>I3814+I3834+I3842</f>
        <v>50451.912000000004</v>
      </c>
      <c r="J3813" s="15">
        <f t="shared" ref="J3813" si="1662">J3814+J3834+J3842</f>
        <v>50313.116930000004</v>
      </c>
      <c r="K3813" s="81">
        <f t="shared" si="1654"/>
        <v>99.724896313146658</v>
      </c>
      <c r="L3813" s="15">
        <f>L3814+L3834+L3842</f>
        <v>0</v>
      </c>
      <c r="M3813" s="65"/>
      <c r="N3813" s="65"/>
    </row>
    <row r="3814" spans="1:14" s="3" customFormat="1" x14ac:dyDescent="0.3">
      <c r="A3814" s="4" t="s">
        <v>1436</v>
      </c>
      <c r="B3814" s="43" t="s">
        <v>1372</v>
      </c>
      <c r="C3814" s="43" t="s">
        <v>1372</v>
      </c>
      <c r="D3814" s="43" t="s">
        <v>915</v>
      </c>
      <c r="E3814" s="4"/>
      <c r="F3814" s="4"/>
      <c r="G3814" s="5" t="s">
        <v>1376</v>
      </c>
      <c r="H3814" s="15">
        <f t="shared" ref="H3814:L3814" si="1663">H3815</f>
        <v>35913.100000000006</v>
      </c>
      <c r="I3814" s="15">
        <f t="shared" si="1663"/>
        <v>35798</v>
      </c>
      <c r="J3814" s="15">
        <f t="shared" si="1663"/>
        <v>35732.76655</v>
      </c>
      <c r="K3814" s="81">
        <f t="shared" si="1654"/>
        <v>99.817773478965307</v>
      </c>
      <c r="L3814" s="15">
        <f t="shared" si="1663"/>
        <v>0</v>
      </c>
      <c r="M3814" s="65"/>
      <c r="N3814" s="65"/>
    </row>
    <row r="3815" spans="1:14" s="9" customFormat="1" x14ac:dyDescent="0.3">
      <c r="A3815" s="6" t="s">
        <v>1436</v>
      </c>
      <c r="B3815" s="48" t="s">
        <v>912</v>
      </c>
      <c r="C3815" s="48" t="s">
        <v>1372</v>
      </c>
      <c r="D3815" s="48" t="s">
        <v>1477</v>
      </c>
      <c r="E3815" s="6"/>
      <c r="F3815" s="6"/>
      <c r="G3815" s="7" t="s">
        <v>1377</v>
      </c>
      <c r="H3815" s="16">
        <f>H3816+H3821</f>
        <v>35913.100000000006</v>
      </c>
      <c r="I3815" s="16">
        <f>I3816+I3821</f>
        <v>35798</v>
      </c>
      <c r="J3815" s="16">
        <f t="shared" ref="J3815" si="1664">J3816+J3821</f>
        <v>35732.76655</v>
      </c>
      <c r="K3815" s="82">
        <f t="shared" si="1654"/>
        <v>99.817773478965307</v>
      </c>
      <c r="L3815" s="16">
        <f>L3816+L3821</f>
        <v>0</v>
      </c>
      <c r="M3815" s="65"/>
      <c r="N3815" s="65"/>
    </row>
    <row r="3816" spans="1:14" ht="31.2" x14ac:dyDescent="0.3">
      <c r="A3816" s="64" t="s">
        <v>1436</v>
      </c>
      <c r="B3816" s="62" t="s">
        <v>912</v>
      </c>
      <c r="C3816" s="68" t="s">
        <v>1372</v>
      </c>
      <c r="D3816" s="68" t="s">
        <v>1477</v>
      </c>
      <c r="E3816" s="8" t="s">
        <v>429</v>
      </c>
      <c r="F3816" s="8"/>
      <c r="G3816" s="23" t="s">
        <v>1140</v>
      </c>
      <c r="H3816" s="14">
        <f t="shared" ref="H3816:L3819" si="1665">H3817</f>
        <v>58.5</v>
      </c>
      <c r="I3816" s="14">
        <f t="shared" si="1665"/>
        <v>58.5</v>
      </c>
      <c r="J3816" s="14">
        <f t="shared" si="1665"/>
        <v>27.59958</v>
      </c>
      <c r="K3816" s="78">
        <f t="shared" si="1654"/>
        <v>47.178769230769227</v>
      </c>
      <c r="L3816" s="14">
        <f t="shared" si="1665"/>
        <v>0</v>
      </c>
      <c r="M3816" s="50"/>
      <c r="N3816" s="50"/>
    </row>
    <row r="3817" spans="1:14" x14ac:dyDescent="0.3">
      <c r="A3817" s="64" t="s">
        <v>1436</v>
      </c>
      <c r="B3817" s="62" t="s">
        <v>912</v>
      </c>
      <c r="C3817" s="68" t="s">
        <v>1372</v>
      </c>
      <c r="D3817" s="68" t="s">
        <v>1477</v>
      </c>
      <c r="E3817" s="8" t="s">
        <v>430</v>
      </c>
      <c r="F3817" s="8"/>
      <c r="G3817" s="23" t="s">
        <v>1141</v>
      </c>
      <c r="H3817" s="14">
        <f t="shared" si="1665"/>
        <v>58.5</v>
      </c>
      <c r="I3817" s="14">
        <f t="shared" si="1665"/>
        <v>58.5</v>
      </c>
      <c r="J3817" s="14">
        <f t="shared" si="1665"/>
        <v>27.59958</v>
      </c>
      <c r="K3817" s="78">
        <f t="shared" si="1654"/>
        <v>47.178769230769227</v>
      </c>
      <c r="L3817" s="14">
        <f t="shared" si="1665"/>
        <v>0</v>
      </c>
      <c r="M3817" s="50"/>
      <c r="N3817" s="50"/>
    </row>
    <row r="3818" spans="1:14" ht="46.8" x14ac:dyDescent="0.3">
      <c r="A3818" s="64" t="s">
        <v>1436</v>
      </c>
      <c r="B3818" s="62" t="s">
        <v>912</v>
      </c>
      <c r="C3818" s="68" t="s">
        <v>1372</v>
      </c>
      <c r="D3818" s="68" t="s">
        <v>1477</v>
      </c>
      <c r="E3818" s="8" t="s">
        <v>552</v>
      </c>
      <c r="F3818" s="8"/>
      <c r="G3818" s="13" t="s">
        <v>1146</v>
      </c>
      <c r="H3818" s="14">
        <f t="shared" si="1665"/>
        <v>58.5</v>
      </c>
      <c r="I3818" s="14">
        <f t="shared" si="1665"/>
        <v>58.5</v>
      </c>
      <c r="J3818" s="14">
        <f t="shared" si="1665"/>
        <v>27.59958</v>
      </c>
      <c r="K3818" s="78">
        <f t="shared" si="1654"/>
        <v>47.178769230769227</v>
      </c>
      <c r="L3818" s="14">
        <f t="shared" si="1665"/>
        <v>0</v>
      </c>
      <c r="M3818" s="50"/>
      <c r="N3818" s="50"/>
    </row>
    <row r="3819" spans="1:14" ht="31.2" x14ac:dyDescent="0.3">
      <c r="A3819" s="64" t="s">
        <v>1436</v>
      </c>
      <c r="B3819" s="62" t="s">
        <v>912</v>
      </c>
      <c r="C3819" s="68" t="s">
        <v>1372</v>
      </c>
      <c r="D3819" s="68" t="s">
        <v>1477</v>
      </c>
      <c r="E3819" s="8" t="s">
        <v>552</v>
      </c>
      <c r="F3819" s="45" t="s">
        <v>380</v>
      </c>
      <c r="G3819" s="23" t="s">
        <v>809</v>
      </c>
      <c r="H3819" s="14">
        <f t="shared" si="1665"/>
        <v>58.5</v>
      </c>
      <c r="I3819" s="14">
        <f t="shared" si="1665"/>
        <v>58.5</v>
      </c>
      <c r="J3819" s="14">
        <f t="shared" si="1665"/>
        <v>27.59958</v>
      </c>
      <c r="K3819" s="78">
        <f t="shared" si="1654"/>
        <v>47.178769230769227</v>
      </c>
      <c r="L3819" s="14">
        <f t="shared" si="1665"/>
        <v>0</v>
      </c>
      <c r="M3819" s="50"/>
      <c r="N3819" s="50"/>
    </row>
    <row r="3820" spans="1:14" ht="31.2" x14ac:dyDescent="0.3">
      <c r="A3820" s="64" t="s">
        <v>1436</v>
      </c>
      <c r="B3820" s="62" t="s">
        <v>912</v>
      </c>
      <c r="C3820" s="68" t="s">
        <v>1372</v>
      </c>
      <c r="D3820" s="68" t="s">
        <v>1477</v>
      </c>
      <c r="E3820" s="8" t="s">
        <v>552</v>
      </c>
      <c r="F3820" s="8" t="s">
        <v>247</v>
      </c>
      <c r="G3820" s="23" t="s">
        <v>810</v>
      </c>
      <c r="H3820" s="14">
        <v>58.5</v>
      </c>
      <c r="I3820" s="14">
        <v>58.5</v>
      </c>
      <c r="J3820" s="14">
        <v>27.59958</v>
      </c>
      <c r="K3820" s="78">
        <f t="shared" si="1654"/>
        <v>47.178769230769227</v>
      </c>
      <c r="L3820" s="14"/>
      <c r="M3820" s="50"/>
      <c r="N3820" s="50"/>
    </row>
    <row r="3821" spans="1:14" ht="31.2" x14ac:dyDescent="0.3">
      <c r="A3821" s="64" t="s">
        <v>1436</v>
      </c>
      <c r="B3821" s="62" t="s">
        <v>912</v>
      </c>
      <c r="C3821" s="68" t="s">
        <v>1372</v>
      </c>
      <c r="D3821" s="68" t="s">
        <v>1477</v>
      </c>
      <c r="E3821" s="8" t="s">
        <v>343</v>
      </c>
      <c r="F3821" s="8"/>
      <c r="G3821" s="23" t="s">
        <v>1157</v>
      </c>
      <c r="H3821" s="14">
        <f t="shared" ref="H3821:L3821" si="1666">H3822</f>
        <v>35854.600000000006</v>
      </c>
      <c r="I3821" s="14">
        <f t="shared" si="1666"/>
        <v>35739.5</v>
      </c>
      <c r="J3821" s="14">
        <f t="shared" si="1666"/>
        <v>35705.166969999998</v>
      </c>
      <c r="K3821" s="78">
        <f t="shared" si="1654"/>
        <v>99.903935337651617</v>
      </c>
      <c r="L3821" s="14">
        <f t="shared" si="1666"/>
        <v>0</v>
      </c>
      <c r="M3821" s="50"/>
      <c r="N3821" s="50"/>
    </row>
    <row r="3822" spans="1:14" x14ac:dyDescent="0.3">
      <c r="A3822" s="64" t="s">
        <v>1436</v>
      </c>
      <c r="B3822" s="62" t="s">
        <v>912</v>
      </c>
      <c r="C3822" s="68" t="s">
        <v>1372</v>
      </c>
      <c r="D3822" s="68" t="s">
        <v>1477</v>
      </c>
      <c r="E3822" s="8" t="s">
        <v>344</v>
      </c>
      <c r="F3822" s="8"/>
      <c r="G3822" s="23" t="s">
        <v>1159</v>
      </c>
      <c r="H3822" s="14">
        <f>H3823+H3826</f>
        <v>35854.600000000006</v>
      </c>
      <c r="I3822" s="14">
        <f>I3823+I3826</f>
        <v>35739.5</v>
      </c>
      <c r="J3822" s="14">
        <f t="shared" ref="J3822" si="1667">J3823+J3826</f>
        <v>35705.166969999998</v>
      </c>
      <c r="K3822" s="78">
        <f t="shared" si="1654"/>
        <v>99.903935337651617</v>
      </c>
      <c r="L3822" s="14">
        <f>L3823+L3826</f>
        <v>0</v>
      </c>
      <c r="M3822" s="50"/>
      <c r="N3822" s="50"/>
    </row>
    <row r="3823" spans="1:14" ht="31.2" x14ac:dyDescent="0.3">
      <c r="A3823" s="64" t="s">
        <v>1436</v>
      </c>
      <c r="B3823" s="62" t="s">
        <v>912</v>
      </c>
      <c r="C3823" s="83" t="s">
        <v>1372</v>
      </c>
      <c r="D3823" s="83" t="s">
        <v>1477</v>
      </c>
      <c r="E3823" s="45" t="s">
        <v>345</v>
      </c>
      <c r="F3823" s="8"/>
      <c r="G3823" s="23" t="s">
        <v>1152</v>
      </c>
      <c r="H3823" s="14">
        <f t="shared" ref="H3823:L3824" si="1668">H3824</f>
        <v>33499.800000000003</v>
      </c>
      <c r="I3823" s="14">
        <f t="shared" si="1668"/>
        <v>33669.993439999998</v>
      </c>
      <c r="J3823" s="14">
        <f t="shared" si="1668"/>
        <v>33653.40079</v>
      </c>
      <c r="K3823" s="78">
        <f t="shared" si="1654"/>
        <v>99.950719770618406</v>
      </c>
      <c r="L3823" s="14">
        <f t="shared" si="1668"/>
        <v>0</v>
      </c>
      <c r="M3823" s="50"/>
      <c r="N3823" s="50"/>
    </row>
    <row r="3824" spans="1:14" ht="78" x14ac:dyDescent="0.3">
      <c r="A3824" s="64" t="s">
        <v>1436</v>
      </c>
      <c r="B3824" s="62" t="s">
        <v>912</v>
      </c>
      <c r="C3824" s="83" t="s">
        <v>1372</v>
      </c>
      <c r="D3824" s="83" t="s">
        <v>1477</v>
      </c>
      <c r="E3824" s="45" t="s">
        <v>345</v>
      </c>
      <c r="F3824" s="45" t="s">
        <v>431</v>
      </c>
      <c r="G3824" s="23" t="s">
        <v>806</v>
      </c>
      <c r="H3824" s="14">
        <f t="shared" si="1668"/>
        <v>33499.800000000003</v>
      </c>
      <c r="I3824" s="14">
        <f t="shared" si="1668"/>
        <v>33669.993439999998</v>
      </c>
      <c r="J3824" s="14">
        <f t="shared" si="1668"/>
        <v>33653.40079</v>
      </c>
      <c r="K3824" s="78">
        <f t="shared" si="1654"/>
        <v>99.950719770618406</v>
      </c>
      <c r="L3824" s="14">
        <f t="shared" si="1668"/>
        <v>0</v>
      </c>
      <c r="M3824" s="50"/>
      <c r="N3824" s="50"/>
    </row>
    <row r="3825" spans="1:14" ht="31.2" x14ac:dyDescent="0.3">
      <c r="A3825" s="64" t="s">
        <v>1436</v>
      </c>
      <c r="B3825" s="62" t="s">
        <v>912</v>
      </c>
      <c r="C3825" s="83" t="s">
        <v>1372</v>
      </c>
      <c r="D3825" s="83" t="s">
        <v>1477</v>
      </c>
      <c r="E3825" s="45" t="s">
        <v>345</v>
      </c>
      <c r="F3825" s="45" t="s">
        <v>233</v>
      </c>
      <c r="G3825" s="23" t="s">
        <v>808</v>
      </c>
      <c r="H3825" s="14">
        <v>33499.800000000003</v>
      </c>
      <c r="I3825" s="14">
        <v>33669.993439999998</v>
      </c>
      <c r="J3825" s="14">
        <v>33653.40079</v>
      </c>
      <c r="K3825" s="78">
        <f t="shared" si="1654"/>
        <v>99.950719770618406</v>
      </c>
      <c r="L3825" s="14"/>
      <c r="M3825" s="50"/>
      <c r="N3825" s="50"/>
    </row>
    <row r="3826" spans="1:14" ht="31.2" x14ac:dyDescent="0.3">
      <c r="A3826" s="64" t="s">
        <v>1436</v>
      </c>
      <c r="B3826" s="62" t="s">
        <v>912</v>
      </c>
      <c r="C3826" s="83" t="s">
        <v>1372</v>
      </c>
      <c r="D3826" s="83" t="s">
        <v>1477</v>
      </c>
      <c r="E3826" s="45" t="s">
        <v>346</v>
      </c>
      <c r="F3826" s="8"/>
      <c r="G3826" s="23" t="s">
        <v>1154</v>
      </c>
      <c r="H3826" s="14">
        <f>H3827+H3829+H3831</f>
        <v>2354.8000000000002</v>
      </c>
      <c r="I3826" s="14">
        <f>I3827+I3829+I3831</f>
        <v>2069.5065600000003</v>
      </c>
      <c r="J3826" s="14">
        <f t="shared" ref="J3826" si="1669">J3827+J3829+J3831</f>
        <v>2051.7661800000001</v>
      </c>
      <c r="K3826" s="78">
        <f t="shared" si="1654"/>
        <v>99.142772468428404</v>
      </c>
      <c r="L3826" s="14">
        <f>L3827+L3829+L3831</f>
        <v>0</v>
      </c>
      <c r="M3826" s="50"/>
      <c r="N3826" s="50"/>
    </row>
    <row r="3827" spans="1:14" ht="78" x14ac:dyDescent="0.3">
      <c r="A3827" s="64" t="s">
        <v>1436</v>
      </c>
      <c r="B3827" s="62" t="s">
        <v>912</v>
      </c>
      <c r="C3827" s="83" t="s">
        <v>1372</v>
      </c>
      <c r="D3827" s="83" t="s">
        <v>1477</v>
      </c>
      <c r="E3827" s="45" t="s">
        <v>346</v>
      </c>
      <c r="F3827" s="45" t="s">
        <v>431</v>
      </c>
      <c r="G3827" s="23" t="s">
        <v>806</v>
      </c>
      <c r="H3827" s="14">
        <f t="shared" ref="H3827:L3827" si="1670">H3828</f>
        <v>50</v>
      </c>
      <c r="I3827" s="14">
        <f t="shared" si="1670"/>
        <v>26.559819999999998</v>
      </c>
      <c r="J3827" s="14">
        <f t="shared" si="1670"/>
        <v>26.559819999999998</v>
      </c>
      <c r="K3827" s="78">
        <f t="shared" si="1654"/>
        <v>100</v>
      </c>
      <c r="L3827" s="14">
        <f t="shared" si="1670"/>
        <v>0</v>
      </c>
      <c r="M3827" s="50"/>
      <c r="N3827" s="50"/>
    </row>
    <row r="3828" spans="1:14" ht="31.2" x14ac:dyDescent="0.3">
      <c r="A3828" s="64" t="s">
        <v>1436</v>
      </c>
      <c r="B3828" s="62" t="s">
        <v>912</v>
      </c>
      <c r="C3828" s="83" t="s">
        <v>1372</v>
      </c>
      <c r="D3828" s="83" t="s">
        <v>1477</v>
      </c>
      <c r="E3828" s="45" t="s">
        <v>346</v>
      </c>
      <c r="F3828" s="45" t="s">
        <v>233</v>
      </c>
      <c r="G3828" s="23" t="s">
        <v>808</v>
      </c>
      <c r="H3828" s="14">
        <v>50</v>
      </c>
      <c r="I3828" s="14">
        <v>26.559819999999998</v>
      </c>
      <c r="J3828" s="14">
        <v>26.559819999999998</v>
      </c>
      <c r="K3828" s="78">
        <f t="shared" si="1654"/>
        <v>100</v>
      </c>
      <c r="L3828" s="14"/>
      <c r="M3828" s="50"/>
      <c r="N3828" s="50"/>
    </row>
    <row r="3829" spans="1:14" ht="31.2" x14ac:dyDescent="0.3">
      <c r="A3829" s="64" t="s">
        <v>1436</v>
      </c>
      <c r="B3829" s="62" t="s">
        <v>912</v>
      </c>
      <c r="C3829" s="83" t="s">
        <v>1372</v>
      </c>
      <c r="D3829" s="83" t="s">
        <v>1477</v>
      </c>
      <c r="E3829" s="45" t="s">
        <v>346</v>
      </c>
      <c r="F3829" s="45" t="s">
        <v>380</v>
      </c>
      <c r="G3829" s="23" t="s">
        <v>809</v>
      </c>
      <c r="H3829" s="14">
        <f t="shared" ref="H3829:L3829" si="1671">H3830</f>
        <v>2300</v>
      </c>
      <c r="I3829" s="14">
        <f t="shared" si="1671"/>
        <v>2039.28394</v>
      </c>
      <c r="J3829" s="14">
        <f t="shared" si="1671"/>
        <v>2021.5435600000001</v>
      </c>
      <c r="K3829" s="78">
        <f t="shared" si="1654"/>
        <v>99.130068174812379</v>
      </c>
      <c r="L3829" s="14">
        <f t="shared" si="1671"/>
        <v>0</v>
      </c>
      <c r="M3829" s="50"/>
      <c r="N3829" s="50"/>
    </row>
    <row r="3830" spans="1:14" ht="31.2" x14ac:dyDescent="0.3">
      <c r="A3830" s="64" t="s">
        <v>1436</v>
      </c>
      <c r="B3830" s="62" t="s">
        <v>912</v>
      </c>
      <c r="C3830" s="83" t="s">
        <v>1372</v>
      </c>
      <c r="D3830" s="83" t="s">
        <v>1477</v>
      </c>
      <c r="E3830" s="45" t="s">
        <v>346</v>
      </c>
      <c r="F3830" s="8" t="s">
        <v>247</v>
      </c>
      <c r="G3830" s="23" t="s">
        <v>810</v>
      </c>
      <c r="H3830" s="14">
        <v>2300</v>
      </c>
      <c r="I3830" s="14">
        <v>2039.28394</v>
      </c>
      <c r="J3830" s="14">
        <v>2021.5435600000001</v>
      </c>
      <c r="K3830" s="78">
        <f t="shared" si="1654"/>
        <v>99.130068174812379</v>
      </c>
      <c r="L3830" s="14"/>
      <c r="M3830" s="50"/>
      <c r="N3830" s="50"/>
    </row>
    <row r="3831" spans="1:14" x14ac:dyDescent="0.3">
      <c r="A3831" s="64" t="s">
        <v>1436</v>
      </c>
      <c r="B3831" s="62" t="s">
        <v>912</v>
      </c>
      <c r="C3831" s="83" t="s">
        <v>1372</v>
      </c>
      <c r="D3831" s="83" t="s">
        <v>1477</v>
      </c>
      <c r="E3831" s="45" t="s">
        <v>346</v>
      </c>
      <c r="F3831" s="45" t="s">
        <v>464</v>
      </c>
      <c r="G3831" s="23" t="s">
        <v>822</v>
      </c>
      <c r="H3831" s="14">
        <f>H3833+H3832</f>
        <v>4.8</v>
      </c>
      <c r="I3831" s="14">
        <f t="shared" ref="I3831:L3831" si="1672">I3833+I3832</f>
        <v>3.6627999999999998</v>
      </c>
      <c r="J3831" s="14">
        <f t="shared" si="1672"/>
        <v>3.6627999999999998</v>
      </c>
      <c r="K3831" s="78">
        <f t="shared" si="1654"/>
        <v>100</v>
      </c>
      <c r="L3831" s="14">
        <f t="shared" si="1672"/>
        <v>0</v>
      </c>
      <c r="M3831" s="50"/>
      <c r="N3831" s="50"/>
    </row>
    <row r="3832" spans="1:14" x14ac:dyDescent="0.3">
      <c r="A3832" s="64" t="s">
        <v>1436</v>
      </c>
      <c r="B3832" s="62" t="s">
        <v>912</v>
      </c>
      <c r="C3832" s="83" t="s">
        <v>1372</v>
      </c>
      <c r="D3832" s="83" t="s">
        <v>1477</v>
      </c>
      <c r="E3832" s="45" t="s">
        <v>346</v>
      </c>
      <c r="F3832" s="45" t="s">
        <v>728</v>
      </c>
      <c r="G3832" s="23" t="s">
        <v>823</v>
      </c>
      <c r="H3832" s="19">
        <v>0</v>
      </c>
      <c r="I3832" s="14">
        <v>0.3</v>
      </c>
      <c r="J3832" s="14">
        <v>0.3</v>
      </c>
      <c r="K3832" s="78">
        <f t="shared" si="1654"/>
        <v>100</v>
      </c>
      <c r="L3832" s="14"/>
      <c r="M3832" s="50"/>
      <c r="N3832" s="50"/>
    </row>
    <row r="3833" spans="1:14" x14ac:dyDescent="0.3">
      <c r="A3833" s="64" t="s">
        <v>1436</v>
      </c>
      <c r="B3833" s="62" t="s">
        <v>912</v>
      </c>
      <c r="C3833" s="83" t="s">
        <v>1372</v>
      </c>
      <c r="D3833" s="83" t="s">
        <v>1477</v>
      </c>
      <c r="E3833" s="45" t="s">
        <v>346</v>
      </c>
      <c r="F3833" s="45" t="s">
        <v>729</v>
      </c>
      <c r="G3833" s="23" t="s">
        <v>824</v>
      </c>
      <c r="H3833" s="14">
        <v>4.8</v>
      </c>
      <c r="I3833" s="14">
        <v>3.3628</v>
      </c>
      <c r="J3833" s="14">
        <v>3.3628</v>
      </c>
      <c r="K3833" s="78">
        <f t="shared" si="1654"/>
        <v>100</v>
      </c>
      <c r="L3833" s="14"/>
      <c r="M3833" s="50"/>
      <c r="N3833" s="50"/>
    </row>
    <row r="3834" spans="1:14" s="3" customFormat="1" ht="31.2" x14ac:dyDescent="0.3">
      <c r="A3834" s="4" t="s">
        <v>1436</v>
      </c>
      <c r="B3834" s="43" t="s">
        <v>1391</v>
      </c>
      <c r="C3834" s="43" t="s">
        <v>1391</v>
      </c>
      <c r="D3834" s="43" t="s">
        <v>915</v>
      </c>
      <c r="E3834" s="4"/>
      <c r="F3834" s="4"/>
      <c r="G3834" s="5" t="s">
        <v>1415</v>
      </c>
      <c r="H3834" s="15">
        <f t="shared" ref="H3834:L3838" si="1673">H3835</f>
        <v>3292.5120000000002</v>
      </c>
      <c r="I3834" s="15">
        <f t="shared" si="1673"/>
        <v>2878.7449999999999</v>
      </c>
      <c r="J3834" s="15">
        <f t="shared" si="1673"/>
        <v>2878.04009</v>
      </c>
      <c r="K3834" s="81">
        <f t="shared" si="1654"/>
        <v>99.975513287908441</v>
      </c>
      <c r="L3834" s="15">
        <f t="shared" si="1673"/>
        <v>0</v>
      </c>
      <c r="M3834" s="65"/>
      <c r="N3834" s="65"/>
    </row>
    <row r="3835" spans="1:14" s="9" customFormat="1" ht="46.8" x14ac:dyDescent="0.3">
      <c r="A3835" s="6" t="s">
        <v>1436</v>
      </c>
      <c r="B3835" s="48" t="s">
        <v>935</v>
      </c>
      <c r="C3835" s="48" t="s">
        <v>1391</v>
      </c>
      <c r="D3835" s="48" t="s">
        <v>1398</v>
      </c>
      <c r="E3835" s="6"/>
      <c r="F3835" s="6"/>
      <c r="G3835" s="7" t="s">
        <v>1420</v>
      </c>
      <c r="H3835" s="16">
        <f t="shared" si="1673"/>
        <v>3292.5120000000002</v>
      </c>
      <c r="I3835" s="16">
        <f t="shared" si="1673"/>
        <v>2878.7449999999999</v>
      </c>
      <c r="J3835" s="16">
        <f t="shared" si="1673"/>
        <v>2878.04009</v>
      </c>
      <c r="K3835" s="82">
        <f t="shared" si="1654"/>
        <v>99.975513287908441</v>
      </c>
      <c r="L3835" s="16">
        <f t="shared" si="1673"/>
        <v>0</v>
      </c>
      <c r="M3835" s="65"/>
      <c r="N3835" s="65"/>
    </row>
    <row r="3836" spans="1:14" ht="46.8" x14ac:dyDescent="0.3">
      <c r="A3836" s="64" t="s">
        <v>1436</v>
      </c>
      <c r="B3836" s="62" t="s">
        <v>935</v>
      </c>
      <c r="C3836" s="68" t="s">
        <v>1391</v>
      </c>
      <c r="D3836" s="68" t="s">
        <v>1398</v>
      </c>
      <c r="E3836" s="8" t="s">
        <v>381</v>
      </c>
      <c r="F3836" s="8"/>
      <c r="G3836" s="18" t="s">
        <v>1061</v>
      </c>
      <c r="H3836" s="14">
        <f t="shared" si="1673"/>
        <v>3292.5120000000002</v>
      </c>
      <c r="I3836" s="14">
        <f t="shared" si="1673"/>
        <v>2878.7449999999999</v>
      </c>
      <c r="J3836" s="14">
        <f t="shared" si="1673"/>
        <v>2878.04009</v>
      </c>
      <c r="K3836" s="78">
        <f t="shared" si="1654"/>
        <v>99.975513287908441</v>
      </c>
      <c r="L3836" s="14">
        <f t="shared" si="1673"/>
        <v>0</v>
      </c>
      <c r="M3836" s="50"/>
      <c r="N3836" s="50"/>
    </row>
    <row r="3837" spans="1:14" ht="62.4" x14ac:dyDescent="0.3">
      <c r="A3837" s="64" t="s">
        <v>1436</v>
      </c>
      <c r="B3837" s="62" t="s">
        <v>935</v>
      </c>
      <c r="C3837" s="68" t="s">
        <v>1391</v>
      </c>
      <c r="D3837" s="68" t="s">
        <v>1398</v>
      </c>
      <c r="E3837" s="8" t="s">
        <v>382</v>
      </c>
      <c r="F3837" s="8"/>
      <c r="G3837" s="18" t="s">
        <v>1062</v>
      </c>
      <c r="H3837" s="14">
        <f t="shared" si="1673"/>
        <v>3292.5120000000002</v>
      </c>
      <c r="I3837" s="14">
        <f t="shared" si="1673"/>
        <v>2878.7449999999999</v>
      </c>
      <c r="J3837" s="14">
        <f t="shared" si="1673"/>
        <v>2878.04009</v>
      </c>
      <c r="K3837" s="78">
        <f t="shared" si="1654"/>
        <v>99.975513287908441</v>
      </c>
      <c r="L3837" s="14">
        <f t="shared" si="1673"/>
        <v>0</v>
      </c>
      <c r="M3837" s="50"/>
      <c r="N3837" s="50"/>
    </row>
    <row r="3838" spans="1:14" ht="62.4" x14ac:dyDescent="0.3">
      <c r="A3838" s="64" t="s">
        <v>1436</v>
      </c>
      <c r="B3838" s="62" t="s">
        <v>935</v>
      </c>
      <c r="C3838" s="68" t="s">
        <v>1391</v>
      </c>
      <c r="D3838" s="68" t="s">
        <v>1398</v>
      </c>
      <c r="E3838" s="8" t="s">
        <v>635</v>
      </c>
      <c r="F3838" s="8"/>
      <c r="G3838" s="13" t="s">
        <v>1063</v>
      </c>
      <c r="H3838" s="14">
        <f t="shared" si="1673"/>
        <v>3292.5120000000002</v>
      </c>
      <c r="I3838" s="14">
        <f t="shared" si="1673"/>
        <v>2878.7449999999999</v>
      </c>
      <c r="J3838" s="14">
        <f t="shared" si="1673"/>
        <v>2878.04009</v>
      </c>
      <c r="K3838" s="78">
        <f t="shared" si="1654"/>
        <v>99.975513287908441</v>
      </c>
      <c r="L3838" s="14">
        <f t="shared" si="1673"/>
        <v>0</v>
      </c>
      <c r="M3838" s="50"/>
      <c r="N3838" s="50"/>
    </row>
    <row r="3839" spans="1:14" ht="46.8" x14ac:dyDescent="0.3">
      <c r="A3839" s="64" t="s">
        <v>1436</v>
      </c>
      <c r="B3839" s="62" t="s">
        <v>935</v>
      </c>
      <c r="C3839" s="68" t="s">
        <v>1391</v>
      </c>
      <c r="D3839" s="68" t="s">
        <v>1398</v>
      </c>
      <c r="E3839" s="8" t="s">
        <v>1226</v>
      </c>
      <c r="F3839" s="8"/>
      <c r="G3839" s="23" t="s">
        <v>1227</v>
      </c>
      <c r="H3839" s="14">
        <f t="shared" ref="H3839:L3840" si="1674">H3840</f>
        <v>3292.5120000000002</v>
      </c>
      <c r="I3839" s="14">
        <f t="shared" si="1674"/>
        <v>2878.7449999999999</v>
      </c>
      <c r="J3839" s="14">
        <f t="shared" si="1674"/>
        <v>2878.04009</v>
      </c>
      <c r="K3839" s="78">
        <f t="shared" si="1654"/>
        <v>99.975513287908441</v>
      </c>
      <c r="L3839" s="14">
        <f t="shared" si="1674"/>
        <v>0</v>
      </c>
      <c r="M3839" s="50"/>
      <c r="N3839" s="50"/>
    </row>
    <row r="3840" spans="1:14" ht="31.2" x14ac:dyDescent="0.3">
      <c r="A3840" s="64" t="s">
        <v>1436</v>
      </c>
      <c r="B3840" s="62" t="s">
        <v>935</v>
      </c>
      <c r="C3840" s="68" t="s">
        <v>1391</v>
      </c>
      <c r="D3840" s="68" t="s">
        <v>1398</v>
      </c>
      <c r="E3840" s="8" t="s">
        <v>1226</v>
      </c>
      <c r="F3840" s="45" t="s">
        <v>380</v>
      </c>
      <c r="G3840" s="23" t="s">
        <v>809</v>
      </c>
      <c r="H3840" s="14">
        <f t="shared" si="1674"/>
        <v>3292.5120000000002</v>
      </c>
      <c r="I3840" s="14">
        <f t="shared" si="1674"/>
        <v>2878.7449999999999</v>
      </c>
      <c r="J3840" s="14">
        <f t="shared" si="1674"/>
        <v>2878.04009</v>
      </c>
      <c r="K3840" s="78">
        <f t="shared" si="1654"/>
        <v>99.975513287908441</v>
      </c>
      <c r="L3840" s="14">
        <f t="shared" si="1674"/>
        <v>0</v>
      </c>
      <c r="M3840" s="50"/>
      <c r="N3840" s="50"/>
    </row>
    <row r="3841" spans="1:14" ht="31.2" x14ac:dyDescent="0.3">
      <c r="A3841" s="64" t="s">
        <v>1436</v>
      </c>
      <c r="B3841" s="62" t="s">
        <v>935</v>
      </c>
      <c r="C3841" s="68" t="s">
        <v>1391</v>
      </c>
      <c r="D3841" s="68" t="s">
        <v>1398</v>
      </c>
      <c r="E3841" s="8" t="s">
        <v>1226</v>
      </c>
      <c r="F3841" s="8" t="s">
        <v>247</v>
      </c>
      <c r="G3841" s="23" t="s">
        <v>810</v>
      </c>
      <c r="H3841" s="14">
        <f>3524.7-226.97-5.218</f>
        <v>3292.5120000000002</v>
      </c>
      <c r="I3841" s="14">
        <v>2878.7449999999999</v>
      </c>
      <c r="J3841" s="14">
        <v>2878.04009</v>
      </c>
      <c r="K3841" s="78">
        <f t="shared" si="1654"/>
        <v>99.975513287908441</v>
      </c>
      <c r="L3841" s="14"/>
      <c r="M3841" s="50"/>
      <c r="N3841" s="50"/>
    </row>
    <row r="3842" spans="1:14" s="3" customFormat="1" x14ac:dyDescent="0.3">
      <c r="A3842" s="4" t="s">
        <v>1436</v>
      </c>
      <c r="B3842" s="43" t="s">
        <v>1386</v>
      </c>
      <c r="C3842" s="43" t="s">
        <v>1386</v>
      </c>
      <c r="D3842" s="43" t="s">
        <v>915</v>
      </c>
      <c r="E3842" s="4"/>
      <c r="F3842" s="4"/>
      <c r="G3842" s="5" t="s">
        <v>1388</v>
      </c>
      <c r="H3842" s="15">
        <f t="shared" ref="H3842:L3842" si="1675">H3843</f>
        <v>11155.4</v>
      </c>
      <c r="I3842" s="15">
        <f t="shared" si="1675"/>
        <v>11775.166999999999</v>
      </c>
      <c r="J3842" s="15">
        <f t="shared" si="1675"/>
        <v>11702.310289999999</v>
      </c>
      <c r="K3842" s="81">
        <f t="shared" si="1654"/>
        <v>99.381268138277775</v>
      </c>
      <c r="L3842" s="15">
        <f t="shared" si="1675"/>
        <v>0</v>
      </c>
      <c r="M3842" s="65"/>
      <c r="N3842" s="65"/>
    </row>
    <row r="3843" spans="1:14" s="9" customFormat="1" x14ac:dyDescent="0.3">
      <c r="A3843" s="6" t="s">
        <v>1436</v>
      </c>
      <c r="B3843" s="48" t="s">
        <v>918</v>
      </c>
      <c r="C3843" s="48" t="s">
        <v>1386</v>
      </c>
      <c r="D3843" s="48" t="s">
        <v>1479</v>
      </c>
      <c r="E3843" s="6"/>
      <c r="F3843" s="6"/>
      <c r="G3843" s="7" t="s">
        <v>1389</v>
      </c>
      <c r="H3843" s="16">
        <f t="shared" ref="H3843:L3843" si="1676">H3844+H3865+H3874</f>
        <v>11155.4</v>
      </c>
      <c r="I3843" s="16">
        <f t="shared" si="1676"/>
        <v>11775.166999999999</v>
      </c>
      <c r="J3843" s="16">
        <f t="shared" si="1676"/>
        <v>11702.310289999999</v>
      </c>
      <c r="K3843" s="82">
        <f t="shared" si="1654"/>
        <v>99.381268138277775</v>
      </c>
      <c r="L3843" s="16">
        <f t="shared" si="1676"/>
        <v>0</v>
      </c>
      <c r="M3843" s="65"/>
      <c r="N3843" s="65"/>
    </row>
    <row r="3844" spans="1:14" ht="31.2" x14ac:dyDescent="0.3">
      <c r="A3844" s="64" t="s">
        <v>1436</v>
      </c>
      <c r="B3844" s="62" t="s">
        <v>918</v>
      </c>
      <c r="C3844" s="68" t="s">
        <v>1386</v>
      </c>
      <c r="D3844" s="68" t="s">
        <v>1479</v>
      </c>
      <c r="E3844" s="8" t="s">
        <v>553</v>
      </c>
      <c r="F3844" s="8"/>
      <c r="G3844" s="13" t="s">
        <v>886</v>
      </c>
      <c r="H3844" s="14">
        <f>H3845+H3849+H3856</f>
        <v>7754.884</v>
      </c>
      <c r="I3844" s="14">
        <f>I3845+I3849+I3856</f>
        <v>8168.6509999999998</v>
      </c>
      <c r="J3844" s="14">
        <f t="shared" ref="J3844" si="1677">J3845+J3849+J3856</f>
        <v>8168.3506299999999</v>
      </c>
      <c r="K3844" s="78">
        <f t="shared" si="1654"/>
        <v>99.996322893461837</v>
      </c>
      <c r="L3844" s="14">
        <f>L3845+L3849+L3856</f>
        <v>0</v>
      </c>
      <c r="M3844" s="50"/>
      <c r="N3844" s="50"/>
    </row>
    <row r="3845" spans="1:14" ht="31.2" x14ac:dyDescent="0.3">
      <c r="A3845" s="64" t="s">
        <v>1436</v>
      </c>
      <c r="B3845" s="62" t="s">
        <v>918</v>
      </c>
      <c r="C3845" s="68" t="s">
        <v>1386</v>
      </c>
      <c r="D3845" s="68" t="s">
        <v>1479</v>
      </c>
      <c r="E3845" s="8" t="s">
        <v>554</v>
      </c>
      <c r="F3845" s="8"/>
      <c r="G3845" s="13" t="s">
        <v>887</v>
      </c>
      <c r="H3845" s="14">
        <f t="shared" ref="H3845:L3847" si="1678">H3846</f>
        <v>250</v>
      </c>
      <c r="I3845" s="14">
        <f t="shared" si="1678"/>
        <v>250</v>
      </c>
      <c r="J3845" s="14">
        <f t="shared" si="1678"/>
        <v>250</v>
      </c>
      <c r="K3845" s="78">
        <f t="shared" si="1654"/>
        <v>100</v>
      </c>
      <c r="L3845" s="14">
        <f t="shared" si="1678"/>
        <v>0</v>
      </c>
      <c r="M3845" s="50"/>
      <c r="N3845" s="50"/>
    </row>
    <row r="3846" spans="1:14" ht="93.6" x14ac:dyDescent="0.3">
      <c r="A3846" s="64" t="s">
        <v>1436</v>
      </c>
      <c r="B3846" s="62" t="s">
        <v>918</v>
      </c>
      <c r="C3846" s="68" t="s">
        <v>1386</v>
      </c>
      <c r="D3846" s="68" t="s">
        <v>1479</v>
      </c>
      <c r="E3846" s="8" t="s">
        <v>555</v>
      </c>
      <c r="F3846" s="8"/>
      <c r="G3846" s="31" t="s">
        <v>28</v>
      </c>
      <c r="H3846" s="14">
        <f t="shared" si="1678"/>
        <v>250</v>
      </c>
      <c r="I3846" s="14">
        <f t="shared" si="1678"/>
        <v>250</v>
      </c>
      <c r="J3846" s="14">
        <f t="shared" si="1678"/>
        <v>250</v>
      </c>
      <c r="K3846" s="78">
        <f t="shared" si="1654"/>
        <v>100</v>
      </c>
      <c r="L3846" s="14">
        <f t="shared" si="1678"/>
        <v>0</v>
      </c>
      <c r="M3846" s="50"/>
      <c r="N3846" s="50"/>
    </row>
    <row r="3847" spans="1:14" ht="31.2" x14ac:dyDescent="0.3">
      <c r="A3847" s="64" t="s">
        <v>1436</v>
      </c>
      <c r="B3847" s="62" t="s">
        <v>918</v>
      </c>
      <c r="C3847" s="68" t="s">
        <v>1386</v>
      </c>
      <c r="D3847" s="68" t="s">
        <v>1479</v>
      </c>
      <c r="E3847" s="8" t="s">
        <v>555</v>
      </c>
      <c r="F3847" s="45" t="s">
        <v>402</v>
      </c>
      <c r="G3847" s="23" t="s">
        <v>819</v>
      </c>
      <c r="H3847" s="14">
        <f t="shared" si="1678"/>
        <v>250</v>
      </c>
      <c r="I3847" s="14">
        <f t="shared" si="1678"/>
        <v>250</v>
      </c>
      <c r="J3847" s="14">
        <f t="shared" si="1678"/>
        <v>250</v>
      </c>
      <c r="K3847" s="78">
        <f t="shared" si="1654"/>
        <v>100</v>
      </c>
      <c r="L3847" s="14">
        <f t="shared" si="1678"/>
        <v>0</v>
      </c>
      <c r="M3847" s="50"/>
      <c r="N3847" s="50"/>
    </row>
    <row r="3848" spans="1:14" ht="46.8" x14ac:dyDescent="0.3">
      <c r="A3848" s="64" t="s">
        <v>1436</v>
      </c>
      <c r="B3848" s="62" t="s">
        <v>918</v>
      </c>
      <c r="C3848" s="68" t="s">
        <v>1386</v>
      </c>
      <c r="D3848" s="68" t="s">
        <v>1479</v>
      </c>
      <c r="E3848" s="8" t="s">
        <v>555</v>
      </c>
      <c r="F3848" s="45" t="s">
        <v>280</v>
      </c>
      <c r="G3848" s="23" t="s">
        <v>821</v>
      </c>
      <c r="H3848" s="14">
        <v>250</v>
      </c>
      <c r="I3848" s="14">
        <v>250</v>
      </c>
      <c r="J3848" s="14">
        <v>250</v>
      </c>
      <c r="K3848" s="78">
        <f t="shared" ref="K3848:K3911" si="1679">J3848/I3848*100</f>
        <v>100</v>
      </c>
      <c r="L3848" s="14"/>
      <c r="M3848" s="50"/>
      <c r="N3848" s="50"/>
    </row>
    <row r="3849" spans="1:14" x14ac:dyDescent="0.3">
      <c r="A3849" s="64" t="s">
        <v>1436</v>
      </c>
      <c r="B3849" s="62" t="s">
        <v>918</v>
      </c>
      <c r="C3849" s="68" t="s">
        <v>1386</v>
      </c>
      <c r="D3849" s="68" t="s">
        <v>1479</v>
      </c>
      <c r="E3849" s="8" t="s">
        <v>556</v>
      </c>
      <c r="F3849" s="8"/>
      <c r="G3849" s="13" t="s">
        <v>888</v>
      </c>
      <c r="H3849" s="14">
        <f t="shared" ref="H3849:L3850" si="1680">H3850</f>
        <v>626.08399999999995</v>
      </c>
      <c r="I3849" s="14">
        <f t="shared" si="1680"/>
        <v>626.08399999999995</v>
      </c>
      <c r="J3849" s="14">
        <f t="shared" si="1680"/>
        <v>626.08399999999995</v>
      </c>
      <c r="K3849" s="78">
        <f t="shared" si="1679"/>
        <v>100</v>
      </c>
      <c r="L3849" s="14">
        <f t="shared" si="1680"/>
        <v>0</v>
      </c>
      <c r="M3849" s="50"/>
      <c r="N3849" s="50"/>
    </row>
    <row r="3850" spans="1:14" ht="31.2" x14ac:dyDescent="0.3">
      <c r="A3850" s="64" t="s">
        <v>1436</v>
      </c>
      <c r="B3850" s="62" t="s">
        <v>918</v>
      </c>
      <c r="C3850" s="68" t="s">
        <v>1386</v>
      </c>
      <c r="D3850" s="68" t="s">
        <v>1479</v>
      </c>
      <c r="E3850" s="8" t="s">
        <v>557</v>
      </c>
      <c r="F3850" s="8"/>
      <c r="G3850" s="18" t="s">
        <v>117</v>
      </c>
      <c r="H3850" s="14">
        <f t="shared" si="1680"/>
        <v>626.08399999999995</v>
      </c>
      <c r="I3850" s="14">
        <f t="shared" si="1680"/>
        <v>626.08399999999995</v>
      </c>
      <c r="J3850" s="14">
        <f t="shared" si="1680"/>
        <v>626.08399999999995</v>
      </c>
      <c r="K3850" s="78">
        <f t="shared" si="1679"/>
        <v>100</v>
      </c>
      <c r="L3850" s="14">
        <f t="shared" si="1680"/>
        <v>0</v>
      </c>
      <c r="M3850" s="50"/>
      <c r="N3850" s="50"/>
    </row>
    <row r="3851" spans="1:14" ht="62.4" x14ac:dyDescent="0.3">
      <c r="A3851" s="64" t="s">
        <v>1436</v>
      </c>
      <c r="B3851" s="62" t="s">
        <v>918</v>
      </c>
      <c r="C3851" s="68" t="s">
        <v>1386</v>
      </c>
      <c r="D3851" s="68" t="s">
        <v>1479</v>
      </c>
      <c r="E3851" s="8" t="s">
        <v>558</v>
      </c>
      <c r="F3851" s="8"/>
      <c r="G3851" s="13" t="s">
        <v>180</v>
      </c>
      <c r="H3851" s="14">
        <f>H3852+H3854</f>
        <v>626.08399999999995</v>
      </c>
      <c r="I3851" s="14">
        <f>I3852+I3854</f>
        <v>626.08399999999995</v>
      </c>
      <c r="J3851" s="14">
        <f t="shared" ref="J3851" si="1681">J3852+J3854</f>
        <v>626.08399999999995</v>
      </c>
      <c r="K3851" s="78">
        <f t="shared" si="1679"/>
        <v>100</v>
      </c>
      <c r="L3851" s="14">
        <f>L3852+L3854</f>
        <v>0</v>
      </c>
      <c r="M3851" s="50"/>
      <c r="N3851" s="50"/>
    </row>
    <row r="3852" spans="1:14" ht="78" x14ac:dyDescent="0.3">
      <c r="A3852" s="64" t="s">
        <v>1436</v>
      </c>
      <c r="B3852" s="62" t="s">
        <v>918</v>
      </c>
      <c r="C3852" s="68" t="s">
        <v>1386</v>
      </c>
      <c r="D3852" s="68" t="s">
        <v>1479</v>
      </c>
      <c r="E3852" s="8" t="s">
        <v>558</v>
      </c>
      <c r="F3852" s="45" t="s">
        <v>431</v>
      </c>
      <c r="G3852" s="23" t="s">
        <v>806</v>
      </c>
      <c r="H3852" s="14">
        <f t="shared" ref="H3852:L3852" si="1682">H3853</f>
        <v>87.3</v>
      </c>
      <c r="I3852" s="14">
        <f t="shared" si="1682"/>
        <v>33.683999999999997</v>
      </c>
      <c r="J3852" s="14">
        <f t="shared" si="1682"/>
        <v>33.683999999999997</v>
      </c>
      <c r="K3852" s="78">
        <f t="shared" si="1679"/>
        <v>100</v>
      </c>
      <c r="L3852" s="14">
        <f t="shared" si="1682"/>
        <v>0</v>
      </c>
      <c r="M3852" s="50"/>
      <c r="N3852" s="50"/>
    </row>
    <row r="3853" spans="1:14" ht="31.2" x14ac:dyDescent="0.3">
      <c r="A3853" s="64" t="s">
        <v>1436</v>
      </c>
      <c r="B3853" s="62" t="s">
        <v>918</v>
      </c>
      <c r="C3853" s="68" t="s">
        <v>1386</v>
      </c>
      <c r="D3853" s="68" t="s">
        <v>1479</v>
      </c>
      <c r="E3853" s="8" t="s">
        <v>558</v>
      </c>
      <c r="F3853" s="45" t="s">
        <v>233</v>
      </c>
      <c r="G3853" s="23" t="s">
        <v>808</v>
      </c>
      <c r="H3853" s="14">
        <v>87.3</v>
      </c>
      <c r="I3853" s="14">
        <v>33.683999999999997</v>
      </c>
      <c r="J3853" s="14">
        <v>33.683999999999997</v>
      </c>
      <c r="K3853" s="78">
        <f t="shared" si="1679"/>
        <v>100</v>
      </c>
      <c r="L3853" s="14"/>
      <c r="M3853" s="50"/>
      <c r="N3853" s="50"/>
    </row>
    <row r="3854" spans="1:14" ht="31.2" x14ac:dyDescent="0.3">
      <c r="A3854" s="64" t="s">
        <v>1436</v>
      </c>
      <c r="B3854" s="62" t="s">
        <v>918</v>
      </c>
      <c r="C3854" s="68" t="s">
        <v>1386</v>
      </c>
      <c r="D3854" s="68" t="s">
        <v>1479</v>
      </c>
      <c r="E3854" s="8" t="s">
        <v>558</v>
      </c>
      <c r="F3854" s="45" t="s">
        <v>380</v>
      </c>
      <c r="G3854" s="23" t="s">
        <v>809</v>
      </c>
      <c r="H3854" s="14">
        <f t="shared" ref="H3854:L3854" si="1683">H3855</f>
        <v>538.78399999999999</v>
      </c>
      <c r="I3854" s="14">
        <f t="shared" si="1683"/>
        <v>592.4</v>
      </c>
      <c r="J3854" s="14">
        <f t="shared" si="1683"/>
        <v>592.4</v>
      </c>
      <c r="K3854" s="78">
        <f t="shared" si="1679"/>
        <v>100</v>
      </c>
      <c r="L3854" s="14">
        <f t="shared" si="1683"/>
        <v>0</v>
      </c>
      <c r="M3854" s="50"/>
      <c r="N3854" s="50"/>
    </row>
    <row r="3855" spans="1:14" ht="31.2" x14ac:dyDescent="0.3">
      <c r="A3855" s="64" t="s">
        <v>1436</v>
      </c>
      <c r="B3855" s="62" t="s">
        <v>918</v>
      </c>
      <c r="C3855" s="68" t="s">
        <v>1386</v>
      </c>
      <c r="D3855" s="68" t="s">
        <v>1479</v>
      </c>
      <c r="E3855" s="8" t="s">
        <v>558</v>
      </c>
      <c r="F3855" s="8" t="s">
        <v>247</v>
      </c>
      <c r="G3855" s="23" t="s">
        <v>810</v>
      </c>
      <c r="H3855" s="14">
        <f>727-188.216</f>
        <v>538.78399999999999</v>
      </c>
      <c r="I3855" s="14">
        <v>592.4</v>
      </c>
      <c r="J3855" s="14">
        <v>592.4</v>
      </c>
      <c r="K3855" s="78">
        <f t="shared" si="1679"/>
        <v>100</v>
      </c>
      <c r="L3855" s="14"/>
      <c r="M3855" s="50"/>
      <c r="N3855" s="50"/>
    </row>
    <row r="3856" spans="1:14" ht="31.2" x14ac:dyDescent="0.3">
      <c r="A3856" s="64" t="s">
        <v>1436</v>
      </c>
      <c r="B3856" s="62" t="s">
        <v>918</v>
      </c>
      <c r="C3856" s="68" t="s">
        <v>1386</v>
      </c>
      <c r="D3856" s="68" t="s">
        <v>1479</v>
      </c>
      <c r="E3856" s="8" t="s">
        <v>559</v>
      </c>
      <c r="F3856" s="8"/>
      <c r="G3856" s="13" t="s">
        <v>889</v>
      </c>
      <c r="H3856" s="14">
        <f>H3857+H3861</f>
        <v>6878.8</v>
      </c>
      <c r="I3856" s="14">
        <f>I3857+I3861</f>
        <v>7292.567</v>
      </c>
      <c r="J3856" s="14">
        <f t="shared" ref="J3856" si="1684">J3857+J3861</f>
        <v>7292.2666300000001</v>
      </c>
      <c r="K3856" s="78">
        <f t="shared" si="1679"/>
        <v>99.995881148572238</v>
      </c>
      <c r="L3856" s="14">
        <f>L3857+L3861</f>
        <v>0</v>
      </c>
      <c r="M3856" s="50"/>
      <c r="N3856" s="50"/>
    </row>
    <row r="3857" spans="1:14" ht="46.8" x14ac:dyDescent="0.3">
      <c r="A3857" s="64" t="s">
        <v>1436</v>
      </c>
      <c r="B3857" s="62" t="s">
        <v>918</v>
      </c>
      <c r="C3857" s="68" t="s">
        <v>1386</v>
      </c>
      <c r="D3857" s="68" t="s">
        <v>1479</v>
      </c>
      <c r="E3857" s="8" t="s">
        <v>560</v>
      </c>
      <c r="F3857" s="8"/>
      <c r="G3857" s="18" t="s">
        <v>763</v>
      </c>
      <c r="H3857" s="14">
        <f t="shared" ref="H3857:L3857" si="1685">H3858</f>
        <v>4990.3</v>
      </c>
      <c r="I3857" s="14">
        <f t="shared" si="1685"/>
        <v>5404.067</v>
      </c>
      <c r="J3857" s="14">
        <f t="shared" si="1685"/>
        <v>5404.0666300000003</v>
      </c>
      <c r="K3857" s="78">
        <f t="shared" si="1679"/>
        <v>99.999993153304729</v>
      </c>
      <c r="L3857" s="14">
        <f t="shared" si="1685"/>
        <v>0</v>
      </c>
      <c r="M3857" s="50"/>
      <c r="N3857" s="50"/>
    </row>
    <row r="3858" spans="1:14" ht="62.4" x14ac:dyDescent="0.3">
      <c r="A3858" s="64" t="s">
        <v>1436</v>
      </c>
      <c r="B3858" s="62" t="s">
        <v>918</v>
      </c>
      <c r="C3858" s="68" t="s">
        <v>1386</v>
      </c>
      <c r="D3858" s="68" t="s">
        <v>1479</v>
      </c>
      <c r="E3858" s="8" t="s">
        <v>561</v>
      </c>
      <c r="F3858" s="8"/>
      <c r="G3858" s="23" t="s">
        <v>1291</v>
      </c>
      <c r="H3858" s="14">
        <f t="shared" ref="H3858:L3859" si="1686">H3859</f>
        <v>4990.3</v>
      </c>
      <c r="I3858" s="14">
        <f t="shared" si="1686"/>
        <v>5404.067</v>
      </c>
      <c r="J3858" s="14">
        <f t="shared" si="1686"/>
        <v>5404.0666300000003</v>
      </c>
      <c r="K3858" s="78">
        <f t="shared" si="1679"/>
        <v>99.999993153304729</v>
      </c>
      <c r="L3858" s="14">
        <f t="shared" si="1686"/>
        <v>0</v>
      </c>
      <c r="M3858" s="50"/>
      <c r="N3858" s="50"/>
    </row>
    <row r="3859" spans="1:14" ht="31.2" x14ac:dyDescent="0.3">
      <c r="A3859" s="64" t="s">
        <v>1436</v>
      </c>
      <c r="B3859" s="62" t="s">
        <v>918</v>
      </c>
      <c r="C3859" s="68" t="s">
        <v>1386</v>
      </c>
      <c r="D3859" s="68" t="s">
        <v>1479</v>
      </c>
      <c r="E3859" s="8" t="s">
        <v>561</v>
      </c>
      <c r="F3859" s="45" t="s">
        <v>402</v>
      </c>
      <c r="G3859" s="23" t="s">
        <v>819</v>
      </c>
      <c r="H3859" s="14">
        <f t="shared" si="1686"/>
        <v>4990.3</v>
      </c>
      <c r="I3859" s="14">
        <f t="shared" si="1686"/>
        <v>5404.067</v>
      </c>
      <c r="J3859" s="14">
        <f t="shared" si="1686"/>
        <v>5404.0666300000003</v>
      </c>
      <c r="K3859" s="78">
        <f t="shared" si="1679"/>
        <v>99.999993153304729</v>
      </c>
      <c r="L3859" s="14">
        <f t="shared" si="1686"/>
        <v>0</v>
      </c>
      <c r="M3859" s="50"/>
      <c r="N3859" s="50"/>
    </row>
    <row r="3860" spans="1:14" x14ac:dyDescent="0.3">
      <c r="A3860" s="64" t="s">
        <v>1436</v>
      </c>
      <c r="B3860" s="62" t="s">
        <v>918</v>
      </c>
      <c r="C3860" s="68" t="s">
        <v>1386</v>
      </c>
      <c r="D3860" s="68" t="s">
        <v>1479</v>
      </c>
      <c r="E3860" s="8" t="s">
        <v>561</v>
      </c>
      <c r="F3860" s="8" t="s">
        <v>726</v>
      </c>
      <c r="G3860" s="13" t="s">
        <v>820</v>
      </c>
      <c r="H3860" s="14">
        <v>4990.3</v>
      </c>
      <c r="I3860" s="14">
        <v>5404.067</v>
      </c>
      <c r="J3860" s="14">
        <v>5404.0666300000003</v>
      </c>
      <c r="K3860" s="78">
        <f t="shared" si="1679"/>
        <v>99.999993153304729</v>
      </c>
      <c r="L3860" s="14"/>
      <c r="M3860" s="50"/>
      <c r="N3860" s="50"/>
    </row>
    <row r="3861" spans="1:14" ht="46.8" x14ac:dyDescent="0.3">
      <c r="A3861" s="64" t="s">
        <v>1436</v>
      </c>
      <c r="B3861" s="62" t="s">
        <v>918</v>
      </c>
      <c r="C3861" s="68" t="s">
        <v>1386</v>
      </c>
      <c r="D3861" s="68" t="s">
        <v>1479</v>
      </c>
      <c r="E3861" s="8" t="s">
        <v>562</v>
      </c>
      <c r="F3861" s="8"/>
      <c r="G3861" s="18" t="s">
        <v>118</v>
      </c>
      <c r="H3861" s="14">
        <f t="shared" ref="H3861:L3862" si="1687">H3862</f>
        <v>1888.5</v>
      </c>
      <c r="I3861" s="14">
        <f t="shared" si="1687"/>
        <v>1888.5</v>
      </c>
      <c r="J3861" s="14">
        <f t="shared" si="1687"/>
        <v>1888.2</v>
      </c>
      <c r="K3861" s="78">
        <f t="shared" si="1679"/>
        <v>99.984114376489273</v>
      </c>
      <c r="L3861" s="14">
        <f t="shared" si="1687"/>
        <v>0</v>
      </c>
      <c r="M3861" s="50"/>
      <c r="N3861" s="50"/>
    </row>
    <row r="3862" spans="1:14" ht="46.8" x14ac:dyDescent="0.3">
      <c r="A3862" s="64" t="s">
        <v>1436</v>
      </c>
      <c r="B3862" s="62" t="s">
        <v>918</v>
      </c>
      <c r="C3862" s="68" t="s">
        <v>1386</v>
      </c>
      <c r="D3862" s="68" t="s">
        <v>1479</v>
      </c>
      <c r="E3862" s="8" t="s">
        <v>563</v>
      </c>
      <c r="F3862" s="8"/>
      <c r="G3862" s="13" t="s">
        <v>890</v>
      </c>
      <c r="H3862" s="14">
        <f>H3863</f>
        <v>1888.5</v>
      </c>
      <c r="I3862" s="14">
        <f t="shared" si="1687"/>
        <v>1888.5</v>
      </c>
      <c r="J3862" s="14">
        <f t="shared" si="1687"/>
        <v>1888.2</v>
      </c>
      <c r="K3862" s="78">
        <f t="shared" si="1679"/>
        <v>99.984114376489273</v>
      </c>
      <c r="L3862" s="14">
        <f t="shared" si="1687"/>
        <v>0</v>
      </c>
      <c r="M3862" s="50"/>
      <c r="N3862" s="50"/>
    </row>
    <row r="3863" spans="1:14" ht="31.2" x14ac:dyDescent="0.3">
      <c r="A3863" s="64" t="s">
        <v>1436</v>
      </c>
      <c r="B3863" s="62" t="s">
        <v>918</v>
      </c>
      <c r="C3863" s="68" t="s">
        <v>1386</v>
      </c>
      <c r="D3863" s="68" t="s">
        <v>1479</v>
      </c>
      <c r="E3863" s="8" t="s">
        <v>563</v>
      </c>
      <c r="F3863" s="45" t="s">
        <v>380</v>
      </c>
      <c r="G3863" s="23" t="s">
        <v>809</v>
      </c>
      <c r="H3863" s="14">
        <f t="shared" ref="H3863:L3863" si="1688">H3864</f>
        <v>1888.5</v>
      </c>
      <c r="I3863" s="14">
        <f t="shared" si="1688"/>
        <v>1888.5</v>
      </c>
      <c r="J3863" s="14">
        <f t="shared" si="1688"/>
        <v>1888.2</v>
      </c>
      <c r="K3863" s="78">
        <f t="shared" si="1679"/>
        <v>99.984114376489273</v>
      </c>
      <c r="L3863" s="14">
        <f t="shared" si="1688"/>
        <v>0</v>
      </c>
      <c r="M3863" s="50"/>
      <c r="N3863" s="50"/>
    </row>
    <row r="3864" spans="1:14" ht="31.2" x14ac:dyDescent="0.3">
      <c r="A3864" s="64" t="s">
        <v>1436</v>
      </c>
      <c r="B3864" s="62" t="s">
        <v>918</v>
      </c>
      <c r="C3864" s="68" t="s">
        <v>1386</v>
      </c>
      <c r="D3864" s="68" t="s">
        <v>1479</v>
      </c>
      <c r="E3864" s="8" t="s">
        <v>563</v>
      </c>
      <c r="F3864" s="8" t="s">
        <v>247</v>
      </c>
      <c r="G3864" s="23" t="s">
        <v>810</v>
      </c>
      <c r="H3864" s="14">
        <v>1888.5</v>
      </c>
      <c r="I3864" s="14">
        <v>1888.5</v>
      </c>
      <c r="J3864" s="14">
        <v>1888.2</v>
      </c>
      <c r="K3864" s="78">
        <f t="shared" si="1679"/>
        <v>99.984114376489273</v>
      </c>
      <c r="L3864" s="14"/>
      <c r="M3864" s="50"/>
      <c r="N3864" s="50"/>
    </row>
    <row r="3865" spans="1:14" ht="31.2" x14ac:dyDescent="0.3">
      <c r="A3865" s="64" t="s">
        <v>1436</v>
      </c>
      <c r="B3865" s="62" t="s">
        <v>918</v>
      </c>
      <c r="C3865" s="68" t="s">
        <v>1386</v>
      </c>
      <c r="D3865" s="68" t="s">
        <v>1479</v>
      </c>
      <c r="E3865" s="8" t="s">
        <v>438</v>
      </c>
      <c r="F3865" s="8"/>
      <c r="G3865" s="18" t="s">
        <v>891</v>
      </c>
      <c r="H3865" s="14">
        <f t="shared" ref="H3865:L3869" si="1689">H3866</f>
        <v>3400.5160000000001</v>
      </c>
      <c r="I3865" s="14">
        <f t="shared" si="1689"/>
        <v>3400.5160000000001</v>
      </c>
      <c r="J3865" s="14">
        <f t="shared" si="1689"/>
        <v>3327.95966</v>
      </c>
      <c r="K3865" s="78">
        <f t="shared" si="1679"/>
        <v>97.866313818255819</v>
      </c>
      <c r="L3865" s="14">
        <f t="shared" si="1689"/>
        <v>0</v>
      </c>
      <c r="M3865" s="50"/>
      <c r="N3865" s="50"/>
    </row>
    <row r="3866" spans="1:14" ht="46.8" x14ac:dyDescent="0.3">
      <c r="A3866" s="64" t="s">
        <v>1436</v>
      </c>
      <c r="B3866" s="62" t="s">
        <v>918</v>
      </c>
      <c r="C3866" s="68" t="s">
        <v>1386</v>
      </c>
      <c r="D3866" s="68" t="s">
        <v>1479</v>
      </c>
      <c r="E3866" s="8" t="s">
        <v>439</v>
      </c>
      <c r="F3866" s="8"/>
      <c r="G3866" s="18" t="s">
        <v>119</v>
      </c>
      <c r="H3866" s="14">
        <f>H3867+H3871</f>
        <v>3400.5160000000001</v>
      </c>
      <c r="I3866" s="14">
        <f>I3867+I3871</f>
        <v>3400.5160000000001</v>
      </c>
      <c r="J3866" s="14">
        <f t="shared" ref="J3866" si="1690">J3867+J3871</f>
        <v>3327.95966</v>
      </c>
      <c r="K3866" s="78">
        <f t="shared" si="1679"/>
        <v>97.866313818255819</v>
      </c>
      <c r="L3866" s="14">
        <f>L3867+L3871</f>
        <v>0</v>
      </c>
      <c r="M3866" s="50"/>
      <c r="N3866" s="50"/>
    </row>
    <row r="3867" spans="1:14" ht="46.8" x14ac:dyDescent="0.3">
      <c r="A3867" s="64" t="s">
        <v>1436</v>
      </c>
      <c r="B3867" s="62" t="s">
        <v>918</v>
      </c>
      <c r="C3867" s="68" t="s">
        <v>1386</v>
      </c>
      <c r="D3867" s="68" t="s">
        <v>1479</v>
      </c>
      <c r="E3867" s="8" t="s">
        <v>442</v>
      </c>
      <c r="F3867" s="8"/>
      <c r="G3867" s="18" t="s">
        <v>1207</v>
      </c>
      <c r="H3867" s="14">
        <f t="shared" si="1689"/>
        <v>500</v>
      </c>
      <c r="I3867" s="14">
        <f t="shared" si="1689"/>
        <v>500</v>
      </c>
      <c r="J3867" s="14">
        <f t="shared" si="1689"/>
        <v>427.44416000000001</v>
      </c>
      <c r="K3867" s="78">
        <f t="shared" si="1679"/>
        <v>85.488832000000002</v>
      </c>
      <c r="L3867" s="14">
        <f t="shared" si="1689"/>
        <v>0</v>
      </c>
      <c r="M3867" s="50"/>
      <c r="N3867" s="50"/>
    </row>
    <row r="3868" spans="1:14" ht="31.2" x14ac:dyDescent="0.3">
      <c r="A3868" s="64" t="s">
        <v>1436</v>
      </c>
      <c r="B3868" s="62" t="s">
        <v>918</v>
      </c>
      <c r="C3868" s="68" t="s">
        <v>1386</v>
      </c>
      <c r="D3868" s="68" t="s">
        <v>1479</v>
      </c>
      <c r="E3868" s="8" t="s">
        <v>84</v>
      </c>
      <c r="F3868" s="8"/>
      <c r="G3868" s="18" t="s">
        <v>154</v>
      </c>
      <c r="H3868" s="14">
        <f t="shared" si="1689"/>
        <v>500</v>
      </c>
      <c r="I3868" s="14">
        <f t="shared" si="1689"/>
        <v>500</v>
      </c>
      <c r="J3868" s="14">
        <f t="shared" si="1689"/>
        <v>427.44416000000001</v>
      </c>
      <c r="K3868" s="78">
        <f t="shared" si="1679"/>
        <v>85.488832000000002</v>
      </c>
      <c r="L3868" s="14">
        <f t="shared" si="1689"/>
        <v>0</v>
      </c>
      <c r="M3868" s="50"/>
      <c r="N3868" s="50"/>
    </row>
    <row r="3869" spans="1:14" ht="31.2" x14ac:dyDescent="0.3">
      <c r="A3869" s="64" t="s">
        <v>1436</v>
      </c>
      <c r="B3869" s="62" t="s">
        <v>918</v>
      </c>
      <c r="C3869" s="68" t="s">
        <v>1386</v>
      </c>
      <c r="D3869" s="68" t="s">
        <v>1479</v>
      </c>
      <c r="E3869" s="8" t="s">
        <v>84</v>
      </c>
      <c r="F3869" s="45" t="s">
        <v>380</v>
      </c>
      <c r="G3869" s="23" t="s">
        <v>809</v>
      </c>
      <c r="H3869" s="14">
        <f t="shared" si="1689"/>
        <v>500</v>
      </c>
      <c r="I3869" s="14">
        <f t="shared" si="1689"/>
        <v>500</v>
      </c>
      <c r="J3869" s="14">
        <f t="shared" si="1689"/>
        <v>427.44416000000001</v>
      </c>
      <c r="K3869" s="78">
        <f t="shared" si="1679"/>
        <v>85.488832000000002</v>
      </c>
      <c r="L3869" s="14">
        <f t="shared" si="1689"/>
        <v>0</v>
      </c>
      <c r="M3869" s="50"/>
      <c r="N3869" s="50"/>
    </row>
    <row r="3870" spans="1:14" ht="31.2" x14ac:dyDescent="0.3">
      <c r="A3870" s="64" t="s">
        <v>1436</v>
      </c>
      <c r="B3870" s="62" t="s">
        <v>918</v>
      </c>
      <c r="C3870" s="68" t="s">
        <v>1386</v>
      </c>
      <c r="D3870" s="68" t="s">
        <v>1479</v>
      </c>
      <c r="E3870" s="8" t="s">
        <v>84</v>
      </c>
      <c r="F3870" s="8" t="s">
        <v>247</v>
      </c>
      <c r="G3870" s="23" t="s">
        <v>810</v>
      </c>
      <c r="H3870" s="14">
        <f>1000-500</f>
        <v>500</v>
      </c>
      <c r="I3870" s="14">
        <v>500</v>
      </c>
      <c r="J3870" s="14">
        <v>427.44416000000001</v>
      </c>
      <c r="K3870" s="78">
        <f t="shared" si="1679"/>
        <v>85.488832000000002</v>
      </c>
      <c r="L3870" s="14"/>
      <c r="M3870" s="50"/>
      <c r="N3870" s="50"/>
    </row>
    <row r="3871" spans="1:14" ht="46.8" x14ac:dyDescent="0.3">
      <c r="A3871" s="64" t="s">
        <v>1436</v>
      </c>
      <c r="B3871" s="62" t="s">
        <v>918</v>
      </c>
      <c r="C3871" s="68" t="s">
        <v>1386</v>
      </c>
      <c r="D3871" s="68" t="s">
        <v>1479</v>
      </c>
      <c r="E3871" s="8" t="s">
        <v>1268</v>
      </c>
      <c r="F3871" s="8"/>
      <c r="G3871" s="23" t="s">
        <v>750</v>
      </c>
      <c r="H3871" s="14">
        <f t="shared" ref="H3871:L3872" si="1691">H3872</f>
        <v>2900.5160000000001</v>
      </c>
      <c r="I3871" s="14">
        <f t="shared" si="1691"/>
        <v>2900.5160000000001</v>
      </c>
      <c r="J3871" s="14">
        <f t="shared" si="1691"/>
        <v>2900.5155</v>
      </c>
      <c r="K3871" s="78">
        <f t="shared" si="1679"/>
        <v>99.999982761687917</v>
      </c>
      <c r="L3871" s="14">
        <f t="shared" si="1691"/>
        <v>0</v>
      </c>
      <c r="M3871" s="50"/>
      <c r="N3871" s="50"/>
    </row>
    <row r="3872" spans="1:14" ht="31.2" x14ac:dyDescent="0.3">
      <c r="A3872" s="64" t="s">
        <v>1436</v>
      </c>
      <c r="B3872" s="62" t="s">
        <v>918</v>
      </c>
      <c r="C3872" s="68" t="s">
        <v>1386</v>
      </c>
      <c r="D3872" s="68" t="s">
        <v>1479</v>
      </c>
      <c r="E3872" s="8" t="s">
        <v>1268</v>
      </c>
      <c r="F3872" s="45" t="s">
        <v>380</v>
      </c>
      <c r="G3872" s="23" t="s">
        <v>809</v>
      </c>
      <c r="H3872" s="14">
        <f t="shared" si="1691"/>
        <v>2900.5160000000001</v>
      </c>
      <c r="I3872" s="14">
        <f t="shared" si="1691"/>
        <v>2900.5160000000001</v>
      </c>
      <c r="J3872" s="14">
        <f t="shared" si="1691"/>
        <v>2900.5155</v>
      </c>
      <c r="K3872" s="78">
        <f t="shared" si="1679"/>
        <v>99.999982761687917</v>
      </c>
      <c r="L3872" s="14">
        <f t="shared" si="1691"/>
        <v>0</v>
      </c>
      <c r="M3872" s="50"/>
      <c r="N3872" s="50"/>
    </row>
    <row r="3873" spans="1:14" ht="31.2" x14ac:dyDescent="0.3">
      <c r="A3873" s="64" t="s">
        <v>1436</v>
      </c>
      <c r="B3873" s="62" t="s">
        <v>918</v>
      </c>
      <c r="C3873" s="68" t="s">
        <v>1386</v>
      </c>
      <c r="D3873" s="68" t="s">
        <v>1479</v>
      </c>
      <c r="E3873" s="8" t="s">
        <v>1268</v>
      </c>
      <c r="F3873" s="8" t="s">
        <v>247</v>
      </c>
      <c r="G3873" s="23" t="s">
        <v>810</v>
      </c>
      <c r="H3873" s="14">
        <f>2824.6-712.3+788.216</f>
        <v>2900.5160000000001</v>
      </c>
      <c r="I3873" s="14">
        <v>2900.5160000000001</v>
      </c>
      <c r="J3873" s="14">
        <v>2900.5155</v>
      </c>
      <c r="K3873" s="78">
        <f t="shared" si="1679"/>
        <v>99.999982761687917</v>
      </c>
      <c r="L3873" s="14"/>
      <c r="M3873" s="50"/>
      <c r="N3873" s="50"/>
    </row>
    <row r="3874" spans="1:14" ht="46.8" x14ac:dyDescent="0.3">
      <c r="A3874" s="64" t="s">
        <v>1436</v>
      </c>
      <c r="B3874" s="62" t="s">
        <v>918</v>
      </c>
      <c r="C3874" s="68" t="s">
        <v>1386</v>
      </c>
      <c r="D3874" s="68" t="s">
        <v>1479</v>
      </c>
      <c r="E3874" s="8" t="s">
        <v>493</v>
      </c>
      <c r="F3874" s="8"/>
      <c r="G3874" s="23" t="s">
        <v>1160</v>
      </c>
      <c r="H3874" s="14">
        <f>H3875</f>
        <v>0</v>
      </c>
      <c r="I3874" s="14">
        <f t="shared" ref="I3874:L3877" si="1692">I3875</f>
        <v>206</v>
      </c>
      <c r="J3874" s="14">
        <f t="shared" si="1692"/>
        <v>206</v>
      </c>
      <c r="K3874" s="78">
        <f t="shared" si="1679"/>
        <v>100</v>
      </c>
      <c r="L3874" s="14">
        <f t="shared" si="1692"/>
        <v>0</v>
      </c>
      <c r="M3874" s="50"/>
      <c r="N3874" s="50"/>
    </row>
    <row r="3875" spans="1:14" ht="31.2" x14ac:dyDescent="0.3">
      <c r="A3875" s="64" t="s">
        <v>1436</v>
      </c>
      <c r="B3875" s="62" t="s">
        <v>918</v>
      </c>
      <c r="C3875" s="68" t="s">
        <v>1386</v>
      </c>
      <c r="D3875" s="68" t="s">
        <v>1479</v>
      </c>
      <c r="E3875" s="8" t="s">
        <v>494</v>
      </c>
      <c r="F3875" s="8"/>
      <c r="G3875" s="23" t="s">
        <v>1161</v>
      </c>
      <c r="H3875" s="14">
        <f>H3876</f>
        <v>0</v>
      </c>
      <c r="I3875" s="14">
        <f t="shared" si="1692"/>
        <v>206</v>
      </c>
      <c r="J3875" s="14">
        <f t="shared" si="1692"/>
        <v>206</v>
      </c>
      <c r="K3875" s="78">
        <f t="shared" si="1679"/>
        <v>100</v>
      </c>
      <c r="L3875" s="14">
        <f t="shared" si="1692"/>
        <v>0</v>
      </c>
      <c r="M3875" s="50"/>
      <c r="N3875" s="50"/>
    </row>
    <row r="3876" spans="1:14" ht="31.2" x14ac:dyDescent="0.3">
      <c r="A3876" s="64" t="s">
        <v>1436</v>
      </c>
      <c r="B3876" s="62" t="s">
        <v>918</v>
      </c>
      <c r="C3876" s="68" t="s">
        <v>1386</v>
      </c>
      <c r="D3876" s="68" t="s">
        <v>1479</v>
      </c>
      <c r="E3876" s="8" t="s">
        <v>495</v>
      </c>
      <c r="F3876" s="8"/>
      <c r="G3876" s="23" t="s">
        <v>687</v>
      </c>
      <c r="H3876" s="14">
        <f>H3877</f>
        <v>0</v>
      </c>
      <c r="I3876" s="14">
        <f t="shared" si="1692"/>
        <v>206</v>
      </c>
      <c r="J3876" s="14">
        <f t="shared" si="1692"/>
        <v>206</v>
      </c>
      <c r="K3876" s="78">
        <f t="shared" si="1679"/>
        <v>100</v>
      </c>
      <c r="L3876" s="14">
        <f t="shared" si="1692"/>
        <v>0</v>
      </c>
      <c r="M3876" s="50"/>
      <c r="N3876" s="50"/>
    </row>
    <row r="3877" spans="1:14" x14ac:dyDescent="0.3">
      <c r="A3877" s="64" t="s">
        <v>1436</v>
      </c>
      <c r="B3877" s="62" t="s">
        <v>918</v>
      </c>
      <c r="C3877" s="68" t="s">
        <v>1386</v>
      </c>
      <c r="D3877" s="68" t="s">
        <v>1479</v>
      </c>
      <c r="E3877" s="8" t="s">
        <v>495</v>
      </c>
      <c r="F3877" s="45" t="s">
        <v>464</v>
      </c>
      <c r="G3877" s="23" t="s">
        <v>822</v>
      </c>
      <c r="H3877" s="14">
        <f>H3878</f>
        <v>0</v>
      </c>
      <c r="I3877" s="14">
        <f t="shared" si="1692"/>
        <v>206</v>
      </c>
      <c r="J3877" s="14">
        <f t="shared" si="1692"/>
        <v>206</v>
      </c>
      <c r="K3877" s="78">
        <f t="shared" si="1679"/>
        <v>100</v>
      </c>
      <c r="L3877" s="14">
        <f t="shared" si="1692"/>
        <v>0</v>
      </c>
      <c r="M3877" s="50"/>
      <c r="N3877" s="50"/>
    </row>
    <row r="3878" spans="1:14" x14ac:dyDescent="0.3">
      <c r="A3878" s="64" t="s">
        <v>1436</v>
      </c>
      <c r="B3878" s="62" t="s">
        <v>918</v>
      </c>
      <c r="C3878" s="68" t="s">
        <v>1386</v>
      </c>
      <c r="D3878" s="68" t="s">
        <v>1479</v>
      </c>
      <c r="E3878" s="8" t="s">
        <v>495</v>
      </c>
      <c r="F3878" s="45" t="s">
        <v>728</v>
      </c>
      <c r="G3878" s="23" t="s">
        <v>823</v>
      </c>
      <c r="H3878" s="19">
        <v>0</v>
      </c>
      <c r="I3878" s="14">
        <v>206</v>
      </c>
      <c r="J3878" s="14">
        <v>206</v>
      </c>
      <c r="K3878" s="78">
        <f t="shared" si="1679"/>
        <v>100</v>
      </c>
      <c r="L3878" s="14"/>
      <c r="M3878" s="50"/>
      <c r="N3878" s="50"/>
    </row>
    <row r="3879" spans="1:14" s="3" customFormat="1" ht="31.2" x14ac:dyDescent="0.3">
      <c r="A3879" s="4" t="s">
        <v>712</v>
      </c>
      <c r="B3879" s="43" t="s">
        <v>915</v>
      </c>
      <c r="C3879" s="43" t="s">
        <v>915</v>
      </c>
      <c r="D3879" s="43" t="s">
        <v>915</v>
      </c>
      <c r="E3879" s="4"/>
      <c r="F3879" s="4"/>
      <c r="G3879" s="5" t="s">
        <v>335</v>
      </c>
      <c r="H3879" s="15">
        <f>H3880+H3890+H3918</f>
        <v>373811.45699999999</v>
      </c>
      <c r="I3879" s="15">
        <f>I3880+I3890+I3918</f>
        <v>376490.58299999998</v>
      </c>
      <c r="J3879" s="15">
        <f t="shared" ref="J3879" si="1693">J3880+J3890+J3918</f>
        <v>375190.16708000004</v>
      </c>
      <c r="K3879" s="81">
        <f t="shared" si="1679"/>
        <v>99.654595366067909</v>
      </c>
      <c r="L3879" s="15">
        <f>L3880+L3890+L3918</f>
        <v>0</v>
      </c>
      <c r="M3879" s="65"/>
      <c r="N3879" s="65"/>
    </row>
    <row r="3880" spans="1:14" s="3" customFormat="1" x14ac:dyDescent="0.3">
      <c r="A3880" s="4" t="s">
        <v>712</v>
      </c>
      <c r="B3880" s="43" t="s">
        <v>1372</v>
      </c>
      <c r="C3880" s="43" t="s">
        <v>1372</v>
      </c>
      <c r="D3880" s="43" t="s">
        <v>915</v>
      </c>
      <c r="E3880" s="4"/>
      <c r="F3880" s="4"/>
      <c r="G3880" s="5" t="s">
        <v>1376</v>
      </c>
      <c r="H3880" s="15">
        <f t="shared" ref="H3880:L3884" si="1694">H3881</f>
        <v>952.4</v>
      </c>
      <c r="I3880" s="15">
        <f t="shared" si="1694"/>
        <v>755.8</v>
      </c>
      <c r="J3880" s="15">
        <f t="shared" si="1694"/>
        <v>755.79909999999995</v>
      </c>
      <c r="K3880" s="81">
        <f t="shared" si="1679"/>
        <v>99.999880920878539</v>
      </c>
      <c r="L3880" s="15">
        <f t="shared" si="1694"/>
        <v>0</v>
      </c>
      <c r="M3880" s="65"/>
      <c r="N3880" s="65"/>
    </row>
    <row r="3881" spans="1:14" s="9" customFormat="1" ht="62.4" x14ac:dyDescent="0.3">
      <c r="A3881" s="6" t="s">
        <v>712</v>
      </c>
      <c r="B3881" s="48" t="s">
        <v>934</v>
      </c>
      <c r="C3881" s="48" t="s">
        <v>1372</v>
      </c>
      <c r="D3881" s="48" t="s">
        <v>1386</v>
      </c>
      <c r="E3881" s="6"/>
      <c r="F3881" s="6"/>
      <c r="G3881" s="7" t="s">
        <v>1418</v>
      </c>
      <c r="H3881" s="16">
        <f t="shared" si="1694"/>
        <v>952.4</v>
      </c>
      <c r="I3881" s="16">
        <f t="shared" si="1694"/>
        <v>755.8</v>
      </c>
      <c r="J3881" s="16">
        <f t="shared" si="1694"/>
        <v>755.79909999999995</v>
      </c>
      <c r="K3881" s="82">
        <f t="shared" si="1679"/>
        <v>99.999880920878539</v>
      </c>
      <c r="L3881" s="16">
        <f t="shared" si="1694"/>
        <v>0</v>
      </c>
      <c r="M3881" s="65"/>
      <c r="N3881" s="65"/>
    </row>
    <row r="3882" spans="1:14" ht="31.2" x14ac:dyDescent="0.3">
      <c r="A3882" s="64" t="s">
        <v>712</v>
      </c>
      <c r="B3882" s="62" t="s">
        <v>934</v>
      </c>
      <c r="C3882" s="68" t="s">
        <v>1372</v>
      </c>
      <c r="D3882" s="68" t="s">
        <v>1386</v>
      </c>
      <c r="E3882" s="8" t="s">
        <v>396</v>
      </c>
      <c r="F3882" s="8"/>
      <c r="G3882" s="13" t="s">
        <v>876</v>
      </c>
      <c r="H3882" s="14">
        <f t="shared" si="1694"/>
        <v>952.4</v>
      </c>
      <c r="I3882" s="14">
        <f t="shared" si="1694"/>
        <v>755.8</v>
      </c>
      <c r="J3882" s="14">
        <f t="shared" si="1694"/>
        <v>755.79909999999995</v>
      </c>
      <c r="K3882" s="78">
        <f t="shared" si="1679"/>
        <v>99.999880920878539</v>
      </c>
      <c r="L3882" s="14">
        <f t="shared" si="1694"/>
        <v>0</v>
      </c>
      <c r="M3882" s="50"/>
      <c r="N3882" s="50"/>
    </row>
    <row r="3883" spans="1:14" ht="31.2" x14ac:dyDescent="0.3">
      <c r="A3883" s="64" t="s">
        <v>712</v>
      </c>
      <c r="B3883" s="62" t="s">
        <v>934</v>
      </c>
      <c r="C3883" s="68" t="s">
        <v>1372</v>
      </c>
      <c r="D3883" s="68" t="s">
        <v>1386</v>
      </c>
      <c r="E3883" s="8" t="s">
        <v>485</v>
      </c>
      <c r="F3883" s="8"/>
      <c r="G3883" s="13" t="s">
        <v>877</v>
      </c>
      <c r="H3883" s="14">
        <f t="shared" si="1694"/>
        <v>952.4</v>
      </c>
      <c r="I3883" s="14">
        <f t="shared" si="1694"/>
        <v>755.8</v>
      </c>
      <c r="J3883" s="14">
        <f t="shared" si="1694"/>
        <v>755.79909999999995</v>
      </c>
      <c r="K3883" s="78">
        <f t="shared" si="1679"/>
        <v>99.999880920878539</v>
      </c>
      <c r="L3883" s="14">
        <f t="shared" si="1694"/>
        <v>0</v>
      </c>
      <c r="M3883" s="50"/>
      <c r="N3883" s="50"/>
    </row>
    <row r="3884" spans="1:14" ht="62.4" x14ac:dyDescent="0.3">
      <c r="A3884" s="64" t="s">
        <v>712</v>
      </c>
      <c r="B3884" s="62" t="s">
        <v>934</v>
      </c>
      <c r="C3884" s="68" t="s">
        <v>1372</v>
      </c>
      <c r="D3884" s="68" t="s">
        <v>1386</v>
      </c>
      <c r="E3884" s="8" t="s">
        <v>518</v>
      </c>
      <c r="F3884" s="8"/>
      <c r="G3884" s="18" t="s">
        <v>878</v>
      </c>
      <c r="H3884" s="14">
        <f t="shared" si="1694"/>
        <v>952.4</v>
      </c>
      <c r="I3884" s="14">
        <f t="shared" si="1694"/>
        <v>755.8</v>
      </c>
      <c r="J3884" s="14">
        <f t="shared" si="1694"/>
        <v>755.79909999999995</v>
      </c>
      <c r="K3884" s="78">
        <f t="shared" si="1679"/>
        <v>99.999880920878539</v>
      </c>
      <c r="L3884" s="14">
        <f t="shared" si="1694"/>
        <v>0</v>
      </c>
      <c r="M3884" s="50"/>
      <c r="N3884" s="50"/>
    </row>
    <row r="3885" spans="1:14" ht="31.2" x14ac:dyDescent="0.3">
      <c r="A3885" s="64" t="s">
        <v>712</v>
      </c>
      <c r="B3885" s="62" t="s">
        <v>934</v>
      </c>
      <c r="C3885" s="68" t="s">
        <v>1372</v>
      </c>
      <c r="D3885" s="68" t="s">
        <v>1386</v>
      </c>
      <c r="E3885" s="8" t="s">
        <v>244</v>
      </c>
      <c r="F3885" s="8"/>
      <c r="G3885" s="18" t="s">
        <v>879</v>
      </c>
      <c r="H3885" s="14">
        <f>H3886+H3888</f>
        <v>952.4</v>
      </c>
      <c r="I3885" s="14">
        <f>I3886+I3888</f>
        <v>755.8</v>
      </c>
      <c r="J3885" s="14">
        <f t="shared" ref="J3885" si="1695">J3886+J3888</f>
        <v>755.79909999999995</v>
      </c>
      <c r="K3885" s="78">
        <f t="shared" si="1679"/>
        <v>99.999880920878539</v>
      </c>
      <c r="L3885" s="14">
        <f>L3886+L3888</f>
        <v>0</v>
      </c>
      <c r="M3885" s="50"/>
      <c r="N3885" s="50"/>
    </row>
    <row r="3886" spans="1:14" ht="78" x14ac:dyDescent="0.3">
      <c r="A3886" s="64" t="s">
        <v>712</v>
      </c>
      <c r="B3886" s="62" t="s">
        <v>934</v>
      </c>
      <c r="C3886" s="68" t="s">
        <v>1372</v>
      </c>
      <c r="D3886" s="68" t="s">
        <v>1386</v>
      </c>
      <c r="E3886" s="8" t="s">
        <v>244</v>
      </c>
      <c r="F3886" s="45" t="s">
        <v>431</v>
      </c>
      <c r="G3886" s="23" t="s">
        <v>806</v>
      </c>
      <c r="H3886" s="14">
        <f t="shared" ref="H3886:L3886" si="1696">H3887</f>
        <v>898.19999999999993</v>
      </c>
      <c r="I3886" s="14">
        <f t="shared" si="1696"/>
        <v>726.07593999999995</v>
      </c>
      <c r="J3886" s="14">
        <f t="shared" si="1696"/>
        <v>726.07503999999994</v>
      </c>
      <c r="K3886" s="78">
        <f t="shared" si="1679"/>
        <v>99.999876046023502</v>
      </c>
      <c r="L3886" s="14">
        <f t="shared" si="1696"/>
        <v>0</v>
      </c>
      <c r="M3886" s="50"/>
      <c r="N3886" s="50"/>
    </row>
    <row r="3887" spans="1:14" ht="31.2" x14ac:dyDescent="0.3">
      <c r="A3887" s="64" t="s">
        <v>712</v>
      </c>
      <c r="B3887" s="62" t="s">
        <v>934</v>
      </c>
      <c r="C3887" s="68" t="s">
        <v>1372</v>
      </c>
      <c r="D3887" s="68" t="s">
        <v>1386</v>
      </c>
      <c r="E3887" s="8" t="s">
        <v>244</v>
      </c>
      <c r="F3887" s="45" t="s">
        <v>233</v>
      </c>
      <c r="G3887" s="23" t="s">
        <v>808</v>
      </c>
      <c r="H3887" s="14">
        <v>898.19999999999993</v>
      </c>
      <c r="I3887" s="14">
        <v>726.07593999999995</v>
      </c>
      <c r="J3887" s="14">
        <v>726.07503999999994</v>
      </c>
      <c r="K3887" s="78">
        <f t="shared" si="1679"/>
        <v>99.999876046023502</v>
      </c>
      <c r="L3887" s="14"/>
      <c r="M3887" s="50"/>
      <c r="N3887" s="50"/>
    </row>
    <row r="3888" spans="1:14" ht="31.2" x14ac:dyDescent="0.3">
      <c r="A3888" s="64" t="s">
        <v>712</v>
      </c>
      <c r="B3888" s="62" t="s">
        <v>934</v>
      </c>
      <c r="C3888" s="68" t="s">
        <v>1372</v>
      </c>
      <c r="D3888" s="68" t="s">
        <v>1386</v>
      </c>
      <c r="E3888" s="8" t="s">
        <v>244</v>
      </c>
      <c r="F3888" s="45" t="s">
        <v>380</v>
      </c>
      <c r="G3888" s="23" t="s">
        <v>809</v>
      </c>
      <c r="H3888" s="14">
        <f t="shared" ref="H3888:L3888" si="1697">H3889</f>
        <v>54.2</v>
      </c>
      <c r="I3888" s="14">
        <f t="shared" si="1697"/>
        <v>29.724060000000001</v>
      </c>
      <c r="J3888" s="14">
        <f t="shared" si="1697"/>
        <v>29.724060000000001</v>
      </c>
      <c r="K3888" s="78">
        <f t="shared" si="1679"/>
        <v>100</v>
      </c>
      <c r="L3888" s="14">
        <f t="shared" si="1697"/>
        <v>0</v>
      </c>
      <c r="M3888" s="50"/>
      <c r="N3888" s="50"/>
    </row>
    <row r="3889" spans="1:14" ht="31.2" x14ac:dyDescent="0.3">
      <c r="A3889" s="64" t="s">
        <v>712</v>
      </c>
      <c r="B3889" s="62" t="s">
        <v>934</v>
      </c>
      <c r="C3889" s="68" t="s">
        <v>1372</v>
      </c>
      <c r="D3889" s="68" t="s">
        <v>1386</v>
      </c>
      <c r="E3889" s="8" t="s">
        <v>244</v>
      </c>
      <c r="F3889" s="8" t="s">
        <v>247</v>
      </c>
      <c r="G3889" s="23" t="s">
        <v>810</v>
      </c>
      <c r="H3889" s="14">
        <v>54.2</v>
      </c>
      <c r="I3889" s="14">
        <v>29.724060000000001</v>
      </c>
      <c r="J3889" s="14">
        <v>29.724060000000001</v>
      </c>
      <c r="K3889" s="78">
        <f t="shared" si="1679"/>
        <v>100</v>
      </c>
      <c r="L3889" s="14"/>
      <c r="M3889" s="50"/>
      <c r="N3889" s="50"/>
    </row>
    <row r="3890" spans="1:14" s="3" customFormat="1" x14ac:dyDescent="0.3">
      <c r="A3890" s="4" t="s">
        <v>712</v>
      </c>
      <c r="B3890" s="43" t="s">
        <v>1374</v>
      </c>
      <c r="C3890" s="43" t="s">
        <v>1374</v>
      </c>
      <c r="D3890" s="43" t="s">
        <v>915</v>
      </c>
      <c r="E3890" s="4"/>
      <c r="F3890" s="4"/>
      <c r="G3890" s="5" t="s">
        <v>1378</v>
      </c>
      <c r="H3890" s="15">
        <f t="shared" ref="H3890:L3892" si="1698">H3891</f>
        <v>170240.734</v>
      </c>
      <c r="I3890" s="15">
        <f t="shared" si="1698"/>
        <v>165919.38699999999</v>
      </c>
      <c r="J3890" s="15">
        <f t="shared" si="1698"/>
        <v>165835.85775</v>
      </c>
      <c r="K3890" s="81">
        <f t="shared" si="1679"/>
        <v>99.949656726974297</v>
      </c>
      <c r="L3890" s="15">
        <f t="shared" si="1698"/>
        <v>0</v>
      </c>
      <c r="M3890" s="65"/>
      <c r="N3890" s="65"/>
    </row>
    <row r="3891" spans="1:14" s="9" customFormat="1" x14ac:dyDescent="0.3">
      <c r="A3891" s="6" t="s">
        <v>712</v>
      </c>
      <c r="B3891" s="48" t="s">
        <v>924</v>
      </c>
      <c r="C3891" s="48" t="s">
        <v>1374</v>
      </c>
      <c r="D3891" s="48" t="s">
        <v>1374</v>
      </c>
      <c r="E3891" s="6"/>
      <c r="F3891" s="6"/>
      <c r="G3891" s="7" t="s">
        <v>1221</v>
      </c>
      <c r="H3891" s="16">
        <f t="shared" si="1698"/>
        <v>170240.734</v>
      </c>
      <c r="I3891" s="16">
        <f t="shared" si="1698"/>
        <v>165919.38699999999</v>
      </c>
      <c r="J3891" s="16">
        <f t="shared" si="1698"/>
        <v>165835.85775</v>
      </c>
      <c r="K3891" s="82">
        <f t="shared" si="1679"/>
        <v>99.949656726974297</v>
      </c>
      <c r="L3891" s="16">
        <f t="shared" si="1698"/>
        <v>0</v>
      </c>
      <c r="M3891" s="65"/>
      <c r="N3891" s="65"/>
    </row>
    <row r="3892" spans="1:14" ht="31.2" x14ac:dyDescent="0.3">
      <c r="A3892" s="64" t="s">
        <v>712</v>
      </c>
      <c r="B3892" s="62" t="s">
        <v>924</v>
      </c>
      <c r="C3892" s="68" t="s">
        <v>1374</v>
      </c>
      <c r="D3892" s="68" t="s">
        <v>1374</v>
      </c>
      <c r="E3892" s="8" t="s">
        <v>396</v>
      </c>
      <c r="F3892" s="8"/>
      <c r="G3892" s="13" t="s">
        <v>876</v>
      </c>
      <c r="H3892" s="14">
        <f t="shared" si="1698"/>
        <v>170240.734</v>
      </c>
      <c r="I3892" s="14">
        <f t="shared" si="1698"/>
        <v>165919.38699999999</v>
      </c>
      <c r="J3892" s="14">
        <f t="shared" si="1698"/>
        <v>165835.85775</v>
      </c>
      <c r="K3892" s="78">
        <f t="shared" si="1679"/>
        <v>99.949656726974297</v>
      </c>
      <c r="L3892" s="14">
        <f t="shared" si="1698"/>
        <v>0</v>
      </c>
      <c r="M3892" s="50"/>
      <c r="N3892" s="50"/>
    </row>
    <row r="3893" spans="1:14" ht="31.2" x14ac:dyDescent="0.3">
      <c r="A3893" s="64" t="s">
        <v>712</v>
      </c>
      <c r="B3893" s="62" t="s">
        <v>924</v>
      </c>
      <c r="C3893" s="68" t="s">
        <v>1374</v>
      </c>
      <c r="D3893" s="68" t="s">
        <v>1374</v>
      </c>
      <c r="E3893" s="8" t="s">
        <v>397</v>
      </c>
      <c r="F3893" s="8"/>
      <c r="G3893" s="13" t="s">
        <v>1316</v>
      </c>
      <c r="H3893" s="14">
        <f>H3894+H3898+H3903+H3906</f>
        <v>170240.734</v>
      </c>
      <c r="I3893" s="14">
        <f>I3894+I3898+I3903+I3906</f>
        <v>165919.38699999999</v>
      </c>
      <c r="J3893" s="14">
        <f t="shared" ref="J3893" si="1699">J3894+J3898+J3903+J3906</f>
        <v>165835.85775</v>
      </c>
      <c r="K3893" s="78">
        <f t="shared" si="1679"/>
        <v>99.949656726974297</v>
      </c>
      <c r="L3893" s="14">
        <f>L3894+L3898+L3903+L3906</f>
        <v>0</v>
      </c>
      <c r="M3893" s="50"/>
      <c r="N3893" s="50"/>
    </row>
    <row r="3894" spans="1:14" ht="46.8" x14ac:dyDescent="0.3">
      <c r="A3894" s="64" t="s">
        <v>712</v>
      </c>
      <c r="B3894" s="62" t="s">
        <v>924</v>
      </c>
      <c r="C3894" s="68" t="s">
        <v>1374</v>
      </c>
      <c r="D3894" s="68" t="s">
        <v>1374</v>
      </c>
      <c r="E3894" s="8" t="s">
        <v>398</v>
      </c>
      <c r="F3894" s="8"/>
      <c r="G3894" s="13" t="s">
        <v>1175</v>
      </c>
      <c r="H3894" s="14">
        <f t="shared" ref="H3894:L3895" si="1700">H3895</f>
        <v>3165.0099999999998</v>
      </c>
      <c r="I3894" s="14">
        <f t="shared" si="1700"/>
        <v>3165.01</v>
      </c>
      <c r="J3894" s="14">
        <f t="shared" si="1700"/>
        <v>3161.0508</v>
      </c>
      <c r="K3894" s="78">
        <f t="shared" si="1679"/>
        <v>99.874907188286926</v>
      </c>
      <c r="L3894" s="14">
        <f t="shared" si="1700"/>
        <v>0</v>
      </c>
      <c r="M3894" s="50"/>
      <c r="N3894" s="50"/>
    </row>
    <row r="3895" spans="1:14" ht="62.4" x14ac:dyDescent="0.3">
      <c r="A3895" s="64" t="s">
        <v>712</v>
      </c>
      <c r="B3895" s="62" t="s">
        <v>924</v>
      </c>
      <c r="C3895" s="68" t="s">
        <v>1374</v>
      </c>
      <c r="D3895" s="68" t="s">
        <v>1374</v>
      </c>
      <c r="E3895" s="8" t="s">
        <v>606</v>
      </c>
      <c r="F3895" s="8"/>
      <c r="G3895" s="13" t="s">
        <v>179</v>
      </c>
      <c r="H3895" s="14">
        <f t="shared" si="1700"/>
        <v>3165.0099999999998</v>
      </c>
      <c r="I3895" s="14">
        <f t="shared" si="1700"/>
        <v>3165.01</v>
      </c>
      <c r="J3895" s="14">
        <f t="shared" si="1700"/>
        <v>3161.0508</v>
      </c>
      <c r="K3895" s="78">
        <f t="shared" si="1679"/>
        <v>99.874907188286926</v>
      </c>
      <c r="L3895" s="14">
        <f t="shared" si="1700"/>
        <v>0</v>
      </c>
      <c r="M3895" s="50"/>
      <c r="N3895" s="50"/>
    </row>
    <row r="3896" spans="1:14" x14ac:dyDescent="0.3">
      <c r="A3896" s="64" t="s">
        <v>712</v>
      </c>
      <c r="B3896" s="62" t="s">
        <v>924</v>
      </c>
      <c r="C3896" s="68" t="s">
        <v>1374</v>
      </c>
      <c r="D3896" s="68" t="s">
        <v>1374</v>
      </c>
      <c r="E3896" s="8" t="s">
        <v>606</v>
      </c>
      <c r="F3896" s="45" t="s">
        <v>464</v>
      </c>
      <c r="G3896" s="23" t="s">
        <v>822</v>
      </c>
      <c r="H3896" s="14">
        <f t="shared" ref="H3896:L3896" si="1701">H3897</f>
        <v>3165.0099999999998</v>
      </c>
      <c r="I3896" s="14">
        <f t="shared" si="1701"/>
        <v>3165.01</v>
      </c>
      <c r="J3896" s="14">
        <f t="shared" si="1701"/>
        <v>3161.0508</v>
      </c>
      <c r="K3896" s="78">
        <f t="shared" si="1679"/>
        <v>99.874907188286926</v>
      </c>
      <c r="L3896" s="14">
        <f t="shared" si="1701"/>
        <v>0</v>
      </c>
      <c r="M3896" s="50"/>
      <c r="N3896" s="50"/>
    </row>
    <row r="3897" spans="1:14" ht="62.4" x14ac:dyDescent="0.3">
      <c r="A3897" s="64" t="s">
        <v>712</v>
      </c>
      <c r="B3897" s="62" t="s">
        <v>924</v>
      </c>
      <c r="C3897" s="68" t="s">
        <v>1374</v>
      </c>
      <c r="D3897" s="68" t="s">
        <v>1374</v>
      </c>
      <c r="E3897" s="8" t="s">
        <v>606</v>
      </c>
      <c r="F3897" s="45" t="s">
        <v>727</v>
      </c>
      <c r="G3897" s="18" t="s">
        <v>830</v>
      </c>
      <c r="H3897" s="14">
        <f>3696.6-307.55-224.04</f>
        <v>3165.0099999999998</v>
      </c>
      <c r="I3897" s="14">
        <v>3165.01</v>
      </c>
      <c r="J3897" s="14">
        <v>3161.0508</v>
      </c>
      <c r="K3897" s="78">
        <f t="shared" si="1679"/>
        <v>99.874907188286926</v>
      </c>
      <c r="L3897" s="14"/>
      <c r="M3897" s="50"/>
      <c r="N3897" s="50"/>
    </row>
    <row r="3898" spans="1:14" ht="46.8" x14ac:dyDescent="0.3">
      <c r="A3898" s="64" t="s">
        <v>712</v>
      </c>
      <c r="B3898" s="62" t="s">
        <v>924</v>
      </c>
      <c r="C3898" s="68" t="s">
        <v>1374</v>
      </c>
      <c r="D3898" s="68" t="s">
        <v>1374</v>
      </c>
      <c r="E3898" s="8" t="s">
        <v>607</v>
      </c>
      <c r="F3898" s="8"/>
      <c r="G3898" s="13" t="s">
        <v>883</v>
      </c>
      <c r="H3898" s="14">
        <f>H3899+H3901</f>
        <v>10744.499</v>
      </c>
      <c r="I3898" s="14">
        <f>I3899+I3901</f>
        <v>10744.499</v>
      </c>
      <c r="J3898" s="14">
        <f t="shared" ref="J3898" si="1702">J3899+J3901</f>
        <v>10744.498800000001</v>
      </c>
      <c r="K3898" s="78">
        <f t="shared" si="1679"/>
        <v>99.99999813858237</v>
      </c>
      <c r="L3898" s="14">
        <f>L3899+L3901</f>
        <v>0</v>
      </c>
      <c r="M3898" s="50"/>
      <c r="N3898" s="50"/>
    </row>
    <row r="3899" spans="1:14" ht="31.2" x14ac:dyDescent="0.3">
      <c r="A3899" s="64" t="s">
        <v>712</v>
      </c>
      <c r="B3899" s="62" t="s">
        <v>924</v>
      </c>
      <c r="C3899" s="68" t="s">
        <v>1374</v>
      </c>
      <c r="D3899" s="68" t="s">
        <v>1374</v>
      </c>
      <c r="E3899" s="8" t="s">
        <v>607</v>
      </c>
      <c r="F3899" s="45" t="s">
        <v>402</v>
      </c>
      <c r="G3899" s="23" t="s">
        <v>819</v>
      </c>
      <c r="H3899" s="14">
        <f t="shared" ref="H3899:L3899" si="1703">H3900</f>
        <v>3990</v>
      </c>
      <c r="I3899" s="14">
        <f t="shared" si="1703"/>
        <v>1580.7539999999999</v>
      </c>
      <c r="J3899" s="14">
        <f t="shared" si="1703"/>
        <v>1580.7539999999999</v>
      </c>
      <c r="K3899" s="78">
        <f t="shared" si="1679"/>
        <v>100</v>
      </c>
      <c r="L3899" s="14">
        <f t="shared" si="1703"/>
        <v>0</v>
      </c>
      <c r="M3899" s="50"/>
      <c r="N3899" s="50"/>
    </row>
    <row r="3900" spans="1:14" ht="46.8" x14ac:dyDescent="0.3">
      <c r="A3900" s="64" t="s">
        <v>712</v>
      </c>
      <c r="B3900" s="62" t="s">
        <v>924</v>
      </c>
      <c r="C3900" s="68" t="s">
        <v>1374</v>
      </c>
      <c r="D3900" s="68" t="s">
        <v>1374</v>
      </c>
      <c r="E3900" s="8" t="s">
        <v>607</v>
      </c>
      <c r="F3900" s="45" t="s">
        <v>280</v>
      </c>
      <c r="G3900" s="23" t="s">
        <v>821</v>
      </c>
      <c r="H3900" s="14">
        <v>3990</v>
      </c>
      <c r="I3900" s="14">
        <v>1580.7539999999999</v>
      </c>
      <c r="J3900" s="14">
        <v>1580.7539999999999</v>
      </c>
      <c r="K3900" s="78">
        <f t="shared" si="1679"/>
        <v>100</v>
      </c>
      <c r="L3900" s="14"/>
      <c r="M3900" s="50"/>
      <c r="N3900" s="50"/>
    </row>
    <row r="3901" spans="1:14" x14ac:dyDescent="0.3">
      <c r="A3901" s="64" t="s">
        <v>712</v>
      </c>
      <c r="B3901" s="62" t="s">
        <v>924</v>
      </c>
      <c r="C3901" s="68" t="s">
        <v>1374</v>
      </c>
      <c r="D3901" s="68" t="s">
        <v>1374</v>
      </c>
      <c r="E3901" s="8" t="s">
        <v>607</v>
      </c>
      <c r="F3901" s="45" t="s">
        <v>464</v>
      </c>
      <c r="G3901" s="23" t="s">
        <v>822</v>
      </c>
      <c r="H3901" s="14">
        <f t="shared" ref="H3901:L3901" si="1704">H3902</f>
        <v>6754.4989999999998</v>
      </c>
      <c r="I3901" s="14">
        <f t="shared" si="1704"/>
        <v>9163.7450000000008</v>
      </c>
      <c r="J3901" s="14">
        <f t="shared" si="1704"/>
        <v>9163.7448000000004</v>
      </c>
      <c r="K3901" s="78">
        <f t="shared" si="1679"/>
        <v>99.999997817486189</v>
      </c>
      <c r="L3901" s="14">
        <f t="shared" si="1704"/>
        <v>0</v>
      </c>
      <c r="M3901" s="50"/>
      <c r="N3901" s="50"/>
    </row>
    <row r="3902" spans="1:14" ht="62.4" x14ac:dyDescent="0.3">
      <c r="A3902" s="64" t="s">
        <v>712</v>
      </c>
      <c r="B3902" s="62" t="s">
        <v>924</v>
      </c>
      <c r="C3902" s="68" t="s">
        <v>1374</v>
      </c>
      <c r="D3902" s="68" t="s">
        <v>1374</v>
      </c>
      <c r="E3902" s="8" t="s">
        <v>607</v>
      </c>
      <c r="F3902" s="45" t="s">
        <v>727</v>
      </c>
      <c r="G3902" s="18" t="s">
        <v>830</v>
      </c>
      <c r="H3902" s="14">
        <f>4434.5+2319.999</f>
        <v>6754.4989999999998</v>
      </c>
      <c r="I3902" s="14">
        <v>9163.7450000000008</v>
      </c>
      <c r="J3902" s="14">
        <v>9163.7448000000004</v>
      </c>
      <c r="K3902" s="78">
        <f t="shared" si="1679"/>
        <v>99.999997817486189</v>
      </c>
      <c r="L3902" s="14"/>
      <c r="M3902" s="50"/>
      <c r="N3902" s="50"/>
    </row>
    <row r="3903" spans="1:14" ht="46.8" x14ac:dyDescent="0.3">
      <c r="A3903" s="64" t="s">
        <v>712</v>
      </c>
      <c r="B3903" s="62" t="s">
        <v>924</v>
      </c>
      <c r="C3903" s="68" t="s">
        <v>1374</v>
      </c>
      <c r="D3903" s="68" t="s">
        <v>1374</v>
      </c>
      <c r="E3903" s="8" t="s">
        <v>608</v>
      </c>
      <c r="F3903" s="8"/>
      <c r="G3903" s="13" t="s">
        <v>884</v>
      </c>
      <c r="H3903" s="14">
        <f t="shared" ref="H3903:L3904" si="1705">H3904</f>
        <v>418.72500000000002</v>
      </c>
      <c r="I3903" s="14">
        <f t="shared" si="1705"/>
        <v>418.72500000000002</v>
      </c>
      <c r="J3903" s="14">
        <f t="shared" si="1705"/>
        <v>418.72500000000002</v>
      </c>
      <c r="K3903" s="78">
        <f t="shared" si="1679"/>
        <v>100</v>
      </c>
      <c r="L3903" s="14">
        <f t="shared" si="1705"/>
        <v>0</v>
      </c>
      <c r="M3903" s="50"/>
      <c r="N3903" s="50"/>
    </row>
    <row r="3904" spans="1:14" ht="31.2" x14ac:dyDescent="0.3">
      <c r="A3904" s="64" t="s">
        <v>712</v>
      </c>
      <c r="B3904" s="62" t="s">
        <v>924</v>
      </c>
      <c r="C3904" s="68" t="s">
        <v>1374</v>
      </c>
      <c r="D3904" s="68" t="s">
        <v>1374</v>
      </c>
      <c r="E3904" s="8" t="s">
        <v>608</v>
      </c>
      <c r="F3904" s="45" t="s">
        <v>380</v>
      </c>
      <c r="G3904" s="23" t="s">
        <v>809</v>
      </c>
      <c r="H3904" s="14">
        <f t="shared" si="1705"/>
        <v>418.72500000000002</v>
      </c>
      <c r="I3904" s="14">
        <f t="shared" si="1705"/>
        <v>418.72500000000002</v>
      </c>
      <c r="J3904" s="14">
        <f t="shared" si="1705"/>
        <v>418.72500000000002</v>
      </c>
      <c r="K3904" s="78">
        <f t="shared" si="1679"/>
        <v>100</v>
      </c>
      <c r="L3904" s="14">
        <f t="shared" si="1705"/>
        <v>0</v>
      </c>
      <c r="M3904" s="50"/>
      <c r="N3904" s="50"/>
    </row>
    <row r="3905" spans="1:14" ht="31.2" x14ac:dyDescent="0.3">
      <c r="A3905" s="64" t="s">
        <v>712</v>
      </c>
      <c r="B3905" s="62" t="s">
        <v>924</v>
      </c>
      <c r="C3905" s="68" t="s">
        <v>1374</v>
      </c>
      <c r="D3905" s="68" t="s">
        <v>1374</v>
      </c>
      <c r="E3905" s="8" t="s">
        <v>608</v>
      </c>
      <c r="F3905" s="8" t="s">
        <v>247</v>
      </c>
      <c r="G3905" s="23" t="s">
        <v>810</v>
      </c>
      <c r="H3905" s="14">
        <f>504.8-3.375-82.7</f>
        <v>418.72500000000002</v>
      </c>
      <c r="I3905" s="14">
        <v>418.72500000000002</v>
      </c>
      <c r="J3905" s="14">
        <v>418.72500000000002</v>
      </c>
      <c r="K3905" s="78">
        <f t="shared" si="1679"/>
        <v>100</v>
      </c>
      <c r="L3905" s="14"/>
      <c r="M3905" s="50"/>
      <c r="N3905" s="50"/>
    </row>
    <row r="3906" spans="1:14" ht="62.4" x14ac:dyDescent="0.3">
      <c r="A3906" s="64" t="s">
        <v>712</v>
      </c>
      <c r="B3906" s="62" t="s">
        <v>924</v>
      </c>
      <c r="C3906" s="68" t="s">
        <v>1374</v>
      </c>
      <c r="D3906" s="68" t="s">
        <v>1374</v>
      </c>
      <c r="E3906" s="8" t="s">
        <v>609</v>
      </c>
      <c r="F3906" s="8"/>
      <c r="G3906" s="13" t="s">
        <v>885</v>
      </c>
      <c r="H3906" s="14">
        <f t="shared" ref="H3906:L3906" si="1706">H3907</f>
        <v>155912.5</v>
      </c>
      <c r="I3906" s="14">
        <f t="shared" si="1706"/>
        <v>151591.15299999999</v>
      </c>
      <c r="J3906" s="14">
        <f t="shared" si="1706"/>
        <v>151511.58314999999</v>
      </c>
      <c r="K3906" s="78">
        <f t="shared" si="1679"/>
        <v>99.947510228383834</v>
      </c>
      <c r="L3906" s="14">
        <f t="shared" si="1706"/>
        <v>0</v>
      </c>
      <c r="M3906" s="50"/>
      <c r="N3906" s="50"/>
    </row>
    <row r="3907" spans="1:14" ht="31.2" x14ac:dyDescent="0.3">
      <c r="A3907" s="64" t="s">
        <v>712</v>
      </c>
      <c r="B3907" s="62" t="s">
        <v>924</v>
      </c>
      <c r="C3907" s="68" t="s">
        <v>1374</v>
      </c>
      <c r="D3907" s="68" t="s">
        <v>1374</v>
      </c>
      <c r="E3907" s="8" t="s">
        <v>274</v>
      </c>
      <c r="F3907" s="8"/>
      <c r="G3907" s="13" t="s">
        <v>304</v>
      </c>
      <c r="H3907" s="14">
        <f>H3908+H3910+H3912+H3914+H3916</f>
        <v>155912.5</v>
      </c>
      <c r="I3907" s="14">
        <f>I3908+I3910+I3912+I3914+I3916</f>
        <v>151591.15299999999</v>
      </c>
      <c r="J3907" s="14">
        <f t="shared" ref="J3907" si="1707">J3908+J3910+J3912+J3914+J3916</f>
        <v>151511.58314999999</v>
      </c>
      <c r="K3907" s="78">
        <f t="shared" si="1679"/>
        <v>99.947510228383834</v>
      </c>
      <c r="L3907" s="14">
        <f>L3908+L3910+L3912+L3914+L3916</f>
        <v>0</v>
      </c>
      <c r="M3907" s="50"/>
      <c r="N3907" s="50"/>
    </row>
    <row r="3908" spans="1:14" ht="78" hidden="1" x14ac:dyDescent="0.3">
      <c r="A3908" s="64" t="s">
        <v>712</v>
      </c>
      <c r="B3908" s="62" t="s">
        <v>924</v>
      </c>
      <c r="C3908" s="68" t="s">
        <v>1374</v>
      </c>
      <c r="D3908" s="68" t="s">
        <v>1374</v>
      </c>
      <c r="E3908" s="8" t="s">
        <v>274</v>
      </c>
      <c r="F3908" s="45" t="s">
        <v>431</v>
      </c>
      <c r="G3908" s="23" t="s">
        <v>806</v>
      </c>
      <c r="H3908" s="14">
        <f t="shared" ref="H3908:L3908" si="1708">H3909</f>
        <v>3040.2</v>
      </c>
      <c r="I3908" s="14">
        <f t="shared" si="1708"/>
        <v>0</v>
      </c>
      <c r="J3908" s="14">
        <f t="shared" si="1708"/>
        <v>0</v>
      </c>
      <c r="K3908" s="78" t="e">
        <f t="shared" si="1679"/>
        <v>#DIV/0!</v>
      </c>
      <c r="L3908" s="14">
        <f t="shared" si="1708"/>
        <v>0</v>
      </c>
      <c r="M3908" s="50">
        <v>111</v>
      </c>
      <c r="N3908" s="50"/>
    </row>
    <row r="3909" spans="1:14" ht="31.2" hidden="1" x14ac:dyDescent="0.3">
      <c r="A3909" s="64" t="s">
        <v>712</v>
      </c>
      <c r="B3909" s="62" t="s">
        <v>924</v>
      </c>
      <c r="C3909" s="68" t="s">
        <v>1374</v>
      </c>
      <c r="D3909" s="68" t="s">
        <v>1374</v>
      </c>
      <c r="E3909" s="8" t="s">
        <v>274</v>
      </c>
      <c r="F3909" s="45" t="s">
        <v>233</v>
      </c>
      <c r="G3909" s="23" t="s">
        <v>808</v>
      </c>
      <c r="H3909" s="14">
        <v>3040.2</v>
      </c>
      <c r="I3909" s="14">
        <v>0</v>
      </c>
      <c r="J3909" s="14">
        <v>0</v>
      </c>
      <c r="K3909" s="78" t="e">
        <f t="shared" si="1679"/>
        <v>#DIV/0!</v>
      </c>
      <c r="L3909" s="14"/>
      <c r="M3909" s="50">
        <v>111</v>
      </c>
      <c r="N3909" s="50"/>
    </row>
    <row r="3910" spans="1:14" ht="31.2" hidden="1" x14ac:dyDescent="0.3">
      <c r="A3910" s="64" t="s">
        <v>712</v>
      </c>
      <c r="B3910" s="62" t="s">
        <v>924</v>
      </c>
      <c r="C3910" s="68" t="s">
        <v>1374</v>
      </c>
      <c r="D3910" s="68" t="s">
        <v>1374</v>
      </c>
      <c r="E3910" s="8" t="s">
        <v>274</v>
      </c>
      <c r="F3910" s="45" t="s">
        <v>380</v>
      </c>
      <c r="G3910" s="23" t="s">
        <v>809</v>
      </c>
      <c r="H3910" s="14">
        <f t="shared" ref="H3910:L3910" si="1709">H3911</f>
        <v>1500.8</v>
      </c>
      <c r="I3910" s="14">
        <f t="shared" si="1709"/>
        <v>0</v>
      </c>
      <c r="J3910" s="14">
        <f t="shared" si="1709"/>
        <v>0</v>
      </c>
      <c r="K3910" s="78" t="e">
        <f t="shared" si="1679"/>
        <v>#DIV/0!</v>
      </c>
      <c r="L3910" s="14">
        <f t="shared" si="1709"/>
        <v>0</v>
      </c>
      <c r="M3910" s="50">
        <v>111</v>
      </c>
      <c r="N3910" s="50"/>
    </row>
    <row r="3911" spans="1:14" ht="31.2" hidden="1" x14ac:dyDescent="0.3">
      <c r="A3911" s="64" t="s">
        <v>712</v>
      </c>
      <c r="B3911" s="62" t="s">
        <v>924</v>
      </c>
      <c r="C3911" s="68" t="s">
        <v>1374</v>
      </c>
      <c r="D3911" s="68" t="s">
        <v>1374</v>
      </c>
      <c r="E3911" s="8" t="s">
        <v>274</v>
      </c>
      <c r="F3911" s="8" t="s">
        <v>247</v>
      </c>
      <c r="G3911" s="23" t="s">
        <v>810</v>
      </c>
      <c r="H3911" s="14">
        <v>1500.8</v>
      </c>
      <c r="I3911" s="14">
        <v>0</v>
      </c>
      <c r="J3911" s="14">
        <v>0</v>
      </c>
      <c r="K3911" s="78" t="e">
        <f t="shared" si="1679"/>
        <v>#DIV/0!</v>
      </c>
      <c r="L3911" s="14"/>
      <c r="M3911" s="50">
        <v>111</v>
      </c>
      <c r="N3911" s="50"/>
    </row>
    <row r="3912" spans="1:14" x14ac:dyDescent="0.3">
      <c r="A3912" s="64" t="s">
        <v>712</v>
      </c>
      <c r="B3912" s="62" t="s">
        <v>924</v>
      </c>
      <c r="C3912" s="68" t="s">
        <v>1374</v>
      </c>
      <c r="D3912" s="68" t="s">
        <v>1374</v>
      </c>
      <c r="E3912" s="8" t="s">
        <v>274</v>
      </c>
      <c r="F3912" s="8" t="s">
        <v>404</v>
      </c>
      <c r="G3912" s="13" t="s">
        <v>811</v>
      </c>
      <c r="H3912" s="14">
        <f t="shared" ref="H3912:L3912" si="1710">H3913</f>
        <v>23546.2</v>
      </c>
      <c r="I3912" s="14">
        <f t="shared" si="1710"/>
        <v>17587.091</v>
      </c>
      <c r="J3912" s="14">
        <f t="shared" si="1710"/>
        <v>17507.521860000001</v>
      </c>
      <c r="K3912" s="78">
        <f t="shared" ref="K3912:K3975" si="1711">J3912/I3912*100</f>
        <v>99.547570772221519</v>
      </c>
      <c r="L3912" s="14">
        <f t="shared" si="1710"/>
        <v>0</v>
      </c>
      <c r="M3912" s="50"/>
      <c r="N3912" s="50"/>
    </row>
    <row r="3913" spans="1:14" ht="31.2" x14ac:dyDescent="0.3">
      <c r="A3913" s="64" t="s">
        <v>712</v>
      </c>
      <c r="B3913" s="62" t="s">
        <v>924</v>
      </c>
      <c r="C3913" s="68" t="s">
        <v>1374</v>
      </c>
      <c r="D3913" s="68" t="s">
        <v>1374</v>
      </c>
      <c r="E3913" s="8" t="s">
        <v>274</v>
      </c>
      <c r="F3913" s="64" t="s">
        <v>234</v>
      </c>
      <c r="G3913" s="13" t="s">
        <v>813</v>
      </c>
      <c r="H3913" s="14">
        <v>23546.2</v>
      </c>
      <c r="I3913" s="14">
        <v>17587.091</v>
      </c>
      <c r="J3913" s="14">
        <v>17507.521860000001</v>
      </c>
      <c r="K3913" s="78">
        <f t="shared" si="1711"/>
        <v>99.547570772221519</v>
      </c>
      <c r="L3913" s="14"/>
      <c r="M3913" s="50"/>
      <c r="N3913" s="50"/>
    </row>
    <row r="3914" spans="1:14" ht="31.2" x14ac:dyDescent="0.3">
      <c r="A3914" s="64" t="s">
        <v>712</v>
      </c>
      <c r="B3914" s="62" t="s">
        <v>924</v>
      </c>
      <c r="C3914" s="68" t="s">
        <v>1374</v>
      </c>
      <c r="D3914" s="68" t="s">
        <v>1374</v>
      </c>
      <c r="E3914" s="8" t="s">
        <v>274</v>
      </c>
      <c r="F3914" s="45" t="s">
        <v>402</v>
      </c>
      <c r="G3914" s="23" t="s">
        <v>819</v>
      </c>
      <c r="H3914" s="14">
        <f t="shared" ref="H3914:L3914" si="1712">H3915</f>
        <v>23244.7</v>
      </c>
      <c r="I3914" s="14">
        <f t="shared" si="1712"/>
        <v>19410.859</v>
      </c>
      <c r="J3914" s="14">
        <f t="shared" si="1712"/>
        <v>19410.858550000001</v>
      </c>
      <c r="K3914" s="78">
        <f t="shared" si="1711"/>
        <v>99.999997681710013</v>
      </c>
      <c r="L3914" s="14">
        <f t="shared" si="1712"/>
        <v>0</v>
      </c>
      <c r="M3914" s="50"/>
      <c r="N3914" s="50"/>
    </row>
    <row r="3915" spans="1:14" ht="46.8" x14ac:dyDescent="0.3">
      <c r="A3915" s="64" t="s">
        <v>712</v>
      </c>
      <c r="B3915" s="62" t="s">
        <v>924</v>
      </c>
      <c r="C3915" s="68" t="s">
        <v>1374</v>
      </c>
      <c r="D3915" s="68" t="s">
        <v>1374</v>
      </c>
      <c r="E3915" s="8" t="s">
        <v>274</v>
      </c>
      <c r="F3915" s="45" t="s">
        <v>280</v>
      </c>
      <c r="G3915" s="23" t="s">
        <v>821</v>
      </c>
      <c r="H3915" s="14">
        <v>23244.7</v>
      </c>
      <c r="I3915" s="14">
        <v>19410.859</v>
      </c>
      <c r="J3915" s="14">
        <v>19410.858550000001</v>
      </c>
      <c r="K3915" s="78">
        <f t="shared" si="1711"/>
        <v>99.999997681710013</v>
      </c>
      <c r="L3915" s="14"/>
      <c r="M3915" s="50"/>
      <c r="N3915" s="50"/>
    </row>
    <row r="3916" spans="1:14" x14ac:dyDescent="0.3">
      <c r="A3916" s="64" t="s">
        <v>712</v>
      </c>
      <c r="B3916" s="62" t="s">
        <v>924</v>
      </c>
      <c r="C3916" s="68" t="s">
        <v>1374</v>
      </c>
      <c r="D3916" s="68" t="s">
        <v>1374</v>
      </c>
      <c r="E3916" s="8" t="s">
        <v>274</v>
      </c>
      <c r="F3916" s="45" t="s">
        <v>464</v>
      </c>
      <c r="G3916" s="23" t="s">
        <v>822</v>
      </c>
      <c r="H3916" s="14">
        <f t="shared" ref="H3916:L3916" si="1713">H3917</f>
        <v>104580.6</v>
      </c>
      <c r="I3916" s="14">
        <f t="shared" si="1713"/>
        <v>114593.20299999999</v>
      </c>
      <c r="J3916" s="14">
        <f t="shared" si="1713"/>
        <v>114593.20273999999</v>
      </c>
      <c r="K3916" s="78">
        <f t="shared" si="1711"/>
        <v>99.999999773110446</v>
      </c>
      <c r="L3916" s="14">
        <f t="shared" si="1713"/>
        <v>0</v>
      </c>
      <c r="M3916" s="50"/>
      <c r="N3916" s="50"/>
    </row>
    <row r="3917" spans="1:14" ht="62.4" x14ac:dyDescent="0.3">
      <c r="A3917" s="64" t="s">
        <v>712</v>
      </c>
      <c r="B3917" s="62" t="s">
        <v>924</v>
      </c>
      <c r="C3917" s="68" t="s">
        <v>1374</v>
      </c>
      <c r="D3917" s="68" t="s">
        <v>1374</v>
      </c>
      <c r="E3917" s="8" t="s">
        <v>274</v>
      </c>
      <c r="F3917" s="45" t="s">
        <v>727</v>
      </c>
      <c r="G3917" s="18" t="s">
        <v>830</v>
      </c>
      <c r="H3917" s="14">
        <v>104580.6</v>
      </c>
      <c r="I3917" s="14">
        <v>114593.20299999999</v>
      </c>
      <c r="J3917" s="14">
        <v>114593.20273999999</v>
      </c>
      <c r="K3917" s="78">
        <f t="shared" si="1711"/>
        <v>99.999999773110446</v>
      </c>
      <c r="L3917" s="14"/>
      <c r="M3917" s="50"/>
      <c r="N3917" s="50"/>
    </row>
    <row r="3918" spans="1:14" s="3" customFormat="1" x14ac:dyDescent="0.3">
      <c r="A3918" s="4" t="s">
        <v>712</v>
      </c>
      <c r="B3918" s="43" t="s">
        <v>1399</v>
      </c>
      <c r="C3918" s="43" t="s">
        <v>1399</v>
      </c>
      <c r="D3918" s="43" t="s">
        <v>915</v>
      </c>
      <c r="E3918" s="4"/>
      <c r="F3918" s="4"/>
      <c r="G3918" s="5" t="s">
        <v>1400</v>
      </c>
      <c r="H3918" s="15">
        <f>H3919+H3927+H3946</f>
        <v>202618.323</v>
      </c>
      <c r="I3918" s="15">
        <f>I3919+I3927+I3946</f>
        <v>209815.39600000001</v>
      </c>
      <c r="J3918" s="15">
        <f t="shared" ref="J3918" si="1714">J3919+J3927+J3946</f>
        <v>208598.51023000001</v>
      </c>
      <c r="K3918" s="81">
        <f t="shared" si="1711"/>
        <v>99.420020745284106</v>
      </c>
      <c r="L3918" s="15">
        <f>L3919+L3927+L3946</f>
        <v>0</v>
      </c>
      <c r="M3918" s="65"/>
      <c r="N3918" s="65"/>
    </row>
    <row r="3919" spans="1:14" s="9" customFormat="1" x14ac:dyDescent="0.3">
      <c r="A3919" s="6" t="s">
        <v>712</v>
      </c>
      <c r="B3919" s="48" t="s">
        <v>943</v>
      </c>
      <c r="C3919" s="48" t="s">
        <v>1399</v>
      </c>
      <c r="D3919" s="48" t="s">
        <v>1372</v>
      </c>
      <c r="E3919" s="6"/>
      <c r="F3919" s="6"/>
      <c r="G3919" s="7" t="s">
        <v>1452</v>
      </c>
      <c r="H3919" s="16">
        <f t="shared" ref="H3919:L3923" si="1715">H3920</f>
        <v>95828.604999999996</v>
      </c>
      <c r="I3919" s="16">
        <f t="shared" si="1715"/>
        <v>95828.604999999996</v>
      </c>
      <c r="J3919" s="16">
        <f t="shared" si="1715"/>
        <v>95268.986290000001</v>
      </c>
      <c r="K3919" s="82">
        <f t="shared" si="1711"/>
        <v>99.416021228734365</v>
      </c>
      <c r="L3919" s="16">
        <f t="shared" si="1715"/>
        <v>0</v>
      </c>
      <c r="M3919" s="65"/>
      <c r="N3919" s="65"/>
    </row>
    <row r="3920" spans="1:14" ht="31.2" x14ac:dyDescent="0.3">
      <c r="A3920" s="64" t="s">
        <v>712</v>
      </c>
      <c r="B3920" s="62" t="s">
        <v>943</v>
      </c>
      <c r="C3920" s="68" t="s">
        <v>1399</v>
      </c>
      <c r="D3920" s="68" t="s">
        <v>1372</v>
      </c>
      <c r="E3920" s="8" t="s">
        <v>429</v>
      </c>
      <c r="F3920" s="8"/>
      <c r="G3920" s="23" t="s">
        <v>1140</v>
      </c>
      <c r="H3920" s="14">
        <f t="shared" si="1715"/>
        <v>95828.604999999996</v>
      </c>
      <c r="I3920" s="14">
        <f t="shared" si="1715"/>
        <v>95828.604999999996</v>
      </c>
      <c r="J3920" s="14">
        <f t="shared" si="1715"/>
        <v>95268.986290000001</v>
      </c>
      <c r="K3920" s="78">
        <f t="shared" si="1711"/>
        <v>99.416021228734365</v>
      </c>
      <c r="L3920" s="14">
        <f t="shared" si="1715"/>
        <v>0</v>
      </c>
      <c r="M3920" s="50"/>
      <c r="N3920" s="50"/>
    </row>
    <row r="3921" spans="1:14" x14ac:dyDescent="0.3">
      <c r="A3921" s="64" t="s">
        <v>712</v>
      </c>
      <c r="B3921" s="62" t="s">
        <v>943</v>
      </c>
      <c r="C3921" s="68" t="s">
        <v>1399</v>
      </c>
      <c r="D3921" s="68" t="s">
        <v>1372</v>
      </c>
      <c r="E3921" s="8" t="s">
        <v>430</v>
      </c>
      <c r="F3921" s="8"/>
      <c r="G3921" s="23" t="s">
        <v>1141</v>
      </c>
      <c r="H3921" s="14">
        <f t="shared" si="1715"/>
        <v>95828.604999999996</v>
      </c>
      <c r="I3921" s="14">
        <f t="shared" si="1715"/>
        <v>95828.604999999996</v>
      </c>
      <c r="J3921" s="14">
        <f t="shared" si="1715"/>
        <v>95268.986290000001</v>
      </c>
      <c r="K3921" s="78">
        <f t="shared" si="1711"/>
        <v>99.416021228734365</v>
      </c>
      <c r="L3921" s="14">
        <f t="shared" si="1715"/>
        <v>0</v>
      </c>
      <c r="M3921" s="50"/>
      <c r="N3921" s="50"/>
    </row>
    <row r="3922" spans="1:14" ht="46.8" x14ac:dyDescent="0.3">
      <c r="A3922" s="64" t="s">
        <v>712</v>
      </c>
      <c r="B3922" s="62" t="s">
        <v>943</v>
      </c>
      <c r="C3922" s="68" t="s">
        <v>1399</v>
      </c>
      <c r="D3922" s="68" t="s">
        <v>1372</v>
      </c>
      <c r="E3922" s="8" t="s">
        <v>610</v>
      </c>
      <c r="F3922" s="8"/>
      <c r="G3922" s="13" t="s">
        <v>1150</v>
      </c>
      <c r="H3922" s="14">
        <f>H3923+H3925</f>
        <v>95828.604999999996</v>
      </c>
      <c r="I3922" s="14">
        <f>I3923+I3925</f>
        <v>95828.604999999996</v>
      </c>
      <c r="J3922" s="14">
        <f t="shared" ref="J3922" si="1716">J3923+J3925</f>
        <v>95268.986290000001</v>
      </c>
      <c r="K3922" s="78">
        <f t="shared" si="1711"/>
        <v>99.416021228734365</v>
      </c>
      <c r="L3922" s="14">
        <f>L3923+L3925</f>
        <v>0</v>
      </c>
      <c r="M3922" s="50"/>
      <c r="N3922" s="50"/>
    </row>
    <row r="3923" spans="1:14" ht="31.2" x14ac:dyDescent="0.3">
      <c r="A3923" s="64" t="s">
        <v>712</v>
      </c>
      <c r="B3923" s="62" t="s">
        <v>943</v>
      </c>
      <c r="C3923" s="68" t="s">
        <v>1399</v>
      </c>
      <c r="D3923" s="68" t="s">
        <v>1372</v>
      </c>
      <c r="E3923" s="8" t="s">
        <v>610</v>
      </c>
      <c r="F3923" s="45" t="s">
        <v>380</v>
      </c>
      <c r="G3923" s="23" t="s">
        <v>809</v>
      </c>
      <c r="H3923" s="14">
        <f t="shared" si="1715"/>
        <v>463.23099999999999</v>
      </c>
      <c r="I3923" s="14">
        <f t="shared" si="1715"/>
        <v>463.23099999999999</v>
      </c>
      <c r="J3923" s="14">
        <f t="shared" si="1715"/>
        <v>453.23775000000001</v>
      </c>
      <c r="K3923" s="78">
        <f t="shared" si="1711"/>
        <v>97.842706986363183</v>
      </c>
      <c r="L3923" s="14">
        <f t="shared" si="1715"/>
        <v>0</v>
      </c>
      <c r="M3923" s="50"/>
      <c r="N3923" s="50"/>
    </row>
    <row r="3924" spans="1:14" ht="31.2" x14ac:dyDescent="0.3">
      <c r="A3924" s="64" t="s">
        <v>712</v>
      </c>
      <c r="B3924" s="62" t="s">
        <v>943</v>
      </c>
      <c r="C3924" s="68" t="s">
        <v>1399</v>
      </c>
      <c r="D3924" s="68" t="s">
        <v>1372</v>
      </c>
      <c r="E3924" s="8" t="s">
        <v>610</v>
      </c>
      <c r="F3924" s="8" t="s">
        <v>247</v>
      </c>
      <c r="G3924" s="23" t="s">
        <v>810</v>
      </c>
      <c r="H3924" s="14">
        <f>502.2-38.969</f>
        <v>463.23099999999999</v>
      </c>
      <c r="I3924" s="14">
        <v>463.23099999999999</v>
      </c>
      <c r="J3924" s="14">
        <v>453.23775000000001</v>
      </c>
      <c r="K3924" s="78">
        <f t="shared" si="1711"/>
        <v>97.842706986363183</v>
      </c>
      <c r="L3924" s="14"/>
      <c r="M3924" s="50"/>
      <c r="N3924" s="50"/>
    </row>
    <row r="3925" spans="1:14" x14ac:dyDescent="0.3">
      <c r="A3925" s="64" t="s">
        <v>712</v>
      </c>
      <c r="B3925" s="62" t="s">
        <v>943</v>
      </c>
      <c r="C3925" s="68" t="s">
        <v>1399</v>
      </c>
      <c r="D3925" s="68" t="s">
        <v>1372</v>
      </c>
      <c r="E3925" s="8" t="s">
        <v>610</v>
      </c>
      <c r="F3925" s="8" t="s">
        <v>404</v>
      </c>
      <c r="G3925" s="13" t="s">
        <v>811</v>
      </c>
      <c r="H3925" s="14">
        <f t="shared" ref="H3925:L3925" si="1717">H3926</f>
        <v>95365.373999999996</v>
      </c>
      <c r="I3925" s="14">
        <f t="shared" si="1717"/>
        <v>95365.373999999996</v>
      </c>
      <c r="J3925" s="14">
        <f t="shared" si="1717"/>
        <v>94815.748540000001</v>
      </c>
      <c r="K3925" s="78">
        <f t="shared" si="1711"/>
        <v>99.423663498661469</v>
      </c>
      <c r="L3925" s="14">
        <f t="shared" si="1717"/>
        <v>0</v>
      </c>
      <c r="M3925" s="50"/>
      <c r="N3925" s="50"/>
    </row>
    <row r="3926" spans="1:14" ht="31.2" x14ac:dyDescent="0.3">
      <c r="A3926" s="64" t="s">
        <v>712</v>
      </c>
      <c r="B3926" s="62" t="s">
        <v>943</v>
      </c>
      <c r="C3926" s="68" t="s">
        <v>1399</v>
      </c>
      <c r="D3926" s="68" t="s">
        <v>1372</v>
      </c>
      <c r="E3926" s="8" t="s">
        <v>610</v>
      </c>
      <c r="F3926" s="64" t="s">
        <v>234</v>
      </c>
      <c r="G3926" s="13" t="s">
        <v>813</v>
      </c>
      <c r="H3926" s="14">
        <f>100439-5073.626</f>
        <v>95365.373999999996</v>
      </c>
      <c r="I3926" s="14">
        <v>95365.373999999996</v>
      </c>
      <c r="J3926" s="14">
        <v>94815.748540000001</v>
      </c>
      <c r="K3926" s="78">
        <f t="shared" si="1711"/>
        <v>99.423663498661469</v>
      </c>
      <c r="L3926" s="14"/>
      <c r="M3926" s="50"/>
      <c r="N3926" s="50"/>
    </row>
    <row r="3927" spans="1:14" s="9" customFormat="1" x14ac:dyDescent="0.3">
      <c r="A3927" s="6" t="s">
        <v>712</v>
      </c>
      <c r="B3927" s="48" t="s">
        <v>928</v>
      </c>
      <c r="C3927" s="48" t="s">
        <v>1399</v>
      </c>
      <c r="D3927" s="48" t="s">
        <v>1391</v>
      </c>
      <c r="E3927" s="6"/>
      <c r="F3927" s="6"/>
      <c r="G3927" s="7" t="s">
        <v>1401</v>
      </c>
      <c r="H3927" s="16">
        <f>H3928+H3941</f>
        <v>16484.393</v>
      </c>
      <c r="I3927" s="16">
        <f>I3928+I3941</f>
        <v>16484.392999999996</v>
      </c>
      <c r="J3927" s="16">
        <f t="shared" ref="J3927" si="1718">J3928+J3941</f>
        <v>16195.82864</v>
      </c>
      <c r="K3927" s="82">
        <f t="shared" si="1711"/>
        <v>98.249469301053452</v>
      </c>
      <c r="L3927" s="16">
        <f>L3928+L3941</f>
        <v>0</v>
      </c>
      <c r="M3927" s="65"/>
      <c r="N3927" s="65"/>
    </row>
    <row r="3928" spans="1:14" ht="31.2" x14ac:dyDescent="0.3">
      <c r="A3928" s="64" t="s">
        <v>712</v>
      </c>
      <c r="B3928" s="62" t="s">
        <v>928</v>
      </c>
      <c r="C3928" s="68" t="s">
        <v>1399</v>
      </c>
      <c r="D3928" s="68" t="s">
        <v>1391</v>
      </c>
      <c r="E3928" s="8" t="s">
        <v>406</v>
      </c>
      <c r="F3928" s="8"/>
      <c r="G3928" s="13" t="s">
        <v>848</v>
      </c>
      <c r="H3928" s="14">
        <f t="shared" ref="H3928:L3928" si="1719">H3929</f>
        <v>10009.422</v>
      </c>
      <c r="I3928" s="14">
        <f t="shared" si="1719"/>
        <v>10009.421999999999</v>
      </c>
      <c r="J3928" s="14">
        <f t="shared" si="1719"/>
        <v>9736.2096400000009</v>
      </c>
      <c r="K3928" s="78">
        <f t="shared" si="1711"/>
        <v>97.270448183721328</v>
      </c>
      <c r="L3928" s="14">
        <f t="shared" si="1719"/>
        <v>0</v>
      </c>
      <c r="M3928" s="50"/>
      <c r="N3928" s="50"/>
    </row>
    <row r="3929" spans="1:14" ht="62.4" x14ac:dyDescent="0.3">
      <c r="A3929" s="64" t="s">
        <v>712</v>
      </c>
      <c r="B3929" s="62" t="s">
        <v>928</v>
      </c>
      <c r="C3929" s="68" t="s">
        <v>1399</v>
      </c>
      <c r="D3929" s="68" t="s">
        <v>1391</v>
      </c>
      <c r="E3929" s="8" t="s">
        <v>407</v>
      </c>
      <c r="F3929" s="8"/>
      <c r="G3929" s="13" t="s">
        <v>1353</v>
      </c>
      <c r="H3929" s="14">
        <f>H3937+H3930</f>
        <v>10009.422</v>
      </c>
      <c r="I3929" s="14">
        <f>I3937+I3930</f>
        <v>10009.421999999999</v>
      </c>
      <c r="J3929" s="14">
        <f t="shared" ref="J3929" si="1720">J3937+J3930</f>
        <v>9736.2096400000009</v>
      </c>
      <c r="K3929" s="78">
        <f t="shared" si="1711"/>
        <v>97.270448183721328</v>
      </c>
      <c r="L3929" s="14">
        <f>L3937+L3930</f>
        <v>0</v>
      </c>
      <c r="M3929" s="50"/>
      <c r="N3929" s="50"/>
    </row>
    <row r="3930" spans="1:14" ht="46.8" x14ac:dyDescent="0.3">
      <c r="A3930" s="64" t="s">
        <v>712</v>
      </c>
      <c r="B3930" s="62" t="s">
        <v>928</v>
      </c>
      <c r="C3930" s="68" t="s">
        <v>1399</v>
      </c>
      <c r="D3930" s="68" t="s">
        <v>1391</v>
      </c>
      <c r="E3930" s="8" t="s">
        <v>613</v>
      </c>
      <c r="F3930" s="8"/>
      <c r="G3930" s="18" t="s">
        <v>109</v>
      </c>
      <c r="H3930" s="14">
        <f>H3931+H3934</f>
        <v>9664.5960000000014</v>
      </c>
      <c r="I3930" s="14">
        <f>I3931+I3934</f>
        <v>9664.5959999999995</v>
      </c>
      <c r="J3930" s="14">
        <f t="shared" ref="J3930" si="1721">J3931+J3934</f>
        <v>9391.38364</v>
      </c>
      <c r="K3930" s="78">
        <f t="shared" si="1711"/>
        <v>97.173059691269046</v>
      </c>
      <c r="L3930" s="14">
        <f>L3931+L3934</f>
        <v>0</v>
      </c>
      <c r="M3930" s="50"/>
      <c r="N3930" s="50"/>
    </row>
    <row r="3931" spans="1:14" ht="93.6" x14ac:dyDescent="0.3">
      <c r="A3931" s="64" t="s">
        <v>712</v>
      </c>
      <c r="B3931" s="62" t="s">
        <v>928</v>
      </c>
      <c r="C3931" s="68" t="s">
        <v>1399</v>
      </c>
      <c r="D3931" s="68" t="s">
        <v>1391</v>
      </c>
      <c r="E3931" s="8" t="s">
        <v>85</v>
      </c>
      <c r="F3931" s="8"/>
      <c r="G3931" s="13" t="s">
        <v>145</v>
      </c>
      <c r="H3931" s="14">
        <f t="shared" ref="H3931:L3932" si="1722">H3932</f>
        <v>6740.1329999999998</v>
      </c>
      <c r="I3931" s="14">
        <f t="shared" si="1722"/>
        <v>6740.1329999999998</v>
      </c>
      <c r="J3931" s="14">
        <f t="shared" si="1722"/>
        <v>6703.7606999999998</v>
      </c>
      <c r="K3931" s="78">
        <f t="shared" si="1711"/>
        <v>99.460362280684961</v>
      </c>
      <c r="L3931" s="14">
        <f t="shared" si="1722"/>
        <v>0</v>
      </c>
      <c r="M3931" s="50"/>
      <c r="N3931" s="50"/>
    </row>
    <row r="3932" spans="1:14" x14ac:dyDescent="0.3">
      <c r="A3932" s="64" t="s">
        <v>712</v>
      </c>
      <c r="B3932" s="62" t="s">
        <v>928</v>
      </c>
      <c r="C3932" s="68" t="s">
        <v>1399</v>
      </c>
      <c r="D3932" s="68" t="s">
        <v>1391</v>
      </c>
      <c r="E3932" s="8" t="s">
        <v>85</v>
      </c>
      <c r="F3932" s="8" t="s">
        <v>404</v>
      </c>
      <c r="G3932" s="13" t="s">
        <v>811</v>
      </c>
      <c r="H3932" s="14">
        <f t="shared" si="1722"/>
        <v>6740.1329999999998</v>
      </c>
      <c r="I3932" s="14">
        <f t="shared" si="1722"/>
        <v>6740.1329999999998</v>
      </c>
      <c r="J3932" s="14">
        <f t="shared" si="1722"/>
        <v>6703.7606999999998</v>
      </c>
      <c r="K3932" s="78">
        <f t="shared" si="1711"/>
        <v>99.460362280684961</v>
      </c>
      <c r="L3932" s="14">
        <f t="shared" si="1722"/>
        <v>0</v>
      </c>
      <c r="M3932" s="50"/>
      <c r="N3932" s="50"/>
    </row>
    <row r="3933" spans="1:14" ht="31.2" x14ac:dyDescent="0.3">
      <c r="A3933" s="64" t="s">
        <v>712</v>
      </c>
      <c r="B3933" s="62" t="s">
        <v>928</v>
      </c>
      <c r="C3933" s="68" t="s">
        <v>1399</v>
      </c>
      <c r="D3933" s="68" t="s">
        <v>1391</v>
      </c>
      <c r="E3933" s="8" t="s">
        <v>85</v>
      </c>
      <c r="F3933" s="8" t="s">
        <v>720</v>
      </c>
      <c r="G3933" s="13" t="s">
        <v>812</v>
      </c>
      <c r="H3933" s="14">
        <f>6862.2-122.067</f>
        <v>6740.1329999999998</v>
      </c>
      <c r="I3933" s="14">
        <v>6740.1329999999998</v>
      </c>
      <c r="J3933" s="14">
        <v>6703.7606999999998</v>
      </c>
      <c r="K3933" s="78">
        <f t="shared" si="1711"/>
        <v>99.460362280684961</v>
      </c>
      <c r="L3933" s="14"/>
      <c r="M3933" s="50"/>
      <c r="N3933" s="50"/>
    </row>
    <row r="3934" spans="1:14" ht="62.4" x14ac:dyDescent="0.3">
      <c r="A3934" s="64" t="s">
        <v>712</v>
      </c>
      <c r="B3934" s="62" t="s">
        <v>928</v>
      </c>
      <c r="C3934" s="68" t="s">
        <v>1399</v>
      </c>
      <c r="D3934" s="68" t="s">
        <v>1391</v>
      </c>
      <c r="E3934" s="8" t="s">
        <v>86</v>
      </c>
      <c r="F3934" s="8"/>
      <c r="G3934" s="13" t="s">
        <v>146</v>
      </c>
      <c r="H3934" s="14">
        <f t="shared" ref="H3934:L3935" si="1723">H3935</f>
        <v>2924.4630000000006</v>
      </c>
      <c r="I3934" s="14">
        <f t="shared" si="1723"/>
        <v>2924.4630000000002</v>
      </c>
      <c r="J3934" s="14">
        <f t="shared" si="1723"/>
        <v>2687.6229400000002</v>
      </c>
      <c r="K3934" s="78">
        <f t="shared" si="1711"/>
        <v>91.901417114868607</v>
      </c>
      <c r="L3934" s="14">
        <f t="shared" si="1723"/>
        <v>0</v>
      </c>
      <c r="M3934" s="50"/>
      <c r="N3934" s="50"/>
    </row>
    <row r="3935" spans="1:14" x14ac:dyDescent="0.3">
      <c r="A3935" s="64" t="s">
        <v>712</v>
      </c>
      <c r="B3935" s="62" t="s">
        <v>928</v>
      </c>
      <c r="C3935" s="68" t="s">
        <v>1399</v>
      </c>
      <c r="D3935" s="68" t="s">
        <v>1391</v>
      </c>
      <c r="E3935" s="8" t="s">
        <v>86</v>
      </c>
      <c r="F3935" s="8" t="s">
        <v>404</v>
      </c>
      <c r="G3935" s="13" t="s">
        <v>811</v>
      </c>
      <c r="H3935" s="14">
        <f t="shared" si="1723"/>
        <v>2924.4630000000006</v>
      </c>
      <c r="I3935" s="14">
        <f t="shared" si="1723"/>
        <v>2924.4630000000002</v>
      </c>
      <c r="J3935" s="14">
        <f t="shared" si="1723"/>
        <v>2687.6229400000002</v>
      </c>
      <c r="K3935" s="78">
        <f t="shared" si="1711"/>
        <v>91.901417114868607</v>
      </c>
      <c r="L3935" s="14">
        <f t="shared" si="1723"/>
        <v>0</v>
      </c>
      <c r="M3935" s="50"/>
      <c r="N3935" s="50"/>
    </row>
    <row r="3936" spans="1:14" ht="31.2" x14ac:dyDescent="0.3">
      <c r="A3936" s="64" t="s">
        <v>712</v>
      </c>
      <c r="B3936" s="62" t="s">
        <v>928</v>
      </c>
      <c r="C3936" s="68" t="s">
        <v>1399</v>
      </c>
      <c r="D3936" s="68" t="s">
        <v>1391</v>
      </c>
      <c r="E3936" s="8" t="s">
        <v>86</v>
      </c>
      <c r="F3936" s="8" t="s">
        <v>720</v>
      </c>
      <c r="G3936" s="13" t="s">
        <v>812</v>
      </c>
      <c r="H3936" s="14">
        <f>4287.6-1363.137</f>
        <v>2924.4630000000006</v>
      </c>
      <c r="I3936" s="14">
        <v>2924.4630000000002</v>
      </c>
      <c r="J3936" s="14">
        <v>2687.6229400000002</v>
      </c>
      <c r="K3936" s="78">
        <f t="shared" si="1711"/>
        <v>91.901417114868607</v>
      </c>
      <c r="L3936" s="14"/>
      <c r="M3936" s="50"/>
      <c r="N3936" s="50"/>
    </row>
    <row r="3937" spans="1:14" ht="46.8" x14ac:dyDescent="0.3">
      <c r="A3937" s="64" t="s">
        <v>712</v>
      </c>
      <c r="B3937" s="62" t="s">
        <v>928</v>
      </c>
      <c r="C3937" s="68" t="s">
        <v>1399</v>
      </c>
      <c r="D3937" s="68" t="s">
        <v>1391</v>
      </c>
      <c r="E3937" s="8" t="s">
        <v>611</v>
      </c>
      <c r="F3937" s="8"/>
      <c r="G3937" s="18" t="s">
        <v>1189</v>
      </c>
      <c r="H3937" s="14">
        <f t="shared" ref="H3937:L3939" si="1724">H3938</f>
        <v>344.82599999999996</v>
      </c>
      <c r="I3937" s="14">
        <f t="shared" si="1724"/>
        <v>344.82600000000002</v>
      </c>
      <c r="J3937" s="14">
        <f t="shared" si="1724"/>
        <v>344.82600000000002</v>
      </c>
      <c r="K3937" s="78">
        <f t="shared" si="1711"/>
        <v>100</v>
      </c>
      <c r="L3937" s="14">
        <f t="shared" si="1724"/>
        <v>0</v>
      </c>
      <c r="M3937" s="50"/>
      <c r="N3937" s="50"/>
    </row>
    <row r="3938" spans="1:14" x14ac:dyDescent="0.3">
      <c r="A3938" s="64" t="s">
        <v>712</v>
      </c>
      <c r="B3938" s="62" t="s">
        <v>928</v>
      </c>
      <c r="C3938" s="68" t="s">
        <v>1399</v>
      </c>
      <c r="D3938" s="68" t="s">
        <v>1391</v>
      </c>
      <c r="E3938" s="8" t="s">
        <v>87</v>
      </c>
      <c r="F3938" s="8"/>
      <c r="G3938" s="13" t="s">
        <v>150</v>
      </c>
      <c r="H3938" s="14">
        <f t="shared" si="1724"/>
        <v>344.82599999999996</v>
      </c>
      <c r="I3938" s="14">
        <f t="shared" si="1724"/>
        <v>344.82600000000002</v>
      </c>
      <c r="J3938" s="14">
        <f t="shared" si="1724"/>
        <v>344.82600000000002</v>
      </c>
      <c r="K3938" s="78">
        <f t="shared" si="1711"/>
        <v>100</v>
      </c>
      <c r="L3938" s="14">
        <f t="shared" si="1724"/>
        <v>0</v>
      </c>
      <c r="M3938" s="50"/>
      <c r="N3938" s="50"/>
    </row>
    <row r="3939" spans="1:14" x14ac:dyDescent="0.3">
      <c r="A3939" s="64" t="s">
        <v>712</v>
      </c>
      <c r="B3939" s="62" t="s">
        <v>928</v>
      </c>
      <c r="C3939" s="68" t="s">
        <v>1399</v>
      </c>
      <c r="D3939" s="68" t="s">
        <v>1391</v>
      </c>
      <c r="E3939" s="8" t="s">
        <v>87</v>
      </c>
      <c r="F3939" s="8" t="s">
        <v>404</v>
      </c>
      <c r="G3939" s="13" t="s">
        <v>811</v>
      </c>
      <c r="H3939" s="14">
        <f t="shared" si="1724"/>
        <v>344.82599999999996</v>
      </c>
      <c r="I3939" s="14">
        <f t="shared" si="1724"/>
        <v>344.82600000000002</v>
      </c>
      <c r="J3939" s="14">
        <f t="shared" si="1724"/>
        <v>344.82600000000002</v>
      </c>
      <c r="K3939" s="78">
        <f t="shared" si="1711"/>
        <v>100</v>
      </c>
      <c r="L3939" s="14">
        <f t="shared" si="1724"/>
        <v>0</v>
      </c>
      <c r="M3939" s="50"/>
      <c r="N3939" s="50"/>
    </row>
    <row r="3940" spans="1:14" x14ac:dyDescent="0.3">
      <c r="A3940" s="64" t="s">
        <v>712</v>
      </c>
      <c r="B3940" s="62" t="s">
        <v>928</v>
      </c>
      <c r="C3940" s="68" t="s">
        <v>1399</v>
      </c>
      <c r="D3940" s="68" t="s">
        <v>1391</v>
      </c>
      <c r="E3940" s="8" t="s">
        <v>87</v>
      </c>
      <c r="F3940" s="8" t="s">
        <v>723</v>
      </c>
      <c r="G3940" s="13" t="s">
        <v>815</v>
      </c>
      <c r="H3940" s="14">
        <f>287.4+57.426</f>
        <v>344.82599999999996</v>
      </c>
      <c r="I3940" s="14">
        <v>344.82600000000002</v>
      </c>
      <c r="J3940" s="14">
        <v>344.82600000000002</v>
      </c>
      <c r="K3940" s="78">
        <f t="shared" si="1711"/>
        <v>100</v>
      </c>
      <c r="L3940" s="14"/>
      <c r="M3940" s="50"/>
      <c r="N3940" s="50"/>
    </row>
    <row r="3941" spans="1:14" ht="31.2" x14ac:dyDescent="0.3">
      <c r="A3941" s="64" t="s">
        <v>712</v>
      </c>
      <c r="B3941" s="62" t="s">
        <v>928</v>
      </c>
      <c r="C3941" s="68" t="s">
        <v>1399</v>
      </c>
      <c r="D3941" s="68" t="s">
        <v>1391</v>
      </c>
      <c r="E3941" s="8" t="s">
        <v>396</v>
      </c>
      <c r="F3941" s="8"/>
      <c r="G3941" s="13" t="s">
        <v>876</v>
      </c>
      <c r="H3941" s="14">
        <f t="shared" ref="H3941:L3942" si="1725">H3942</f>
        <v>6474.9710000000005</v>
      </c>
      <c r="I3941" s="14">
        <f t="shared" si="1725"/>
        <v>6474.9709999999995</v>
      </c>
      <c r="J3941" s="14">
        <f t="shared" si="1725"/>
        <v>6459.6189999999997</v>
      </c>
      <c r="K3941" s="78">
        <f t="shared" si="1711"/>
        <v>99.762902412999225</v>
      </c>
      <c r="L3941" s="14">
        <f t="shared" si="1725"/>
        <v>0</v>
      </c>
      <c r="M3941" s="50"/>
      <c r="N3941" s="50"/>
    </row>
    <row r="3942" spans="1:14" ht="31.2" x14ac:dyDescent="0.3">
      <c r="A3942" s="64" t="s">
        <v>712</v>
      </c>
      <c r="B3942" s="62" t="s">
        <v>928</v>
      </c>
      <c r="C3942" s="68" t="s">
        <v>1399</v>
      </c>
      <c r="D3942" s="68" t="s">
        <v>1391</v>
      </c>
      <c r="E3942" s="8" t="s">
        <v>481</v>
      </c>
      <c r="F3942" s="8"/>
      <c r="G3942" s="18" t="s">
        <v>880</v>
      </c>
      <c r="H3942" s="14">
        <f t="shared" si="1725"/>
        <v>6474.9710000000005</v>
      </c>
      <c r="I3942" s="14">
        <f t="shared" si="1725"/>
        <v>6474.9709999999995</v>
      </c>
      <c r="J3942" s="14">
        <f t="shared" si="1725"/>
        <v>6459.6189999999997</v>
      </c>
      <c r="K3942" s="78">
        <f t="shared" si="1711"/>
        <v>99.762902412999225</v>
      </c>
      <c r="L3942" s="14">
        <f t="shared" si="1725"/>
        <v>0</v>
      </c>
      <c r="M3942" s="50"/>
      <c r="N3942" s="50"/>
    </row>
    <row r="3943" spans="1:14" ht="31.2" x14ac:dyDescent="0.3">
      <c r="A3943" s="64" t="s">
        <v>712</v>
      </c>
      <c r="B3943" s="62" t="s">
        <v>928</v>
      </c>
      <c r="C3943" s="68" t="s">
        <v>1399</v>
      </c>
      <c r="D3943" s="68" t="s">
        <v>1391</v>
      </c>
      <c r="E3943" s="8" t="s">
        <v>275</v>
      </c>
      <c r="F3943" s="45"/>
      <c r="G3943" s="23" t="s">
        <v>303</v>
      </c>
      <c r="H3943" s="14">
        <f t="shared" ref="H3943:L3944" si="1726">H3944</f>
        <v>6474.9710000000005</v>
      </c>
      <c r="I3943" s="14">
        <f t="shared" si="1726"/>
        <v>6474.9709999999995</v>
      </c>
      <c r="J3943" s="14">
        <f t="shared" si="1726"/>
        <v>6459.6189999999997</v>
      </c>
      <c r="K3943" s="78">
        <f t="shared" si="1711"/>
        <v>99.762902412999225</v>
      </c>
      <c r="L3943" s="14">
        <f t="shared" si="1726"/>
        <v>0</v>
      </c>
      <c r="M3943" s="50"/>
      <c r="N3943" s="50"/>
    </row>
    <row r="3944" spans="1:14" x14ac:dyDescent="0.3">
      <c r="A3944" s="64" t="s">
        <v>712</v>
      </c>
      <c r="B3944" s="62" t="s">
        <v>928</v>
      </c>
      <c r="C3944" s="68" t="s">
        <v>1399</v>
      </c>
      <c r="D3944" s="68" t="s">
        <v>1391</v>
      </c>
      <c r="E3944" s="8" t="s">
        <v>275</v>
      </c>
      <c r="F3944" s="8" t="s">
        <v>404</v>
      </c>
      <c r="G3944" s="13" t="s">
        <v>811</v>
      </c>
      <c r="H3944" s="14">
        <f t="shared" si="1726"/>
        <v>6474.9710000000005</v>
      </c>
      <c r="I3944" s="14">
        <f t="shared" si="1726"/>
        <v>6474.9709999999995</v>
      </c>
      <c r="J3944" s="14">
        <f t="shared" si="1726"/>
        <v>6459.6189999999997</v>
      </c>
      <c r="K3944" s="78">
        <f t="shared" si="1711"/>
        <v>99.762902412999225</v>
      </c>
      <c r="L3944" s="14">
        <f t="shared" si="1726"/>
        <v>0</v>
      </c>
      <c r="M3944" s="50"/>
      <c r="N3944" s="50"/>
    </row>
    <row r="3945" spans="1:14" ht="31.2" x14ac:dyDescent="0.3">
      <c r="A3945" s="64" t="s">
        <v>712</v>
      </c>
      <c r="B3945" s="62" t="s">
        <v>928</v>
      </c>
      <c r="C3945" s="68" t="s">
        <v>1399</v>
      </c>
      <c r="D3945" s="68" t="s">
        <v>1391</v>
      </c>
      <c r="E3945" s="8" t="s">
        <v>275</v>
      </c>
      <c r="F3945" s="8" t="s">
        <v>720</v>
      </c>
      <c r="G3945" s="13" t="s">
        <v>812</v>
      </c>
      <c r="H3945" s="14">
        <f>4597.7+756.26+1149.425-28.414</f>
        <v>6474.9710000000005</v>
      </c>
      <c r="I3945" s="14">
        <v>6474.9709999999995</v>
      </c>
      <c r="J3945" s="14">
        <v>6459.6189999999997</v>
      </c>
      <c r="K3945" s="78">
        <f t="shared" si="1711"/>
        <v>99.762902412999225</v>
      </c>
      <c r="L3945" s="14"/>
      <c r="M3945" s="50"/>
      <c r="N3945" s="50"/>
    </row>
    <row r="3946" spans="1:14" s="9" customFormat="1" x14ac:dyDescent="0.3">
      <c r="A3946" s="6" t="s">
        <v>712</v>
      </c>
      <c r="B3946" s="48" t="s">
        <v>932</v>
      </c>
      <c r="C3946" s="48" t="s">
        <v>1399</v>
      </c>
      <c r="D3946" s="48" t="s">
        <v>1381</v>
      </c>
      <c r="E3946" s="6"/>
      <c r="F3946" s="6"/>
      <c r="G3946" s="7" t="s">
        <v>1408</v>
      </c>
      <c r="H3946" s="16">
        <f>H3947+H3973+H3989+H4003</f>
        <v>90305.325000000012</v>
      </c>
      <c r="I3946" s="16">
        <f>I3947+I3973+I3989+I4003+I4015</f>
        <v>97502.398000000001</v>
      </c>
      <c r="J3946" s="16">
        <f t="shared" ref="J3946:L3946" si="1727">J3947+J3973+J3989+J4003+J4015</f>
        <v>97133.695300000007</v>
      </c>
      <c r="K3946" s="82">
        <f t="shared" si="1711"/>
        <v>99.621852685100123</v>
      </c>
      <c r="L3946" s="16">
        <f t="shared" si="1727"/>
        <v>0</v>
      </c>
      <c r="M3946" s="65"/>
      <c r="N3946" s="65"/>
    </row>
    <row r="3947" spans="1:14" ht="31.2" x14ac:dyDescent="0.3">
      <c r="A3947" s="64" t="s">
        <v>712</v>
      </c>
      <c r="B3947" s="62" t="s">
        <v>932</v>
      </c>
      <c r="C3947" s="68" t="s">
        <v>1399</v>
      </c>
      <c r="D3947" s="68" t="s">
        <v>1381</v>
      </c>
      <c r="E3947" s="8" t="s">
        <v>406</v>
      </c>
      <c r="F3947" s="8"/>
      <c r="G3947" s="13" t="s">
        <v>848</v>
      </c>
      <c r="H3947" s="14">
        <f>H3948+H3969</f>
        <v>13750.578000000001</v>
      </c>
      <c r="I3947" s="14">
        <f>I3948+I3969</f>
        <v>13750.578000000001</v>
      </c>
      <c r="J3947" s="14">
        <f t="shared" ref="J3947" si="1728">J3948+J3969</f>
        <v>13636.606339999998</v>
      </c>
      <c r="K3947" s="78">
        <f t="shared" si="1711"/>
        <v>99.171150041838217</v>
      </c>
      <c r="L3947" s="14">
        <f>L3948+L3969</f>
        <v>0</v>
      </c>
      <c r="M3947" s="50"/>
      <c r="N3947" s="50"/>
    </row>
    <row r="3948" spans="1:14" ht="62.4" x14ac:dyDescent="0.3">
      <c r="A3948" s="64" t="s">
        <v>712</v>
      </c>
      <c r="B3948" s="62" t="s">
        <v>932</v>
      </c>
      <c r="C3948" s="68" t="s">
        <v>1399</v>
      </c>
      <c r="D3948" s="68" t="s">
        <v>1381</v>
      </c>
      <c r="E3948" s="8" t="s">
        <v>407</v>
      </c>
      <c r="F3948" s="8"/>
      <c r="G3948" s="13" t="s">
        <v>1353</v>
      </c>
      <c r="H3948" s="14">
        <f>H3949+H3959+H3966</f>
        <v>12337.091</v>
      </c>
      <c r="I3948" s="14">
        <f>I3949+I3959+I3966</f>
        <v>12337.091</v>
      </c>
      <c r="J3948" s="14">
        <f t="shared" ref="J3948" si="1729">J3949+J3959+J3966</f>
        <v>12223.120119999998</v>
      </c>
      <c r="K3948" s="78">
        <f t="shared" si="1711"/>
        <v>99.076193245230968</v>
      </c>
      <c r="L3948" s="14">
        <f>L3949+L3959+L3966</f>
        <v>0</v>
      </c>
      <c r="M3948" s="50"/>
      <c r="N3948" s="50"/>
    </row>
    <row r="3949" spans="1:14" ht="46.8" x14ac:dyDescent="0.3">
      <c r="A3949" s="64" t="s">
        <v>712</v>
      </c>
      <c r="B3949" s="62" t="s">
        <v>932</v>
      </c>
      <c r="C3949" s="68" t="s">
        <v>1399</v>
      </c>
      <c r="D3949" s="68" t="s">
        <v>1381</v>
      </c>
      <c r="E3949" s="8" t="s">
        <v>613</v>
      </c>
      <c r="F3949" s="8"/>
      <c r="G3949" s="18" t="s">
        <v>109</v>
      </c>
      <c r="H3949" s="14">
        <f>H3950+H3953+H3956</f>
        <v>9641.3910000000014</v>
      </c>
      <c r="I3949" s="14">
        <f>I3950+I3953+I3956</f>
        <v>9641.3910000000014</v>
      </c>
      <c r="J3949" s="14">
        <f t="shared" ref="J3949" si="1730">J3950+J3953+J3956</f>
        <v>9574.635769999999</v>
      </c>
      <c r="K3949" s="78">
        <f t="shared" si="1711"/>
        <v>99.307618267944918</v>
      </c>
      <c r="L3949" s="14">
        <f>L3950+L3953+L3956</f>
        <v>0</v>
      </c>
      <c r="M3949" s="50"/>
      <c r="N3949" s="50"/>
    </row>
    <row r="3950" spans="1:14" ht="93.6" x14ac:dyDescent="0.3">
      <c r="A3950" s="64" t="s">
        <v>712</v>
      </c>
      <c r="B3950" s="62" t="s">
        <v>932</v>
      </c>
      <c r="C3950" s="68" t="s">
        <v>1399</v>
      </c>
      <c r="D3950" s="68" t="s">
        <v>1381</v>
      </c>
      <c r="E3950" s="8" t="s">
        <v>85</v>
      </c>
      <c r="F3950" s="8"/>
      <c r="G3950" s="13" t="s">
        <v>145</v>
      </c>
      <c r="H3950" s="14">
        <f t="shared" ref="H3950:L3951" si="1731">H3951</f>
        <v>26.21</v>
      </c>
      <c r="I3950" s="14">
        <f t="shared" si="1731"/>
        <v>26.21</v>
      </c>
      <c r="J3950" s="14">
        <f t="shared" si="1731"/>
        <v>25.550339999999998</v>
      </c>
      <c r="K3950" s="78">
        <f t="shared" si="1711"/>
        <v>97.483174360930931</v>
      </c>
      <c r="L3950" s="14">
        <f t="shared" si="1731"/>
        <v>0</v>
      </c>
      <c r="M3950" s="50"/>
      <c r="N3950" s="50"/>
    </row>
    <row r="3951" spans="1:14" ht="31.2" x14ac:dyDescent="0.3">
      <c r="A3951" s="64" t="s">
        <v>712</v>
      </c>
      <c r="B3951" s="62" t="s">
        <v>932</v>
      </c>
      <c r="C3951" s="68" t="s">
        <v>1399</v>
      </c>
      <c r="D3951" s="68" t="s">
        <v>1381</v>
      </c>
      <c r="E3951" s="8" t="s">
        <v>85</v>
      </c>
      <c r="F3951" s="45" t="s">
        <v>380</v>
      </c>
      <c r="G3951" s="23" t="s">
        <v>809</v>
      </c>
      <c r="H3951" s="14">
        <f t="shared" si="1731"/>
        <v>26.21</v>
      </c>
      <c r="I3951" s="14">
        <f t="shared" si="1731"/>
        <v>26.21</v>
      </c>
      <c r="J3951" s="14">
        <f t="shared" si="1731"/>
        <v>25.550339999999998</v>
      </c>
      <c r="K3951" s="78">
        <f t="shared" si="1711"/>
        <v>97.483174360930931</v>
      </c>
      <c r="L3951" s="14">
        <f t="shared" si="1731"/>
        <v>0</v>
      </c>
      <c r="M3951" s="50"/>
      <c r="N3951" s="50"/>
    </row>
    <row r="3952" spans="1:14" ht="31.2" x14ac:dyDescent="0.3">
      <c r="A3952" s="64" t="s">
        <v>712</v>
      </c>
      <c r="B3952" s="62" t="s">
        <v>932</v>
      </c>
      <c r="C3952" s="68" t="s">
        <v>1399</v>
      </c>
      <c r="D3952" s="68" t="s">
        <v>1381</v>
      </c>
      <c r="E3952" s="8" t="s">
        <v>85</v>
      </c>
      <c r="F3952" s="8" t="s">
        <v>247</v>
      </c>
      <c r="G3952" s="23" t="s">
        <v>810</v>
      </c>
      <c r="H3952" s="14">
        <f>29.8-3.59</f>
        <v>26.21</v>
      </c>
      <c r="I3952" s="14">
        <v>26.21</v>
      </c>
      <c r="J3952" s="14">
        <v>25.550339999999998</v>
      </c>
      <c r="K3952" s="78">
        <f t="shared" si="1711"/>
        <v>97.483174360930931</v>
      </c>
      <c r="L3952" s="14"/>
      <c r="M3952" s="50"/>
      <c r="N3952" s="50"/>
    </row>
    <row r="3953" spans="1:14" ht="62.4" x14ac:dyDescent="0.3">
      <c r="A3953" s="64" t="s">
        <v>712</v>
      </c>
      <c r="B3953" s="62" t="s">
        <v>932</v>
      </c>
      <c r="C3953" s="68" t="s">
        <v>1399</v>
      </c>
      <c r="D3953" s="68" t="s">
        <v>1381</v>
      </c>
      <c r="E3953" s="8" t="s">
        <v>86</v>
      </c>
      <c r="F3953" s="8"/>
      <c r="G3953" s="13" t="s">
        <v>146</v>
      </c>
      <c r="H3953" s="14">
        <f t="shared" ref="H3953:L3954" si="1732">H3954</f>
        <v>12.106000000000002</v>
      </c>
      <c r="I3953" s="14">
        <f t="shared" si="1732"/>
        <v>12.106</v>
      </c>
      <c r="J3953" s="14">
        <f t="shared" si="1732"/>
        <v>10.81574</v>
      </c>
      <c r="K3953" s="78">
        <f t="shared" si="1711"/>
        <v>89.341979183875765</v>
      </c>
      <c r="L3953" s="14">
        <f t="shared" si="1732"/>
        <v>0</v>
      </c>
      <c r="M3953" s="50"/>
      <c r="N3953" s="50"/>
    </row>
    <row r="3954" spans="1:14" ht="31.2" x14ac:dyDescent="0.3">
      <c r="A3954" s="64" t="s">
        <v>712</v>
      </c>
      <c r="B3954" s="62" t="s">
        <v>932</v>
      </c>
      <c r="C3954" s="68" t="s">
        <v>1399</v>
      </c>
      <c r="D3954" s="68" t="s">
        <v>1381</v>
      </c>
      <c r="E3954" s="8" t="s">
        <v>86</v>
      </c>
      <c r="F3954" s="45" t="s">
        <v>380</v>
      </c>
      <c r="G3954" s="23" t="s">
        <v>809</v>
      </c>
      <c r="H3954" s="14">
        <f t="shared" si="1732"/>
        <v>12.106000000000002</v>
      </c>
      <c r="I3954" s="14">
        <f t="shared" si="1732"/>
        <v>12.106</v>
      </c>
      <c r="J3954" s="14">
        <f t="shared" si="1732"/>
        <v>10.81574</v>
      </c>
      <c r="K3954" s="78">
        <f t="shared" si="1711"/>
        <v>89.341979183875765</v>
      </c>
      <c r="L3954" s="14">
        <f t="shared" si="1732"/>
        <v>0</v>
      </c>
      <c r="M3954" s="50"/>
      <c r="N3954" s="50"/>
    </row>
    <row r="3955" spans="1:14" ht="31.2" x14ac:dyDescent="0.3">
      <c r="A3955" s="64" t="s">
        <v>712</v>
      </c>
      <c r="B3955" s="62" t="s">
        <v>932</v>
      </c>
      <c r="C3955" s="68" t="s">
        <v>1399</v>
      </c>
      <c r="D3955" s="68" t="s">
        <v>1381</v>
      </c>
      <c r="E3955" s="8" t="s">
        <v>86</v>
      </c>
      <c r="F3955" s="8" t="s">
        <v>247</v>
      </c>
      <c r="G3955" s="23" t="s">
        <v>810</v>
      </c>
      <c r="H3955" s="14">
        <f>18.6-6.494</f>
        <v>12.106000000000002</v>
      </c>
      <c r="I3955" s="14">
        <v>12.106</v>
      </c>
      <c r="J3955" s="14">
        <v>10.81574</v>
      </c>
      <c r="K3955" s="78">
        <f t="shared" si="1711"/>
        <v>89.341979183875765</v>
      </c>
      <c r="L3955" s="14"/>
      <c r="M3955" s="50"/>
      <c r="N3955" s="50"/>
    </row>
    <row r="3956" spans="1:14" x14ac:dyDescent="0.3">
      <c r="A3956" s="64" t="s">
        <v>712</v>
      </c>
      <c r="B3956" s="62" t="s">
        <v>932</v>
      </c>
      <c r="C3956" s="68" t="s">
        <v>1399</v>
      </c>
      <c r="D3956" s="68" t="s">
        <v>1381</v>
      </c>
      <c r="E3956" s="8" t="s">
        <v>88</v>
      </c>
      <c r="F3956" s="8"/>
      <c r="G3956" s="13" t="s">
        <v>147</v>
      </c>
      <c r="H3956" s="14">
        <f t="shared" ref="H3956:L3957" si="1733">H3957</f>
        <v>9603.0750000000007</v>
      </c>
      <c r="I3956" s="14">
        <f t="shared" si="1733"/>
        <v>9603.0750000000007</v>
      </c>
      <c r="J3956" s="14">
        <f t="shared" si="1733"/>
        <v>9538.2696899999992</v>
      </c>
      <c r="K3956" s="78">
        <f t="shared" si="1711"/>
        <v>99.325160846916205</v>
      </c>
      <c r="L3956" s="14">
        <f t="shared" si="1733"/>
        <v>0</v>
      </c>
      <c r="M3956" s="50"/>
      <c r="N3956" s="50"/>
    </row>
    <row r="3957" spans="1:14" x14ac:dyDescent="0.3">
      <c r="A3957" s="64" t="s">
        <v>712</v>
      </c>
      <c r="B3957" s="62" t="s">
        <v>932</v>
      </c>
      <c r="C3957" s="68" t="s">
        <v>1399</v>
      </c>
      <c r="D3957" s="68" t="s">
        <v>1381</v>
      </c>
      <c r="E3957" s="8" t="s">
        <v>88</v>
      </c>
      <c r="F3957" s="8" t="s">
        <v>404</v>
      </c>
      <c r="G3957" s="13" t="s">
        <v>811</v>
      </c>
      <c r="H3957" s="14">
        <f t="shared" si="1733"/>
        <v>9603.0750000000007</v>
      </c>
      <c r="I3957" s="14">
        <f t="shared" si="1733"/>
        <v>9603.0750000000007</v>
      </c>
      <c r="J3957" s="14">
        <f t="shared" si="1733"/>
        <v>9538.2696899999992</v>
      </c>
      <c r="K3957" s="78">
        <f t="shared" si="1711"/>
        <v>99.325160846916205</v>
      </c>
      <c r="L3957" s="14">
        <f t="shared" si="1733"/>
        <v>0</v>
      </c>
      <c r="M3957" s="50"/>
      <c r="N3957" s="50"/>
    </row>
    <row r="3958" spans="1:14" ht="31.2" x14ac:dyDescent="0.3">
      <c r="A3958" s="64" t="s">
        <v>712</v>
      </c>
      <c r="B3958" s="62" t="s">
        <v>932</v>
      </c>
      <c r="C3958" s="68" t="s">
        <v>1399</v>
      </c>
      <c r="D3958" s="68" t="s">
        <v>1381</v>
      </c>
      <c r="E3958" s="8" t="s">
        <v>88</v>
      </c>
      <c r="F3958" s="64" t="s">
        <v>234</v>
      </c>
      <c r="G3958" s="13" t="s">
        <v>813</v>
      </c>
      <c r="H3958" s="14">
        <f>7074.5+2860.831-332.256</f>
        <v>9603.0750000000007</v>
      </c>
      <c r="I3958" s="14">
        <v>9603.0750000000007</v>
      </c>
      <c r="J3958" s="14">
        <v>9538.2696899999992</v>
      </c>
      <c r="K3958" s="78">
        <f t="shared" si="1711"/>
        <v>99.325160846916205</v>
      </c>
      <c r="L3958" s="14"/>
      <c r="M3958" s="50"/>
      <c r="N3958" s="50"/>
    </row>
    <row r="3959" spans="1:14" ht="46.8" x14ac:dyDescent="0.3">
      <c r="A3959" s="64" t="s">
        <v>712</v>
      </c>
      <c r="B3959" s="62" t="s">
        <v>932</v>
      </c>
      <c r="C3959" s="68" t="s">
        <v>1399</v>
      </c>
      <c r="D3959" s="68" t="s">
        <v>1381</v>
      </c>
      <c r="E3959" s="8" t="s">
        <v>611</v>
      </c>
      <c r="F3959" s="8"/>
      <c r="G3959" s="18" t="s">
        <v>1189</v>
      </c>
      <c r="H3959" s="14">
        <f>H3960+H3963</f>
        <v>1632.9</v>
      </c>
      <c r="I3959" s="14">
        <f>I3960+I3963</f>
        <v>1632.9</v>
      </c>
      <c r="J3959" s="14">
        <f t="shared" ref="J3959" si="1734">J3960+J3963</f>
        <v>1585.68435</v>
      </c>
      <c r="K3959" s="78">
        <f t="shared" si="1711"/>
        <v>97.108478780084511</v>
      </c>
      <c r="L3959" s="14">
        <f>L3960+L3963</f>
        <v>0</v>
      </c>
      <c r="M3959" s="50"/>
      <c r="N3959" s="50"/>
    </row>
    <row r="3960" spans="1:14" x14ac:dyDescent="0.3">
      <c r="A3960" s="64" t="s">
        <v>712</v>
      </c>
      <c r="B3960" s="62" t="s">
        <v>932</v>
      </c>
      <c r="C3960" s="68" t="s">
        <v>1399</v>
      </c>
      <c r="D3960" s="68" t="s">
        <v>1381</v>
      </c>
      <c r="E3960" s="8" t="s">
        <v>63</v>
      </c>
      <c r="F3960" s="8"/>
      <c r="G3960" s="13" t="s">
        <v>148</v>
      </c>
      <c r="H3960" s="14">
        <f t="shared" ref="H3960:L3961" si="1735">H3961</f>
        <v>1451</v>
      </c>
      <c r="I3960" s="14">
        <f t="shared" si="1735"/>
        <v>1451</v>
      </c>
      <c r="J3960" s="14">
        <f t="shared" si="1735"/>
        <v>1405.0243499999999</v>
      </c>
      <c r="K3960" s="78">
        <f t="shared" si="1711"/>
        <v>96.831450723638866</v>
      </c>
      <c r="L3960" s="14">
        <f t="shared" si="1735"/>
        <v>0</v>
      </c>
      <c r="M3960" s="50"/>
      <c r="N3960" s="50"/>
    </row>
    <row r="3961" spans="1:14" ht="31.2" x14ac:dyDescent="0.3">
      <c r="A3961" s="64" t="s">
        <v>712</v>
      </c>
      <c r="B3961" s="62" t="s">
        <v>932</v>
      </c>
      <c r="C3961" s="68" t="s">
        <v>1399</v>
      </c>
      <c r="D3961" s="68" t="s">
        <v>1381</v>
      </c>
      <c r="E3961" s="8" t="s">
        <v>63</v>
      </c>
      <c r="F3961" s="45" t="s">
        <v>380</v>
      </c>
      <c r="G3961" s="23" t="s">
        <v>809</v>
      </c>
      <c r="H3961" s="14">
        <f t="shared" si="1735"/>
        <v>1451</v>
      </c>
      <c r="I3961" s="14">
        <f t="shared" si="1735"/>
        <v>1451</v>
      </c>
      <c r="J3961" s="14">
        <f t="shared" si="1735"/>
        <v>1405.0243499999999</v>
      </c>
      <c r="K3961" s="78">
        <f t="shared" si="1711"/>
        <v>96.831450723638866</v>
      </c>
      <c r="L3961" s="14">
        <f t="shared" si="1735"/>
        <v>0</v>
      </c>
      <c r="M3961" s="50"/>
      <c r="N3961" s="50"/>
    </row>
    <row r="3962" spans="1:14" ht="31.2" x14ac:dyDescent="0.3">
      <c r="A3962" s="64" t="s">
        <v>712</v>
      </c>
      <c r="B3962" s="62" t="s">
        <v>932</v>
      </c>
      <c r="C3962" s="68" t="s">
        <v>1399</v>
      </c>
      <c r="D3962" s="68" t="s">
        <v>1381</v>
      </c>
      <c r="E3962" s="8" t="s">
        <v>63</v>
      </c>
      <c r="F3962" s="8" t="s">
        <v>247</v>
      </c>
      <c r="G3962" s="23" t="s">
        <v>810</v>
      </c>
      <c r="H3962" s="14">
        <v>1451</v>
      </c>
      <c r="I3962" s="14">
        <v>1451</v>
      </c>
      <c r="J3962" s="14">
        <v>1405.0243499999999</v>
      </c>
      <c r="K3962" s="78">
        <f t="shared" si="1711"/>
        <v>96.831450723638866</v>
      </c>
      <c r="L3962" s="14"/>
      <c r="M3962" s="50"/>
      <c r="N3962" s="50"/>
    </row>
    <row r="3963" spans="1:14" ht="46.8" x14ac:dyDescent="0.3">
      <c r="A3963" s="64" t="s">
        <v>712</v>
      </c>
      <c r="B3963" s="62" t="s">
        <v>932</v>
      </c>
      <c r="C3963" s="68" t="s">
        <v>1399</v>
      </c>
      <c r="D3963" s="68" t="s">
        <v>1381</v>
      </c>
      <c r="E3963" s="8" t="s">
        <v>89</v>
      </c>
      <c r="F3963" s="8"/>
      <c r="G3963" s="23" t="s">
        <v>149</v>
      </c>
      <c r="H3963" s="14">
        <f t="shared" ref="H3963:L3964" si="1736">H3964</f>
        <v>181.9</v>
      </c>
      <c r="I3963" s="14">
        <f t="shared" si="1736"/>
        <v>181.9</v>
      </c>
      <c r="J3963" s="14">
        <f t="shared" si="1736"/>
        <v>180.66</v>
      </c>
      <c r="K3963" s="78">
        <f t="shared" si="1711"/>
        <v>99.318306761957103</v>
      </c>
      <c r="L3963" s="14">
        <f t="shared" si="1736"/>
        <v>0</v>
      </c>
      <c r="M3963" s="50"/>
      <c r="N3963" s="50"/>
    </row>
    <row r="3964" spans="1:14" ht="31.2" x14ac:dyDescent="0.3">
      <c r="A3964" s="64" t="s">
        <v>712</v>
      </c>
      <c r="B3964" s="62" t="s">
        <v>932</v>
      </c>
      <c r="C3964" s="68" t="s">
        <v>1399</v>
      </c>
      <c r="D3964" s="68" t="s">
        <v>1381</v>
      </c>
      <c r="E3964" s="8" t="s">
        <v>89</v>
      </c>
      <c r="F3964" s="45" t="s">
        <v>402</v>
      </c>
      <c r="G3964" s="23" t="s">
        <v>819</v>
      </c>
      <c r="H3964" s="14">
        <f t="shared" si="1736"/>
        <v>181.9</v>
      </c>
      <c r="I3964" s="14">
        <f t="shared" si="1736"/>
        <v>181.9</v>
      </c>
      <c r="J3964" s="14">
        <f t="shared" si="1736"/>
        <v>180.66</v>
      </c>
      <c r="K3964" s="78">
        <f t="shared" si="1711"/>
        <v>99.318306761957103</v>
      </c>
      <c r="L3964" s="14">
        <f t="shared" si="1736"/>
        <v>0</v>
      </c>
      <c r="M3964" s="50"/>
      <c r="N3964" s="50"/>
    </row>
    <row r="3965" spans="1:14" ht="46.8" x14ac:dyDescent="0.3">
      <c r="A3965" s="64" t="s">
        <v>712</v>
      </c>
      <c r="B3965" s="62" t="s">
        <v>932</v>
      </c>
      <c r="C3965" s="68" t="s">
        <v>1399</v>
      </c>
      <c r="D3965" s="68" t="s">
        <v>1381</v>
      </c>
      <c r="E3965" s="8" t="s">
        <v>89</v>
      </c>
      <c r="F3965" s="45" t="s">
        <v>280</v>
      </c>
      <c r="G3965" s="23" t="s">
        <v>821</v>
      </c>
      <c r="H3965" s="14">
        <v>181.9</v>
      </c>
      <c r="I3965" s="14">
        <v>181.9</v>
      </c>
      <c r="J3965" s="14">
        <v>180.66</v>
      </c>
      <c r="K3965" s="78">
        <f t="shared" si="1711"/>
        <v>99.318306761957103</v>
      </c>
      <c r="L3965" s="14"/>
      <c r="M3965" s="50"/>
      <c r="N3965" s="50"/>
    </row>
    <row r="3966" spans="1:14" ht="31.2" x14ac:dyDescent="0.3">
      <c r="A3966" s="64" t="s">
        <v>712</v>
      </c>
      <c r="B3966" s="62" t="s">
        <v>932</v>
      </c>
      <c r="C3966" s="68" t="s">
        <v>1399</v>
      </c>
      <c r="D3966" s="68" t="s">
        <v>1381</v>
      </c>
      <c r="E3966" s="8" t="s">
        <v>612</v>
      </c>
      <c r="F3966" s="8"/>
      <c r="G3966" s="13" t="s">
        <v>1220</v>
      </c>
      <c r="H3966" s="14">
        <f t="shared" ref="H3966:L3966" si="1737">H3967</f>
        <v>1062.8</v>
      </c>
      <c r="I3966" s="14">
        <f t="shared" si="1737"/>
        <v>1062.8</v>
      </c>
      <c r="J3966" s="14">
        <f t="shared" si="1737"/>
        <v>1062.8</v>
      </c>
      <c r="K3966" s="78">
        <f t="shared" si="1711"/>
        <v>100</v>
      </c>
      <c r="L3966" s="14">
        <f t="shared" si="1737"/>
        <v>0</v>
      </c>
      <c r="M3966" s="50"/>
      <c r="N3966" s="50"/>
    </row>
    <row r="3967" spans="1:14" ht="31.2" x14ac:dyDescent="0.3">
      <c r="A3967" s="64" t="s">
        <v>712</v>
      </c>
      <c r="B3967" s="62" t="s">
        <v>932</v>
      </c>
      <c r="C3967" s="68" t="s">
        <v>1399</v>
      </c>
      <c r="D3967" s="68" t="s">
        <v>1381</v>
      </c>
      <c r="E3967" s="8" t="s">
        <v>612</v>
      </c>
      <c r="F3967" s="45" t="s">
        <v>380</v>
      </c>
      <c r="G3967" s="23" t="s">
        <v>809</v>
      </c>
      <c r="H3967" s="14">
        <f t="shared" ref="H3967:L3967" si="1738">H3968</f>
        <v>1062.8</v>
      </c>
      <c r="I3967" s="14">
        <f t="shared" si="1738"/>
        <v>1062.8</v>
      </c>
      <c r="J3967" s="14">
        <f t="shared" si="1738"/>
        <v>1062.8</v>
      </c>
      <c r="K3967" s="78">
        <f t="shared" si="1711"/>
        <v>100</v>
      </c>
      <c r="L3967" s="14">
        <f t="shared" si="1738"/>
        <v>0</v>
      </c>
      <c r="M3967" s="50"/>
      <c r="N3967" s="50"/>
    </row>
    <row r="3968" spans="1:14" ht="31.2" x14ac:dyDescent="0.3">
      <c r="A3968" s="64" t="s">
        <v>712</v>
      </c>
      <c r="B3968" s="62" t="s">
        <v>932</v>
      </c>
      <c r="C3968" s="68" t="s">
        <v>1399</v>
      </c>
      <c r="D3968" s="68" t="s">
        <v>1381</v>
      </c>
      <c r="E3968" s="8" t="s">
        <v>612</v>
      </c>
      <c r="F3968" s="8" t="s">
        <v>247</v>
      </c>
      <c r="G3968" s="23" t="s">
        <v>810</v>
      </c>
      <c r="H3968" s="14">
        <v>1062.8</v>
      </c>
      <c r="I3968" s="14">
        <v>1062.8</v>
      </c>
      <c r="J3968" s="14">
        <v>1062.8</v>
      </c>
      <c r="K3968" s="78">
        <f t="shared" si="1711"/>
        <v>100</v>
      </c>
      <c r="L3968" s="14"/>
      <c r="M3968" s="50"/>
      <c r="N3968" s="50"/>
    </row>
    <row r="3969" spans="1:14" ht="31.2" x14ac:dyDescent="0.3">
      <c r="A3969" s="64" t="s">
        <v>712</v>
      </c>
      <c r="B3969" s="62" t="s">
        <v>932</v>
      </c>
      <c r="C3969" s="68" t="s">
        <v>1399</v>
      </c>
      <c r="D3969" s="68" t="s">
        <v>1381</v>
      </c>
      <c r="E3969" s="8" t="s">
        <v>408</v>
      </c>
      <c r="F3969" s="8"/>
      <c r="G3969" s="13" t="s">
        <v>850</v>
      </c>
      <c r="H3969" s="14">
        <f t="shared" ref="H3969:L3971" si="1739">H3970</f>
        <v>1413.4870000000001</v>
      </c>
      <c r="I3969" s="14">
        <f t="shared" si="1739"/>
        <v>1413.4870000000001</v>
      </c>
      <c r="J3969" s="14">
        <f t="shared" si="1739"/>
        <v>1413.48622</v>
      </c>
      <c r="K3969" s="78">
        <f t="shared" si="1711"/>
        <v>99.999944817320568</v>
      </c>
      <c r="L3969" s="14">
        <f t="shared" si="1739"/>
        <v>0</v>
      </c>
      <c r="M3969" s="50"/>
      <c r="N3969" s="50"/>
    </row>
    <row r="3970" spans="1:14" ht="78" x14ac:dyDescent="0.3">
      <c r="A3970" s="64" t="s">
        <v>712</v>
      </c>
      <c r="B3970" s="62" t="s">
        <v>932</v>
      </c>
      <c r="C3970" s="68" t="s">
        <v>1399</v>
      </c>
      <c r="D3970" s="68" t="s">
        <v>1381</v>
      </c>
      <c r="E3970" s="8" t="s">
        <v>409</v>
      </c>
      <c r="F3970" s="8"/>
      <c r="G3970" s="18" t="s">
        <v>1203</v>
      </c>
      <c r="H3970" s="14">
        <f t="shared" si="1739"/>
        <v>1413.4870000000001</v>
      </c>
      <c r="I3970" s="14">
        <f t="shared" si="1739"/>
        <v>1413.4870000000001</v>
      </c>
      <c r="J3970" s="14">
        <f t="shared" si="1739"/>
        <v>1413.48622</v>
      </c>
      <c r="K3970" s="78">
        <f t="shared" si="1711"/>
        <v>99.999944817320568</v>
      </c>
      <c r="L3970" s="14">
        <f t="shared" si="1739"/>
        <v>0</v>
      </c>
      <c r="M3970" s="50"/>
      <c r="N3970" s="50"/>
    </row>
    <row r="3971" spans="1:14" ht="31.2" x14ac:dyDescent="0.3">
      <c r="A3971" s="64" t="s">
        <v>712</v>
      </c>
      <c r="B3971" s="62" t="s">
        <v>932</v>
      </c>
      <c r="C3971" s="68" t="s">
        <v>1399</v>
      </c>
      <c r="D3971" s="68" t="s">
        <v>1381</v>
      </c>
      <c r="E3971" s="8" t="s">
        <v>409</v>
      </c>
      <c r="F3971" s="45" t="s">
        <v>380</v>
      </c>
      <c r="G3971" s="23" t="s">
        <v>809</v>
      </c>
      <c r="H3971" s="14">
        <f t="shared" si="1739"/>
        <v>1413.4870000000001</v>
      </c>
      <c r="I3971" s="14">
        <f t="shared" si="1739"/>
        <v>1413.4870000000001</v>
      </c>
      <c r="J3971" s="14">
        <f t="shared" si="1739"/>
        <v>1413.48622</v>
      </c>
      <c r="K3971" s="78">
        <f t="shared" si="1711"/>
        <v>99.999944817320568</v>
      </c>
      <c r="L3971" s="14">
        <f t="shared" si="1739"/>
        <v>0</v>
      </c>
      <c r="M3971" s="50"/>
      <c r="N3971" s="50"/>
    </row>
    <row r="3972" spans="1:14" ht="31.2" x14ac:dyDescent="0.3">
      <c r="A3972" s="64" t="s">
        <v>712</v>
      </c>
      <c r="B3972" s="62" t="s">
        <v>932</v>
      </c>
      <c r="C3972" s="68" t="s">
        <v>1399</v>
      </c>
      <c r="D3972" s="68" t="s">
        <v>1381</v>
      </c>
      <c r="E3972" s="8" t="s">
        <v>409</v>
      </c>
      <c r="F3972" s="8" t="s">
        <v>247</v>
      </c>
      <c r="G3972" s="23" t="s">
        <v>810</v>
      </c>
      <c r="H3972" s="14">
        <f>1794.3-120.081-260.732</f>
        <v>1413.4870000000001</v>
      </c>
      <c r="I3972" s="14">
        <v>1413.4870000000001</v>
      </c>
      <c r="J3972" s="14">
        <v>1413.48622</v>
      </c>
      <c r="K3972" s="78">
        <f t="shared" si="1711"/>
        <v>99.999944817320568</v>
      </c>
      <c r="L3972" s="14"/>
      <c r="M3972" s="50"/>
      <c r="N3972" s="50"/>
    </row>
    <row r="3973" spans="1:14" ht="31.2" x14ac:dyDescent="0.3">
      <c r="A3973" s="64" t="s">
        <v>712</v>
      </c>
      <c r="B3973" s="62" t="s">
        <v>932</v>
      </c>
      <c r="C3973" s="68" t="s">
        <v>1399</v>
      </c>
      <c r="D3973" s="68" t="s">
        <v>1381</v>
      </c>
      <c r="E3973" s="8" t="s">
        <v>396</v>
      </c>
      <c r="F3973" s="8"/>
      <c r="G3973" s="13" t="s">
        <v>876</v>
      </c>
      <c r="H3973" s="14">
        <f>H3974</f>
        <v>1154.5819999999999</v>
      </c>
      <c r="I3973" s="14">
        <f>I3974+I3982</f>
        <v>5475.9290000000001</v>
      </c>
      <c r="J3973" s="14">
        <f t="shared" ref="J3973:L3973" si="1740">J3974+J3982</f>
        <v>5473.6295800000007</v>
      </c>
      <c r="K3973" s="78">
        <f t="shared" si="1711"/>
        <v>99.958008586305638</v>
      </c>
      <c r="L3973" s="14">
        <f t="shared" si="1740"/>
        <v>0</v>
      </c>
      <c r="M3973" s="50"/>
      <c r="N3973" s="50"/>
    </row>
    <row r="3974" spans="1:14" ht="31.2" x14ac:dyDescent="0.3">
      <c r="A3974" s="64" t="s">
        <v>712</v>
      </c>
      <c r="B3974" s="62" t="s">
        <v>932</v>
      </c>
      <c r="C3974" s="68" t="s">
        <v>1399</v>
      </c>
      <c r="D3974" s="68" t="s">
        <v>1381</v>
      </c>
      <c r="E3974" s="8" t="s">
        <v>481</v>
      </c>
      <c r="F3974" s="8"/>
      <c r="G3974" s="18" t="s">
        <v>880</v>
      </c>
      <c r="H3974" s="14">
        <f>H3975+H3979</f>
        <v>1154.5819999999999</v>
      </c>
      <c r="I3974" s="14">
        <f>I3975+I3979</f>
        <v>1154.5819999999999</v>
      </c>
      <c r="J3974" s="14">
        <f t="shared" ref="J3974" si="1741">J3975+J3979</f>
        <v>1152.2826</v>
      </c>
      <c r="K3974" s="78">
        <f t="shared" si="1711"/>
        <v>99.800845674018831</v>
      </c>
      <c r="L3974" s="14">
        <f>L3975+L3979</f>
        <v>0</v>
      </c>
      <c r="M3974" s="50"/>
      <c r="N3974" s="50"/>
    </row>
    <row r="3975" spans="1:14" ht="46.8" x14ac:dyDescent="0.3">
      <c r="A3975" s="64" t="s">
        <v>712</v>
      </c>
      <c r="B3975" s="62" t="s">
        <v>932</v>
      </c>
      <c r="C3975" s="68" t="s">
        <v>1399</v>
      </c>
      <c r="D3975" s="68" t="s">
        <v>1381</v>
      </c>
      <c r="E3975" s="8" t="s">
        <v>482</v>
      </c>
      <c r="F3975" s="8"/>
      <c r="G3975" s="18" t="s">
        <v>881</v>
      </c>
      <c r="H3975" s="14">
        <f t="shared" ref="H3975:L3977" si="1742">H3976</f>
        <v>70.581999999999994</v>
      </c>
      <c r="I3975" s="14">
        <f t="shared" si="1742"/>
        <v>70.581999999999994</v>
      </c>
      <c r="J3975" s="14">
        <f t="shared" si="1742"/>
        <v>70.581519999999998</v>
      </c>
      <c r="K3975" s="78">
        <f t="shared" si="1711"/>
        <v>99.999319939928029</v>
      </c>
      <c r="L3975" s="14">
        <f t="shared" si="1742"/>
        <v>0</v>
      </c>
      <c r="M3975" s="50"/>
      <c r="N3975" s="50"/>
    </row>
    <row r="3976" spans="1:14" ht="31.2" x14ac:dyDescent="0.3">
      <c r="A3976" s="64" t="s">
        <v>712</v>
      </c>
      <c r="B3976" s="62" t="s">
        <v>932</v>
      </c>
      <c r="C3976" s="68" t="s">
        <v>1399</v>
      </c>
      <c r="D3976" s="68" t="s">
        <v>1381</v>
      </c>
      <c r="E3976" s="8" t="s">
        <v>614</v>
      </c>
      <c r="F3976" s="8"/>
      <c r="G3976" s="13" t="s">
        <v>751</v>
      </c>
      <c r="H3976" s="14">
        <f t="shared" si="1742"/>
        <v>70.581999999999994</v>
      </c>
      <c r="I3976" s="14">
        <f t="shared" si="1742"/>
        <v>70.581999999999994</v>
      </c>
      <c r="J3976" s="14">
        <f t="shared" si="1742"/>
        <v>70.581519999999998</v>
      </c>
      <c r="K3976" s="78">
        <f t="shared" ref="K3976:K4039" si="1743">J3976/I3976*100</f>
        <v>99.999319939928029</v>
      </c>
      <c r="L3976" s="14">
        <f t="shared" si="1742"/>
        <v>0</v>
      </c>
      <c r="M3976" s="50"/>
      <c r="N3976" s="50"/>
    </row>
    <row r="3977" spans="1:14" ht="31.2" x14ac:dyDescent="0.3">
      <c r="A3977" s="64" t="s">
        <v>712</v>
      </c>
      <c r="B3977" s="62" t="s">
        <v>932</v>
      </c>
      <c r="C3977" s="68" t="s">
        <v>1399</v>
      </c>
      <c r="D3977" s="68" t="s">
        <v>1381</v>
      </c>
      <c r="E3977" s="8" t="s">
        <v>614</v>
      </c>
      <c r="F3977" s="45" t="s">
        <v>380</v>
      </c>
      <c r="G3977" s="23" t="s">
        <v>809</v>
      </c>
      <c r="H3977" s="14">
        <f t="shared" si="1742"/>
        <v>70.581999999999994</v>
      </c>
      <c r="I3977" s="14">
        <f t="shared" si="1742"/>
        <v>70.581999999999994</v>
      </c>
      <c r="J3977" s="14">
        <f t="shared" si="1742"/>
        <v>70.581519999999998</v>
      </c>
      <c r="K3977" s="78">
        <f t="shared" si="1743"/>
        <v>99.999319939928029</v>
      </c>
      <c r="L3977" s="14">
        <f t="shared" si="1742"/>
        <v>0</v>
      </c>
      <c r="M3977" s="50"/>
      <c r="N3977" s="50"/>
    </row>
    <row r="3978" spans="1:14" ht="31.2" x14ac:dyDescent="0.3">
      <c r="A3978" s="64" t="s">
        <v>712</v>
      </c>
      <c r="B3978" s="62" t="s">
        <v>932</v>
      </c>
      <c r="C3978" s="68" t="s">
        <v>1399</v>
      </c>
      <c r="D3978" s="68" t="s">
        <v>1381</v>
      </c>
      <c r="E3978" s="8" t="s">
        <v>614</v>
      </c>
      <c r="F3978" s="8" t="s">
        <v>247</v>
      </c>
      <c r="G3978" s="23" t="s">
        <v>810</v>
      </c>
      <c r="H3978" s="14">
        <f>173.7-103.118</f>
        <v>70.581999999999994</v>
      </c>
      <c r="I3978" s="14">
        <v>70.581999999999994</v>
      </c>
      <c r="J3978" s="14">
        <v>70.581519999999998</v>
      </c>
      <c r="K3978" s="78">
        <f t="shared" si="1743"/>
        <v>99.999319939928029</v>
      </c>
      <c r="L3978" s="14"/>
      <c r="M3978" s="50"/>
      <c r="N3978" s="50"/>
    </row>
    <row r="3979" spans="1:14" ht="46.8" x14ac:dyDescent="0.3">
      <c r="A3979" s="64" t="s">
        <v>712</v>
      </c>
      <c r="B3979" s="62" t="s">
        <v>932</v>
      </c>
      <c r="C3979" s="68" t="s">
        <v>1399</v>
      </c>
      <c r="D3979" s="68" t="s">
        <v>1381</v>
      </c>
      <c r="E3979" s="8" t="s">
        <v>615</v>
      </c>
      <c r="F3979" s="8"/>
      <c r="G3979" s="13" t="s">
        <v>882</v>
      </c>
      <c r="H3979" s="14">
        <f t="shared" ref="H3979:L3980" si="1744">H3980</f>
        <v>1084</v>
      </c>
      <c r="I3979" s="14">
        <f t="shared" si="1744"/>
        <v>1084</v>
      </c>
      <c r="J3979" s="14">
        <f t="shared" si="1744"/>
        <v>1081.70108</v>
      </c>
      <c r="K3979" s="78">
        <f t="shared" si="1743"/>
        <v>99.787922509225098</v>
      </c>
      <c r="L3979" s="14">
        <f t="shared" si="1744"/>
        <v>0</v>
      </c>
      <c r="M3979" s="50"/>
      <c r="N3979" s="50"/>
    </row>
    <row r="3980" spans="1:14" ht="31.2" x14ac:dyDescent="0.3">
      <c r="A3980" s="64" t="s">
        <v>712</v>
      </c>
      <c r="B3980" s="62" t="s">
        <v>932</v>
      </c>
      <c r="C3980" s="68" t="s">
        <v>1399</v>
      </c>
      <c r="D3980" s="68" t="s">
        <v>1381</v>
      </c>
      <c r="E3980" s="8" t="s">
        <v>615</v>
      </c>
      <c r="F3980" s="45" t="s">
        <v>402</v>
      </c>
      <c r="G3980" s="23" t="s">
        <v>819</v>
      </c>
      <c r="H3980" s="14">
        <f t="shared" si="1744"/>
        <v>1084</v>
      </c>
      <c r="I3980" s="14">
        <f t="shared" si="1744"/>
        <v>1084</v>
      </c>
      <c r="J3980" s="14">
        <f t="shared" si="1744"/>
        <v>1081.70108</v>
      </c>
      <c r="K3980" s="78">
        <f t="shared" si="1743"/>
        <v>99.787922509225098</v>
      </c>
      <c r="L3980" s="14">
        <f t="shared" si="1744"/>
        <v>0</v>
      </c>
      <c r="M3980" s="50"/>
      <c r="N3980" s="50"/>
    </row>
    <row r="3981" spans="1:14" ht="46.8" x14ac:dyDescent="0.3">
      <c r="A3981" s="64" t="s">
        <v>712</v>
      </c>
      <c r="B3981" s="62" t="s">
        <v>932</v>
      </c>
      <c r="C3981" s="68" t="s">
        <v>1399</v>
      </c>
      <c r="D3981" s="68" t="s">
        <v>1381</v>
      </c>
      <c r="E3981" s="8" t="s">
        <v>615</v>
      </c>
      <c r="F3981" s="45" t="s">
        <v>280</v>
      </c>
      <c r="G3981" s="23" t="s">
        <v>821</v>
      </c>
      <c r="H3981" s="14">
        <v>1084</v>
      </c>
      <c r="I3981" s="14">
        <v>1084</v>
      </c>
      <c r="J3981" s="14">
        <v>1081.70108</v>
      </c>
      <c r="K3981" s="78">
        <f t="shared" si="1743"/>
        <v>99.787922509225098</v>
      </c>
      <c r="L3981" s="14"/>
      <c r="M3981" s="50"/>
      <c r="N3981" s="50"/>
    </row>
    <row r="3982" spans="1:14" ht="31.2" x14ac:dyDescent="0.3">
      <c r="A3982" s="64" t="s">
        <v>712</v>
      </c>
      <c r="B3982" s="62" t="s">
        <v>932</v>
      </c>
      <c r="C3982" s="68" t="s">
        <v>1399</v>
      </c>
      <c r="D3982" s="68" t="s">
        <v>1381</v>
      </c>
      <c r="E3982" s="8" t="s">
        <v>397</v>
      </c>
      <c r="F3982" s="8"/>
      <c r="G3982" s="13" t="s">
        <v>967</v>
      </c>
      <c r="H3982" s="20">
        <v>0</v>
      </c>
      <c r="I3982" s="14">
        <f>I3983</f>
        <v>4321.3469999999998</v>
      </c>
      <c r="J3982" s="14">
        <f t="shared" ref="J3982:L3983" si="1745">J3983</f>
        <v>4321.3469800000003</v>
      </c>
      <c r="K3982" s="78">
        <f t="shared" si="1743"/>
        <v>99.999999537181367</v>
      </c>
      <c r="L3982" s="14">
        <f t="shared" si="1745"/>
        <v>0</v>
      </c>
      <c r="M3982" s="50"/>
      <c r="N3982" s="50"/>
    </row>
    <row r="3983" spans="1:14" ht="62.4" x14ac:dyDescent="0.3">
      <c r="A3983" s="64" t="s">
        <v>712</v>
      </c>
      <c r="B3983" s="62" t="s">
        <v>932</v>
      </c>
      <c r="C3983" s="68" t="s">
        <v>1399</v>
      </c>
      <c r="D3983" s="68" t="s">
        <v>1381</v>
      </c>
      <c r="E3983" s="8" t="s">
        <v>609</v>
      </c>
      <c r="F3983" s="8"/>
      <c r="G3983" s="13" t="s">
        <v>968</v>
      </c>
      <c r="H3983" s="20">
        <v>0</v>
      </c>
      <c r="I3983" s="14">
        <f>I3984</f>
        <v>4321.3469999999998</v>
      </c>
      <c r="J3983" s="14">
        <f t="shared" si="1745"/>
        <v>4321.3469800000003</v>
      </c>
      <c r="K3983" s="78">
        <f t="shared" si="1743"/>
        <v>99.999999537181367</v>
      </c>
      <c r="L3983" s="14">
        <f t="shared" si="1745"/>
        <v>0</v>
      </c>
      <c r="M3983" s="50"/>
      <c r="N3983" s="50"/>
    </row>
    <row r="3984" spans="1:14" ht="31.2" x14ac:dyDescent="0.3">
      <c r="A3984" s="64" t="s">
        <v>712</v>
      </c>
      <c r="B3984" s="62" t="s">
        <v>932</v>
      </c>
      <c r="C3984" s="68" t="s">
        <v>1399</v>
      </c>
      <c r="D3984" s="68" t="s">
        <v>1381</v>
      </c>
      <c r="E3984" s="8" t="s">
        <v>274</v>
      </c>
      <c r="F3984" s="8"/>
      <c r="G3984" s="13" t="s">
        <v>304</v>
      </c>
      <c r="H3984" s="20">
        <v>0</v>
      </c>
      <c r="I3984" s="14">
        <f>I3985+I3987</f>
        <v>4321.3469999999998</v>
      </c>
      <c r="J3984" s="14">
        <f t="shared" ref="J3984:L3984" si="1746">J3985+J3987</f>
        <v>4321.3469800000003</v>
      </c>
      <c r="K3984" s="78">
        <f t="shared" si="1743"/>
        <v>99.999999537181367</v>
      </c>
      <c r="L3984" s="14">
        <f t="shared" si="1746"/>
        <v>0</v>
      </c>
      <c r="M3984" s="50"/>
      <c r="N3984" s="50"/>
    </row>
    <row r="3985" spans="1:14" ht="78" x14ac:dyDescent="0.3">
      <c r="A3985" s="64" t="s">
        <v>712</v>
      </c>
      <c r="B3985" s="62" t="s">
        <v>932</v>
      </c>
      <c r="C3985" s="68" t="s">
        <v>1399</v>
      </c>
      <c r="D3985" s="68" t="s">
        <v>1381</v>
      </c>
      <c r="E3985" s="8" t="s">
        <v>274</v>
      </c>
      <c r="F3985" s="8" t="s">
        <v>431</v>
      </c>
      <c r="G3985" s="23" t="s">
        <v>806</v>
      </c>
      <c r="H3985" s="20">
        <v>0</v>
      </c>
      <c r="I3985" s="14">
        <f>I3986</f>
        <v>3192.2484199999999</v>
      </c>
      <c r="J3985" s="14">
        <f t="shared" ref="J3985:L3985" si="1747">J3986</f>
        <v>3192.2484100000001</v>
      </c>
      <c r="K3985" s="78">
        <f t="shared" si="1743"/>
        <v>99.999999686741177</v>
      </c>
      <c r="L3985" s="14">
        <f t="shared" si="1747"/>
        <v>0</v>
      </c>
      <c r="M3985" s="50"/>
      <c r="N3985" s="50"/>
    </row>
    <row r="3986" spans="1:14" ht="31.2" x14ac:dyDescent="0.3">
      <c r="A3986" s="64" t="s">
        <v>712</v>
      </c>
      <c r="B3986" s="62" t="s">
        <v>932</v>
      </c>
      <c r="C3986" s="68" t="s">
        <v>1399</v>
      </c>
      <c r="D3986" s="68" t="s">
        <v>1381</v>
      </c>
      <c r="E3986" s="8" t="s">
        <v>274</v>
      </c>
      <c r="F3986" s="8" t="s">
        <v>233</v>
      </c>
      <c r="G3986" s="23" t="s">
        <v>969</v>
      </c>
      <c r="H3986" s="20">
        <v>0</v>
      </c>
      <c r="I3986" s="14">
        <v>3192.2484199999999</v>
      </c>
      <c r="J3986" s="14">
        <v>3192.2484100000001</v>
      </c>
      <c r="K3986" s="78">
        <f t="shared" si="1743"/>
        <v>99.999999686741177</v>
      </c>
      <c r="L3986" s="14"/>
      <c r="M3986" s="50"/>
      <c r="N3986" s="50"/>
    </row>
    <row r="3987" spans="1:14" ht="31.2" x14ac:dyDescent="0.3">
      <c r="A3987" s="64" t="s">
        <v>712</v>
      </c>
      <c r="B3987" s="62" t="s">
        <v>932</v>
      </c>
      <c r="C3987" s="68" t="s">
        <v>1399</v>
      </c>
      <c r="D3987" s="68" t="s">
        <v>1381</v>
      </c>
      <c r="E3987" s="8" t="s">
        <v>274</v>
      </c>
      <c r="F3987" s="45" t="s">
        <v>380</v>
      </c>
      <c r="G3987" s="23" t="s">
        <v>809</v>
      </c>
      <c r="H3987" s="20">
        <v>0</v>
      </c>
      <c r="I3987" s="14">
        <f>I3988</f>
        <v>1129.0985800000001</v>
      </c>
      <c r="J3987" s="14">
        <f t="shared" ref="J3987:L3987" si="1748">J3988</f>
        <v>1129.0985700000001</v>
      </c>
      <c r="K3987" s="78">
        <f t="shared" si="1743"/>
        <v>99.99999911433774</v>
      </c>
      <c r="L3987" s="14">
        <f t="shared" si="1748"/>
        <v>0</v>
      </c>
      <c r="M3987" s="50"/>
      <c r="N3987" s="50"/>
    </row>
    <row r="3988" spans="1:14" ht="31.2" x14ac:dyDescent="0.3">
      <c r="A3988" s="64" t="s">
        <v>712</v>
      </c>
      <c r="B3988" s="62" t="s">
        <v>932</v>
      </c>
      <c r="C3988" s="68" t="s">
        <v>1399</v>
      </c>
      <c r="D3988" s="68" t="s">
        <v>1381</v>
      </c>
      <c r="E3988" s="8" t="s">
        <v>274</v>
      </c>
      <c r="F3988" s="8" t="s">
        <v>247</v>
      </c>
      <c r="G3988" s="23" t="s">
        <v>810</v>
      </c>
      <c r="H3988" s="20">
        <v>0</v>
      </c>
      <c r="I3988" s="14">
        <v>1129.0985800000001</v>
      </c>
      <c r="J3988" s="14">
        <v>1129.0985700000001</v>
      </c>
      <c r="K3988" s="78">
        <f t="shared" si="1743"/>
        <v>99.99999911433774</v>
      </c>
      <c r="L3988" s="14"/>
      <c r="M3988" s="50"/>
      <c r="N3988" s="50"/>
    </row>
    <row r="3989" spans="1:14" ht="31.2" x14ac:dyDescent="0.3">
      <c r="A3989" s="64" t="s">
        <v>712</v>
      </c>
      <c r="B3989" s="62" t="s">
        <v>932</v>
      </c>
      <c r="C3989" s="68" t="s">
        <v>1399</v>
      </c>
      <c r="D3989" s="68" t="s">
        <v>1381</v>
      </c>
      <c r="E3989" s="8" t="s">
        <v>368</v>
      </c>
      <c r="F3989" s="8"/>
      <c r="G3989" s="13" t="s">
        <v>1079</v>
      </c>
      <c r="H3989" s="14">
        <f>H3995+H3990</f>
        <v>45782.565000000002</v>
      </c>
      <c r="I3989" s="14">
        <f t="shared" ref="I3989:L3989" si="1749">I3995+I3990</f>
        <v>45782.564999999995</v>
      </c>
      <c r="J3989" s="14">
        <f t="shared" si="1749"/>
        <v>45530.133379999999</v>
      </c>
      <c r="K3989" s="78">
        <f t="shared" si="1743"/>
        <v>99.44862936360164</v>
      </c>
      <c r="L3989" s="14">
        <f t="shared" si="1749"/>
        <v>0</v>
      </c>
      <c r="M3989" s="50"/>
      <c r="N3989" s="50"/>
    </row>
    <row r="3990" spans="1:14" ht="31.2" x14ac:dyDescent="0.3">
      <c r="A3990" s="64" t="s">
        <v>712</v>
      </c>
      <c r="B3990" s="62" t="s">
        <v>932</v>
      </c>
      <c r="C3990" s="68" t="s">
        <v>1399</v>
      </c>
      <c r="D3990" s="68" t="s">
        <v>1381</v>
      </c>
      <c r="E3990" s="8" t="s">
        <v>496</v>
      </c>
      <c r="F3990" s="8"/>
      <c r="G3990" s="13" t="s">
        <v>1080</v>
      </c>
      <c r="H3990" s="14">
        <f>H3991</f>
        <v>240</v>
      </c>
      <c r="I3990" s="14">
        <f t="shared" ref="I3990:L3993" si="1750">I3991</f>
        <v>240</v>
      </c>
      <c r="J3990" s="14">
        <f t="shared" si="1750"/>
        <v>0</v>
      </c>
      <c r="K3990" s="78">
        <f t="shared" si="1743"/>
        <v>0</v>
      </c>
      <c r="L3990" s="14">
        <f t="shared" si="1750"/>
        <v>0</v>
      </c>
      <c r="M3990" s="50"/>
      <c r="N3990" s="50"/>
    </row>
    <row r="3991" spans="1:14" ht="46.8" x14ac:dyDescent="0.3">
      <c r="A3991" s="64" t="s">
        <v>712</v>
      </c>
      <c r="B3991" s="62" t="s">
        <v>932</v>
      </c>
      <c r="C3991" s="68" t="s">
        <v>1399</v>
      </c>
      <c r="D3991" s="68" t="s">
        <v>1381</v>
      </c>
      <c r="E3991" s="8" t="s">
        <v>505</v>
      </c>
      <c r="F3991" s="8"/>
      <c r="G3991" s="13" t="s">
        <v>1084</v>
      </c>
      <c r="H3991" s="14">
        <f>H3992</f>
        <v>240</v>
      </c>
      <c r="I3991" s="14">
        <f t="shared" si="1750"/>
        <v>240</v>
      </c>
      <c r="J3991" s="14">
        <f t="shared" si="1750"/>
        <v>0</v>
      </c>
      <c r="K3991" s="78">
        <f t="shared" si="1743"/>
        <v>0</v>
      </c>
      <c r="L3991" s="14">
        <f t="shared" si="1750"/>
        <v>0</v>
      </c>
      <c r="M3991" s="50"/>
      <c r="N3991" s="50"/>
    </row>
    <row r="3992" spans="1:14" ht="46.8" x14ac:dyDescent="0.3">
      <c r="A3992" s="64" t="s">
        <v>712</v>
      </c>
      <c r="B3992" s="62" t="s">
        <v>932</v>
      </c>
      <c r="C3992" s="68" t="s">
        <v>1399</v>
      </c>
      <c r="D3992" s="68" t="s">
        <v>1381</v>
      </c>
      <c r="E3992" s="8" t="s">
        <v>506</v>
      </c>
      <c r="F3992" s="8"/>
      <c r="G3992" s="13" t="s">
        <v>987</v>
      </c>
      <c r="H3992" s="14">
        <f>H3993</f>
        <v>240</v>
      </c>
      <c r="I3992" s="14">
        <f t="shared" si="1750"/>
        <v>240</v>
      </c>
      <c r="J3992" s="14">
        <f t="shared" si="1750"/>
        <v>0</v>
      </c>
      <c r="K3992" s="78">
        <f t="shared" si="1743"/>
        <v>0</v>
      </c>
      <c r="L3992" s="14">
        <f t="shared" si="1750"/>
        <v>0</v>
      </c>
      <c r="M3992" s="50"/>
      <c r="N3992" s="50"/>
    </row>
    <row r="3993" spans="1:14" x14ac:dyDescent="0.3">
      <c r="A3993" s="64" t="s">
        <v>712</v>
      </c>
      <c r="B3993" s="62" t="s">
        <v>932</v>
      </c>
      <c r="C3993" s="68" t="s">
        <v>1399</v>
      </c>
      <c r="D3993" s="68" t="s">
        <v>1381</v>
      </c>
      <c r="E3993" s="8" t="s">
        <v>506</v>
      </c>
      <c r="F3993" s="8" t="s">
        <v>404</v>
      </c>
      <c r="G3993" s="13" t="s">
        <v>811</v>
      </c>
      <c r="H3993" s="14">
        <f>H3994</f>
        <v>240</v>
      </c>
      <c r="I3993" s="14">
        <f t="shared" si="1750"/>
        <v>240</v>
      </c>
      <c r="J3993" s="14">
        <f t="shared" si="1750"/>
        <v>0</v>
      </c>
      <c r="K3993" s="78">
        <f t="shared" si="1743"/>
        <v>0</v>
      </c>
      <c r="L3993" s="14">
        <f t="shared" si="1750"/>
        <v>0</v>
      </c>
      <c r="M3993" s="50"/>
      <c r="N3993" s="50"/>
    </row>
    <row r="3994" spans="1:14" ht="31.2" x14ac:dyDescent="0.3">
      <c r="A3994" s="64" t="s">
        <v>712</v>
      </c>
      <c r="B3994" s="62" t="s">
        <v>932</v>
      </c>
      <c r="C3994" s="68" t="s">
        <v>1399</v>
      </c>
      <c r="D3994" s="68" t="s">
        <v>1381</v>
      </c>
      <c r="E3994" s="8" t="s">
        <v>506</v>
      </c>
      <c r="F3994" s="8" t="s">
        <v>234</v>
      </c>
      <c r="G3994" s="13" t="s">
        <v>813</v>
      </c>
      <c r="H3994" s="14">
        <f>720-480</f>
        <v>240</v>
      </c>
      <c r="I3994" s="14">
        <v>240</v>
      </c>
      <c r="J3994" s="20">
        <v>0</v>
      </c>
      <c r="K3994" s="77">
        <f t="shared" si="1743"/>
        <v>0</v>
      </c>
      <c r="L3994" s="14"/>
      <c r="M3994" s="50"/>
      <c r="N3994" s="50"/>
    </row>
    <row r="3995" spans="1:14" ht="31.2" x14ac:dyDescent="0.3">
      <c r="A3995" s="64" t="s">
        <v>712</v>
      </c>
      <c r="B3995" s="62" t="s">
        <v>932</v>
      </c>
      <c r="C3995" s="68" t="s">
        <v>1399</v>
      </c>
      <c r="D3995" s="68" t="s">
        <v>1381</v>
      </c>
      <c r="E3995" s="8" t="s">
        <v>369</v>
      </c>
      <c r="F3995" s="8"/>
      <c r="G3995" s="13" t="s">
        <v>1088</v>
      </c>
      <c r="H3995" s="14">
        <f t="shared" ref="H3995:L3995" si="1751">H3996</f>
        <v>45542.565000000002</v>
      </c>
      <c r="I3995" s="14">
        <f t="shared" si="1751"/>
        <v>45542.564999999995</v>
      </c>
      <c r="J3995" s="14">
        <f t="shared" si="1751"/>
        <v>45530.133379999999</v>
      </c>
      <c r="K3995" s="78">
        <f t="shared" si="1743"/>
        <v>99.972703294160098</v>
      </c>
      <c r="L3995" s="14">
        <f t="shared" si="1751"/>
        <v>0</v>
      </c>
      <c r="M3995" s="50"/>
      <c r="N3995" s="50"/>
    </row>
    <row r="3996" spans="1:14" ht="46.8" x14ac:dyDescent="0.3">
      <c r="A3996" s="64" t="s">
        <v>712</v>
      </c>
      <c r="B3996" s="62" t="s">
        <v>932</v>
      </c>
      <c r="C3996" s="68" t="s">
        <v>1399</v>
      </c>
      <c r="D3996" s="68" t="s">
        <v>1381</v>
      </c>
      <c r="E3996" s="8" t="s">
        <v>513</v>
      </c>
      <c r="F3996" s="8"/>
      <c r="G3996" s="18" t="s">
        <v>136</v>
      </c>
      <c r="H3996" s="14">
        <f>H4000+H3997</f>
        <v>45542.565000000002</v>
      </c>
      <c r="I3996" s="14">
        <f>I4000+I3997</f>
        <v>45542.564999999995</v>
      </c>
      <c r="J3996" s="14">
        <f t="shared" ref="J3996" si="1752">J4000+J3997</f>
        <v>45530.133379999999</v>
      </c>
      <c r="K3996" s="78">
        <f t="shared" si="1743"/>
        <v>99.972703294160098</v>
      </c>
      <c r="L3996" s="14">
        <f>L4000+L3997</f>
        <v>0</v>
      </c>
      <c r="M3996" s="50"/>
      <c r="N3996" s="50"/>
    </row>
    <row r="3997" spans="1:14" ht="62.4" x14ac:dyDescent="0.3">
      <c r="A3997" s="64" t="s">
        <v>712</v>
      </c>
      <c r="B3997" s="62" t="s">
        <v>932</v>
      </c>
      <c r="C3997" s="68" t="s">
        <v>1399</v>
      </c>
      <c r="D3997" s="68" t="s">
        <v>1381</v>
      </c>
      <c r="E3997" s="8" t="s">
        <v>788</v>
      </c>
      <c r="F3997" s="8"/>
      <c r="G3997" s="18" t="s">
        <v>797</v>
      </c>
      <c r="H3997" s="14">
        <f t="shared" ref="H3997:L3998" si="1753">H3998</f>
        <v>1570.9029999999998</v>
      </c>
      <c r="I3997" s="14">
        <f t="shared" si="1753"/>
        <v>1570.903</v>
      </c>
      <c r="J3997" s="14">
        <f t="shared" si="1753"/>
        <v>1558.5530000000001</v>
      </c>
      <c r="K3997" s="78">
        <f t="shared" si="1743"/>
        <v>99.213827970282068</v>
      </c>
      <c r="L3997" s="14">
        <f t="shared" si="1753"/>
        <v>0</v>
      </c>
      <c r="M3997" s="50"/>
      <c r="N3997" s="50"/>
    </row>
    <row r="3998" spans="1:14" x14ac:dyDescent="0.3">
      <c r="A3998" s="64" t="s">
        <v>712</v>
      </c>
      <c r="B3998" s="62" t="s">
        <v>932</v>
      </c>
      <c r="C3998" s="68" t="s">
        <v>1399</v>
      </c>
      <c r="D3998" s="68" t="s">
        <v>1381</v>
      </c>
      <c r="E3998" s="8" t="s">
        <v>788</v>
      </c>
      <c r="F3998" s="45" t="s">
        <v>464</v>
      </c>
      <c r="G3998" s="23" t="s">
        <v>822</v>
      </c>
      <c r="H3998" s="14">
        <f t="shared" si="1753"/>
        <v>1570.9029999999998</v>
      </c>
      <c r="I3998" s="14">
        <f t="shared" si="1753"/>
        <v>1570.903</v>
      </c>
      <c r="J3998" s="14">
        <f t="shared" si="1753"/>
        <v>1558.5530000000001</v>
      </c>
      <c r="K3998" s="78">
        <f t="shared" si="1743"/>
        <v>99.213827970282068</v>
      </c>
      <c r="L3998" s="14">
        <f t="shared" si="1753"/>
        <v>0</v>
      </c>
      <c r="M3998" s="50"/>
      <c r="N3998" s="50"/>
    </row>
    <row r="3999" spans="1:14" ht="62.4" x14ac:dyDescent="0.3">
      <c r="A3999" s="64" t="s">
        <v>712</v>
      </c>
      <c r="B3999" s="62" t="s">
        <v>932</v>
      </c>
      <c r="C3999" s="68" t="s">
        <v>1399</v>
      </c>
      <c r="D3999" s="68" t="s">
        <v>1381</v>
      </c>
      <c r="E3999" s="8" t="s">
        <v>788</v>
      </c>
      <c r="F3999" s="45" t="s">
        <v>727</v>
      </c>
      <c r="G3999" s="18" t="s">
        <v>830</v>
      </c>
      <c r="H3999" s="14">
        <f>2326.883-755.98</f>
        <v>1570.9029999999998</v>
      </c>
      <c r="I3999" s="14">
        <v>1570.903</v>
      </c>
      <c r="J3999" s="19">
        <v>1558.5530000000001</v>
      </c>
      <c r="K3999" s="75">
        <f t="shared" si="1743"/>
        <v>99.213827970282068</v>
      </c>
      <c r="L3999" s="14"/>
      <c r="M3999" s="50"/>
      <c r="N3999" s="50"/>
    </row>
    <row r="4000" spans="1:14" ht="46.8" x14ac:dyDescent="0.3">
      <c r="A4000" s="64" t="s">
        <v>712</v>
      </c>
      <c r="B4000" s="62" t="s">
        <v>932</v>
      </c>
      <c r="C4000" s="68" t="s">
        <v>1399</v>
      </c>
      <c r="D4000" s="68" t="s">
        <v>1381</v>
      </c>
      <c r="E4000" s="8" t="s">
        <v>90</v>
      </c>
      <c r="F4000" s="8"/>
      <c r="G4000" s="13" t="s">
        <v>166</v>
      </c>
      <c r="H4000" s="14">
        <f t="shared" ref="H4000:L4001" si="1754">H4001</f>
        <v>43971.662000000004</v>
      </c>
      <c r="I4000" s="14">
        <f t="shared" si="1754"/>
        <v>43971.661999999997</v>
      </c>
      <c r="J4000" s="14">
        <f t="shared" si="1754"/>
        <v>43971.580379999999</v>
      </c>
      <c r="K4000" s="78">
        <f t="shared" si="1743"/>
        <v>99.999814380452577</v>
      </c>
      <c r="L4000" s="14">
        <f t="shared" si="1754"/>
        <v>0</v>
      </c>
      <c r="M4000" s="50"/>
      <c r="N4000" s="50"/>
    </row>
    <row r="4001" spans="1:14" x14ac:dyDescent="0.3">
      <c r="A4001" s="64" t="s">
        <v>712</v>
      </c>
      <c r="B4001" s="62" t="s">
        <v>932</v>
      </c>
      <c r="C4001" s="68" t="s">
        <v>1399</v>
      </c>
      <c r="D4001" s="68" t="s">
        <v>1381</v>
      </c>
      <c r="E4001" s="8" t="s">
        <v>90</v>
      </c>
      <c r="F4001" s="45" t="s">
        <v>464</v>
      </c>
      <c r="G4001" s="23" t="s">
        <v>822</v>
      </c>
      <c r="H4001" s="14">
        <f t="shared" si="1754"/>
        <v>43971.662000000004</v>
      </c>
      <c r="I4001" s="14">
        <f t="shared" si="1754"/>
        <v>43971.661999999997</v>
      </c>
      <c r="J4001" s="14">
        <f t="shared" si="1754"/>
        <v>43971.580379999999</v>
      </c>
      <c r="K4001" s="78">
        <f t="shared" si="1743"/>
        <v>99.999814380452577</v>
      </c>
      <c r="L4001" s="14">
        <f t="shared" si="1754"/>
        <v>0</v>
      </c>
      <c r="M4001" s="50"/>
      <c r="N4001" s="50"/>
    </row>
    <row r="4002" spans="1:14" ht="62.4" x14ac:dyDescent="0.3">
      <c r="A4002" s="64" t="s">
        <v>712</v>
      </c>
      <c r="B4002" s="62" t="s">
        <v>932</v>
      </c>
      <c r="C4002" s="68" t="s">
        <v>1399</v>
      </c>
      <c r="D4002" s="68" t="s">
        <v>1381</v>
      </c>
      <c r="E4002" s="8" t="s">
        <v>90</v>
      </c>
      <c r="F4002" s="45" t="s">
        <v>727</v>
      </c>
      <c r="G4002" s="18" t="s">
        <v>830</v>
      </c>
      <c r="H4002" s="14">
        <f>40853.3+3118.362</f>
        <v>43971.662000000004</v>
      </c>
      <c r="I4002" s="14">
        <v>43971.661999999997</v>
      </c>
      <c r="J4002" s="19">
        <v>43971.580379999999</v>
      </c>
      <c r="K4002" s="75">
        <f t="shared" si="1743"/>
        <v>99.999814380452577</v>
      </c>
      <c r="L4002" s="14"/>
      <c r="M4002" s="50"/>
      <c r="N4002" s="50"/>
    </row>
    <row r="4003" spans="1:14" ht="31.2" x14ac:dyDescent="0.3">
      <c r="A4003" s="64" t="s">
        <v>712</v>
      </c>
      <c r="B4003" s="62" t="s">
        <v>932</v>
      </c>
      <c r="C4003" s="68" t="s">
        <v>1399</v>
      </c>
      <c r="D4003" s="68" t="s">
        <v>1381</v>
      </c>
      <c r="E4003" s="8" t="s">
        <v>343</v>
      </c>
      <c r="F4003" s="8"/>
      <c r="G4003" s="23" t="s">
        <v>1157</v>
      </c>
      <c r="H4003" s="14">
        <f t="shared" ref="H4003:L4003" si="1755">H4004</f>
        <v>29617.600000000002</v>
      </c>
      <c r="I4003" s="14">
        <f t="shared" si="1755"/>
        <v>29543.899999999998</v>
      </c>
      <c r="J4003" s="14">
        <f t="shared" si="1755"/>
        <v>29543.899999999998</v>
      </c>
      <c r="K4003" s="78">
        <f t="shared" si="1743"/>
        <v>100</v>
      </c>
      <c r="L4003" s="14">
        <f t="shared" si="1755"/>
        <v>0</v>
      </c>
      <c r="M4003" s="50"/>
      <c r="N4003" s="50"/>
    </row>
    <row r="4004" spans="1:14" x14ac:dyDescent="0.3">
      <c r="A4004" s="64" t="s">
        <v>712</v>
      </c>
      <c r="B4004" s="62" t="s">
        <v>932</v>
      </c>
      <c r="C4004" s="68" t="s">
        <v>1399</v>
      </c>
      <c r="D4004" s="68" t="s">
        <v>1381</v>
      </c>
      <c r="E4004" s="8" t="s">
        <v>344</v>
      </c>
      <c r="F4004" s="8"/>
      <c r="G4004" s="23" t="s">
        <v>1159</v>
      </c>
      <c r="H4004" s="14">
        <f>H4005+H4008</f>
        <v>29617.600000000002</v>
      </c>
      <c r="I4004" s="14">
        <f>I4005+I4008</f>
        <v>29543.899999999998</v>
      </c>
      <c r="J4004" s="14">
        <f t="shared" ref="J4004" si="1756">J4005+J4008</f>
        <v>29543.899999999998</v>
      </c>
      <c r="K4004" s="78">
        <f t="shared" si="1743"/>
        <v>100</v>
      </c>
      <c r="L4004" s="14">
        <f>L4005+L4008</f>
        <v>0</v>
      </c>
      <c r="M4004" s="50"/>
      <c r="N4004" s="50"/>
    </row>
    <row r="4005" spans="1:14" ht="31.2" x14ac:dyDescent="0.3">
      <c r="A4005" s="64" t="s">
        <v>712</v>
      </c>
      <c r="B4005" s="62" t="s">
        <v>932</v>
      </c>
      <c r="C4005" s="83" t="s">
        <v>1399</v>
      </c>
      <c r="D4005" s="83" t="s">
        <v>1381</v>
      </c>
      <c r="E4005" s="45" t="s">
        <v>345</v>
      </c>
      <c r="F4005" s="8"/>
      <c r="G4005" s="23" t="s">
        <v>1152</v>
      </c>
      <c r="H4005" s="14">
        <f t="shared" ref="H4005:L4006" si="1757">H4006</f>
        <v>27553.200000000001</v>
      </c>
      <c r="I4005" s="14">
        <f t="shared" si="1757"/>
        <v>27683.994119999999</v>
      </c>
      <c r="J4005" s="14">
        <f t="shared" si="1757"/>
        <v>27683.994119999999</v>
      </c>
      <c r="K4005" s="78">
        <f t="shared" si="1743"/>
        <v>100</v>
      </c>
      <c r="L4005" s="14">
        <f t="shared" si="1757"/>
        <v>0</v>
      </c>
      <c r="M4005" s="50"/>
      <c r="N4005" s="50"/>
    </row>
    <row r="4006" spans="1:14" ht="78" x14ac:dyDescent="0.3">
      <c r="A4006" s="64" t="s">
        <v>712</v>
      </c>
      <c r="B4006" s="62" t="s">
        <v>932</v>
      </c>
      <c r="C4006" s="83" t="s">
        <v>1399</v>
      </c>
      <c r="D4006" s="83" t="s">
        <v>1381</v>
      </c>
      <c r="E4006" s="45" t="s">
        <v>345</v>
      </c>
      <c r="F4006" s="45" t="s">
        <v>431</v>
      </c>
      <c r="G4006" s="23" t="s">
        <v>806</v>
      </c>
      <c r="H4006" s="14">
        <f t="shared" si="1757"/>
        <v>27553.200000000001</v>
      </c>
      <c r="I4006" s="14">
        <f t="shared" si="1757"/>
        <v>27683.994119999999</v>
      </c>
      <c r="J4006" s="14">
        <f t="shared" si="1757"/>
        <v>27683.994119999999</v>
      </c>
      <c r="K4006" s="78">
        <f t="shared" si="1743"/>
        <v>100</v>
      </c>
      <c r="L4006" s="14">
        <f t="shared" si="1757"/>
        <v>0</v>
      </c>
      <c r="M4006" s="50"/>
      <c r="N4006" s="50"/>
    </row>
    <row r="4007" spans="1:14" ht="31.2" x14ac:dyDescent="0.3">
      <c r="A4007" s="64" t="s">
        <v>712</v>
      </c>
      <c r="B4007" s="62" t="s">
        <v>932</v>
      </c>
      <c r="C4007" s="83" t="s">
        <v>1399</v>
      </c>
      <c r="D4007" s="83" t="s">
        <v>1381</v>
      </c>
      <c r="E4007" s="45" t="s">
        <v>345</v>
      </c>
      <c r="F4007" s="45" t="s">
        <v>233</v>
      </c>
      <c r="G4007" s="23" t="s">
        <v>808</v>
      </c>
      <c r="H4007" s="14">
        <v>27553.200000000001</v>
      </c>
      <c r="I4007" s="14">
        <v>27683.994119999999</v>
      </c>
      <c r="J4007" s="14">
        <v>27683.994119999999</v>
      </c>
      <c r="K4007" s="78">
        <f t="shared" si="1743"/>
        <v>100</v>
      </c>
      <c r="L4007" s="14"/>
      <c r="M4007" s="50"/>
      <c r="N4007" s="50"/>
    </row>
    <row r="4008" spans="1:14" ht="31.2" x14ac:dyDescent="0.3">
      <c r="A4008" s="64" t="s">
        <v>712</v>
      </c>
      <c r="B4008" s="62" t="s">
        <v>932</v>
      </c>
      <c r="C4008" s="83" t="s">
        <v>1399</v>
      </c>
      <c r="D4008" s="83" t="s">
        <v>1381</v>
      </c>
      <c r="E4008" s="45" t="s">
        <v>346</v>
      </c>
      <c r="F4008" s="8"/>
      <c r="G4008" s="23" t="s">
        <v>1154</v>
      </c>
      <c r="H4008" s="14">
        <f>H4009+H4011+H4013</f>
        <v>2064.4</v>
      </c>
      <c r="I4008" s="14">
        <f>I4009+I4011+I4013</f>
        <v>1859.90588</v>
      </c>
      <c r="J4008" s="14">
        <f t="shared" ref="J4008" si="1758">J4009+J4011+J4013</f>
        <v>1859.90588</v>
      </c>
      <c r="K4008" s="78">
        <f t="shared" si="1743"/>
        <v>100</v>
      </c>
      <c r="L4008" s="14">
        <f>L4009+L4011+L4013</f>
        <v>0</v>
      </c>
      <c r="M4008" s="50"/>
      <c r="N4008" s="50"/>
    </row>
    <row r="4009" spans="1:14" ht="78" x14ac:dyDescent="0.3">
      <c r="A4009" s="64" t="s">
        <v>712</v>
      </c>
      <c r="B4009" s="62" t="s">
        <v>932</v>
      </c>
      <c r="C4009" s="83" t="s">
        <v>1399</v>
      </c>
      <c r="D4009" s="83" t="s">
        <v>1381</v>
      </c>
      <c r="E4009" s="45" t="s">
        <v>346</v>
      </c>
      <c r="F4009" s="45" t="s">
        <v>431</v>
      </c>
      <c r="G4009" s="23" t="s">
        <v>806</v>
      </c>
      <c r="H4009" s="14">
        <f t="shared" ref="H4009:L4009" si="1759">H4010</f>
        <v>1.9</v>
      </c>
      <c r="I4009" s="14">
        <f t="shared" si="1759"/>
        <v>1.7011799999999999</v>
      </c>
      <c r="J4009" s="14">
        <f t="shared" si="1759"/>
        <v>1.7011799999999999</v>
      </c>
      <c r="K4009" s="78">
        <f t="shared" si="1743"/>
        <v>100</v>
      </c>
      <c r="L4009" s="14">
        <f t="shared" si="1759"/>
        <v>0</v>
      </c>
      <c r="M4009" s="50"/>
      <c r="N4009" s="50"/>
    </row>
    <row r="4010" spans="1:14" ht="31.2" x14ac:dyDescent="0.3">
      <c r="A4010" s="64" t="s">
        <v>712</v>
      </c>
      <c r="B4010" s="62" t="s">
        <v>932</v>
      </c>
      <c r="C4010" s="83" t="s">
        <v>1399</v>
      </c>
      <c r="D4010" s="83" t="s">
        <v>1381</v>
      </c>
      <c r="E4010" s="45" t="s">
        <v>346</v>
      </c>
      <c r="F4010" s="45" t="s">
        <v>233</v>
      </c>
      <c r="G4010" s="23" t="s">
        <v>808</v>
      </c>
      <c r="H4010" s="14">
        <v>1.9</v>
      </c>
      <c r="I4010" s="14">
        <v>1.7011799999999999</v>
      </c>
      <c r="J4010" s="14">
        <v>1.7011799999999999</v>
      </c>
      <c r="K4010" s="78">
        <f t="shared" si="1743"/>
        <v>100</v>
      </c>
      <c r="L4010" s="14"/>
      <c r="M4010" s="50"/>
      <c r="N4010" s="50"/>
    </row>
    <row r="4011" spans="1:14" ht="31.2" x14ac:dyDescent="0.3">
      <c r="A4011" s="64" t="s">
        <v>712</v>
      </c>
      <c r="B4011" s="62" t="s">
        <v>932</v>
      </c>
      <c r="C4011" s="83" t="s">
        <v>1399</v>
      </c>
      <c r="D4011" s="83" t="s">
        <v>1381</v>
      </c>
      <c r="E4011" s="45" t="s">
        <v>346</v>
      </c>
      <c r="F4011" s="45" t="s">
        <v>380</v>
      </c>
      <c r="G4011" s="23" t="s">
        <v>809</v>
      </c>
      <c r="H4011" s="14">
        <f t="shared" ref="H4011:L4011" si="1760">H4012</f>
        <v>2061.1</v>
      </c>
      <c r="I4011" s="14">
        <f t="shared" si="1760"/>
        <v>1855.8447000000001</v>
      </c>
      <c r="J4011" s="14">
        <f t="shared" si="1760"/>
        <v>1855.8447000000001</v>
      </c>
      <c r="K4011" s="78">
        <f t="shared" si="1743"/>
        <v>100</v>
      </c>
      <c r="L4011" s="14">
        <f t="shared" si="1760"/>
        <v>0</v>
      </c>
      <c r="M4011" s="50"/>
      <c r="N4011" s="50"/>
    </row>
    <row r="4012" spans="1:14" ht="31.2" x14ac:dyDescent="0.3">
      <c r="A4012" s="64" t="s">
        <v>712</v>
      </c>
      <c r="B4012" s="62" t="s">
        <v>932</v>
      </c>
      <c r="C4012" s="83" t="s">
        <v>1399</v>
      </c>
      <c r="D4012" s="83" t="s">
        <v>1381</v>
      </c>
      <c r="E4012" s="45" t="s">
        <v>346</v>
      </c>
      <c r="F4012" s="8" t="s">
        <v>247</v>
      </c>
      <c r="G4012" s="23" t="s">
        <v>810</v>
      </c>
      <c r="H4012" s="14">
        <v>2061.1</v>
      </c>
      <c r="I4012" s="14">
        <v>1855.8447000000001</v>
      </c>
      <c r="J4012" s="14">
        <v>1855.8447000000001</v>
      </c>
      <c r="K4012" s="78">
        <f t="shared" si="1743"/>
        <v>100</v>
      </c>
      <c r="L4012" s="14"/>
      <c r="M4012" s="50"/>
      <c r="N4012" s="50"/>
    </row>
    <row r="4013" spans="1:14" x14ac:dyDescent="0.3">
      <c r="A4013" s="64" t="s">
        <v>712</v>
      </c>
      <c r="B4013" s="62" t="s">
        <v>932</v>
      </c>
      <c r="C4013" s="83" t="s">
        <v>1399</v>
      </c>
      <c r="D4013" s="83" t="s">
        <v>1381</v>
      </c>
      <c r="E4013" s="45" t="s">
        <v>346</v>
      </c>
      <c r="F4013" s="45" t="s">
        <v>464</v>
      </c>
      <c r="G4013" s="23" t="s">
        <v>822</v>
      </c>
      <c r="H4013" s="14">
        <f t="shared" ref="H4013:L4013" si="1761">H4014</f>
        <v>1.4</v>
      </c>
      <c r="I4013" s="14">
        <f t="shared" si="1761"/>
        <v>2.36</v>
      </c>
      <c r="J4013" s="14">
        <f t="shared" si="1761"/>
        <v>2.36</v>
      </c>
      <c r="K4013" s="78">
        <f t="shared" si="1743"/>
        <v>100</v>
      </c>
      <c r="L4013" s="14">
        <f t="shared" si="1761"/>
        <v>0</v>
      </c>
      <c r="M4013" s="50"/>
      <c r="N4013" s="50"/>
    </row>
    <row r="4014" spans="1:14" x14ac:dyDescent="0.3">
      <c r="A4014" s="64" t="s">
        <v>712</v>
      </c>
      <c r="B4014" s="62" t="s">
        <v>932</v>
      </c>
      <c r="C4014" s="83" t="s">
        <v>1399</v>
      </c>
      <c r="D4014" s="83" t="s">
        <v>1381</v>
      </c>
      <c r="E4014" s="45" t="s">
        <v>346</v>
      </c>
      <c r="F4014" s="45" t="s">
        <v>729</v>
      </c>
      <c r="G4014" s="23" t="s">
        <v>824</v>
      </c>
      <c r="H4014" s="14">
        <v>1.4</v>
      </c>
      <c r="I4014" s="14">
        <v>2.36</v>
      </c>
      <c r="J4014" s="14">
        <v>2.36</v>
      </c>
      <c r="K4014" s="78">
        <f t="shared" si="1743"/>
        <v>100</v>
      </c>
      <c r="L4014" s="14"/>
      <c r="M4014" s="50"/>
      <c r="N4014" s="50"/>
    </row>
    <row r="4015" spans="1:14" ht="46.8" x14ac:dyDescent="0.3">
      <c r="A4015" s="64" t="s">
        <v>712</v>
      </c>
      <c r="B4015" s="62" t="s">
        <v>932</v>
      </c>
      <c r="C4015" s="68" t="s">
        <v>1399</v>
      </c>
      <c r="D4015" s="68" t="s">
        <v>1381</v>
      </c>
      <c r="E4015" s="8" t="s">
        <v>493</v>
      </c>
      <c r="F4015" s="8"/>
      <c r="G4015" s="13" t="s">
        <v>1160</v>
      </c>
      <c r="H4015" s="20">
        <v>0</v>
      </c>
      <c r="I4015" s="14">
        <f>I4016</f>
        <v>2949.4259999999999</v>
      </c>
      <c r="J4015" s="14">
        <f t="shared" ref="J4015:L4018" si="1762">J4016</f>
        <v>2949.4259999999999</v>
      </c>
      <c r="K4015" s="78">
        <f t="shared" si="1743"/>
        <v>100</v>
      </c>
      <c r="L4015" s="14">
        <f t="shared" si="1762"/>
        <v>0</v>
      </c>
      <c r="M4015" s="50"/>
      <c r="N4015" s="50"/>
    </row>
    <row r="4016" spans="1:14" x14ac:dyDescent="0.3">
      <c r="A4016" s="64" t="s">
        <v>712</v>
      </c>
      <c r="B4016" s="62" t="s">
        <v>932</v>
      </c>
      <c r="C4016" s="68" t="s">
        <v>1399</v>
      </c>
      <c r="D4016" s="68" t="s">
        <v>1381</v>
      </c>
      <c r="E4016" s="8" t="s">
        <v>533</v>
      </c>
      <c r="F4016" s="8"/>
      <c r="G4016" s="13" t="s">
        <v>1162</v>
      </c>
      <c r="H4016" s="20">
        <v>0</v>
      </c>
      <c r="I4016" s="14">
        <f>I4017</f>
        <v>2949.4259999999999</v>
      </c>
      <c r="J4016" s="14">
        <f t="shared" si="1762"/>
        <v>2949.4259999999999</v>
      </c>
      <c r="K4016" s="78">
        <f t="shared" si="1743"/>
        <v>100</v>
      </c>
      <c r="L4016" s="14">
        <f t="shared" si="1762"/>
        <v>0</v>
      </c>
      <c r="M4016" s="50"/>
      <c r="N4016" s="50"/>
    </row>
    <row r="4017" spans="1:14" x14ac:dyDescent="0.3">
      <c r="A4017" s="64" t="s">
        <v>712</v>
      </c>
      <c r="B4017" s="62" t="s">
        <v>932</v>
      </c>
      <c r="C4017" s="68" t="s">
        <v>1399</v>
      </c>
      <c r="D4017" s="68" t="s">
        <v>1381</v>
      </c>
      <c r="E4017" s="8" t="s">
        <v>534</v>
      </c>
      <c r="F4017" s="8"/>
      <c r="G4017" s="13" t="s">
        <v>1163</v>
      </c>
      <c r="H4017" s="20">
        <v>0</v>
      </c>
      <c r="I4017" s="14">
        <f>I4018</f>
        <v>2949.4259999999999</v>
      </c>
      <c r="J4017" s="14">
        <f t="shared" si="1762"/>
        <v>2949.4259999999999</v>
      </c>
      <c r="K4017" s="78">
        <f t="shared" si="1743"/>
        <v>100</v>
      </c>
      <c r="L4017" s="14">
        <f t="shared" si="1762"/>
        <v>0</v>
      </c>
      <c r="M4017" s="50"/>
      <c r="N4017" s="50"/>
    </row>
    <row r="4018" spans="1:14" x14ac:dyDescent="0.3">
      <c r="A4018" s="64" t="s">
        <v>712</v>
      </c>
      <c r="B4018" s="62" t="s">
        <v>932</v>
      </c>
      <c r="C4018" s="68" t="s">
        <v>1399</v>
      </c>
      <c r="D4018" s="68" t="s">
        <v>1381</v>
      </c>
      <c r="E4018" s="8" t="s">
        <v>534</v>
      </c>
      <c r="F4018" s="8" t="s">
        <v>404</v>
      </c>
      <c r="G4018" s="23" t="s">
        <v>811</v>
      </c>
      <c r="H4018" s="20">
        <v>0</v>
      </c>
      <c r="I4018" s="14">
        <f>I4019</f>
        <v>2949.4259999999999</v>
      </c>
      <c r="J4018" s="14">
        <f t="shared" si="1762"/>
        <v>2949.4259999999999</v>
      </c>
      <c r="K4018" s="78">
        <f t="shared" si="1743"/>
        <v>100</v>
      </c>
      <c r="L4018" s="14">
        <f t="shared" si="1762"/>
        <v>0</v>
      </c>
      <c r="M4018" s="50"/>
      <c r="N4018" s="50"/>
    </row>
    <row r="4019" spans="1:14" ht="31.2" x14ac:dyDescent="0.3">
      <c r="A4019" s="64" t="s">
        <v>712</v>
      </c>
      <c r="B4019" s="62" t="s">
        <v>932</v>
      </c>
      <c r="C4019" s="68" t="s">
        <v>1399</v>
      </c>
      <c r="D4019" s="68" t="s">
        <v>1381</v>
      </c>
      <c r="E4019" s="8" t="s">
        <v>534</v>
      </c>
      <c r="F4019" s="8" t="s">
        <v>234</v>
      </c>
      <c r="G4019" s="23" t="s">
        <v>813</v>
      </c>
      <c r="H4019" s="20">
        <v>0</v>
      </c>
      <c r="I4019" s="14">
        <v>2949.4259999999999</v>
      </c>
      <c r="J4019" s="14">
        <v>2949.4259999999999</v>
      </c>
      <c r="K4019" s="78">
        <f t="shared" si="1743"/>
        <v>100</v>
      </c>
      <c r="L4019" s="14"/>
      <c r="M4019" s="50"/>
      <c r="N4019" s="50"/>
    </row>
    <row r="4020" spans="1:14" s="3" customFormat="1" ht="31.2" x14ac:dyDescent="0.3">
      <c r="A4020" s="4" t="s">
        <v>1458</v>
      </c>
      <c r="B4020" s="43" t="s">
        <v>915</v>
      </c>
      <c r="C4020" s="43" t="s">
        <v>915</v>
      </c>
      <c r="D4020" s="43" t="s">
        <v>915</v>
      </c>
      <c r="E4020" s="4"/>
      <c r="F4020" s="4"/>
      <c r="G4020" s="5" t="s">
        <v>1440</v>
      </c>
      <c r="H4020" s="15">
        <f>H4021+H4034</f>
        <v>169020.59000000005</v>
      </c>
      <c r="I4020" s="15">
        <f>I4021+I4034</f>
        <v>169124.23806999999</v>
      </c>
      <c r="J4020" s="15">
        <f t="shared" ref="J4020" si="1763">J4021+J4034</f>
        <v>163611.93893</v>
      </c>
      <c r="K4020" s="81">
        <f t="shared" si="1743"/>
        <v>96.740680577246138</v>
      </c>
      <c r="L4020" s="15">
        <f>L4021+L4034</f>
        <v>0</v>
      </c>
      <c r="M4020" s="65"/>
      <c r="N4020" s="65"/>
    </row>
    <row r="4021" spans="1:14" s="3" customFormat="1" x14ac:dyDescent="0.3">
      <c r="A4021" s="4" t="s">
        <v>1458</v>
      </c>
      <c r="B4021" s="43" t="s">
        <v>1372</v>
      </c>
      <c r="C4021" s="43" t="s">
        <v>1372</v>
      </c>
      <c r="D4021" s="43" t="s">
        <v>915</v>
      </c>
      <c r="E4021" s="4"/>
      <c r="F4021" s="4"/>
      <c r="G4021" s="5" t="s">
        <v>1376</v>
      </c>
      <c r="H4021" s="15">
        <f>H4028+H4022</f>
        <v>6563.4</v>
      </c>
      <c r="I4021" s="15">
        <f>I4028+I4022</f>
        <v>6563.4</v>
      </c>
      <c r="J4021" s="15">
        <f t="shared" ref="J4021" si="1764">J4028+J4022</f>
        <v>2554.80321</v>
      </c>
      <c r="K4021" s="81">
        <f t="shared" si="1743"/>
        <v>38.924996343358629</v>
      </c>
      <c r="L4021" s="15">
        <f>L4028+L4022</f>
        <v>0</v>
      </c>
      <c r="M4021" s="65"/>
      <c r="N4021" s="65"/>
    </row>
    <row r="4022" spans="1:14" s="9" customFormat="1" x14ac:dyDescent="0.3">
      <c r="A4022" s="6" t="s">
        <v>1458</v>
      </c>
      <c r="B4022" s="48" t="s">
        <v>944</v>
      </c>
      <c r="C4022" s="48" t="s">
        <v>1372</v>
      </c>
      <c r="D4022" s="48" t="s">
        <v>1392</v>
      </c>
      <c r="E4022" s="6"/>
      <c r="F4022" s="6"/>
      <c r="G4022" s="7" t="s">
        <v>1335</v>
      </c>
      <c r="H4022" s="16">
        <f t="shared" ref="H4022:L4026" si="1765">H4023</f>
        <v>6463.4</v>
      </c>
      <c r="I4022" s="16">
        <f t="shared" si="1765"/>
        <v>6463.4</v>
      </c>
      <c r="J4022" s="16">
        <f t="shared" si="1765"/>
        <v>2454.80321</v>
      </c>
      <c r="K4022" s="82">
        <f t="shared" si="1743"/>
        <v>37.980060185041928</v>
      </c>
      <c r="L4022" s="16">
        <f t="shared" si="1765"/>
        <v>0</v>
      </c>
      <c r="M4022" s="65"/>
      <c r="N4022" s="65"/>
    </row>
    <row r="4023" spans="1:14" ht="31.2" x14ac:dyDescent="0.3">
      <c r="A4023" s="64" t="s">
        <v>1458</v>
      </c>
      <c r="B4023" s="62" t="s">
        <v>944</v>
      </c>
      <c r="C4023" s="68" t="s">
        <v>1372</v>
      </c>
      <c r="D4023" s="68" t="s">
        <v>1392</v>
      </c>
      <c r="E4023" s="64" t="s">
        <v>429</v>
      </c>
      <c r="F4023" s="64"/>
      <c r="G4023" s="23" t="s">
        <v>1140</v>
      </c>
      <c r="H4023" s="14">
        <f t="shared" si="1765"/>
        <v>6463.4</v>
      </c>
      <c r="I4023" s="14">
        <f t="shared" si="1765"/>
        <v>6463.4</v>
      </c>
      <c r="J4023" s="14">
        <f t="shared" si="1765"/>
        <v>2454.80321</v>
      </c>
      <c r="K4023" s="78">
        <f t="shared" si="1743"/>
        <v>37.980060185041928</v>
      </c>
      <c r="L4023" s="14">
        <f t="shared" si="1765"/>
        <v>0</v>
      </c>
      <c r="M4023" s="50"/>
      <c r="N4023" s="50"/>
    </row>
    <row r="4024" spans="1:14" x14ac:dyDescent="0.3">
      <c r="A4024" s="64" t="s">
        <v>1458</v>
      </c>
      <c r="B4024" s="62" t="s">
        <v>944</v>
      </c>
      <c r="C4024" s="68" t="s">
        <v>1372</v>
      </c>
      <c r="D4024" s="68" t="s">
        <v>1392</v>
      </c>
      <c r="E4024" s="64" t="s">
        <v>430</v>
      </c>
      <c r="F4024" s="64"/>
      <c r="G4024" s="23" t="s">
        <v>1141</v>
      </c>
      <c r="H4024" s="14">
        <f t="shared" si="1765"/>
        <v>6463.4</v>
      </c>
      <c r="I4024" s="14">
        <f t="shared" si="1765"/>
        <v>6463.4</v>
      </c>
      <c r="J4024" s="14">
        <f t="shared" si="1765"/>
        <v>2454.80321</v>
      </c>
      <c r="K4024" s="78">
        <f t="shared" si="1743"/>
        <v>37.980060185041928</v>
      </c>
      <c r="L4024" s="14">
        <f t="shared" si="1765"/>
        <v>0</v>
      </c>
      <c r="M4024" s="50"/>
      <c r="N4024" s="50"/>
    </row>
    <row r="4025" spans="1:14" ht="62.4" x14ac:dyDescent="0.3">
      <c r="A4025" s="64" t="s">
        <v>1458</v>
      </c>
      <c r="B4025" s="62" t="s">
        <v>944</v>
      </c>
      <c r="C4025" s="68" t="s">
        <v>1372</v>
      </c>
      <c r="D4025" s="68" t="s">
        <v>1392</v>
      </c>
      <c r="E4025" s="64" t="s">
        <v>276</v>
      </c>
      <c r="F4025" s="64"/>
      <c r="G4025" s="18" t="s">
        <v>1334</v>
      </c>
      <c r="H4025" s="14">
        <f t="shared" si="1765"/>
        <v>6463.4</v>
      </c>
      <c r="I4025" s="14">
        <f t="shared" si="1765"/>
        <v>6463.4</v>
      </c>
      <c r="J4025" s="14">
        <f t="shared" si="1765"/>
        <v>2454.80321</v>
      </c>
      <c r="K4025" s="78">
        <f t="shared" si="1743"/>
        <v>37.980060185041928</v>
      </c>
      <c r="L4025" s="14">
        <f t="shared" si="1765"/>
        <v>0</v>
      </c>
      <c r="M4025" s="50"/>
      <c r="N4025" s="50"/>
    </row>
    <row r="4026" spans="1:14" ht="31.2" x14ac:dyDescent="0.3">
      <c r="A4026" s="64" t="s">
        <v>1458</v>
      </c>
      <c r="B4026" s="62" t="s">
        <v>944</v>
      </c>
      <c r="C4026" s="68" t="s">
        <v>1372</v>
      </c>
      <c r="D4026" s="68" t="s">
        <v>1392</v>
      </c>
      <c r="E4026" s="64" t="s">
        <v>276</v>
      </c>
      <c r="F4026" s="45" t="s">
        <v>380</v>
      </c>
      <c r="G4026" s="23" t="s">
        <v>809</v>
      </c>
      <c r="H4026" s="14">
        <f t="shared" si="1765"/>
        <v>6463.4</v>
      </c>
      <c r="I4026" s="14">
        <f t="shared" si="1765"/>
        <v>6463.4</v>
      </c>
      <c r="J4026" s="14">
        <f t="shared" si="1765"/>
        <v>2454.80321</v>
      </c>
      <c r="K4026" s="78">
        <f t="shared" si="1743"/>
        <v>37.980060185041928</v>
      </c>
      <c r="L4026" s="14">
        <f t="shared" si="1765"/>
        <v>0</v>
      </c>
      <c r="M4026" s="50"/>
      <c r="N4026" s="50"/>
    </row>
    <row r="4027" spans="1:14" ht="31.2" x14ac:dyDescent="0.3">
      <c r="A4027" s="64" t="s">
        <v>1458</v>
      </c>
      <c r="B4027" s="62" t="s">
        <v>944</v>
      </c>
      <c r="C4027" s="68" t="s">
        <v>1372</v>
      </c>
      <c r="D4027" s="68" t="s">
        <v>1392</v>
      </c>
      <c r="E4027" s="64" t="s">
        <v>276</v>
      </c>
      <c r="F4027" s="8" t="s">
        <v>247</v>
      </c>
      <c r="G4027" s="23" t="s">
        <v>810</v>
      </c>
      <c r="H4027" s="14">
        <v>6463.4</v>
      </c>
      <c r="I4027" s="14">
        <v>6463.4</v>
      </c>
      <c r="J4027" s="14">
        <v>2454.80321</v>
      </c>
      <c r="K4027" s="78">
        <f t="shared" si="1743"/>
        <v>37.980060185041928</v>
      </c>
      <c r="L4027" s="14"/>
      <c r="M4027" s="50"/>
      <c r="N4027" s="50"/>
    </row>
    <row r="4028" spans="1:14" s="9" customFormat="1" x14ac:dyDescent="0.3">
      <c r="A4028" s="6" t="s">
        <v>1458</v>
      </c>
      <c r="B4028" s="48" t="s">
        <v>912</v>
      </c>
      <c r="C4028" s="48" t="s">
        <v>1372</v>
      </c>
      <c r="D4028" s="48" t="s">
        <v>1477</v>
      </c>
      <c r="E4028" s="6"/>
      <c r="F4028" s="6"/>
      <c r="G4028" s="7" t="s">
        <v>1377</v>
      </c>
      <c r="H4028" s="16">
        <f t="shared" ref="H4028:L4028" si="1766">H4029</f>
        <v>100</v>
      </c>
      <c r="I4028" s="16">
        <f t="shared" si="1766"/>
        <v>100</v>
      </c>
      <c r="J4028" s="16">
        <f t="shared" si="1766"/>
        <v>100</v>
      </c>
      <c r="K4028" s="82">
        <f t="shared" si="1743"/>
        <v>100</v>
      </c>
      <c r="L4028" s="16">
        <f t="shared" si="1766"/>
        <v>0</v>
      </c>
      <c r="M4028" s="65"/>
      <c r="N4028" s="65"/>
    </row>
    <row r="4029" spans="1:14" ht="46.8" x14ac:dyDescent="0.3">
      <c r="A4029" s="64" t="s">
        <v>1458</v>
      </c>
      <c r="B4029" s="62" t="s">
        <v>912</v>
      </c>
      <c r="C4029" s="68" t="s">
        <v>1372</v>
      </c>
      <c r="D4029" s="68" t="s">
        <v>1477</v>
      </c>
      <c r="E4029" s="8" t="s">
        <v>338</v>
      </c>
      <c r="F4029" s="8"/>
      <c r="G4029" s="13" t="s">
        <v>843</v>
      </c>
      <c r="H4029" s="14">
        <f t="shared" ref="H4029:L4032" si="1767">H4030</f>
        <v>100</v>
      </c>
      <c r="I4029" s="14">
        <f t="shared" si="1767"/>
        <v>100</v>
      </c>
      <c r="J4029" s="14">
        <f t="shared" si="1767"/>
        <v>100</v>
      </c>
      <c r="K4029" s="78">
        <f t="shared" si="1743"/>
        <v>100</v>
      </c>
      <c r="L4029" s="14">
        <f t="shared" si="1767"/>
        <v>0</v>
      </c>
      <c r="M4029" s="50"/>
      <c r="N4029" s="50"/>
    </row>
    <row r="4030" spans="1:14" ht="46.8" x14ac:dyDescent="0.3">
      <c r="A4030" s="64" t="s">
        <v>1458</v>
      </c>
      <c r="B4030" s="62" t="s">
        <v>912</v>
      </c>
      <c r="C4030" s="68" t="s">
        <v>1372</v>
      </c>
      <c r="D4030" s="68" t="s">
        <v>1477</v>
      </c>
      <c r="E4030" s="8" t="s">
        <v>339</v>
      </c>
      <c r="F4030" s="8"/>
      <c r="G4030" s="13" t="s">
        <v>844</v>
      </c>
      <c r="H4030" s="14">
        <f t="shared" si="1767"/>
        <v>100</v>
      </c>
      <c r="I4030" s="14">
        <f t="shared" si="1767"/>
        <v>100</v>
      </c>
      <c r="J4030" s="14">
        <f t="shared" si="1767"/>
        <v>100</v>
      </c>
      <c r="K4030" s="78">
        <f t="shared" si="1743"/>
        <v>100</v>
      </c>
      <c r="L4030" s="14">
        <f t="shared" si="1767"/>
        <v>0</v>
      </c>
      <c r="M4030" s="50"/>
      <c r="N4030" s="50"/>
    </row>
    <row r="4031" spans="1:14" ht="62.4" x14ac:dyDescent="0.3">
      <c r="A4031" s="64" t="s">
        <v>1458</v>
      </c>
      <c r="B4031" s="62" t="s">
        <v>912</v>
      </c>
      <c r="C4031" s="68" t="s">
        <v>1372</v>
      </c>
      <c r="D4031" s="68" t="s">
        <v>1477</v>
      </c>
      <c r="E4031" s="8" t="s">
        <v>340</v>
      </c>
      <c r="F4031" s="8"/>
      <c r="G4031" s="13" t="s">
        <v>845</v>
      </c>
      <c r="H4031" s="14">
        <f t="shared" si="1767"/>
        <v>100</v>
      </c>
      <c r="I4031" s="14">
        <f t="shared" si="1767"/>
        <v>100</v>
      </c>
      <c r="J4031" s="14">
        <f t="shared" si="1767"/>
        <v>100</v>
      </c>
      <c r="K4031" s="78">
        <f t="shared" si="1743"/>
        <v>100</v>
      </c>
      <c r="L4031" s="14">
        <f t="shared" si="1767"/>
        <v>0</v>
      </c>
      <c r="M4031" s="50"/>
      <c r="N4031" s="50"/>
    </row>
    <row r="4032" spans="1:14" ht="31.2" x14ac:dyDescent="0.3">
      <c r="A4032" s="64" t="s">
        <v>1458</v>
      </c>
      <c r="B4032" s="62" t="s">
        <v>912</v>
      </c>
      <c r="C4032" s="68" t="s">
        <v>1372</v>
      </c>
      <c r="D4032" s="68" t="s">
        <v>1477</v>
      </c>
      <c r="E4032" s="8" t="s">
        <v>340</v>
      </c>
      <c r="F4032" s="45" t="s">
        <v>380</v>
      </c>
      <c r="G4032" s="23" t="s">
        <v>809</v>
      </c>
      <c r="H4032" s="14">
        <f t="shared" si="1767"/>
        <v>100</v>
      </c>
      <c r="I4032" s="14">
        <f t="shared" si="1767"/>
        <v>100</v>
      </c>
      <c r="J4032" s="14">
        <f t="shared" si="1767"/>
        <v>100</v>
      </c>
      <c r="K4032" s="78">
        <f t="shared" si="1743"/>
        <v>100</v>
      </c>
      <c r="L4032" s="14">
        <f t="shared" si="1767"/>
        <v>0</v>
      </c>
      <c r="M4032" s="50"/>
      <c r="N4032" s="50"/>
    </row>
    <row r="4033" spans="1:14" ht="31.2" x14ac:dyDescent="0.3">
      <c r="A4033" s="64" t="s">
        <v>1458</v>
      </c>
      <c r="B4033" s="62" t="s">
        <v>912</v>
      </c>
      <c r="C4033" s="68" t="s">
        <v>1372</v>
      </c>
      <c r="D4033" s="68" t="s">
        <v>1477</v>
      </c>
      <c r="E4033" s="8" t="s">
        <v>340</v>
      </c>
      <c r="F4033" s="8" t="s">
        <v>247</v>
      </c>
      <c r="G4033" s="23" t="s">
        <v>810</v>
      </c>
      <c r="H4033" s="14">
        <v>100</v>
      </c>
      <c r="I4033" s="14">
        <v>100</v>
      </c>
      <c r="J4033" s="14">
        <v>100</v>
      </c>
      <c r="K4033" s="78">
        <f t="shared" si="1743"/>
        <v>100</v>
      </c>
      <c r="L4033" s="14"/>
      <c r="M4033" s="50"/>
      <c r="N4033" s="50"/>
    </row>
    <row r="4034" spans="1:14" s="3" customFormat="1" ht="31.2" x14ac:dyDescent="0.3">
      <c r="A4034" s="4" t="s">
        <v>1458</v>
      </c>
      <c r="B4034" s="43" t="s">
        <v>1391</v>
      </c>
      <c r="C4034" s="43" t="s">
        <v>1391</v>
      </c>
      <c r="D4034" s="43" t="s">
        <v>915</v>
      </c>
      <c r="E4034" s="4"/>
      <c r="F4034" s="4"/>
      <c r="G4034" s="5" t="s">
        <v>1415</v>
      </c>
      <c r="H4034" s="15">
        <f>H4035+H4090</f>
        <v>162457.19000000006</v>
      </c>
      <c r="I4034" s="15">
        <f>I4035+I4090</f>
        <v>162560.83807</v>
      </c>
      <c r="J4034" s="15">
        <f t="shared" ref="J4034:L4034" si="1768">J4035+J4090</f>
        <v>161057.13571999999</v>
      </c>
      <c r="K4034" s="81">
        <f t="shared" si="1743"/>
        <v>99.074991020068126</v>
      </c>
      <c r="L4034" s="15">
        <f t="shared" si="1768"/>
        <v>0</v>
      </c>
      <c r="M4034" s="65"/>
      <c r="N4034" s="65"/>
    </row>
    <row r="4035" spans="1:14" s="9" customFormat="1" ht="46.8" x14ac:dyDescent="0.3">
      <c r="A4035" s="6" t="s">
        <v>1458</v>
      </c>
      <c r="B4035" s="48" t="s">
        <v>935</v>
      </c>
      <c r="C4035" s="48" t="s">
        <v>1391</v>
      </c>
      <c r="D4035" s="48" t="s">
        <v>1398</v>
      </c>
      <c r="E4035" s="6"/>
      <c r="F4035" s="6"/>
      <c r="G4035" s="7" t="s">
        <v>1420</v>
      </c>
      <c r="H4035" s="16">
        <f>H4036+H4072+H4081</f>
        <v>142972.49300000005</v>
      </c>
      <c r="I4035" s="16">
        <f t="shared" ref="I4035:L4035" si="1769">I4036+I4072+I4081</f>
        <v>143025.74256000001</v>
      </c>
      <c r="J4035" s="16">
        <f t="shared" si="1769"/>
        <v>141616.60431999998</v>
      </c>
      <c r="K4035" s="82">
        <f t="shared" si="1743"/>
        <v>99.01476600311382</v>
      </c>
      <c r="L4035" s="16">
        <f t="shared" si="1769"/>
        <v>0</v>
      </c>
      <c r="M4035" s="65"/>
      <c r="N4035" s="65"/>
    </row>
    <row r="4036" spans="1:14" ht="46.8" x14ac:dyDescent="0.3">
      <c r="A4036" s="64" t="s">
        <v>1458</v>
      </c>
      <c r="B4036" s="62" t="s">
        <v>935</v>
      </c>
      <c r="C4036" s="68" t="s">
        <v>1391</v>
      </c>
      <c r="D4036" s="68" t="s">
        <v>1398</v>
      </c>
      <c r="E4036" s="8" t="s">
        <v>381</v>
      </c>
      <c r="F4036" s="8"/>
      <c r="G4036" s="18" t="s">
        <v>1061</v>
      </c>
      <c r="H4036" s="14">
        <f t="shared" ref="H4036:L4036" si="1770">H4037</f>
        <v>135835.68700000003</v>
      </c>
      <c r="I4036" s="14">
        <f t="shared" si="1770"/>
        <v>135735.68700000001</v>
      </c>
      <c r="J4036" s="14">
        <f t="shared" si="1770"/>
        <v>135493.92713</v>
      </c>
      <c r="K4036" s="78">
        <f t="shared" si="1743"/>
        <v>99.821889235363713</v>
      </c>
      <c r="L4036" s="14">
        <f t="shared" si="1770"/>
        <v>0</v>
      </c>
      <c r="M4036" s="50"/>
      <c r="N4036" s="50"/>
    </row>
    <row r="4037" spans="1:14" ht="62.4" x14ac:dyDescent="0.3">
      <c r="A4037" s="64" t="s">
        <v>1458</v>
      </c>
      <c r="B4037" s="62" t="s">
        <v>935</v>
      </c>
      <c r="C4037" s="68" t="s">
        <v>1391</v>
      </c>
      <c r="D4037" s="68" t="s">
        <v>1398</v>
      </c>
      <c r="E4037" s="8" t="s">
        <v>382</v>
      </c>
      <c r="F4037" s="8"/>
      <c r="G4037" s="18" t="s">
        <v>1062</v>
      </c>
      <c r="H4037" s="14">
        <f>H4038+H4049+H4059</f>
        <v>135835.68700000003</v>
      </c>
      <c r="I4037" s="14">
        <f>I4038+I4049+I4059</f>
        <v>135735.68700000001</v>
      </c>
      <c r="J4037" s="14">
        <f t="shared" ref="J4037" si="1771">J4038+J4049+J4059</f>
        <v>135493.92713</v>
      </c>
      <c r="K4037" s="78">
        <f t="shared" si="1743"/>
        <v>99.821889235363713</v>
      </c>
      <c r="L4037" s="14">
        <f>L4038+L4049+L4059</f>
        <v>0</v>
      </c>
      <c r="M4037" s="50"/>
      <c r="N4037" s="50"/>
    </row>
    <row r="4038" spans="1:14" ht="62.4" x14ac:dyDescent="0.3">
      <c r="A4038" s="64" t="s">
        <v>1458</v>
      </c>
      <c r="B4038" s="62" t="s">
        <v>935</v>
      </c>
      <c r="C4038" s="68" t="s">
        <v>1391</v>
      </c>
      <c r="D4038" s="68" t="s">
        <v>1398</v>
      </c>
      <c r="E4038" s="8" t="s">
        <v>635</v>
      </c>
      <c r="F4038" s="8"/>
      <c r="G4038" s="13" t="s">
        <v>1063</v>
      </c>
      <c r="H4038" s="14">
        <f>H4039+H4046</f>
        <v>35806.176000000007</v>
      </c>
      <c r="I4038" s="14">
        <f>I4039+I4046</f>
        <v>35706.175999999999</v>
      </c>
      <c r="J4038" s="14">
        <f t="shared" ref="J4038" si="1772">J4039+J4046</f>
        <v>35552.23618</v>
      </c>
      <c r="K4038" s="78">
        <f t="shared" si="1743"/>
        <v>99.568870606586373</v>
      </c>
      <c r="L4038" s="14">
        <f>L4039+L4046</f>
        <v>0</v>
      </c>
      <c r="M4038" s="50"/>
      <c r="N4038" s="50"/>
    </row>
    <row r="4039" spans="1:14" ht="62.4" x14ac:dyDescent="0.3">
      <c r="A4039" s="64" t="s">
        <v>1458</v>
      </c>
      <c r="B4039" s="62" t="s">
        <v>935</v>
      </c>
      <c r="C4039" s="68" t="s">
        <v>1391</v>
      </c>
      <c r="D4039" s="68" t="s">
        <v>1398</v>
      </c>
      <c r="E4039" s="8" t="s">
        <v>636</v>
      </c>
      <c r="F4039" s="8"/>
      <c r="G4039" s="23" t="s">
        <v>1291</v>
      </c>
      <c r="H4039" s="14">
        <f>H4040+H4042+H4044</f>
        <v>33007.471000000005</v>
      </c>
      <c r="I4039" s="14">
        <f>I4040+I4042+I4044</f>
        <v>33007.470999999998</v>
      </c>
      <c r="J4039" s="14">
        <f t="shared" ref="J4039" si="1773">J4040+J4042+J4044</f>
        <v>32977.410889999999</v>
      </c>
      <c r="K4039" s="78">
        <f t="shared" si="1743"/>
        <v>99.908929375413223</v>
      </c>
      <c r="L4039" s="14">
        <f>L4040+L4042+L4044</f>
        <v>0</v>
      </c>
      <c r="M4039" s="50"/>
      <c r="N4039" s="50"/>
    </row>
    <row r="4040" spans="1:14" ht="78" x14ac:dyDescent="0.3">
      <c r="A4040" s="64" t="s">
        <v>1458</v>
      </c>
      <c r="B4040" s="62" t="s">
        <v>935</v>
      </c>
      <c r="C4040" s="68" t="s">
        <v>1391</v>
      </c>
      <c r="D4040" s="68" t="s">
        <v>1398</v>
      </c>
      <c r="E4040" s="8" t="s">
        <v>636</v>
      </c>
      <c r="F4040" s="45" t="s">
        <v>431</v>
      </c>
      <c r="G4040" s="23" t="s">
        <v>806</v>
      </c>
      <c r="H4040" s="14">
        <f t="shared" ref="H4040:L4040" si="1774">H4041</f>
        <v>26528.3</v>
      </c>
      <c r="I4040" s="14">
        <f t="shared" si="1774"/>
        <v>26528.3</v>
      </c>
      <c r="J4040" s="14">
        <f t="shared" si="1774"/>
        <v>26528.3</v>
      </c>
      <c r="K4040" s="78">
        <f t="shared" ref="K4040:K4103" si="1775">J4040/I4040*100</f>
        <v>100</v>
      </c>
      <c r="L4040" s="14">
        <f t="shared" si="1774"/>
        <v>0</v>
      </c>
      <c r="M4040" s="50"/>
      <c r="N4040" s="50"/>
    </row>
    <row r="4041" spans="1:14" x14ac:dyDescent="0.3">
      <c r="A4041" s="64" t="s">
        <v>1458</v>
      </c>
      <c r="B4041" s="62" t="s">
        <v>935</v>
      </c>
      <c r="C4041" s="68" t="s">
        <v>1391</v>
      </c>
      <c r="D4041" s="68" t="s">
        <v>1398</v>
      </c>
      <c r="E4041" s="8" t="s">
        <v>636</v>
      </c>
      <c r="F4041" s="8" t="s">
        <v>719</v>
      </c>
      <c r="G4041" s="23" t="s">
        <v>807</v>
      </c>
      <c r="H4041" s="14">
        <v>26528.3</v>
      </c>
      <c r="I4041" s="14">
        <v>26528.3</v>
      </c>
      <c r="J4041" s="14">
        <v>26528.3</v>
      </c>
      <c r="K4041" s="78">
        <f t="shared" si="1775"/>
        <v>100</v>
      </c>
      <c r="L4041" s="14"/>
      <c r="M4041" s="50"/>
      <c r="N4041" s="50"/>
    </row>
    <row r="4042" spans="1:14" ht="31.2" x14ac:dyDescent="0.3">
      <c r="A4042" s="64" t="s">
        <v>1458</v>
      </c>
      <c r="B4042" s="62" t="s">
        <v>935</v>
      </c>
      <c r="C4042" s="68" t="s">
        <v>1391</v>
      </c>
      <c r="D4042" s="68" t="s">
        <v>1398</v>
      </c>
      <c r="E4042" s="8" t="s">
        <v>636</v>
      </c>
      <c r="F4042" s="45" t="s">
        <v>380</v>
      </c>
      <c r="G4042" s="23" t="s">
        <v>809</v>
      </c>
      <c r="H4042" s="14">
        <f t="shared" ref="H4042:L4042" si="1776">H4043</f>
        <v>6435.3710000000001</v>
      </c>
      <c r="I4042" s="14">
        <f t="shared" si="1776"/>
        <v>6431.6710000000003</v>
      </c>
      <c r="J4042" s="14">
        <f t="shared" si="1776"/>
        <v>6402.2758899999999</v>
      </c>
      <c r="K4042" s="78">
        <f t="shared" si="1775"/>
        <v>99.542963096215573</v>
      </c>
      <c r="L4042" s="14">
        <f t="shared" si="1776"/>
        <v>0</v>
      </c>
      <c r="M4042" s="50"/>
      <c r="N4042" s="50"/>
    </row>
    <row r="4043" spans="1:14" ht="31.2" x14ac:dyDescent="0.3">
      <c r="A4043" s="64" t="s">
        <v>1458</v>
      </c>
      <c r="B4043" s="62" t="s">
        <v>935</v>
      </c>
      <c r="C4043" s="68" t="s">
        <v>1391</v>
      </c>
      <c r="D4043" s="68" t="s">
        <v>1398</v>
      </c>
      <c r="E4043" s="8" t="s">
        <v>636</v>
      </c>
      <c r="F4043" s="8" t="s">
        <v>247</v>
      </c>
      <c r="G4043" s="23" t="s">
        <v>810</v>
      </c>
      <c r="H4043" s="14">
        <f>6441.1-5.6-0.129</f>
        <v>6435.3710000000001</v>
      </c>
      <c r="I4043" s="14">
        <v>6431.6710000000003</v>
      </c>
      <c r="J4043" s="14">
        <v>6402.2758899999999</v>
      </c>
      <c r="K4043" s="78">
        <f t="shared" si="1775"/>
        <v>99.542963096215573</v>
      </c>
      <c r="L4043" s="14"/>
      <c r="M4043" s="50"/>
      <c r="N4043" s="50"/>
    </row>
    <row r="4044" spans="1:14" x14ac:dyDescent="0.3">
      <c r="A4044" s="64" t="s">
        <v>1458</v>
      </c>
      <c r="B4044" s="62" t="s">
        <v>935</v>
      </c>
      <c r="C4044" s="68" t="s">
        <v>1391</v>
      </c>
      <c r="D4044" s="68" t="s">
        <v>1398</v>
      </c>
      <c r="E4044" s="8" t="s">
        <v>636</v>
      </c>
      <c r="F4044" s="45" t="s">
        <v>464</v>
      </c>
      <c r="G4044" s="23" t="s">
        <v>822</v>
      </c>
      <c r="H4044" s="14">
        <f t="shared" ref="H4044:L4044" si="1777">H4045</f>
        <v>43.8</v>
      </c>
      <c r="I4044" s="14">
        <f t="shared" si="1777"/>
        <v>47.5</v>
      </c>
      <c r="J4044" s="14">
        <f t="shared" si="1777"/>
        <v>46.835000000000001</v>
      </c>
      <c r="K4044" s="78">
        <f t="shared" si="1775"/>
        <v>98.6</v>
      </c>
      <c r="L4044" s="14">
        <f t="shared" si="1777"/>
        <v>0</v>
      </c>
      <c r="M4044" s="50"/>
      <c r="N4044" s="50"/>
    </row>
    <row r="4045" spans="1:14" x14ac:dyDescent="0.3">
      <c r="A4045" s="64" t="s">
        <v>1458</v>
      </c>
      <c r="B4045" s="62" t="s">
        <v>935</v>
      </c>
      <c r="C4045" s="68" t="s">
        <v>1391</v>
      </c>
      <c r="D4045" s="68" t="s">
        <v>1398</v>
      </c>
      <c r="E4045" s="8" t="s">
        <v>636</v>
      </c>
      <c r="F4045" s="45" t="s">
        <v>729</v>
      </c>
      <c r="G4045" s="23" t="s">
        <v>824</v>
      </c>
      <c r="H4045" s="14">
        <v>43.8</v>
      </c>
      <c r="I4045" s="14">
        <v>47.5</v>
      </c>
      <c r="J4045" s="14">
        <v>46.835000000000001</v>
      </c>
      <c r="K4045" s="78">
        <f t="shared" si="1775"/>
        <v>98.6</v>
      </c>
      <c r="L4045" s="14"/>
      <c r="M4045" s="50"/>
      <c r="N4045" s="50"/>
    </row>
    <row r="4046" spans="1:14" ht="62.4" x14ac:dyDescent="0.3">
      <c r="A4046" s="64" t="s">
        <v>1458</v>
      </c>
      <c r="B4046" s="62" t="s">
        <v>935</v>
      </c>
      <c r="C4046" s="68" t="s">
        <v>1391</v>
      </c>
      <c r="D4046" s="68" t="s">
        <v>1398</v>
      </c>
      <c r="E4046" s="8" t="s">
        <v>83</v>
      </c>
      <c r="F4046" s="8"/>
      <c r="G4046" s="31" t="s">
        <v>160</v>
      </c>
      <c r="H4046" s="14">
        <f t="shared" ref="H4046:L4047" si="1778">H4047</f>
        <v>2798.7049999999999</v>
      </c>
      <c r="I4046" s="14">
        <f t="shared" si="1778"/>
        <v>2698.7049999999999</v>
      </c>
      <c r="J4046" s="14">
        <f t="shared" si="1778"/>
        <v>2574.8252900000002</v>
      </c>
      <c r="K4046" s="78">
        <f t="shared" si="1775"/>
        <v>95.409660929964573</v>
      </c>
      <c r="L4046" s="14">
        <f t="shared" si="1778"/>
        <v>0</v>
      </c>
      <c r="M4046" s="50"/>
      <c r="N4046" s="50"/>
    </row>
    <row r="4047" spans="1:14" ht="31.2" x14ac:dyDescent="0.3">
      <c r="A4047" s="64" t="s">
        <v>1458</v>
      </c>
      <c r="B4047" s="62" t="s">
        <v>935</v>
      </c>
      <c r="C4047" s="68" t="s">
        <v>1391</v>
      </c>
      <c r="D4047" s="68" t="s">
        <v>1398</v>
      </c>
      <c r="E4047" s="8" t="s">
        <v>83</v>
      </c>
      <c r="F4047" s="45" t="s">
        <v>380</v>
      </c>
      <c r="G4047" s="23" t="s">
        <v>809</v>
      </c>
      <c r="H4047" s="14">
        <f t="shared" si="1778"/>
        <v>2798.7049999999999</v>
      </c>
      <c r="I4047" s="14">
        <f t="shared" si="1778"/>
        <v>2698.7049999999999</v>
      </c>
      <c r="J4047" s="14">
        <f t="shared" si="1778"/>
        <v>2574.8252900000002</v>
      </c>
      <c r="K4047" s="78">
        <f t="shared" si="1775"/>
        <v>95.409660929964573</v>
      </c>
      <c r="L4047" s="14">
        <f t="shared" si="1778"/>
        <v>0</v>
      </c>
      <c r="M4047" s="50"/>
      <c r="N4047" s="50"/>
    </row>
    <row r="4048" spans="1:14" ht="31.2" x14ac:dyDescent="0.3">
      <c r="A4048" s="64" t="s">
        <v>1458</v>
      </c>
      <c r="B4048" s="62" t="s">
        <v>935</v>
      </c>
      <c r="C4048" s="68" t="s">
        <v>1391</v>
      </c>
      <c r="D4048" s="68" t="s">
        <v>1398</v>
      </c>
      <c r="E4048" s="8" t="s">
        <v>83</v>
      </c>
      <c r="F4048" s="8" t="s">
        <v>247</v>
      </c>
      <c r="G4048" s="23" t="s">
        <v>810</v>
      </c>
      <c r="H4048" s="14">
        <f>2910-82.391-28.904</f>
        <v>2798.7049999999999</v>
      </c>
      <c r="I4048" s="14">
        <v>2698.7049999999999</v>
      </c>
      <c r="J4048" s="14">
        <v>2574.8252900000002</v>
      </c>
      <c r="K4048" s="78">
        <f t="shared" si="1775"/>
        <v>95.409660929964573</v>
      </c>
      <c r="L4048" s="14"/>
      <c r="M4048" s="50"/>
      <c r="N4048" s="50"/>
    </row>
    <row r="4049" spans="1:14" ht="31.2" x14ac:dyDescent="0.3">
      <c r="A4049" s="64" t="s">
        <v>1458</v>
      </c>
      <c r="B4049" s="62" t="s">
        <v>935</v>
      </c>
      <c r="C4049" s="68" t="s">
        <v>1391</v>
      </c>
      <c r="D4049" s="68" t="s">
        <v>1398</v>
      </c>
      <c r="E4049" s="8" t="s">
        <v>637</v>
      </c>
      <c r="F4049" s="8"/>
      <c r="G4049" s="18" t="s">
        <v>1254</v>
      </c>
      <c r="H4049" s="14">
        <f>H4050+H4053+H4056</f>
        <v>8141.7000000000016</v>
      </c>
      <c r="I4049" s="14">
        <f>I4050+I4053+I4056</f>
        <v>8141.7</v>
      </c>
      <c r="J4049" s="14">
        <f t="shared" ref="J4049" si="1779">J4050+J4053+J4056</f>
        <v>8126.3980000000001</v>
      </c>
      <c r="K4049" s="78">
        <f t="shared" si="1775"/>
        <v>99.81205399363769</v>
      </c>
      <c r="L4049" s="14">
        <f>L4050+L4053+L4056</f>
        <v>0</v>
      </c>
      <c r="M4049" s="50"/>
      <c r="N4049" s="50"/>
    </row>
    <row r="4050" spans="1:14" x14ac:dyDescent="0.3">
      <c r="A4050" s="64" t="s">
        <v>1458</v>
      </c>
      <c r="B4050" s="62" t="s">
        <v>935</v>
      </c>
      <c r="C4050" s="68" t="s">
        <v>1391</v>
      </c>
      <c r="D4050" s="68" t="s">
        <v>1398</v>
      </c>
      <c r="E4050" s="8" t="s">
        <v>91</v>
      </c>
      <c r="F4050" s="8"/>
      <c r="G4050" s="23" t="s">
        <v>1218</v>
      </c>
      <c r="H4050" s="14">
        <f t="shared" ref="H4050:L4051" si="1780">H4051</f>
        <v>341.7</v>
      </c>
      <c r="I4050" s="14">
        <f t="shared" si="1780"/>
        <v>341.7</v>
      </c>
      <c r="J4050" s="14">
        <f t="shared" si="1780"/>
        <v>326.39800000000002</v>
      </c>
      <c r="K4050" s="78">
        <f t="shared" si="1775"/>
        <v>95.521802750951139</v>
      </c>
      <c r="L4050" s="14">
        <f t="shared" si="1780"/>
        <v>0</v>
      </c>
      <c r="M4050" s="50"/>
      <c r="N4050" s="50"/>
    </row>
    <row r="4051" spans="1:14" x14ac:dyDescent="0.3">
      <c r="A4051" s="64" t="s">
        <v>1458</v>
      </c>
      <c r="B4051" s="62" t="s">
        <v>935</v>
      </c>
      <c r="C4051" s="68" t="s">
        <v>1391</v>
      </c>
      <c r="D4051" s="68" t="s">
        <v>1398</v>
      </c>
      <c r="E4051" s="8" t="s">
        <v>91</v>
      </c>
      <c r="F4051" s="45" t="s">
        <v>464</v>
      </c>
      <c r="G4051" s="23" t="s">
        <v>822</v>
      </c>
      <c r="H4051" s="14">
        <f t="shared" si="1780"/>
        <v>341.7</v>
      </c>
      <c r="I4051" s="14">
        <f t="shared" si="1780"/>
        <v>341.7</v>
      </c>
      <c r="J4051" s="14">
        <f t="shared" si="1780"/>
        <v>326.39800000000002</v>
      </c>
      <c r="K4051" s="78">
        <f t="shared" si="1775"/>
        <v>95.521802750951139</v>
      </c>
      <c r="L4051" s="14">
        <f t="shared" si="1780"/>
        <v>0</v>
      </c>
      <c r="M4051" s="50"/>
      <c r="N4051" s="50"/>
    </row>
    <row r="4052" spans="1:14" x14ac:dyDescent="0.3">
      <c r="A4052" s="64" t="s">
        <v>1458</v>
      </c>
      <c r="B4052" s="62" t="s">
        <v>935</v>
      </c>
      <c r="C4052" s="68" t="s">
        <v>1391</v>
      </c>
      <c r="D4052" s="68" t="s">
        <v>1398</v>
      </c>
      <c r="E4052" s="8" t="s">
        <v>91</v>
      </c>
      <c r="F4052" s="45" t="s">
        <v>729</v>
      </c>
      <c r="G4052" s="23" t="s">
        <v>824</v>
      </c>
      <c r="H4052" s="14">
        <v>341.7</v>
      </c>
      <c r="I4052" s="14">
        <v>341.7</v>
      </c>
      <c r="J4052" s="14">
        <v>326.39800000000002</v>
      </c>
      <c r="K4052" s="78">
        <f t="shared" si="1775"/>
        <v>95.521802750951139</v>
      </c>
      <c r="L4052" s="14"/>
      <c r="M4052" s="50"/>
      <c r="N4052" s="50"/>
    </row>
    <row r="4053" spans="1:14" ht="46.8" x14ac:dyDescent="0.3">
      <c r="A4053" s="64" t="s">
        <v>1458</v>
      </c>
      <c r="B4053" s="62" t="s">
        <v>935</v>
      </c>
      <c r="C4053" s="68" t="s">
        <v>1391</v>
      </c>
      <c r="D4053" s="68" t="s">
        <v>1398</v>
      </c>
      <c r="E4053" s="8" t="s">
        <v>1235</v>
      </c>
      <c r="F4053" s="8"/>
      <c r="G4053" s="23" t="s">
        <v>1247</v>
      </c>
      <c r="H4053" s="14">
        <f t="shared" ref="H4053:L4054" si="1781">H4054</f>
        <v>5000.0000000000018</v>
      </c>
      <c r="I4053" s="14">
        <f t="shared" si="1781"/>
        <v>5000</v>
      </c>
      <c r="J4053" s="14">
        <f t="shared" si="1781"/>
        <v>5000</v>
      </c>
      <c r="K4053" s="78">
        <f t="shared" si="1775"/>
        <v>100</v>
      </c>
      <c r="L4053" s="14">
        <f t="shared" si="1781"/>
        <v>0</v>
      </c>
      <c r="M4053" s="50"/>
      <c r="N4053" s="50"/>
    </row>
    <row r="4054" spans="1:14" ht="31.2" x14ac:dyDescent="0.3">
      <c r="A4054" s="64" t="s">
        <v>1458</v>
      </c>
      <c r="B4054" s="62" t="s">
        <v>935</v>
      </c>
      <c r="C4054" s="68" t="s">
        <v>1391</v>
      </c>
      <c r="D4054" s="68" t="s">
        <v>1398</v>
      </c>
      <c r="E4054" s="8" t="s">
        <v>1235</v>
      </c>
      <c r="F4054" s="45" t="s">
        <v>478</v>
      </c>
      <c r="G4054" s="23" t="s">
        <v>817</v>
      </c>
      <c r="H4054" s="14">
        <f t="shared" si="1781"/>
        <v>5000.0000000000018</v>
      </c>
      <c r="I4054" s="14">
        <f t="shared" si="1781"/>
        <v>5000</v>
      </c>
      <c r="J4054" s="14">
        <f t="shared" si="1781"/>
        <v>5000</v>
      </c>
      <c r="K4054" s="78">
        <f t="shared" si="1775"/>
        <v>100</v>
      </c>
      <c r="L4054" s="14">
        <f t="shared" si="1781"/>
        <v>0</v>
      </c>
      <c r="M4054" s="50"/>
      <c r="N4054" s="50"/>
    </row>
    <row r="4055" spans="1:14" x14ac:dyDescent="0.3">
      <c r="A4055" s="64" t="s">
        <v>1458</v>
      </c>
      <c r="B4055" s="62" t="s">
        <v>935</v>
      </c>
      <c r="C4055" s="68" t="s">
        <v>1391</v>
      </c>
      <c r="D4055" s="68" t="s">
        <v>1398</v>
      </c>
      <c r="E4055" s="8" t="s">
        <v>1235</v>
      </c>
      <c r="F4055" s="45" t="s">
        <v>1273</v>
      </c>
      <c r="G4055" s="23" t="s">
        <v>818</v>
      </c>
      <c r="H4055" s="14">
        <f>38950.8-27677.81-6272.99</f>
        <v>5000.0000000000018</v>
      </c>
      <c r="I4055" s="14">
        <v>5000</v>
      </c>
      <c r="J4055" s="14">
        <v>5000</v>
      </c>
      <c r="K4055" s="78">
        <f t="shared" si="1775"/>
        <v>100</v>
      </c>
      <c r="L4055" s="14"/>
      <c r="M4055" s="50"/>
      <c r="N4055" s="50"/>
    </row>
    <row r="4056" spans="1:14" ht="31.2" x14ac:dyDescent="0.3">
      <c r="A4056" s="64" t="s">
        <v>1458</v>
      </c>
      <c r="B4056" s="62" t="s">
        <v>935</v>
      </c>
      <c r="C4056" s="68" t="s">
        <v>1391</v>
      </c>
      <c r="D4056" s="68" t="s">
        <v>1398</v>
      </c>
      <c r="E4056" s="8" t="s">
        <v>1236</v>
      </c>
      <c r="F4056" s="45"/>
      <c r="G4056" s="23" t="s">
        <v>1349</v>
      </c>
      <c r="H4056" s="14">
        <f t="shared" ref="H4056:L4057" si="1782">H4057</f>
        <v>2800</v>
      </c>
      <c r="I4056" s="14">
        <f t="shared" si="1782"/>
        <v>2800</v>
      </c>
      <c r="J4056" s="14">
        <f t="shared" si="1782"/>
        <v>2800</v>
      </c>
      <c r="K4056" s="78">
        <f t="shared" si="1775"/>
        <v>100</v>
      </c>
      <c r="L4056" s="14">
        <f t="shared" si="1782"/>
        <v>0</v>
      </c>
      <c r="M4056" s="50"/>
      <c r="N4056" s="50"/>
    </row>
    <row r="4057" spans="1:14" ht="31.2" x14ac:dyDescent="0.3">
      <c r="A4057" s="64" t="s">
        <v>1458</v>
      </c>
      <c r="B4057" s="62" t="s">
        <v>935</v>
      </c>
      <c r="C4057" s="68" t="s">
        <v>1391</v>
      </c>
      <c r="D4057" s="68" t="s">
        <v>1398</v>
      </c>
      <c r="E4057" s="8" t="s">
        <v>1236</v>
      </c>
      <c r="F4057" s="45" t="s">
        <v>478</v>
      </c>
      <c r="G4057" s="23" t="s">
        <v>817</v>
      </c>
      <c r="H4057" s="14">
        <f t="shared" si="1782"/>
        <v>2800</v>
      </c>
      <c r="I4057" s="14">
        <f t="shared" si="1782"/>
        <v>2800</v>
      </c>
      <c r="J4057" s="14">
        <f t="shared" si="1782"/>
        <v>2800</v>
      </c>
      <c r="K4057" s="78">
        <f t="shared" si="1775"/>
        <v>100</v>
      </c>
      <c r="L4057" s="14">
        <f t="shared" si="1782"/>
        <v>0</v>
      </c>
      <c r="M4057" s="50"/>
      <c r="N4057" s="50"/>
    </row>
    <row r="4058" spans="1:14" x14ac:dyDescent="0.3">
      <c r="A4058" s="64" t="s">
        <v>1458</v>
      </c>
      <c r="B4058" s="62" t="s">
        <v>935</v>
      </c>
      <c r="C4058" s="68" t="s">
        <v>1391</v>
      </c>
      <c r="D4058" s="68" t="s">
        <v>1398</v>
      </c>
      <c r="E4058" s="8" t="s">
        <v>1236</v>
      </c>
      <c r="F4058" s="45" t="s">
        <v>1273</v>
      </c>
      <c r="G4058" s="23" t="s">
        <v>818</v>
      </c>
      <c r="H4058" s="14">
        <v>2800</v>
      </c>
      <c r="I4058" s="14">
        <v>2800</v>
      </c>
      <c r="J4058" s="14">
        <v>2800</v>
      </c>
      <c r="K4058" s="78">
        <f t="shared" si="1775"/>
        <v>100</v>
      </c>
      <c r="L4058" s="14"/>
      <c r="M4058" s="50"/>
      <c r="N4058" s="50"/>
    </row>
    <row r="4059" spans="1:14" ht="46.8" x14ac:dyDescent="0.3">
      <c r="A4059" s="64" t="s">
        <v>1458</v>
      </c>
      <c r="B4059" s="62" t="s">
        <v>935</v>
      </c>
      <c r="C4059" s="68" t="s">
        <v>1391</v>
      </c>
      <c r="D4059" s="68" t="s">
        <v>1398</v>
      </c>
      <c r="E4059" s="8" t="s">
        <v>53</v>
      </c>
      <c r="F4059" s="8"/>
      <c r="G4059" s="31" t="s">
        <v>1318</v>
      </c>
      <c r="H4059" s="14">
        <f>H4060+H4067</f>
        <v>91887.811000000016</v>
      </c>
      <c r="I4059" s="14">
        <f>I4060+I4067</f>
        <v>91887.811000000016</v>
      </c>
      <c r="J4059" s="14">
        <f t="shared" ref="J4059" si="1783">J4060+J4067</f>
        <v>91815.292950000003</v>
      </c>
      <c r="K4059" s="78">
        <f t="shared" si="1775"/>
        <v>99.921079793706241</v>
      </c>
      <c r="L4059" s="14">
        <f>L4060+L4067</f>
        <v>0</v>
      </c>
      <c r="M4059" s="50"/>
      <c r="N4059" s="50"/>
    </row>
    <row r="4060" spans="1:14" ht="62.4" x14ac:dyDescent="0.3">
      <c r="A4060" s="64" t="s">
        <v>1458</v>
      </c>
      <c r="B4060" s="62" t="s">
        <v>935</v>
      </c>
      <c r="C4060" s="68" t="s">
        <v>1391</v>
      </c>
      <c r="D4060" s="68" t="s">
        <v>1398</v>
      </c>
      <c r="E4060" s="8" t="s">
        <v>92</v>
      </c>
      <c r="F4060" s="8"/>
      <c r="G4060" s="23" t="s">
        <v>1291</v>
      </c>
      <c r="H4060" s="14">
        <f>H4061+H4063+H4065</f>
        <v>86227.24500000001</v>
      </c>
      <c r="I4060" s="14">
        <f>I4061+I4063+I4065</f>
        <v>86227.24500000001</v>
      </c>
      <c r="J4060" s="14">
        <f t="shared" ref="J4060" si="1784">J4061+J4063+J4065</f>
        <v>86157.281539999996</v>
      </c>
      <c r="K4060" s="78">
        <f t="shared" si="1775"/>
        <v>99.91886153848472</v>
      </c>
      <c r="L4060" s="14">
        <f>L4061+L4063+L4065</f>
        <v>0</v>
      </c>
      <c r="M4060" s="50"/>
      <c r="N4060" s="50"/>
    </row>
    <row r="4061" spans="1:14" ht="78" x14ac:dyDescent="0.3">
      <c r="A4061" s="64" t="s">
        <v>1458</v>
      </c>
      <c r="B4061" s="62" t="s">
        <v>935</v>
      </c>
      <c r="C4061" s="68" t="s">
        <v>1391</v>
      </c>
      <c r="D4061" s="68" t="s">
        <v>1398</v>
      </c>
      <c r="E4061" s="8" t="s">
        <v>92</v>
      </c>
      <c r="F4061" s="45" t="s">
        <v>431</v>
      </c>
      <c r="G4061" s="23" t="s">
        <v>806</v>
      </c>
      <c r="H4061" s="14">
        <f t="shared" ref="H4061:L4061" si="1785">H4062</f>
        <v>72258.676000000007</v>
      </c>
      <c r="I4061" s="14">
        <f t="shared" si="1785"/>
        <v>72205.676000000007</v>
      </c>
      <c r="J4061" s="14">
        <f t="shared" si="1785"/>
        <v>72167.810079999996</v>
      </c>
      <c r="K4061" s="78">
        <f t="shared" si="1775"/>
        <v>99.947558250129802</v>
      </c>
      <c r="L4061" s="14">
        <f t="shared" si="1785"/>
        <v>0</v>
      </c>
      <c r="M4061" s="50"/>
      <c r="N4061" s="50"/>
    </row>
    <row r="4062" spans="1:14" x14ac:dyDescent="0.3">
      <c r="A4062" s="64" t="s">
        <v>1458</v>
      </c>
      <c r="B4062" s="62" t="s">
        <v>935</v>
      </c>
      <c r="C4062" s="68" t="s">
        <v>1391</v>
      </c>
      <c r="D4062" s="68" t="s">
        <v>1398</v>
      </c>
      <c r="E4062" s="8" t="s">
        <v>92</v>
      </c>
      <c r="F4062" s="8" t="s">
        <v>719</v>
      </c>
      <c r="G4062" s="23" t="s">
        <v>807</v>
      </c>
      <c r="H4062" s="14">
        <f>71159+1099.676</f>
        <v>72258.676000000007</v>
      </c>
      <c r="I4062" s="14">
        <v>72205.676000000007</v>
      </c>
      <c r="J4062" s="14">
        <v>72167.810079999996</v>
      </c>
      <c r="K4062" s="78">
        <f t="shared" si="1775"/>
        <v>99.947558250129802</v>
      </c>
      <c r="L4062" s="14"/>
      <c r="M4062" s="50"/>
      <c r="N4062" s="50"/>
    </row>
    <row r="4063" spans="1:14" ht="31.2" x14ac:dyDescent="0.3">
      <c r="A4063" s="64" t="s">
        <v>1458</v>
      </c>
      <c r="B4063" s="62" t="s">
        <v>935</v>
      </c>
      <c r="C4063" s="68" t="s">
        <v>1391</v>
      </c>
      <c r="D4063" s="68" t="s">
        <v>1398</v>
      </c>
      <c r="E4063" s="8" t="s">
        <v>92</v>
      </c>
      <c r="F4063" s="45" t="s">
        <v>380</v>
      </c>
      <c r="G4063" s="23" t="s">
        <v>809</v>
      </c>
      <c r="H4063" s="14">
        <f t="shared" ref="H4063:L4063" si="1786">H4064</f>
        <v>13919.969000000001</v>
      </c>
      <c r="I4063" s="14">
        <f t="shared" si="1786"/>
        <v>13937.137860000001</v>
      </c>
      <c r="J4063" s="14">
        <f t="shared" si="1786"/>
        <v>13905.04032</v>
      </c>
      <c r="K4063" s="78">
        <f t="shared" si="1775"/>
        <v>99.769697764903924</v>
      </c>
      <c r="L4063" s="14">
        <f t="shared" si="1786"/>
        <v>0</v>
      </c>
      <c r="M4063" s="50"/>
      <c r="N4063" s="50"/>
    </row>
    <row r="4064" spans="1:14" ht="31.2" x14ac:dyDescent="0.3">
      <c r="A4064" s="64" t="s">
        <v>1458</v>
      </c>
      <c r="B4064" s="62" t="s">
        <v>935</v>
      </c>
      <c r="C4064" s="68" t="s">
        <v>1391</v>
      </c>
      <c r="D4064" s="68" t="s">
        <v>1398</v>
      </c>
      <c r="E4064" s="8" t="s">
        <v>92</v>
      </c>
      <c r="F4064" s="8" t="s">
        <v>247</v>
      </c>
      <c r="G4064" s="23" t="s">
        <v>810</v>
      </c>
      <c r="H4064" s="14">
        <f>11134.1+1526.735+8.435+1239.794+10.905</f>
        <v>13919.969000000001</v>
      </c>
      <c r="I4064" s="14">
        <v>13937.137860000001</v>
      </c>
      <c r="J4064" s="14">
        <v>13905.04032</v>
      </c>
      <c r="K4064" s="78">
        <f t="shared" si="1775"/>
        <v>99.769697764903924</v>
      </c>
      <c r="L4064" s="14"/>
      <c r="M4064" s="50"/>
      <c r="N4064" s="50"/>
    </row>
    <row r="4065" spans="1:14" x14ac:dyDescent="0.3">
      <c r="A4065" s="64" t="s">
        <v>1458</v>
      </c>
      <c r="B4065" s="62" t="s">
        <v>935</v>
      </c>
      <c r="C4065" s="68" t="s">
        <v>1391</v>
      </c>
      <c r="D4065" s="68" t="s">
        <v>1398</v>
      </c>
      <c r="E4065" s="8" t="s">
        <v>92</v>
      </c>
      <c r="F4065" s="45" t="s">
        <v>464</v>
      </c>
      <c r="G4065" s="23" t="s">
        <v>822</v>
      </c>
      <c r="H4065" s="14">
        <f t="shared" ref="H4065:L4065" si="1787">H4066</f>
        <v>48.6</v>
      </c>
      <c r="I4065" s="14">
        <f t="shared" si="1787"/>
        <v>84.431139999999999</v>
      </c>
      <c r="J4065" s="14">
        <f t="shared" si="1787"/>
        <v>84.431139999999999</v>
      </c>
      <c r="K4065" s="78">
        <f t="shared" si="1775"/>
        <v>100</v>
      </c>
      <c r="L4065" s="14">
        <f t="shared" si="1787"/>
        <v>0</v>
      </c>
      <c r="M4065" s="50"/>
      <c r="N4065" s="50"/>
    </row>
    <row r="4066" spans="1:14" x14ac:dyDescent="0.3">
      <c r="A4066" s="64" t="s">
        <v>1458</v>
      </c>
      <c r="B4066" s="62" t="s">
        <v>935</v>
      </c>
      <c r="C4066" s="68" t="s">
        <v>1391</v>
      </c>
      <c r="D4066" s="68" t="s">
        <v>1398</v>
      </c>
      <c r="E4066" s="8" t="s">
        <v>92</v>
      </c>
      <c r="F4066" s="45" t="s">
        <v>729</v>
      </c>
      <c r="G4066" s="23" t="s">
        <v>824</v>
      </c>
      <c r="H4066" s="14">
        <v>48.6</v>
      </c>
      <c r="I4066" s="14">
        <v>84.431139999999999</v>
      </c>
      <c r="J4066" s="14">
        <v>84.431139999999999</v>
      </c>
      <c r="K4066" s="78">
        <f t="shared" si="1775"/>
        <v>100</v>
      </c>
      <c r="L4066" s="14"/>
      <c r="M4066" s="50"/>
      <c r="N4066" s="50"/>
    </row>
    <row r="4067" spans="1:14" ht="31.2" x14ac:dyDescent="0.3">
      <c r="A4067" s="64" t="s">
        <v>1458</v>
      </c>
      <c r="B4067" s="62" t="s">
        <v>935</v>
      </c>
      <c r="C4067" s="68" t="s">
        <v>1391</v>
      </c>
      <c r="D4067" s="68" t="s">
        <v>1398</v>
      </c>
      <c r="E4067" s="8" t="s">
        <v>93</v>
      </c>
      <c r="F4067" s="8"/>
      <c r="G4067" s="23" t="s">
        <v>161</v>
      </c>
      <c r="H4067" s="14">
        <f>H4068+H4070</f>
        <v>5660.5659999999998</v>
      </c>
      <c r="I4067" s="14">
        <f>I4068+I4070</f>
        <v>5660.5659999999998</v>
      </c>
      <c r="J4067" s="14">
        <f t="shared" ref="J4067" si="1788">J4068+J4070</f>
        <v>5658.0114100000001</v>
      </c>
      <c r="K4067" s="78">
        <f t="shared" si="1775"/>
        <v>99.954870414018671</v>
      </c>
      <c r="L4067" s="14">
        <f>L4068+L4070</f>
        <v>0</v>
      </c>
      <c r="M4067" s="50"/>
      <c r="N4067" s="50"/>
    </row>
    <row r="4068" spans="1:14" ht="78" x14ac:dyDescent="0.3">
      <c r="A4068" s="64" t="s">
        <v>1458</v>
      </c>
      <c r="B4068" s="62" t="s">
        <v>935</v>
      </c>
      <c r="C4068" s="68" t="s">
        <v>1391</v>
      </c>
      <c r="D4068" s="68" t="s">
        <v>1398</v>
      </c>
      <c r="E4068" s="8" t="s">
        <v>93</v>
      </c>
      <c r="F4068" s="45" t="s">
        <v>431</v>
      </c>
      <c r="G4068" s="23" t="s">
        <v>806</v>
      </c>
      <c r="H4068" s="14">
        <f t="shared" ref="H4068:L4068" si="1789">H4069</f>
        <v>4685</v>
      </c>
      <c r="I4068" s="14">
        <f t="shared" si="1789"/>
        <v>4685</v>
      </c>
      <c r="J4068" s="14">
        <f t="shared" si="1789"/>
        <v>4684.6270000000004</v>
      </c>
      <c r="K4068" s="78">
        <f t="shared" si="1775"/>
        <v>99.992038420490942</v>
      </c>
      <c r="L4068" s="14">
        <f t="shared" si="1789"/>
        <v>0</v>
      </c>
      <c r="M4068" s="50"/>
      <c r="N4068" s="50"/>
    </row>
    <row r="4069" spans="1:14" x14ac:dyDescent="0.3">
      <c r="A4069" s="64" t="s">
        <v>1458</v>
      </c>
      <c r="B4069" s="62" t="s">
        <v>935</v>
      </c>
      <c r="C4069" s="68" t="s">
        <v>1391</v>
      </c>
      <c r="D4069" s="68" t="s">
        <v>1398</v>
      </c>
      <c r="E4069" s="8" t="s">
        <v>93</v>
      </c>
      <c r="F4069" s="8" t="s">
        <v>719</v>
      </c>
      <c r="G4069" s="23" t="s">
        <v>807</v>
      </c>
      <c r="H4069" s="14">
        <v>4685</v>
      </c>
      <c r="I4069" s="14">
        <v>4685</v>
      </c>
      <c r="J4069" s="14">
        <v>4684.6270000000004</v>
      </c>
      <c r="K4069" s="78">
        <f t="shared" si="1775"/>
        <v>99.992038420490942</v>
      </c>
      <c r="L4069" s="14"/>
      <c r="M4069" s="50"/>
      <c r="N4069" s="50"/>
    </row>
    <row r="4070" spans="1:14" ht="31.2" x14ac:dyDescent="0.3">
      <c r="A4070" s="64" t="s">
        <v>1458</v>
      </c>
      <c r="B4070" s="62" t="s">
        <v>935</v>
      </c>
      <c r="C4070" s="68" t="s">
        <v>1391</v>
      </c>
      <c r="D4070" s="68" t="s">
        <v>1398</v>
      </c>
      <c r="E4070" s="8" t="s">
        <v>93</v>
      </c>
      <c r="F4070" s="45" t="s">
        <v>380</v>
      </c>
      <c r="G4070" s="23" t="s">
        <v>809</v>
      </c>
      <c r="H4070" s="14">
        <f t="shared" ref="H4070:L4070" si="1790">H4071</f>
        <v>975.56599999999992</v>
      </c>
      <c r="I4070" s="14">
        <f t="shared" si="1790"/>
        <v>975.56600000000003</v>
      </c>
      <c r="J4070" s="14">
        <f t="shared" si="1790"/>
        <v>973.38441</v>
      </c>
      <c r="K4070" s="78">
        <f t="shared" si="1775"/>
        <v>99.776376995508244</v>
      </c>
      <c r="L4070" s="14">
        <f t="shared" si="1790"/>
        <v>0</v>
      </c>
      <c r="M4070" s="50"/>
      <c r="N4070" s="50"/>
    </row>
    <row r="4071" spans="1:14" ht="31.2" x14ac:dyDescent="0.3">
      <c r="A4071" s="64" t="s">
        <v>1458</v>
      </c>
      <c r="B4071" s="62" t="s">
        <v>935</v>
      </c>
      <c r="C4071" s="68" t="s">
        <v>1391</v>
      </c>
      <c r="D4071" s="68" t="s">
        <v>1398</v>
      </c>
      <c r="E4071" s="8" t="s">
        <v>93</v>
      </c>
      <c r="F4071" s="8" t="s">
        <v>247</v>
      </c>
      <c r="G4071" s="23" t="s">
        <v>810</v>
      </c>
      <c r="H4071" s="14">
        <f>1035.8-60.234</f>
        <v>975.56599999999992</v>
      </c>
      <c r="I4071" s="14">
        <v>975.56600000000003</v>
      </c>
      <c r="J4071" s="14">
        <v>973.38441</v>
      </c>
      <c r="K4071" s="78">
        <f t="shared" si="1775"/>
        <v>99.776376995508244</v>
      </c>
      <c r="L4071" s="14"/>
      <c r="M4071" s="50"/>
      <c r="N4071" s="50"/>
    </row>
    <row r="4072" spans="1:14" ht="31.2" x14ac:dyDescent="0.3">
      <c r="A4072" s="64" t="s">
        <v>1458</v>
      </c>
      <c r="B4072" s="62" t="s">
        <v>935</v>
      </c>
      <c r="C4072" s="68" t="s">
        <v>1391</v>
      </c>
      <c r="D4072" s="68" t="s">
        <v>1398</v>
      </c>
      <c r="E4072" s="8" t="s">
        <v>429</v>
      </c>
      <c r="F4072" s="8"/>
      <c r="G4072" s="23" t="s">
        <v>1140</v>
      </c>
      <c r="H4072" s="14">
        <f t="shared" ref="H4072:L4077" si="1791">H4073</f>
        <v>7136.8059999999996</v>
      </c>
      <c r="I4072" s="14">
        <f t="shared" si="1791"/>
        <v>7136.8055599999998</v>
      </c>
      <c r="J4072" s="14">
        <f t="shared" si="1791"/>
        <v>5969.4271899999994</v>
      </c>
      <c r="K4072" s="78">
        <f t="shared" si="1775"/>
        <v>83.642844684702325</v>
      </c>
      <c r="L4072" s="14">
        <f t="shared" si="1791"/>
        <v>0</v>
      </c>
      <c r="M4072" s="50"/>
      <c r="N4072" s="50"/>
    </row>
    <row r="4073" spans="1:14" x14ac:dyDescent="0.3">
      <c r="A4073" s="64" t="s">
        <v>1458</v>
      </c>
      <c r="B4073" s="62" t="s">
        <v>935</v>
      </c>
      <c r="C4073" s="68" t="s">
        <v>1391</v>
      </c>
      <c r="D4073" s="68" t="s">
        <v>1398</v>
      </c>
      <c r="E4073" s="8" t="s">
        <v>430</v>
      </c>
      <c r="F4073" s="8"/>
      <c r="G4073" s="23" t="s">
        <v>1141</v>
      </c>
      <c r="H4073" s="14">
        <f t="shared" si="1791"/>
        <v>7136.8059999999996</v>
      </c>
      <c r="I4073" s="14">
        <f t="shared" si="1791"/>
        <v>7136.8055599999998</v>
      </c>
      <c r="J4073" s="14">
        <f t="shared" si="1791"/>
        <v>5969.4271899999994</v>
      </c>
      <c r="K4073" s="78">
        <f t="shared" si="1775"/>
        <v>83.642844684702325</v>
      </c>
      <c r="L4073" s="14">
        <f t="shared" si="1791"/>
        <v>0</v>
      </c>
      <c r="M4073" s="50"/>
      <c r="N4073" s="50"/>
    </row>
    <row r="4074" spans="1:14" ht="46.8" x14ac:dyDescent="0.3">
      <c r="A4074" s="64" t="s">
        <v>1458</v>
      </c>
      <c r="B4074" s="62" t="s">
        <v>935</v>
      </c>
      <c r="C4074" s="68" t="s">
        <v>1391</v>
      </c>
      <c r="D4074" s="68" t="s">
        <v>1398</v>
      </c>
      <c r="E4074" s="8" t="s">
        <v>444</v>
      </c>
      <c r="F4074" s="8"/>
      <c r="G4074" s="18" t="s">
        <v>1143</v>
      </c>
      <c r="H4074" s="14">
        <f>H4077+H4075+H4079</f>
        <v>7136.8059999999996</v>
      </c>
      <c r="I4074" s="14">
        <f>I4077+I4075+I4079</f>
        <v>7136.8055599999998</v>
      </c>
      <c r="J4074" s="14">
        <f t="shared" ref="J4074" si="1792">J4077+J4075+J4079</f>
        <v>5969.4271899999994</v>
      </c>
      <c r="K4074" s="78">
        <f t="shared" si="1775"/>
        <v>83.642844684702325</v>
      </c>
      <c r="L4074" s="14">
        <f>L4077+L4075+L4079</f>
        <v>0</v>
      </c>
      <c r="M4074" s="50"/>
      <c r="N4074" s="50"/>
    </row>
    <row r="4075" spans="1:14" ht="78" x14ac:dyDescent="0.3">
      <c r="A4075" s="64" t="s">
        <v>1458</v>
      </c>
      <c r="B4075" s="62" t="s">
        <v>935</v>
      </c>
      <c r="C4075" s="68" t="s">
        <v>1391</v>
      </c>
      <c r="D4075" s="68" t="s">
        <v>1398</v>
      </c>
      <c r="E4075" s="8" t="s">
        <v>444</v>
      </c>
      <c r="F4075" s="45" t="s">
        <v>431</v>
      </c>
      <c r="G4075" s="23" t="s">
        <v>806</v>
      </c>
      <c r="H4075" s="14">
        <f t="shared" ref="H4075:L4075" si="1793">H4076</f>
        <v>356.4</v>
      </c>
      <c r="I4075" s="14">
        <f t="shared" si="1793"/>
        <v>356.4</v>
      </c>
      <c r="J4075" s="14">
        <f t="shared" si="1793"/>
        <v>356.4</v>
      </c>
      <c r="K4075" s="78">
        <f t="shared" si="1775"/>
        <v>100</v>
      </c>
      <c r="L4075" s="14">
        <f t="shared" si="1793"/>
        <v>0</v>
      </c>
      <c r="M4075" s="50"/>
      <c r="N4075" s="50"/>
    </row>
    <row r="4076" spans="1:14" x14ac:dyDescent="0.3">
      <c r="A4076" s="64" t="s">
        <v>1458</v>
      </c>
      <c r="B4076" s="62" t="s">
        <v>935</v>
      </c>
      <c r="C4076" s="68" t="s">
        <v>1391</v>
      </c>
      <c r="D4076" s="68" t="s">
        <v>1398</v>
      </c>
      <c r="E4076" s="8" t="s">
        <v>444</v>
      </c>
      <c r="F4076" s="8" t="s">
        <v>719</v>
      </c>
      <c r="G4076" s="23" t="s">
        <v>807</v>
      </c>
      <c r="H4076" s="14">
        <v>356.4</v>
      </c>
      <c r="I4076" s="14">
        <v>356.4</v>
      </c>
      <c r="J4076" s="14">
        <v>356.4</v>
      </c>
      <c r="K4076" s="78">
        <f t="shared" si="1775"/>
        <v>100</v>
      </c>
      <c r="L4076" s="14"/>
      <c r="M4076" s="50"/>
      <c r="N4076" s="50"/>
    </row>
    <row r="4077" spans="1:14" ht="31.2" x14ac:dyDescent="0.3">
      <c r="A4077" s="64" t="s">
        <v>1458</v>
      </c>
      <c r="B4077" s="62" t="s">
        <v>935</v>
      </c>
      <c r="C4077" s="68" t="s">
        <v>1391</v>
      </c>
      <c r="D4077" s="68" t="s">
        <v>1398</v>
      </c>
      <c r="E4077" s="8" t="s">
        <v>444</v>
      </c>
      <c r="F4077" s="45" t="s">
        <v>380</v>
      </c>
      <c r="G4077" s="23" t="s">
        <v>809</v>
      </c>
      <c r="H4077" s="14">
        <f t="shared" si="1791"/>
        <v>6777.2060000000001</v>
      </c>
      <c r="I4077" s="14">
        <f t="shared" si="1791"/>
        <v>6777.2055600000003</v>
      </c>
      <c r="J4077" s="14">
        <f t="shared" si="1791"/>
        <v>5609.8431899999996</v>
      </c>
      <c r="K4077" s="78">
        <f t="shared" si="1775"/>
        <v>82.775166554045015</v>
      </c>
      <c r="L4077" s="14">
        <f t="shared" si="1791"/>
        <v>0</v>
      </c>
      <c r="M4077" s="50"/>
      <c r="N4077" s="50"/>
    </row>
    <row r="4078" spans="1:14" ht="31.2" x14ac:dyDescent="0.3">
      <c r="A4078" s="64" t="s">
        <v>1458</v>
      </c>
      <c r="B4078" s="62" t="s">
        <v>935</v>
      </c>
      <c r="C4078" s="68" t="s">
        <v>1391</v>
      </c>
      <c r="D4078" s="68" t="s">
        <v>1398</v>
      </c>
      <c r="E4078" s="8" t="s">
        <v>444</v>
      </c>
      <c r="F4078" s="8" t="s">
        <v>247</v>
      </c>
      <c r="G4078" s="23" t="s">
        <v>810</v>
      </c>
      <c r="H4078" s="14">
        <f>6116.959+660.247</f>
        <v>6777.2060000000001</v>
      </c>
      <c r="I4078" s="14">
        <v>6777.2055600000003</v>
      </c>
      <c r="J4078" s="14">
        <v>5609.8431899999996</v>
      </c>
      <c r="K4078" s="78">
        <f t="shared" si="1775"/>
        <v>82.775166554045015</v>
      </c>
      <c r="L4078" s="14"/>
      <c r="M4078" s="50"/>
      <c r="N4078" s="50"/>
    </row>
    <row r="4079" spans="1:14" x14ac:dyDescent="0.3">
      <c r="A4079" s="64" t="s">
        <v>1458</v>
      </c>
      <c r="B4079" s="62" t="s">
        <v>935</v>
      </c>
      <c r="C4079" s="68" t="s">
        <v>1391</v>
      </c>
      <c r="D4079" s="68" t="s">
        <v>1398</v>
      </c>
      <c r="E4079" s="8" t="s">
        <v>444</v>
      </c>
      <c r="F4079" s="45" t="s">
        <v>464</v>
      </c>
      <c r="G4079" s="23" t="s">
        <v>822</v>
      </c>
      <c r="H4079" s="14">
        <f t="shared" ref="H4079:L4079" si="1794">H4080</f>
        <v>3.2</v>
      </c>
      <c r="I4079" s="14">
        <f t="shared" si="1794"/>
        <v>3.2</v>
      </c>
      <c r="J4079" s="14">
        <f t="shared" si="1794"/>
        <v>3.1840000000000002</v>
      </c>
      <c r="K4079" s="78">
        <f t="shared" si="1775"/>
        <v>99.5</v>
      </c>
      <c r="L4079" s="14">
        <f t="shared" si="1794"/>
        <v>0</v>
      </c>
      <c r="M4079" s="50"/>
      <c r="N4079" s="50"/>
    </row>
    <row r="4080" spans="1:14" x14ac:dyDescent="0.3">
      <c r="A4080" s="64" t="s">
        <v>1458</v>
      </c>
      <c r="B4080" s="62" t="s">
        <v>935</v>
      </c>
      <c r="C4080" s="68" t="s">
        <v>1391</v>
      </c>
      <c r="D4080" s="68" t="s">
        <v>1398</v>
      </c>
      <c r="E4080" s="8" t="s">
        <v>444</v>
      </c>
      <c r="F4080" s="45" t="s">
        <v>729</v>
      </c>
      <c r="G4080" s="23" t="s">
        <v>824</v>
      </c>
      <c r="H4080" s="14">
        <v>3.2</v>
      </c>
      <c r="I4080" s="14">
        <v>3.2</v>
      </c>
      <c r="J4080" s="14">
        <v>3.1840000000000002</v>
      </c>
      <c r="K4080" s="78">
        <f t="shared" si="1775"/>
        <v>99.5</v>
      </c>
      <c r="L4080" s="14"/>
      <c r="M4080" s="50"/>
      <c r="N4080" s="50"/>
    </row>
    <row r="4081" spans="1:14" ht="46.8" x14ac:dyDescent="0.3">
      <c r="A4081" s="64" t="s">
        <v>1458</v>
      </c>
      <c r="B4081" s="62" t="s">
        <v>935</v>
      </c>
      <c r="C4081" s="68" t="s">
        <v>1391</v>
      </c>
      <c r="D4081" s="68" t="s">
        <v>1398</v>
      </c>
      <c r="E4081" s="8" t="s">
        <v>493</v>
      </c>
      <c r="F4081" s="8"/>
      <c r="G4081" s="13" t="s">
        <v>1160</v>
      </c>
      <c r="H4081" s="14">
        <f>H4086+H4082</f>
        <v>0</v>
      </c>
      <c r="I4081" s="14">
        <f t="shared" ref="I4081:L4081" si="1795">I4086+I4082</f>
        <v>153.25</v>
      </c>
      <c r="J4081" s="14">
        <f t="shared" si="1795"/>
        <v>153.25</v>
      </c>
      <c r="K4081" s="78">
        <f t="shared" si="1775"/>
        <v>100</v>
      </c>
      <c r="L4081" s="14">
        <f t="shared" si="1795"/>
        <v>0</v>
      </c>
      <c r="M4081" s="50"/>
      <c r="N4081" s="50"/>
    </row>
    <row r="4082" spans="1:14" ht="31.2" x14ac:dyDescent="0.3">
      <c r="A4082" s="64" t="s">
        <v>1458</v>
      </c>
      <c r="B4082" s="62" t="s">
        <v>935</v>
      </c>
      <c r="C4082" s="83" t="s">
        <v>1391</v>
      </c>
      <c r="D4082" s="83" t="s">
        <v>1398</v>
      </c>
      <c r="E4082" s="45" t="s">
        <v>494</v>
      </c>
      <c r="F4082" s="45"/>
      <c r="G4082" s="23" t="s">
        <v>1161</v>
      </c>
      <c r="H4082" s="14">
        <f>H4083</f>
        <v>0</v>
      </c>
      <c r="I4082" s="14">
        <f t="shared" ref="I4082:L4084" si="1796">I4083</f>
        <v>30</v>
      </c>
      <c r="J4082" s="14">
        <f t="shared" si="1796"/>
        <v>30</v>
      </c>
      <c r="K4082" s="78">
        <f t="shared" si="1775"/>
        <v>100</v>
      </c>
      <c r="L4082" s="14">
        <f t="shared" si="1796"/>
        <v>0</v>
      </c>
      <c r="M4082" s="50"/>
      <c r="N4082" s="50"/>
    </row>
    <row r="4083" spans="1:14" ht="31.2" x14ac:dyDescent="0.3">
      <c r="A4083" s="64" t="s">
        <v>1458</v>
      </c>
      <c r="B4083" s="62" t="s">
        <v>935</v>
      </c>
      <c r="C4083" s="83" t="s">
        <v>1391</v>
      </c>
      <c r="D4083" s="83" t="s">
        <v>1398</v>
      </c>
      <c r="E4083" s="45" t="s">
        <v>495</v>
      </c>
      <c r="F4083" s="45"/>
      <c r="G4083" s="23" t="s">
        <v>687</v>
      </c>
      <c r="H4083" s="14">
        <f>H4084</f>
        <v>0</v>
      </c>
      <c r="I4083" s="14">
        <f t="shared" si="1796"/>
        <v>30</v>
      </c>
      <c r="J4083" s="14">
        <f t="shared" si="1796"/>
        <v>30</v>
      </c>
      <c r="K4083" s="78">
        <f t="shared" si="1775"/>
        <v>100</v>
      </c>
      <c r="L4083" s="14">
        <f t="shared" si="1796"/>
        <v>0</v>
      </c>
      <c r="M4083" s="50"/>
      <c r="N4083" s="50"/>
    </row>
    <row r="4084" spans="1:14" x14ac:dyDescent="0.3">
      <c r="A4084" s="64" t="s">
        <v>1458</v>
      </c>
      <c r="B4084" s="62" t="s">
        <v>935</v>
      </c>
      <c r="C4084" s="83" t="s">
        <v>1391</v>
      </c>
      <c r="D4084" s="83" t="s">
        <v>1398</v>
      </c>
      <c r="E4084" s="45" t="s">
        <v>495</v>
      </c>
      <c r="F4084" s="45" t="s">
        <v>464</v>
      </c>
      <c r="G4084" s="23" t="s">
        <v>822</v>
      </c>
      <c r="H4084" s="14">
        <f>H4085</f>
        <v>0</v>
      </c>
      <c r="I4084" s="14">
        <f t="shared" si="1796"/>
        <v>30</v>
      </c>
      <c r="J4084" s="14">
        <f t="shared" si="1796"/>
        <v>30</v>
      </c>
      <c r="K4084" s="78">
        <f t="shared" si="1775"/>
        <v>100</v>
      </c>
      <c r="L4084" s="14">
        <f t="shared" si="1796"/>
        <v>0</v>
      </c>
      <c r="M4084" s="50"/>
      <c r="N4084" s="50"/>
    </row>
    <row r="4085" spans="1:14" x14ac:dyDescent="0.3">
      <c r="A4085" s="64" t="s">
        <v>1458</v>
      </c>
      <c r="B4085" s="62" t="s">
        <v>935</v>
      </c>
      <c r="C4085" s="83" t="s">
        <v>1391</v>
      </c>
      <c r="D4085" s="83" t="s">
        <v>1398</v>
      </c>
      <c r="E4085" s="45" t="s">
        <v>495</v>
      </c>
      <c r="F4085" s="45" t="s">
        <v>729</v>
      </c>
      <c r="G4085" s="23" t="s">
        <v>824</v>
      </c>
      <c r="H4085" s="20">
        <v>0</v>
      </c>
      <c r="I4085" s="14">
        <v>30</v>
      </c>
      <c r="J4085" s="19">
        <v>30</v>
      </c>
      <c r="K4085" s="75">
        <f t="shared" si="1775"/>
        <v>100</v>
      </c>
      <c r="L4085" s="14"/>
      <c r="M4085" s="50"/>
      <c r="N4085" s="50"/>
    </row>
    <row r="4086" spans="1:14" x14ac:dyDescent="0.3">
      <c r="A4086" s="64" t="s">
        <v>1458</v>
      </c>
      <c r="B4086" s="62" t="s">
        <v>935</v>
      </c>
      <c r="C4086" s="68" t="s">
        <v>1391</v>
      </c>
      <c r="D4086" s="68" t="s">
        <v>1398</v>
      </c>
      <c r="E4086" s="8" t="s">
        <v>533</v>
      </c>
      <c r="F4086" s="8"/>
      <c r="G4086" s="13" t="s">
        <v>1162</v>
      </c>
      <c r="H4086" s="14">
        <f t="shared" ref="H4086:I4088" si="1797">H4087</f>
        <v>0</v>
      </c>
      <c r="I4086" s="14">
        <f t="shared" si="1797"/>
        <v>123.25</v>
      </c>
      <c r="J4086" s="14">
        <f t="shared" ref="J4086:L4088" si="1798">J4087</f>
        <v>123.25</v>
      </c>
      <c r="K4086" s="78">
        <f t="shared" si="1775"/>
        <v>100</v>
      </c>
      <c r="L4086" s="14">
        <f t="shared" si="1798"/>
        <v>0</v>
      </c>
      <c r="M4086" s="50"/>
      <c r="N4086" s="50"/>
    </row>
    <row r="4087" spans="1:14" x14ac:dyDescent="0.3">
      <c r="A4087" s="64" t="s">
        <v>1458</v>
      </c>
      <c r="B4087" s="62" t="s">
        <v>935</v>
      </c>
      <c r="C4087" s="68" t="s">
        <v>1391</v>
      </c>
      <c r="D4087" s="68" t="s">
        <v>1398</v>
      </c>
      <c r="E4087" s="8" t="s">
        <v>534</v>
      </c>
      <c r="F4087" s="8"/>
      <c r="G4087" s="13" t="s">
        <v>1163</v>
      </c>
      <c r="H4087" s="14">
        <f t="shared" si="1797"/>
        <v>0</v>
      </c>
      <c r="I4087" s="14">
        <f t="shared" si="1797"/>
        <v>123.25</v>
      </c>
      <c r="J4087" s="14">
        <f t="shared" si="1798"/>
        <v>123.25</v>
      </c>
      <c r="K4087" s="78">
        <f t="shared" si="1775"/>
        <v>100</v>
      </c>
      <c r="L4087" s="14">
        <f t="shared" si="1798"/>
        <v>0</v>
      </c>
      <c r="M4087" s="50"/>
      <c r="N4087" s="50"/>
    </row>
    <row r="4088" spans="1:14" ht="31.2" x14ac:dyDescent="0.3">
      <c r="A4088" s="64" t="s">
        <v>1458</v>
      </c>
      <c r="B4088" s="62" t="s">
        <v>935</v>
      </c>
      <c r="C4088" s="68" t="s">
        <v>1391</v>
      </c>
      <c r="D4088" s="68" t="s">
        <v>1398</v>
      </c>
      <c r="E4088" s="8" t="s">
        <v>534</v>
      </c>
      <c r="F4088" s="45" t="s">
        <v>380</v>
      </c>
      <c r="G4088" s="23" t="s">
        <v>809</v>
      </c>
      <c r="H4088" s="14">
        <f t="shared" si="1797"/>
        <v>0</v>
      </c>
      <c r="I4088" s="14">
        <f t="shared" si="1797"/>
        <v>123.25</v>
      </c>
      <c r="J4088" s="14">
        <f t="shared" si="1798"/>
        <v>123.25</v>
      </c>
      <c r="K4088" s="78">
        <f t="shared" si="1775"/>
        <v>100</v>
      </c>
      <c r="L4088" s="14">
        <f t="shared" si="1798"/>
        <v>0</v>
      </c>
      <c r="M4088" s="50"/>
      <c r="N4088" s="50"/>
    </row>
    <row r="4089" spans="1:14" ht="31.2" x14ac:dyDescent="0.3">
      <c r="A4089" s="64" t="s">
        <v>1458</v>
      </c>
      <c r="B4089" s="62" t="s">
        <v>935</v>
      </c>
      <c r="C4089" s="68" t="s">
        <v>1391</v>
      </c>
      <c r="D4089" s="68" t="s">
        <v>1398</v>
      </c>
      <c r="E4089" s="8" t="s">
        <v>534</v>
      </c>
      <c r="F4089" s="8" t="s">
        <v>247</v>
      </c>
      <c r="G4089" s="23" t="s">
        <v>810</v>
      </c>
      <c r="H4089" s="19">
        <v>0</v>
      </c>
      <c r="I4089" s="14">
        <v>123.25</v>
      </c>
      <c r="J4089" s="20">
        <v>123.25</v>
      </c>
      <c r="K4089" s="77">
        <f t="shared" si="1775"/>
        <v>100</v>
      </c>
      <c r="L4089" s="14"/>
      <c r="M4089" s="50"/>
      <c r="N4089" s="50"/>
    </row>
    <row r="4090" spans="1:14" s="9" customFormat="1" ht="31.2" x14ac:dyDescent="0.3">
      <c r="A4090" s="6" t="s">
        <v>1458</v>
      </c>
      <c r="B4090" s="48" t="s">
        <v>936</v>
      </c>
      <c r="C4090" s="48" t="s">
        <v>1391</v>
      </c>
      <c r="D4090" s="48" t="s">
        <v>1480</v>
      </c>
      <c r="E4090" s="6"/>
      <c r="F4090" s="6"/>
      <c r="G4090" s="7" t="s">
        <v>1421</v>
      </c>
      <c r="H4090" s="16">
        <f t="shared" ref="H4090:L4090" si="1799">H4091+H4106+H4129</f>
        <v>19484.697</v>
      </c>
      <c r="I4090" s="16">
        <f t="shared" si="1799"/>
        <v>19535.095509999999</v>
      </c>
      <c r="J4090" s="16">
        <f t="shared" si="1799"/>
        <v>19440.5314</v>
      </c>
      <c r="K4090" s="82">
        <f t="shared" si="1775"/>
        <v>99.515927065974196</v>
      </c>
      <c r="L4090" s="16">
        <f t="shared" si="1799"/>
        <v>0</v>
      </c>
      <c r="M4090" s="65"/>
      <c r="N4090" s="65"/>
    </row>
    <row r="4091" spans="1:14" ht="31.2" x14ac:dyDescent="0.3">
      <c r="A4091" s="64" t="s">
        <v>1458</v>
      </c>
      <c r="B4091" s="62" t="s">
        <v>936</v>
      </c>
      <c r="C4091" s="68" t="s">
        <v>1391</v>
      </c>
      <c r="D4091" s="68" t="s">
        <v>1480</v>
      </c>
      <c r="E4091" s="8" t="s">
        <v>383</v>
      </c>
      <c r="F4091" s="8"/>
      <c r="G4091" s="13" t="s">
        <v>1055</v>
      </c>
      <c r="H4091" s="14">
        <f>H4092</f>
        <v>5185.2100000000009</v>
      </c>
      <c r="I4091" s="14">
        <f>I4092</f>
        <v>4935.21</v>
      </c>
      <c r="J4091" s="14">
        <f t="shared" ref="J4091:L4091" si="1800">J4092</f>
        <v>4934.6358099999998</v>
      </c>
      <c r="K4091" s="78">
        <f t="shared" si="1775"/>
        <v>99.988365439363264</v>
      </c>
      <c r="L4091" s="14">
        <f t="shared" si="1800"/>
        <v>0</v>
      </c>
      <c r="M4091" s="50"/>
      <c r="N4091" s="50"/>
    </row>
    <row r="4092" spans="1:14" ht="46.8" x14ac:dyDescent="0.3">
      <c r="A4092" s="64" t="s">
        <v>1458</v>
      </c>
      <c r="B4092" s="62" t="s">
        <v>936</v>
      </c>
      <c r="C4092" s="68" t="s">
        <v>1391</v>
      </c>
      <c r="D4092" s="68" t="s">
        <v>1480</v>
      </c>
      <c r="E4092" s="8" t="s">
        <v>432</v>
      </c>
      <c r="F4092" s="8"/>
      <c r="G4092" s="13" t="s">
        <v>1056</v>
      </c>
      <c r="H4092" s="14">
        <f t="shared" ref="H4092:L4092" si="1801">H4093</f>
        <v>5185.2100000000009</v>
      </c>
      <c r="I4092" s="14">
        <f t="shared" si="1801"/>
        <v>4935.21</v>
      </c>
      <c r="J4092" s="14">
        <f t="shared" si="1801"/>
        <v>4934.6358099999998</v>
      </c>
      <c r="K4092" s="78">
        <f t="shared" si="1775"/>
        <v>99.988365439363264</v>
      </c>
      <c r="L4092" s="14">
        <f t="shared" si="1801"/>
        <v>0</v>
      </c>
      <c r="M4092" s="50"/>
      <c r="N4092" s="50"/>
    </row>
    <row r="4093" spans="1:14" ht="46.8" x14ac:dyDescent="0.3">
      <c r="A4093" s="64" t="s">
        <v>1458</v>
      </c>
      <c r="B4093" s="62" t="s">
        <v>936</v>
      </c>
      <c r="C4093" s="68" t="s">
        <v>1391</v>
      </c>
      <c r="D4093" s="68" t="s">
        <v>1480</v>
      </c>
      <c r="E4093" s="8" t="s">
        <v>638</v>
      </c>
      <c r="F4093" s="8"/>
      <c r="G4093" s="13" t="s">
        <v>1057</v>
      </c>
      <c r="H4093" s="14">
        <f>H4100+H4097+H4094+H4103</f>
        <v>5185.2100000000009</v>
      </c>
      <c r="I4093" s="14">
        <f t="shared" ref="I4093:L4093" si="1802">I4100+I4097+I4094+I4103</f>
        <v>4935.21</v>
      </c>
      <c r="J4093" s="14">
        <f t="shared" si="1802"/>
        <v>4934.6358099999998</v>
      </c>
      <c r="K4093" s="78">
        <f t="shared" si="1775"/>
        <v>99.988365439363264</v>
      </c>
      <c r="L4093" s="14">
        <f t="shared" si="1802"/>
        <v>0</v>
      </c>
      <c r="M4093" s="50"/>
      <c r="N4093" s="50"/>
    </row>
    <row r="4094" spans="1:14" ht="46.8" hidden="1" x14ac:dyDescent="0.3">
      <c r="A4094" s="64" t="s">
        <v>1458</v>
      </c>
      <c r="B4094" s="62" t="s">
        <v>936</v>
      </c>
      <c r="C4094" s="68" t="s">
        <v>1391</v>
      </c>
      <c r="D4094" s="68" t="s">
        <v>1480</v>
      </c>
      <c r="E4094" s="8" t="s">
        <v>1242</v>
      </c>
      <c r="F4094" s="8"/>
      <c r="G4094" s="13" t="s">
        <v>1249</v>
      </c>
      <c r="H4094" s="14">
        <f t="shared" ref="H4094:L4095" si="1803">H4095</f>
        <v>831.5</v>
      </c>
      <c r="I4094" s="14">
        <f t="shared" si="1803"/>
        <v>0</v>
      </c>
      <c r="J4094" s="14">
        <f t="shared" si="1803"/>
        <v>0</v>
      </c>
      <c r="K4094" s="78" t="e">
        <f t="shared" si="1775"/>
        <v>#DIV/0!</v>
      </c>
      <c r="L4094" s="14">
        <f t="shared" si="1803"/>
        <v>0</v>
      </c>
      <c r="M4094" s="50">
        <v>111</v>
      </c>
      <c r="N4094" s="50"/>
    </row>
    <row r="4095" spans="1:14" ht="31.2" hidden="1" x14ac:dyDescent="0.3">
      <c r="A4095" s="64" t="s">
        <v>1458</v>
      </c>
      <c r="B4095" s="62" t="s">
        <v>936</v>
      </c>
      <c r="C4095" s="68" t="s">
        <v>1391</v>
      </c>
      <c r="D4095" s="68" t="s">
        <v>1480</v>
      </c>
      <c r="E4095" s="8" t="s">
        <v>1242</v>
      </c>
      <c r="F4095" s="45" t="s">
        <v>402</v>
      </c>
      <c r="G4095" s="23" t="s">
        <v>819</v>
      </c>
      <c r="H4095" s="14">
        <f t="shared" si="1803"/>
        <v>831.5</v>
      </c>
      <c r="I4095" s="14">
        <f t="shared" si="1803"/>
        <v>0</v>
      </c>
      <c r="J4095" s="14">
        <f t="shared" si="1803"/>
        <v>0</v>
      </c>
      <c r="K4095" s="78" t="e">
        <f t="shared" si="1775"/>
        <v>#DIV/0!</v>
      </c>
      <c r="L4095" s="14">
        <f t="shared" si="1803"/>
        <v>0</v>
      </c>
      <c r="M4095" s="50">
        <v>111</v>
      </c>
      <c r="N4095" s="50"/>
    </row>
    <row r="4096" spans="1:14" ht="46.8" hidden="1" x14ac:dyDescent="0.3">
      <c r="A4096" s="64" t="s">
        <v>1458</v>
      </c>
      <c r="B4096" s="62" t="s">
        <v>936</v>
      </c>
      <c r="C4096" s="68" t="s">
        <v>1391</v>
      </c>
      <c r="D4096" s="68" t="s">
        <v>1480</v>
      </c>
      <c r="E4096" s="8" t="s">
        <v>1242</v>
      </c>
      <c r="F4096" s="45" t="s">
        <v>280</v>
      </c>
      <c r="G4096" s="23" t="s">
        <v>821</v>
      </c>
      <c r="H4096" s="14">
        <v>831.5</v>
      </c>
      <c r="I4096" s="14">
        <v>0</v>
      </c>
      <c r="J4096" s="14">
        <v>0</v>
      </c>
      <c r="K4096" s="78" t="e">
        <f t="shared" si="1775"/>
        <v>#DIV/0!</v>
      </c>
      <c r="L4096" s="14"/>
      <c r="M4096" s="50">
        <v>111</v>
      </c>
      <c r="N4096" s="50"/>
    </row>
    <row r="4097" spans="1:14" ht="62.4" x14ac:dyDescent="0.3">
      <c r="A4097" s="64" t="s">
        <v>1458</v>
      </c>
      <c r="B4097" s="62" t="s">
        <v>936</v>
      </c>
      <c r="C4097" s="68" t="s">
        <v>1391</v>
      </c>
      <c r="D4097" s="68" t="s">
        <v>1480</v>
      </c>
      <c r="E4097" s="8" t="s">
        <v>277</v>
      </c>
      <c r="F4097" s="8"/>
      <c r="G4097" s="13" t="s">
        <v>318</v>
      </c>
      <c r="H4097" s="14">
        <f t="shared" ref="H4097:L4098" si="1804">H4098</f>
        <v>39.1</v>
      </c>
      <c r="I4097" s="14">
        <f t="shared" si="1804"/>
        <v>39.1</v>
      </c>
      <c r="J4097" s="14">
        <f t="shared" si="1804"/>
        <v>39.099539999999998</v>
      </c>
      <c r="K4097" s="78">
        <f t="shared" si="1775"/>
        <v>99.998823529411752</v>
      </c>
      <c r="L4097" s="14">
        <f t="shared" si="1804"/>
        <v>0</v>
      </c>
      <c r="M4097" s="50"/>
      <c r="N4097" s="50"/>
    </row>
    <row r="4098" spans="1:14" ht="31.2" x14ac:dyDescent="0.3">
      <c r="A4098" s="64" t="s">
        <v>1458</v>
      </c>
      <c r="B4098" s="62" t="s">
        <v>936</v>
      </c>
      <c r="C4098" s="68" t="s">
        <v>1391</v>
      </c>
      <c r="D4098" s="68" t="s">
        <v>1480</v>
      </c>
      <c r="E4098" s="8" t="s">
        <v>277</v>
      </c>
      <c r="F4098" s="45" t="s">
        <v>380</v>
      </c>
      <c r="G4098" s="23" t="s">
        <v>809</v>
      </c>
      <c r="H4098" s="14">
        <f t="shared" si="1804"/>
        <v>39.1</v>
      </c>
      <c r="I4098" s="14">
        <f t="shared" si="1804"/>
        <v>39.1</v>
      </c>
      <c r="J4098" s="14">
        <f t="shared" si="1804"/>
        <v>39.099539999999998</v>
      </c>
      <c r="K4098" s="78">
        <f t="shared" si="1775"/>
        <v>99.998823529411752</v>
      </c>
      <c r="L4098" s="14">
        <f t="shared" si="1804"/>
        <v>0</v>
      </c>
      <c r="M4098" s="50"/>
      <c r="N4098" s="50"/>
    </row>
    <row r="4099" spans="1:14" ht="31.2" x14ac:dyDescent="0.3">
      <c r="A4099" s="64" t="s">
        <v>1458</v>
      </c>
      <c r="B4099" s="62" t="s">
        <v>936</v>
      </c>
      <c r="C4099" s="68" t="s">
        <v>1391</v>
      </c>
      <c r="D4099" s="68" t="s">
        <v>1480</v>
      </c>
      <c r="E4099" s="8" t="s">
        <v>277</v>
      </c>
      <c r="F4099" s="8" t="s">
        <v>247</v>
      </c>
      <c r="G4099" s="23" t="s">
        <v>810</v>
      </c>
      <c r="H4099" s="14">
        <v>39.1</v>
      </c>
      <c r="I4099" s="14">
        <v>39.1</v>
      </c>
      <c r="J4099" s="14">
        <v>39.099539999999998</v>
      </c>
      <c r="K4099" s="78">
        <f t="shared" si="1775"/>
        <v>99.998823529411752</v>
      </c>
      <c r="L4099" s="14"/>
      <c r="M4099" s="50"/>
      <c r="N4099" s="50"/>
    </row>
    <row r="4100" spans="1:14" ht="46.8" x14ac:dyDescent="0.3">
      <c r="A4100" s="64" t="s">
        <v>1458</v>
      </c>
      <c r="B4100" s="62" t="s">
        <v>936</v>
      </c>
      <c r="C4100" s="68" t="s">
        <v>1391</v>
      </c>
      <c r="D4100" s="68" t="s">
        <v>1480</v>
      </c>
      <c r="E4100" s="8" t="s">
        <v>639</v>
      </c>
      <c r="F4100" s="8"/>
      <c r="G4100" s="13" t="s">
        <v>1210</v>
      </c>
      <c r="H4100" s="14">
        <f t="shared" ref="H4100:L4101" si="1805">H4101</f>
        <v>4314.6100000000006</v>
      </c>
      <c r="I4100" s="14">
        <f t="shared" si="1805"/>
        <v>738.61</v>
      </c>
      <c r="J4100" s="14">
        <f t="shared" si="1805"/>
        <v>738.19642999999996</v>
      </c>
      <c r="K4100" s="78">
        <f t="shared" si="1775"/>
        <v>99.944006986095502</v>
      </c>
      <c r="L4100" s="14">
        <f t="shared" si="1805"/>
        <v>0</v>
      </c>
      <c r="M4100" s="50"/>
      <c r="N4100" s="50"/>
    </row>
    <row r="4101" spans="1:14" ht="31.2" x14ac:dyDescent="0.3">
      <c r="A4101" s="64" t="s">
        <v>1458</v>
      </c>
      <c r="B4101" s="62" t="s">
        <v>936</v>
      </c>
      <c r="C4101" s="68" t="s">
        <v>1391</v>
      </c>
      <c r="D4101" s="68" t="s">
        <v>1480</v>
      </c>
      <c r="E4101" s="8" t="s">
        <v>639</v>
      </c>
      <c r="F4101" s="45" t="s">
        <v>402</v>
      </c>
      <c r="G4101" s="23" t="s">
        <v>819</v>
      </c>
      <c r="H4101" s="14">
        <f t="shared" si="1805"/>
        <v>4314.6100000000006</v>
      </c>
      <c r="I4101" s="14">
        <f t="shared" si="1805"/>
        <v>738.61</v>
      </c>
      <c r="J4101" s="14">
        <f t="shared" si="1805"/>
        <v>738.19642999999996</v>
      </c>
      <c r="K4101" s="78">
        <f t="shared" si="1775"/>
        <v>99.944006986095502</v>
      </c>
      <c r="L4101" s="14">
        <f t="shared" si="1805"/>
        <v>0</v>
      </c>
      <c r="M4101" s="50"/>
      <c r="N4101" s="50"/>
    </row>
    <row r="4102" spans="1:14" ht="46.8" x14ac:dyDescent="0.3">
      <c r="A4102" s="64" t="s">
        <v>1458</v>
      </c>
      <c r="B4102" s="62" t="s">
        <v>936</v>
      </c>
      <c r="C4102" s="68" t="s">
        <v>1391</v>
      </c>
      <c r="D4102" s="68" t="s">
        <v>1480</v>
      </c>
      <c r="E4102" s="8" t="s">
        <v>639</v>
      </c>
      <c r="F4102" s="45" t="s">
        <v>280</v>
      </c>
      <c r="G4102" s="23" t="s">
        <v>821</v>
      </c>
      <c r="H4102" s="14">
        <f>4552.1-237.49</f>
        <v>4314.6100000000006</v>
      </c>
      <c r="I4102" s="14">
        <v>738.61</v>
      </c>
      <c r="J4102" s="14">
        <v>738.19642999999996</v>
      </c>
      <c r="K4102" s="78">
        <f t="shared" si="1775"/>
        <v>99.944006986095502</v>
      </c>
      <c r="L4102" s="14"/>
      <c r="M4102" s="50"/>
      <c r="N4102" s="50"/>
    </row>
    <row r="4103" spans="1:14" ht="46.8" x14ac:dyDescent="0.3">
      <c r="A4103" s="64" t="s">
        <v>1458</v>
      </c>
      <c r="B4103" s="62" t="s">
        <v>936</v>
      </c>
      <c r="C4103" s="68" t="s">
        <v>1391</v>
      </c>
      <c r="D4103" s="68" t="s">
        <v>1480</v>
      </c>
      <c r="E4103" s="8" t="s">
        <v>1017</v>
      </c>
      <c r="F4103" s="45"/>
      <c r="G4103" s="13" t="s">
        <v>1249</v>
      </c>
      <c r="H4103" s="14">
        <f>H4104</f>
        <v>0</v>
      </c>
      <c r="I4103" s="14">
        <f t="shared" ref="I4103:L4104" si="1806">I4104</f>
        <v>4157.5</v>
      </c>
      <c r="J4103" s="14">
        <f t="shared" si="1806"/>
        <v>4157.3398399999996</v>
      </c>
      <c r="K4103" s="78">
        <f t="shared" si="1775"/>
        <v>99.996147684906788</v>
      </c>
      <c r="L4103" s="14">
        <f t="shared" si="1806"/>
        <v>0</v>
      </c>
      <c r="M4103" s="50"/>
      <c r="N4103" s="50"/>
    </row>
    <row r="4104" spans="1:14" ht="31.2" x14ac:dyDescent="0.3">
      <c r="A4104" s="64" t="s">
        <v>1458</v>
      </c>
      <c r="B4104" s="62" t="s">
        <v>936</v>
      </c>
      <c r="C4104" s="68" t="s">
        <v>1391</v>
      </c>
      <c r="D4104" s="68" t="s">
        <v>1480</v>
      </c>
      <c r="E4104" s="8" t="s">
        <v>1017</v>
      </c>
      <c r="F4104" s="45" t="s">
        <v>402</v>
      </c>
      <c r="G4104" s="23" t="s">
        <v>819</v>
      </c>
      <c r="H4104" s="14">
        <f>H4105</f>
        <v>0</v>
      </c>
      <c r="I4104" s="14">
        <f t="shared" si="1806"/>
        <v>4157.5</v>
      </c>
      <c r="J4104" s="14">
        <f t="shared" si="1806"/>
        <v>4157.3398399999996</v>
      </c>
      <c r="K4104" s="78">
        <f t="shared" ref="K4104:K4167" si="1807">J4104/I4104*100</f>
        <v>99.996147684906788</v>
      </c>
      <c r="L4104" s="14">
        <f t="shared" si="1806"/>
        <v>0</v>
      </c>
      <c r="M4104" s="50"/>
      <c r="N4104" s="50"/>
    </row>
    <row r="4105" spans="1:14" ht="46.8" x14ac:dyDescent="0.3">
      <c r="A4105" s="64" t="s">
        <v>1458</v>
      </c>
      <c r="B4105" s="62" t="s">
        <v>936</v>
      </c>
      <c r="C4105" s="68" t="s">
        <v>1391</v>
      </c>
      <c r="D4105" s="68" t="s">
        <v>1480</v>
      </c>
      <c r="E4105" s="8" t="s">
        <v>1017</v>
      </c>
      <c r="F4105" s="45" t="s">
        <v>280</v>
      </c>
      <c r="G4105" s="23" t="s">
        <v>821</v>
      </c>
      <c r="H4105" s="19">
        <v>0</v>
      </c>
      <c r="I4105" s="14">
        <v>4157.5</v>
      </c>
      <c r="J4105" s="14">
        <v>4157.3398399999996</v>
      </c>
      <c r="K4105" s="78">
        <f t="shared" si="1807"/>
        <v>99.996147684906788</v>
      </c>
      <c r="L4105" s="14"/>
      <c r="M4105" s="50"/>
      <c r="N4105" s="50"/>
    </row>
    <row r="4106" spans="1:14" ht="46.8" x14ac:dyDescent="0.3">
      <c r="A4106" s="64" t="s">
        <v>1458</v>
      </c>
      <c r="B4106" s="62" t="s">
        <v>936</v>
      </c>
      <c r="C4106" s="68" t="s">
        <v>1391</v>
      </c>
      <c r="D4106" s="68" t="s">
        <v>1480</v>
      </c>
      <c r="E4106" s="8" t="s">
        <v>381</v>
      </c>
      <c r="F4106" s="8"/>
      <c r="G4106" s="18" t="s">
        <v>1061</v>
      </c>
      <c r="H4106" s="14">
        <f t="shared" ref="H4106:L4106" si="1808">H4107</f>
        <v>2297.8869999999997</v>
      </c>
      <c r="I4106" s="14">
        <f t="shared" si="1808"/>
        <v>2297.8855100000001</v>
      </c>
      <c r="J4106" s="14">
        <f t="shared" si="1808"/>
        <v>2295.6605099999997</v>
      </c>
      <c r="K4106" s="78">
        <f t="shared" si="1807"/>
        <v>99.903171851238127</v>
      </c>
      <c r="L4106" s="14">
        <f t="shared" si="1808"/>
        <v>0</v>
      </c>
      <c r="M4106" s="50"/>
      <c r="N4106" s="50"/>
    </row>
    <row r="4107" spans="1:14" ht="31.2" x14ac:dyDescent="0.3">
      <c r="A4107" s="64" t="s">
        <v>1458</v>
      </c>
      <c r="B4107" s="62" t="s">
        <v>936</v>
      </c>
      <c r="C4107" s="68" t="s">
        <v>1391</v>
      </c>
      <c r="D4107" s="68" t="s">
        <v>1480</v>
      </c>
      <c r="E4107" s="8" t="s">
        <v>435</v>
      </c>
      <c r="F4107" s="8"/>
      <c r="G4107" s="13" t="s">
        <v>1064</v>
      </c>
      <c r="H4107" s="14">
        <f>H4108+H4112</f>
        <v>2297.8869999999997</v>
      </c>
      <c r="I4107" s="14">
        <f>I4108+I4112</f>
        <v>2297.8855100000001</v>
      </c>
      <c r="J4107" s="14">
        <f t="shared" ref="J4107" si="1809">J4108+J4112</f>
        <v>2295.6605099999997</v>
      </c>
      <c r="K4107" s="78">
        <f t="shared" si="1807"/>
        <v>99.903171851238127</v>
      </c>
      <c r="L4107" s="14">
        <f>L4108+L4112</f>
        <v>0</v>
      </c>
      <c r="M4107" s="50"/>
      <c r="N4107" s="50"/>
    </row>
    <row r="4108" spans="1:14" ht="31.2" x14ac:dyDescent="0.3">
      <c r="A4108" s="64" t="s">
        <v>1458</v>
      </c>
      <c r="B4108" s="62" t="s">
        <v>936</v>
      </c>
      <c r="C4108" s="68" t="s">
        <v>1391</v>
      </c>
      <c r="D4108" s="68" t="s">
        <v>1480</v>
      </c>
      <c r="E4108" s="8" t="s">
        <v>640</v>
      </c>
      <c r="F4108" s="8"/>
      <c r="G4108" s="13" t="s">
        <v>1065</v>
      </c>
      <c r="H4108" s="14">
        <f t="shared" ref="H4108:L4110" si="1810">H4109</f>
        <v>1194.635</v>
      </c>
      <c r="I4108" s="14">
        <f t="shared" si="1810"/>
        <v>1191.0999999999999</v>
      </c>
      <c r="J4108" s="14">
        <f t="shared" si="1810"/>
        <v>1191.0999999999999</v>
      </c>
      <c r="K4108" s="78">
        <f t="shared" si="1807"/>
        <v>100</v>
      </c>
      <c r="L4108" s="14">
        <f t="shared" si="1810"/>
        <v>0</v>
      </c>
      <c r="M4108" s="50"/>
      <c r="N4108" s="50"/>
    </row>
    <row r="4109" spans="1:14" ht="31.2" x14ac:dyDescent="0.3">
      <c r="A4109" s="64" t="s">
        <v>1458</v>
      </c>
      <c r="B4109" s="62" t="s">
        <v>936</v>
      </c>
      <c r="C4109" s="68" t="s">
        <v>1391</v>
      </c>
      <c r="D4109" s="68" t="s">
        <v>1480</v>
      </c>
      <c r="E4109" s="8" t="s">
        <v>641</v>
      </c>
      <c r="F4109" s="8"/>
      <c r="G4109" s="13" t="s">
        <v>1066</v>
      </c>
      <c r="H4109" s="14">
        <f t="shared" si="1810"/>
        <v>1194.635</v>
      </c>
      <c r="I4109" s="14">
        <f t="shared" si="1810"/>
        <v>1191.0999999999999</v>
      </c>
      <c r="J4109" s="14">
        <f t="shared" si="1810"/>
        <v>1191.0999999999999</v>
      </c>
      <c r="K4109" s="78">
        <f t="shared" si="1807"/>
        <v>100</v>
      </c>
      <c r="L4109" s="14">
        <f t="shared" si="1810"/>
        <v>0</v>
      </c>
      <c r="M4109" s="50"/>
      <c r="N4109" s="50"/>
    </row>
    <row r="4110" spans="1:14" ht="31.2" x14ac:dyDescent="0.3">
      <c r="A4110" s="64" t="s">
        <v>1458</v>
      </c>
      <c r="B4110" s="62" t="s">
        <v>936</v>
      </c>
      <c r="C4110" s="68" t="s">
        <v>1391</v>
      </c>
      <c r="D4110" s="68" t="s">
        <v>1480</v>
      </c>
      <c r="E4110" s="8" t="s">
        <v>641</v>
      </c>
      <c r="F4110" s="45" t="s">
        <v>380</v>
      </c>
      <c r="G4110" s="23" t="s">
        <v>809</v>
      </c>
      <c r="H4110" s="14">
        <f t="shared" si="1810"/>
        <v>1194.635</v>
      </c>
      <c r="I4110" s="14">
        <f t="shared" si="1810"/>
        <v>1191.0999999999999</v>
      </c>
      <c r="J4110" s="14">
        <f t="shared" si="1810"/>
        <v>1191.0999999999999</v>
      </c>
      <c r="K4110" s="78">
        <f t="shared" si="1807"/>
        <v>100</v>
      </c>
      <c r="L4110" s="14">
        <f t="shared" si="1810"/>
        <v>0</v>
      </c>
      <c r="M4110" s="50"/>
      <c r="N4110" s="50"/>
    </row>
    <row r="4111" spans="1:14" ht="31.2" x14ac:dyDescent="0.3">
      <c r="A4111" s="64" t="s">
        <v>1458</v>
      </c>
      <c r="B4111" s="62" t="s">
        <v>936</v>
      </c>
      <c r="C4111" s="68" t="s">
        <v>1391</v>
      </c>
      <c r="D4111" s="68" t="s">
        <v>1480</v>
      </c>
      <c r="E4111" s="8" t="s">
        <v>641</v>
      </c>
      <c r="F4111" s="8" t="s">
        <v>247</v>
      </c>
      <c r="G4111" s="23" t="s">
        <v>810</v>
      </c>
      <c r="H4111" s="14">
        <f>1249.1-54.465</f>
        <v>1194.635</v>
      </c>
      <c r="I4111" s="14">
        <v>1191.0999999999999</v>
      </c>
      <c r="J4111" s="14">
        <v>1191.0999999999999</v>
      </c>
      <c r="K4111" s="78">
        <f t="shared" si="1807"/>
        <v>100</v>
      </c>
      <c r="L4111" s="14"/>
      <c r="M4111" s="50"/>
      <c r="N4111" s="50"/>
    </row>
    <row r="4112" spans="1:14" ht="46.8" x14ac:dyDescent="0.3">
      <c r="A4112" s="64" t="s">
        <v>1458</v>
      </c>
      <c r="B4112" s="62" t="s">
        <v>936</v>
      </c>
      <c r="C4112" s="68" t="s">
        <v>1391</v>
      </c>
      <c r="D4112" s="68" t="s">
        <v>1480</v>
      </c>
      <c r="E4112" s="8" t="s">
        <v>642</v>
      </c>
      <c r="F4112" s="8"/>
      <c r="G4112" s="18" t="s">
        <v>134</v>
      </c>
      <c r="H4112" s="14">
        <f>H4113+H4119+H4124+H4116</f>
        <v>1103.252</v>
      </c>
      <c r="I4112" s="14">
        <f t="shared" ref="I4112:L4112" si="1811">I4113+I4119+I4124+I4116</f>
        <v>1106.7855099999999</v>
      </c>
      <c r="J4112" s="14">
        <f t="shared" si="1811"/>
        <v>1104.56051</v>
      </c>
      <c r="K4112" s="78">
        <f t="shared" si="1807"/>
        <v>99.798967371735841</v>
      </c>
      <c r="L4112" s="14">
        <f t="shared" si="1811"/>
        <v>0</v>
      </c>
      <c r="M4112" s="50"/>
      <c r="N4112" s="50"/>
    </row>
    <row r="4113" spans="1:14" ht="31.2" x14ac:dyDescent="0.3">
      <c r="A4113" s="64" t="s">
        <v>1458</v>
      </c>
      <c r="B4113" s="62" t="s">
        <v>936</v>
      </c>
      <c r="C4113" s="68" t="s">
        <v>1391</v>
      </c>
      <c r="D4113" s="68" t="s">
        <v>1480</v>
      </c>
      <c r="E4113" s="8" t="s">
        <v>278</v>
      </c>
      <c r="F4113" s="8"/>
      <c r="G4113" s="23" t="s">
        <v>319</v>
      </c>
      <c r="H4113" s="14">
        <f t="shared" ref="H4113:L4113" si="1812">H4114</f>
        <v>27.4</v>
      </c>
      <c r="I4113" s="14">
        <f t="shared" si="1812"/>
        <v>30.934999999999999</v>
      </c>
      <c r="J4113" s="14">
        <f t="shared" si="1812"/>
        <v>28.71</v>
      </c>
      <c r="K4113" s="78">
        <f t="shared" si="1807"/>
        <v>92.807499595926942</v>
      </c>
      <c r="L4113" s="14">
        <f t="shared" si="1812"/>
        <v>0</v>
      </c>
      <c r="M4113" s="50"/>
      <c r="N4113" s="50"/>
    </row>
    <row r="4114" spans="1:14" x14ac:dyDescent="0.3">
      <c r="A4114" s="64" t="s">
        <v>1458</v>
      </c>
      <c r="B4114" s="62" t="s">
        <v>936</v>
      </c>
      <c r="C4114" s="68" t="s">
        <v>1391</v>
      </c>
      <c r="D4114" s="68" t="s">
        <v>1480</v>
      </c>
      <c r="E4114" s="8" t="s">
        <v>278</v>
      </c>
      <c r="F4114" s="45" t="s">
        <v>464</v>
      </c>
      <c r="G4114" s="23" t="s">
        <v>822</v>
      </c>
      <c r="H4114" s="14">
        <f t="shared" ref="H4114:L4114" si="1813">H4115</f>
        <v>27.4</v>
      </c>
      <c r="I4114" s="14">
        <f t="shared" si="1813"/>
        <v>30.934999999999999</v>
      </c>
      <c r="J4114" s="14">
        <f t="shared" si="1813"/>
        <v>28.71</v>
      </c>
      <c r="K4114" s="78">
        <f t="shared" si="1807"/>
        <v>92.807499595926942</v>
      </c>
      <c r="L4114" s="14">
        <f t="shared" si="1813"/>
        <v>0</v>
      </c>
      <c r="M4114" s="50"/>
      <c r="N4114" s="50"/>
    </row>
    <row r="4115" spans="1:14" x14ac:dyDescent="0.3">
      <c r="A4115" s="64" t="s">
        <v>1458</v>
      </c>
      <c r="B4115" s="62" t="s">
        <v>936</v>
      </c>
      <c r="C4115" s="68" t="s">
        <v>1391</v>
      </c>
      <c r="D4115" s="68" t="s">
        <v>1480</v>
      </c>
      <c r="E4115" s="8" t="s">
        <v>278</v>
      </c>
      <c r="F4115" s="45" t="s">
        <v>729</v>
      </c>
      <c r="G4115" s="23" t="s">
        <v>824</v>
      </c>
      <c r="H4115" s="14">
        <v>27.4</v>
      </c>
      <c r="I4115" s="14">
        <v>30.934999999999999</v>
      </c>
      <c r="J4115" s="14">
        <v>28.71</v>
      </c>
      <c r="K4115" s="78">
        <f t="shared" si="1807"/>
        <v>92.807499595926942</v>
      </c>
      <c r="L4115" s="14"/>
      <c r="M4115" s="50"/>
      <c r="N4115" s="50"/>
    </row>
    <row r="4116" spans="1:14" ht="31.2" x14ac:dyDescent="0.3">
      <c r="A4116" s="64" t="s">
        <v>1458</v>
      </c>
      <c r="B4116" s="62" t="s">
        <v>936</v>
      </c>
      <c r="C4116" s="68" t="s">
        <v>1391</v>
      </c>
      <c r="D4116" s="68" t="s">
        <v>1480</v>
      </c>
      <c r="E4116" s="8" t="s">
        <v>257</v>
      </c>
      <c r="F4116" s="45"/>
      <c r="G4116" s="23" t="s">
        <v>324</v>
      </c>
      <c r="H4116" s="14">
        <f>H4117</f>
        <v>19</v>
      </c>
      <c r="I4116" s="14">
        <f t="shared" ref="I4116:L4117" si="1814">I4117</f>
        <v>19</v>
      </c>
      <c r="J4116" s="14">
        <f t="shared" si="1814"/>
        <v>19</v>
      </c>
      <c r="K4116" s="78">
        <f t="shared" si="1807"/>
        <v>100</v>
      </c>
      <c r="L4116" s="14">
        <f t="shared" si="1814"/>
        <v>0</v>
      </c>
      <c r="M4116" s="50"/>
      <c r="N4116" s="50"/>
    </row>
    <row r="4117" spans="1:14" ht="31.2" x14ac:dyDescent="0.3">
      <c r="A4117" s="64" t="s">
        <v>1458</v>
      </c>
      <c r="B4117" s="62" t="s">
        <v>936</v>
      </c>
      <c r="C4117" s="68" t="s">
        <v>1391</v>
      </c>
      <c r="D4117" s="68" t="s">
        <v>1480</v>
      </c>
      <c r="E4117" s="8" t="s">
        <v>257</v>
      </c>
      <c r="F4117" s="45" t="s">
        <v>380</v>
      </c>
      <c r="G4117" s="23" t="s">
        <v>809</v>
      </c>
      <c r="H4117" s="14">
        <f>H4118</f>
        <v>19</v>
      </c>
      <c r="I4117" s="14">
        <f t="shared" si="1814"/>
        <v>19</v>
      </c>
      <c r="J4117" s="14">
        <f t="shared" si="1814"/>
        <v>19</v>
      </c>
      <c r="K4117" s="78">
        <f t="shared" si="1807"/>
        <v>100</v>
      </c>
      <c r="L4117" s="14">
        <f t="shared" si="1814"/>
        <v>0</v>
      </c>
      <c r="M4117" s="50"/>
      <c r="N4117" s="50"/>
    </row>
    <row r="4118" spans="1:14" ht="31.2" x14ac:dyDescent="0.3">
      <c r="A4118" s="64" t="s">
        <v>1458</v>
      </c>
      <c r="B4118" s="62" t="s">
        <v>936</v>
      </c>
      <c r="C4118" s="68" t="s">
        <v>1391</v>
      </c>
      <c r="D4118" s="68" t="s">
        <v>1480</v>
      </c>
      <c r="E4118" s="8" t="s">
        <v>257</v>
      </c>
      <c r="F4118" s="8" t="s">
        <v>247</v>
      </c>
      <c r="G4118" s="23" t="s">
        <v>810</v>
      </c>
      <c r="H4118" s="14">
        <v>19</v>
      </c>
      <c r="I4118" s="14">
        <v>19</v>
      </c>
      <c r="J4118" s="20">
        <v>19</v>
      </c>
      <c r="K4118" s="77">
        <f t="shared" si="1807"/>
        <v>100</v>
      </c>
      <c r="L4118" s="14"/>
      <c r="M4118" s="50"/>
      <c r="N4118" s="50"/>
    </row>
    <row r="4119" spans="1:14" ht="31.2" x14ac:dyDescent="0.3">
      <c r="A4119" s="64" t="s">
        <v>1458</v>
      </c>
      <c r="B4119" s="62" t="s">
        <v>936</v>
      </c>
      <c r="C4119" s="68" t="s">
        <v>1391</v>
      </c>
      <c r="D4119" s="68" t="s">
        <v>1480</v>
      </c>
      <c r="E4119" s="8" t="s">
        <v>767</v>
      </c>
      <c r="F4119" s="45"/>
      <c r="G4119" s="23" t="s">
        <v>769</v>
      </c>
      <c r="H4119" s="14">
        <f>H4122+H4120</f>
        <v>232.02</v>
      </c>
      <c r="I4119" s="14">
        <f t="shared" ref="I4119:L4119" si="1815">I4122+I4120</f>
        <v>232.01927000000001</v>
      </c>
      <c r="J4119" s="14">
        <f t="shared" si="1815"/>
        <v>232.01927000000001</v>
      </c>
      <c r="K4119" s="78">
        <f t="shared" si="1807"/>
        <v>100</v>
      </c>
      <c r="L4119" s="14">
        <f t="shared" si="1815"/>
        <v>0</v>
      </c>
      <c r="M4119" s="50"/>
      <c r="N4119" s="50"/>
    </row>
    <row r="4120" spans="1:14" ht="31.2" x14ac:dyDescent="0.3">
      <c r="A4120" s="64" t="s">
        <v>1458</v>
      </c>
      <c r="B4120" s="62" t="s">
        <v>936</v>
      </c>
      <c r="C4120" s="68" t="s">
        <v>1391</v>
      </c>
      <c r="D4120" s="68" t="s">
        <v>1480</v>
      </c>
      <c r="E4120" s="8" t="s">
        <v>767</v>
      </c>
      <c r="F4120" s="45" t="s">
        <v>380</v>
      </c>
      <c r="G4120" s="23" t="s">
        <v>809</v>
      </c>
      <c r="H4120" s="14">
        <f>H4121</f>
        <v>0</v>
      </c>
      <c r="I4120" s="14">
        <f t="shared" ref="I4120:L4120" si="1816">I4121</f>
        <v>16.332999999999998</v>
      </c>
      <c r="J4120" s="14">
        <f t="shared" si="1816"/>
        <v>16.332999999999998</v>
      </c>
      <c r="K4120" s="78">
        <f t="shared" si="1807"/>
        <v>100</v>
      </c>
      <c r="L4120" s="14">
        <f t="shared" si="1816"/>
        <v>0</v>
      </c>
      <c r="M4120" s="50"/>
      <c r="N4120" s="50"/>
    </row>
    <row r="4121" spans="1:14" ht="31.2" x14ac:dyDescent="0.3">
      <c r="A4121" s="64" t="s">
        <v>1458</v>
      </c>
      <c r="B4121" s="62" t="s">
        <v>936</v>
      </c>
      <c r="C4121" s="68" t="s">
        <v>1391</v>
      </c>
      <c r="D4121" s="68" t="s">
        <v>1480</v>
      </c>
      <c r="E4121" s="8" t="s">
        <v>767</v>
      </c>
      <c r="F4121" s="8" t="s">
        <v>247</v>
      </c>
      <c r="G4121" s="23" t="s">
        <v>810</v>
      </c>
      <c r="H4121" s="19">
        <v>0</v>
      </c>
      <c r="I4121" s="14">
        <v>16.332999999999998</v>
      </c>
      <c r="J4121" s="20">
        <v>16.332999999999998</v>
      </c>
      <c r="K4121" s="77">
        <f t="shared" si="1807"/>
        <v>100</v>
      </c>
      <c r="L4121" s="14"/>
      <c r="M4121" s="50"/>
      <c r="N4121" s="50"/>
    </row>
    <row r="4122" spans="1:14" ht="31.2" x14ac:dyDescent="0.3">
      <c r="A4122" s="64" t="s">
        <v>1458</v>
      </c>
      <c r="B4122" s="62" t="s">
        <v>936</v>
      </c>
      <c r="C4122" s="68" t="s">
        <v>1391</v>
      </c>
      <c r="D4122" s="68" t="s">
        <v>1480</v>
      </c>
      <c r="E4122" s="8" t="s">
        <v>767</v>
      </c>
      <c r="F4122" s="45" t="s">
        <v>478</v>
      </c>
      <c r="G4122" s="23" t="s">
        <v>817</v>
      </c>
      <c r="H4122" s="14">
        <f t="shared" ref="H4122:L4122" si="1817">H4123</f>
        <v>232.02</v>
      </c>
      <c r="I4122" s="14">
        <f t="shared" si="1817"/>
        <v>215.68627000000001</v>
      </c>
      <c r="J4122" s="14">
        <f t="shared" si="1817"/>
        <v>215.68627000000001</v>
      </c>
      <c r="K4122" s="78">
        <f t="shared" si="1807"/>
        <v>100</v>
      </c>
      <c r="L4122" s="14">
        <f t="shared" si="1817"/>
        <v>0</v>
      </c>
      <c r="M4122" s="50"/>
      <c r="N4122" s="50"/>
    </row>
    <row r="4123" spans="1:14" x14ac:dyDescent="0.3">
      <c r="A4123" s="64" t="s">
        <v>1458</v>
      </c>
      <c r="B4123" s="62" t="s">
        <v>936</v>
      </c>
      <c r="C4123" s="68" t="s">
        <v>1391</v>
      </c>
      <c r="D4123" s="68" t="s">
        <v>1480</v>
      </c>
      <c r="E4123" s="8" t="s">
        <v>767</v>
      </c>
      <c r="F4123" s="45" t="s">
        <v>1273</v>
      </c>
      <c r="G4123" s="23" t="s">
        <v>818</v>
      </c>
      <c r="H4123" s="14">
        <f>220+16.333-4.313</f>
        <v>232.02</v>
      </c>
      <c r="I4123" s="14">
        <v>215.68627000000001</v>
      </c>
      <c r="J4123" s="14">
        <v>215.68627000000001</v>
      </c>
      <c r="K4123" s="78">
        <f t="shared" si="1807"/>
        <v>100</v>
      </c>
      <c r="L4123" s="14"/>
      <c r="M4123" s="50"/>
      <c r="N4123" s="50"/>
    </row>
    <row r="4124" spans="1:14" ht="31.2" x14ac:dyDescent="0.3">
      <c r="A4124" s="64" t="s">
        <v>1458</v>
      </c>
      <c r="B4124" s="62" t="s">
        <v>936</v>
      </c>
      <c r="C4124" s="68" t="s">
        <v>1391</v>
      </c>
      <c r="D4124" s="68" t="s">
        <v>1480</v>
      </c>
      <c r="E4124" s="8" t="s">
        <v>768</v>
      </c>
      <c r="F4124" s="45"/>
      <c r="G4124" s="23" t="s">
        <v>770</v>
      </c>
      <c r="H4124" s="14">
        <f>H4127+H4125</f>
        <v>824.83199999999999</v>
      </c>
      <c r="I4124" s="14">
        <f t="shared" ref="I4124:L4124" si="1818">I4127+I4125</f>
        <v>824.83123999999998</v>
      </c>
      <c r="J4124" s="14">
        <f t="shared" si="1818"/>
        <v>824.83123999999998</v>
      </c>
      <c r="K4124" s="78">
        <f t="shared" si="1807"/>
        <v>100</v>
      </c>
      <c r="L4124" s="14">
        <f t="shared" si="1818"/>
        <v>0</v>
      </c>
      <c r="M4124" s="50"/>
      <c r="N4124" s="50"/>
    </row>
    <row r="4125" spans="1:14" ht="31.2" x14ac:dyDescent="0.3">
      <c r="A4125" s="64" t="s">
        <v>1458</v>
      </c>
      <c r="B4125" s="62" t="s">
        <v>936</v>
      </c>
      <c r="C4125" s="68" t="s">
        <v>1391</v>
      </c>
      <c r="D4125" s="68" t="s">
        <v>1480</v>
      </c>
      <c r="E4125" s="8" t="s">
        <v>768</v>
      </c>
      <c r="F4125" s="45" t="s">
        <v>380</v>
      </c>
      <c r="G4125" s="23" t="s">
        <v>809</v>
      </c>
      <c r="H4125" s="14">
        <f>H4126</f>
        <v>0</v>
      </c>
      <c r="I4125" s="14">
        <f t="shared" ref="I4125:L4125" si="1819">I4126</f>
        <v>16.332999999999998</v>
      </c>
      <c r="J4125" s="14">
        <f t="shared" si="1819"/>
        <v>16.332999999999998</v>
      </c>
      <c r="K4125" s="78">
        <f t="shared" si="1807"/>
        <v>100</v>
      </c>
      <c r="L4125" s="14">
        <f t="shared" si="1819"/>
        <v>0</v>
      </c>
      <c r="M4125" s="50"/>
      <c r="N4125" s="50"/>
    </row>
    <row r="4126" spans="1:14" ht="31.2" x14ac:dyDescent="0.3">
      <c r="A4126" s="64" t="s">
        <v>1458</v>
      </c>
      <c r="B4126" s="62" t="s">
        <v>936</v>
      </c>
      <c r="C4126" s="68" t="s">
        <v>1391</v>
      </c>
      <c r="D4126" s="68" t="s">
        <v>1480</v>
      </c>
      <c r="E4126" s="8" t="s">
        <v>768</v>
      </c>
      <c r="F4126" s="8" t="s">
        <v>247</v>
      </c>
      <c r="G4126" s="23" t="s">
        <v>810</v>
      </c>
      <c r="H4126" s="19">
        <v>0</v>
      </c>
      <c r="I4126" s="14">
        <v>16.332999999999998</v>
      </c>
      <c r="J4126" s="20">
        <v>16.332999999999998</v>
      </c>
      <c r="K4126" s="77">
        <f t="shared" si="1807"/>
        <v>100</v>
      </c>
      <c r="L4126" s="14"/>
      <c r="M4126" s="50"/>
      <c r="N4126" s="50"/>
    </row>
    <row r="4127" spans="1:14" ht="31.2" x14ac:dyDescent="0.3">
      <c r="A4127" s="64" t="s">
        <v>1458</v>
      </c>
      <c r="B4127" s="62" t="s">
        <v>936</v>
      </c>
      <c r="C4127" s="68" t="s">
        <v>1391</v>
      </c>
      <c r="D4127" s="68" t="s">
        <v>1480</v>
      </c>
      <c r="E4127" s="8" t="s">
        <v>768</v>
      </c>
      <c r="F4127" s="45" t="s">
        <v>478</v>
      </c>
      <c r="G4127" s="23" t="s">
        <v>817</v>
      </c>
      <c r="H4127" s="14">
        <f t="shared" ref="H4127:L4127" si="1820">H4128</f>
        <v>824.83199999999999</v>
      </c>
      <c r="I4127" s="14">
        <f t="shared" si="1820"/>
        <v>808.49824000000001</v>
      </c>
      <c r="J4127" s="14">
        <f t="shared" si="1820"/>
        <v>808.49824000000001</v>
      </c>
      <c r="K4127" s="78">
        <f t="shared" si="1807"/>
        <v>100</v>
      </c>
      <c r="L4127" s="14">
        <f t="shared" si="1820"/>
        <v>0</v>
      </c>
      <c r="M4127" s="50"/>
      <c r="N4127" s="50"/>
    </row>
    <row r="4128" spans="1:14" x14ac:dyDescent="0.3">
      <c r="A4128" s="64" t="s">
        <v>1458</v>
      </c>
      <c r="B4128" s="62" t="s">
        <v>936</v>
      </c>
      <c r="C4128" s="68" t="s">
        <v>1391</v>
      </c>
      <c r="D4128" s="68" t="s">
        <v>1480</v>
      </c>
      <c r="E4128" s="8" t="s">
        <v>768</v>
      </c>
      <c r="F4128" s="45" t="s">
        <v>1273</v>
      </c>
      <c r="G4128" s="23" t="s">
        <v>818</v>
      </c>
      <c r="H4128" s="14">
        <f>824.668+16.333-16.169</f>
        <v>824.83199999999999</v>
      </c>
      <c r="I4128" s="14">
        <v>808.49824000000001</v>
      </c>
      <c r="J4128" s="14">
        <v>808.49824000000001</v>
      </c>
      <c r="K4128" s="78">
        <f t="shared" si="1807"/>
        <v>100</v>
      </c>
      <c r="L4128" s="14"/>
      <c r="M4128" s="50"/>
      <c r="N4128" s="50"/>
    </row>
    <row r="4129" spans="1:14" ht="31.2" x14ac:dyDescent="0.3">
      <c r="A4129" s="64" t="s">
        <v>1458</v>
      </c>
      <c r="B4129" s="62" t="s">
        <v>936</v>
      </c>
      <c r="C4129" s="68" t="s">
        <v>1391</v>
      </c>
      <c r="D4129" s="68" t="s">
        <v>1480</v>
      </c>
      <c r="E4129" s="8" t="s">
        <v>343</v>
      </c>
      <c r="F4129" s="8"/>
      <c r="G4129" s="23" t="s">
        <v>1157</v>
      </c>
      <c r="H4129" s="14">
        <f t="shared" ref="H4129:L4129" si="1821">H4130</f>
        <v>12001.6</v>
      </c>
      <c r="I4129" s="14">
        <f t="shared" si="1821"/>
        <v>12302</v>
      </c>
      <c r="J4129" s="14">
        <f t="shared" si="1821"/>
        <v>12210.23508</v>
      </c>
      <c r="K4129" s="78">
        <f t="shared" si="1807"/>
        <v>99.254065030076404</v>
      </c>
      <c r="L4129" s="14">
        <f t="shared" si="1821"/>
        <v>0</v>
      </c>
      <c r="M4129" s="50"/>
      <c r="N4129" s="50"/>
    </row>
    <row r="4130" spans="1:14" x14ac:dyDescent="0.3">
      <c r="A4130" s="64" t="s">
        <v>1458</v>
      </c>
      <c r="B4130" s="62" t="s">
        <v>936</v>
      </c>
      <c r="C4130" s="68" t="s">
        <v>1391</v>
      </c>
      <c r="D4130" s="68" t="s">
        <v>1480</v>
      </c>
      <c r="E4130" s="8" t="s">
        <v>344</v>
      </c>
      <c r="F4130" s="8"/>
      <c r="G4130" s="23" t="s">
        <v>1159</v>
      </c>
      <c r="H4130" s="14">
        <f>H4131+H4134</f>
        <v>12001.6</v>
      </c>
      <c r="I4130" s="14">
        <f>I4131+I4134</f>
        <v>12302</v>
      </c>
      <c r="J4130" s="14">
        <f t="shared" ref="J4130" si="1822">J4131+J4134</f>
        <v>12210.23508</v>
      </c>
      <c r="K4130" s="78">
        <f t="shared" si="1807"/>
        <v>99.254065030076404</v>
      </c>
      <c r="L4130" s="14">
        <f>L4131+L4134</f>
        <v>0</v>
      </c>
      <c r="M4130" s="50"/>
      <c r="N4130" s="50"/>
    </row>
    <row r="4131" spans="1:14" ht="31.2" x14ac:dyDescent="0.3">
      <c r="A4131" s="64" t="s">
        <v>1458</v>
      </c>
      <c r="B4131" s="62" t="s">
        <v>936</v>
      </c>
      <c r="C4131" s="83" t="s">
        <v>1391</v>
      </c>
      <c r="D4131" s="83" t="s">
        <v>1480</v>
      </c>
      <c r="E4131" s="45" t="s">
        <v>345</v>
      </c>
      <c r="F4131" s="8"/>
      <c r="G4131" s="23" t="s">
        <v>1152</v>
      </c>
      <c r="H4131" s="14">
        <f t="shared" ref="H4131:L4132" si="1823">H4132</f>
        <v>11004.6</v>
      </c>
      <c r="I4131" s="14">
        <f t="shared" si="1823"/>
        <v>10985</v>
      </c>
      <c r="J4131" s="14">
        <f t="shared" si="1823"/>
        <v>10952.5095</v>
      </c>
      <c r="K4131" s="78">
        <f t="shared" si="1807"/>
        <v>99.704228493400095</v>
      </c>
      <c r="L4131" s="14">
        <f t="shared" si="1823"/>
        <v>0</v>
      </c>
      <c r="M4131" s="50"/>
      <c r="N4131" s="50"/>
    </row>
    <row r="4132" spans="1:14" ht="78" x14ac:dyDescent="0.3">
      <c r="A4132" s="64" t="s">
        <v>1458</v>
      </c>
      <c r="B4132" s="62" t="s">
        <v>936</v>
      </c>
      <c r="C4132" s="83" t="s">
        <v>1391</v>
      </c>
      <c r="D4132" s="83" t="s">
        <v>1480</v>
      </c>
      <c r="E4132" s="45" t="s">
        <v>345</v>
      </c>
      <c r="F4132" s="45" t="s">
        <v>431</v>
      </c>
      <c r="G4132" s="23" t="s">
        <v>806</v>
      </c>
      <c r="H4132" s="14">
        <f t="shared" si="1823"/>
        <v>11004.6</v>
      </c>
      <c r="I4132" s="14">
        <f t="shared" si="1823"/>
        <v>10985</v>
      </c>
      <c r="J4132" s="14">
        <f t="shared" si="1823"/>
        <v>10952.5095</v>
      </c>
      <c r="K4132" s="78">
        <f t="shared" si="1807"/>
        <v>99.704228493400095</v>
      </c>
      <c r="L4132" s="14">
        <f t="shared" si="1823"/>
        <v>0</v>
      </c>
      <c r="M4132" s="50"/>
      <c r="N4132" s="50"/>
    </row>
    <row r="4133" spans="1:14" ht="31.2" x14ac:dyDescent="0.3">
      <c r="A4133" s="64" t="s">
        <v>1458</v>
      </c>
      <c r="B4133" s="62" t="s">
        <v>936</v>
      </c>
      <c r="C4133" s="83" t="s">
        <v>1391</v>
      </c>
      <c r="D4133" s="83" t="s">
        <v>1480</v>
      </c>
      <c r="E4133" s="45" t="s">
        <v>345</v>
      </c>
      <c r="F4133" s="45" t="s">
        <v>233</v>
      </c>
      <c r="G4133" s="23" t="s">
        <v>808</v>
      </c>
      <c r="H4133" s="14">
        <v>11004.6</v>
      </c>
      <c r="I4133" s="14">
        <v>10985</v>
      </c>
      <c r="J4133" s="14">
        <v>10952.5095</v>
      </c>
      <c r="K4133" s="78">
        <f t="shared" si="1807"/>
        <v>99.704228493400095</v>
      </c>
      <c r="L4133" s="14"/>
      <c r="M4133" s="50"/>
      <c r="N4133" s="50"/>
    </row>
    <row r="4134" spans="1:14" ht="31.2" x14ac:dyDescent="0.3">
      <c r="A4134" s="64" t="s">
        <v>1458</v>
      </c>
      <c r="B4134" s="62" t="s">
        <v>936</v>
      </c>
      <c r="C4134" s="83" t="s">
        <v>1391</v>
      </c>
      <c r="D4134" s="83" t="s">
        <v>1480</v>
      </c>
      <c r="E4134" s="45" t="s">
        <v>346</v>
      </c>
      <c r="F4134" s="8"/>
      <c r="G4134" s="23" t="s">
        <v>1154</v>
      </c>
      <c r="H4134" s="14">
        <f>H4135+H4137+H4139</f>
        <v>997</v>
      </c>
      <c r="I4134" s="14">
        <f>I4135+I4137+I4139</f>
        <v>1317</v>
      </c>
      <c r="J4134" s="14">
        <f t="shared" ref="J4134" si="1824">J4135+J4137+J4139</f>
        <v>1257.72558</v>
      </c>
      <c r="K4134" s="78">
        <f t="shared" si="1807"/>
        <v>95.499284738040998</v>
      </c>
      <c r="L4134" s="14">
        <f>L4135+L4137+L4139</f>
        <v>0</v>
      </c>
      <c r="M4134" s="50"/>
      <c r="N4134" s="50"/>
    </row>
    <row r="4135" spans="1:14" ht="90.6" customHeight="1" x14ac:dyDescent="0.3">
      <c r="A4135" s="64" t="s">
        <v>1458</v>
      </c>
      <c r="B4135" s="62" t="s">
        <v>936</v>
      </c>
      <c r="C4135" s="83" t="s">
        <v>1391</v>
      </c>
      <c r="D4135" s="83" t="s">
        <v>1480</v>
      </c>
      <c r="E4135" s="45" t="s">
        <v>346</v>
      </c>
      <c r="F4135" s="45" t="s">
        <v>431</v>
      </c>
      <c r="G4135" s="23" t="s">
        <v>806</v>
      </c>
      <c r="H4135" s="14">
        <f t="shared" ref="H4135:L4135" si="1825">H4136</f>
        <v>4</v>
      </c>
      <c r="I4135" s="14">
        <f t="shared" si="1825"/>
        <v>4</v>
      </c>
      <c r="J4135" s="14">
        <f t="shared" si="1825"/>
        <v>1.6138399999999999</v>
      </c>
      <c r="K4135" s="78">
        <f t="shared" si="1807"/>
        <v>40.345999999999997</v>
      </c>
      <c r="L4135" s="14">
        <f t="shared" si="1825"/>
        <v>0</v>
      </c>
      <c r="M4135" s="50"/>
      <c r="N4135" s="50"/>
    </row>
    <row r="4136" spans="1:14" ht="31.2" x14ac:dyDescent="0.3">
      <c r="A4136" s="64" t="s">
        <v>1458</v>
      </c>
      <c r="B4136" s="62" t="s">
        <v>936</v>
      </c>
      <c r="C4136" s="83" t="s">
        <v>1391</v>
      </c>
      <c r="D4136" s="83" t="s">
        <v>1480</v>
      </c>
      <c r="E4136" s="45" t="s">
        <v>346</v>
      </c>
      <c r="F4136" s="45" t="s">
        <v>233</v>
      </c>
      <c r="G4136" s="23" t="s">
        <v>808</v>
      </c>
      <c r="H4136" s="14">
        <v>4</v>
      </c>
      <c r="I4136" s="14">
        <v>4</v>
      </c>
      <c r="J4136" s="14">
        <v>1.6138399999999999</v>
      </c>
      <c r="K4136" s="78">
        <f t="shared" si="1807"/>
        <v>40.345999999999997</v>
      </c>
      <c r="L4136" s="14"/>
      <c r="M4136" s="50"/>
      <c r="N4136" s="50"/>
    </row>
    <row r="4137" spans="1:14" ht="38.4" customHeight="1" x14ac:dyDescent="0.3">
      <c r="A4137" s="64" t="s">
        <v>1458</v>
      </c>
      <c r="B4137" s="62" t="s">
        <v>936</v>
      </c>
      <c r="C4137" s="83" t="s">
        <v>1391</v>
      </c>
      <c r="D4137" s="83" t="s">
        <v>1480</v>
      </c>
      <c r="E4137" s="45" t="s">
        <v>346</v>
      </c>
      <c r="F4137" s="45" t="s">
        <v>380</v>
      </c>
      <c r="G4137" s="23" t="s">
        <v>809</v>
      </c>
      <c r="H4137" s="14">
        <f t="shared" ref="H4137:L4137" si="1826">H4138</f>
        <v>992.9</v>
      </c>
      <c r="I4137" s="14">
        <f t="shared" si="1826"/>
        <v>992.9</v>
      </c>
      <c r="J4137" s="14">
        <f t="shared" si="1826"/>
        <v>936.11174000000005</v>
      </c>
      <c r="K4137" s="78">
        <f t="shared" si="1807"/>
        <v>94.280566018733012</v>
      </c>
      <c r="L4137" s="14">
        <f t="shared" si="1826"/>
        <v>0</v>
      </c>
      <c r="M4137" s="50"/>
      <c r="N4137" s="50"/>
    </row>
    <row r="4138" spans="1:14" ht="31.2" x14ac:dyDescent="0.3">
      <c r="A4138" s="64" t="s">
        <v>1458</v>
      </c>
      <c r="B4138" s="62" t="s">
        <v>936</v>
      </c>
      <c r="C4138" s="83" t="s">
        <v>1391</v>
      </c>
      <c r="D4138" s="83" t="s">
        <v>1480</v>
      </c>
      <c r="E4138" s="45" t="s">
        <v>346</v>
      </c>
      <c r="F4138" s="8" t="s">
        <v>247</v>
      </c>
      <c r="G4138" s="23" t="s">
        <v>810</v>
      </c>
      <c r="H4138" s="14">
        <v>992.9</v>
      </c>
      <c r="I4138" s="14">
        <v>992.9</v>
      </c>
      <c r="J4138" s="14">
        <v>936.11174000000005</v>
      </c>
      <c r="K4138" s="78">
        <f t="shared" si="1807"/>
        <v>94.280566018733012</v>
      </c>
      <c r="L4138" s="14"/>
      <c r="M4138" s="50"/>
      <c r="N4138" s="50"/>
    </row>
    <row r="4139" spans="1:14" x14ac:dyDescent="0.3">
      <c r="A4139" s="64" t="s">
        <v>1458</v>
      </c>
      <c r="B4139" s="62" t="s">
        <v>936</v>
      </c>
      <c r="C4139" s="83" t="s">
        <v>1391</v>
      </c>
      <c r="D4139" s="83" t="s">
        <v>1480</v>
      </c>
      <c r="E4139" s="45" t="s">
        <v>346</v>
      </c>
      <c r="F4139" s="45" t="s">
        <v>464</v>
      </c>
      <c r="G4139" s="23" t="s">
        <v>822</v>
      </c>
      <c r="H4139" s="14">
        <f t="shared" ref="H4139:L4139" si="1827">H4140</f>
        <v>0.1</v>
      </c>
      <c r="I4139" s="14">
        <f t="shared" si="1827"/>
        <v>320.10000000000002</v>
      </c>
      <c r="J4139" s="14">
        <f t="shared" si="1827"/>
        <v>320</v>
      </c>
      <c r="K4139" s="78">
        <f t="shared" si="1807"/>
        <v>99.968759762574194</v>
      </c>
      <c r="L4139" s="14">
        <f t="shared" si="1827"/>
        <v>0</v>
      </c>
      <c r="M4139" s="50"/>
      <c r="N4139" s="50"/>
    </row>
    <row r="4140" spans="1:14" x14ac:dyDescent="0.3">
      <c r="A4140" s="64" t="s">
        <v>1458</v>
      </c>
      <c r="B4140" s="62" t="s">
        <v>936</v>
      </c>
      <c r="C4140" s="83" t="s">
        <v>1391</v>
      </c>
      <c r="D4140" s="83" t="s">
        <v>1480</v>
      </c>
      <c r="E4140" s="45" t="s">
        <v>346</v>
      </c>
      <c r="F4140" s="45" t="s">
        <v>729</v>
      </c>
      <c r="G4140" s="23" t="s">
        <v>824</v>
      </c>
      <c r="H4140" s="14">
        <v>0.1</v>
      </c>
      <c r="I4140" s="14">
        <v>320.10000000000002</v>
      </c>
      <c r="J4140" s="14">
        <v>320</v>
      </c>
      <c r="K4140" s="78">
        <f t="shared" si="1807"/>
        <v>99.968759762574194</v>
      </c>
      <c r="L4140" s="14"/>
      <c r="M4140" s="50"/>
      <c r="N4140" s="50"/>
    </row>
    <row r="4141" spans="1:14" s="3" customFormat="1" ht="18" customHeight="1" x14ac:dyDescent="0.3">
      <c r="A4141" s="4" t="s">
        <v>102</v>
      </c>
      <c r="B4141" s="43" t="s">
        <v>915</v>
      </c>
      <c r="C4141" s="43" t="s">
        <v>915</v>
      </c>
      <c r="D4141" s="43" t="s">
        <v>915</v>
      </c>
      <c r="E4141" s="4"/>
      <c r="F4141" s="4"/>
      <c r="G4141" s="5" t="s">
        <v>1441</v>
      </c>
      <c r="H4141" s="15">
        <f t="shared" ref="H4141:L4141" si="1828">H4142+H4285+H4297+H4304</f>
        <v>730282.75200000009</v>
      </c>
      <c r="I4141" s="15">
        <f t="shared" si="1828"/>
        <v>580877.07610000018</v>
      </c>
      <c r="J4141" s="15">
        <f t="shared" si="1828"/>
        <v>573138.21685000008</v>
      </c>
      <c r="K4141" s="81">
        <f t="shared" si="1807"/>
        <v>98.667728583479544</v>
      </c>
      <c r="L4141" s="15">
        <f t="shared" si="1828"/>
        <v>0</v>
      </c>
      <c r="M4141" s="65"/>
      <c r="N4141" s="65"/>
    </row>
    <row r="4142" spans="1:14" s="3" customFormat="1" x14ac:dyDescent="0.3">
      <c r="A4142" s="4" t="s">
        <v>102</v>
      </c>
      <c r="B4142" s="43" t="s">
        <v>1372</v>
      </c>
      <c r="C4142" s="43" t="s">
        <v>1372</v>
      </c>
      <c r="D4142" s="43" t="s">
        <v>915</v>
      </c>
      <c r="E4142" s="4"/>
      <c r="F4142" s="4"/>
      <c r="G4142" s="5" t="s">
        <v>1376</v>
      </c>
      <c r="H4142" s="15">
        <f>H4149+H4164+H4143</f>
        <v>718477.99200000009</v>
      </c>
      <c r="I4142" s="15">
        <f>I4149+I4164+I4143</f>
        <v>572594.51610000012</v>
      </c>
      <c r="J4142" s="15">
        <f t="shared" ref="J4142" si="1829">J4149+J4164+J4143</f>
        <v>564855.65685000003</v>
      </c>
      <c r="K4142" s="81">
        <f t="shared" si="1807"/>
        <v>98.648457323218835</v>
      </c>
      <c r="L4142" s="15">
        <f>L4149+L4164+L4143</f>
        <v>0</v>
      </c>
      <c r="M4142" s="65"/>
      <c r="N4142" s="65"/>
    </row>
    <row r="4143" spans="1:14" s="9" customFormat="1" ht="46.8" x14ac:dyDescent="0.3">
      <c r="A4143" s="6" t="s">
        <v>102</v>
      </c>
      <c r="B4143" s="48" t="s">
        <v>945</v>
      </c>
      <c r="C4143" s="48" t="s">
        <v>1372</v>
      </c>
      <c r="D4143" s="48" t="s">
        <v>1478</v>
      </c>
      <c r="E4143" s="6"/>
      <c r="F4143" s="6"/>
      <c r="G4143" s="7" t="s">
        <v>1447</v>
      </c>
      <c r="H4143" s="16">
        <f t="shared" ref="H4143:L4147" si="1830">H4144</f>
        <v>4601.8</v>
      </c>
      <c r="I4143" s="16">
        <f t="shared" si="1830"/>
        <v>4601.8</v>
      </c>
      <c r="J4143" s="16">
        <f t="shared" si="1830"/>
        <v>4601.7966399999996</v>
      </c>
      <c r="K4143" s="82">
        <f t="shared" si="1807"/>
        <v>99.999926985092785</v>
      </c>
      <c r="L4143" s="16">
        <f t="shared" si="1830"/>
        <v>0</v>
      </c>
      <c r="M4143" s="65"/>
      <c r="N4143" s="65"/>
    </row>
    <row r="4144" spans="1:14" ht="31.2" x14ac:dyDescent="0.3">
      <c r="A4144" s="64" t="s">
        <v>102</v>
      </c>
      <c r="B4144" s="62" t="s">
        <v>945</v>
      </c>
      <c r="C4144" s="68" t="s">
        <v>1372</v>
      </c>
      <c r="D4144" s="68" t="s">
        <v>1478</v>
      </c>
      <c r="E4144" s="64" t="s">
        <v>343</v>
      </c>
      <c r="F4144" s="64"/>
      <c r="G4144" s="23" t="s">
        <v>1157</v>
      </c>
      <c r="H4144" s="14">
        <f t="shared" si="1830"/>
        <v>4601.8</v>
      </c>
      <c r="I4144" s="14">
        <f t="shared" si="1830"/>
        <v>4601.8</v>
      </c>
      <c r="J4144" s="14">
        <f t="shared" si="1830"/>
        <v>4601.7966399999996</v>
      </c>
      <c r="K4144" s="78">
        <f t="shared" si="1807"/>
        <v>99.999926985092785</v>
      </c>
      <c r="L4144" s="14">
        <f t="shared" si="1830"/>
        <v>0</v>
      </c>
      <c r="M4144" s="50"/>
      <c r="N4144" s="50"/>
    </row>
    <row r="4145" spans="1:14" x14ac:dyDescent="0.3">
      <c r="A4145" s="64" t="s">
        <v>102</v>
      </c>
      <c r="B4145" s="62" t="s">
        <v>945</v>
      </c>
      <c r="C4145" s="68" t="s">
        <v>1372</v>
      </c>
      <c r="D4145" s="68" t="s">
        <v>1478</v>
      </c>
      <c r="E4145" s="64" t="s">
        <v>643</v>
      </c>
      <c r="F4145" s="64"/>
      <c r="G4145" s="13" t="s">
        <v>1228</v>
      </c>
      <c r="H4145" s="14">
        <f t="shared" si="1830"/>
        <v>4601.8</v>
      </c>
      <c r="I4145" s="14">
        <f t="shared" si="1830"/>
        <v>4601.8</v>
      </c>
      <c r="J4145" s="14">
        <f t="shared" si="1830"/>
        <v>4601.7966399999996</v>
      </c>
      <c r="K4145" s="78">
        <f t="shared" si="1807"/>
        <v>99.999926985092785</v>
      </c>
      <c r="L4145" s="14">
        <f t="shared" si="1830"/>
        <v>0</v>
      </c>
      <c r="M4145" s="50"/>
      <c r="N4145" s="50"/>
    </row>
    <row r="4146" spans="1:14" ht="31.2" x14ac:dyDescent="0.3">
      <c r="A4146" s="64" t="s">
        <v>102</v>
      </c>
      <c r="B4146" s="62" t="s">
        <v>945</v>
      </c>
      <c r="C4146" s="68" t="s">
        <v>1372</v>
      </c>
      <c r="D4146" s="68" t="s">
        <v>1478</v>
      </c>
      <c r="E4146" s="64" t="s">
        <v>644</v>
      </c>
      <c r="F4146" s="64"/>
      <c r="G4146" s="13" t="s">
        <v>1152</v>
      </c>
      <c r="H4146" s="14">
        <f t="shared" si="1830"/>
        <v>4601.8</v>
      </c>
      <c r="I4146" s="14">
        <f t="shared" si="1830"/>
        <v>4601.8</v>
      </c>
      <c r="J4146" s="14">
        <f t="shared" si="1830"/>
        <v>4601.7966399999996</v>
      </c>
      <c r="K4146" s="78">
        <f t="shared" si="1807"/>
        <v>99.999926985092785</v>
      </c>
      <c r="L4146" s="14">
        <f t="shared" si="1830"/>
        <v>0</v>
      </c>
      <c r="M4146" s="50"/>
      <c r="N4146" s="50"/>
    </row>
    <row r="4147" spans="1:14" ht="78" x14ac:dyDescent="0.3">
      <c r="A4147" s="64" t="s">
        <v>102</v>
      </c>
      <c r="B4147" s="62" t="s">
        <v>945</v>
      </c>
      <c r="C4147" s="68" t="s">
        <v>1372</v>
      </c>
      <c r="D4147" s="68" t="s">
        <v>1478</v>
      </c>
      <c r="E4147" s="64" t="s">
        <v>644</v>
      </c>
      <c r="F4147" s="45" t="s">
        <v>431</v>
      </c>
      <c r="G4147" s="23" t="s">
        <v>806</v>
      </c>
      <c r="H4147" s="14">
        <f t="shared" si="1830"/>
        <v>4601.8</v>
      </c>
      <c r="I4147" s="14">
        <f t="shared" si="1830"/>
        <v>4601.8</v>
      </c>
      <c r="J4147" s="14">
        <f t="shared" si="1830"/>
        <v>4601.7966399999996</v>
      </c>
      <c r="K4147" s="78">
        <f t="shared" si="1807"/>
        <v>99.999926985092785</v>
      </c>
      <c r="L4147" s="14">
        <f t="shared" si="1830"/>
        <v>0</v>
      </c>
      <c r="M4147" s="50"/>
      <c r="N4147" s="50"/>
    </row>
    <row r="4148" spans="1:14" ht="31.2" x14ac:dyDescent="0.3">
      <c r="A4148" s="64" t="s">
        <v>102</v>
      </c>
      <c r="B4148" s="62" t="s">
        <v>945</v>
      </c>
      <c r="C4148" s="68" t="s">
        <v>1372</v>
      </c>
      <c r="D4148" s="68" t="s">
        <v>1478</v>
      </c>
      <c r="E4148" s="64" t="s">
        <v>644</v>
      </c>
      <c r="F4148" s="45" t="s">
        <v>233</v>
      </c>
      <c r="G4148" s="23" t="s">
        <v>808</v>
      </c>
      <c r="H4148" s="14">
        <v>4601.8</v>
      </c>
      <c r="I4148" s="14">
        <v>4601.8</v>
      </c>
      <c r="J4148" s="14">
        <v>4601.7966399999996</v>
      </c>
      <c r="K4148" s="78">
        <f t="shared" si="1807"/>
        <v>99.999926985092785</v>
      </c>
      <c r="L4148" s="14"/>
      <c r="M4148" s="50"/>
      <c r="N4148" s="50"/>
    </row>
    <row r="4149" spans="1:14" s="9" customFormat="1" ht="62.4" x14ac:dyDescent="0.3">
      <c r="A4149" s="6" t="s">
        <v>102</v>
      </c>
      <c r="B4149" s="48" t="s">
        <v>934</v>
      </c>
      <c r="C4149" s="48" t="s">
        <v>1372</v>
      </c>
      <c r="D4149" s="48" t="s">
        <v>1386</v>
      </c>
      <c r="E4149" s="6"/>
      <c r="F4149" s="6"/>
      <c r="G4149" s="7" t="s">
        <v>1418</v>
      </c>
      <c r="H4149" s="16">
        <f t="shared" ref="H4149:L4150" si="1831">H4150</f>
        <v>267842.59999999998</v>
      </c>
      <c r="I4149" s="16">
        <f t="shared" si="1831"/>
        <v>263257.90000000002</v>
      </c>
      <c r="J4149" s="16">
        <f t="shared" si="1831"/>
        <v>263151.46136000002</v>
      </c>
      <c r="K4149" s="82">
        <f t="shared" si="1807"/>
        <v>99.959568681509651</v>
      </c>
      <c r="L4149" s="16">
        <f t="shared" si="1831"/>
        <v>0</v>
      </c>
      <c r="M4149" s="65"/>
      <c r="N4149" s="65"/>
    </row>
    <row r="4150" spans="1:14" ht="31.2" x14ac:dyDescent="0.3">
      <c r="A4150" s="64" t="s">
        <v>102</v>
      </c>
      <c r="B4150" s="62" t="s">
        <v>934</v>
      </c>
      <c r="C4150" s="68" t="s">
        <v>1372</v>
      </c>
      <c r="D4150" s="68" t="s">
        <v>1386</v>
      </c>
      <c r="E4150" s="8" t="s">
        <v>343</v>
      </c>
      <c r="F4150" s="8"/>
      <c r="G4150" s="23" t="s">
        <v>1157</v>
      </c>
      <c r="H4150" s="14">
        <f t="shared" si="1831"/>
        <v>267842.59999999998</v>
      </c>
      <c r="I4150" s="14">
        <f t="shared" si="1831"/>
        <v>263257.90000000002</v>
      </c>
      <c r="J4150" s="14">
        <f t="shared" si="1831"/>
        <v>263151.46136000002</v>
      </c>
      <c r="K4150" s="78">
        <f t="shared" si="1807"/>
        <v>99.959568681509651</v>
      </c>
      <c r="L4150" s="14">
        <f t="shared" si="1831"/>
        <v>0</v>
      </c>
      <c r="M4150" s="50"/>
      <c r="N4150" s="50"/>
    </row>
    <row r="4151" spans="1:14" x14ac:dyDescent="0.3">
      <c r="A4151" s="64" t="s">
        <v>102</v>
      </c>
      <c r="B4151" s="62" t="s">
        <v>934</v>
      </c>
      <c r="C4151" s="68" t="s">
        <v>1372</v>
      </c>
      <c r="D4151" s="68" t="s">
        <v>1386</v>
      </c>
      <c r="E4151" s="8" t="s">
        <v>645</v>
      </c>
      <c r="F4151" s="8"/>
      <c r="G4151" s="13" t="s">
        <v>1155</v>
      </c>
      <c r="H4151" s="14">
        <f>H4152+H4155</f>
        <v>267842.59999999998</v>
      </c>
      <c r="I4151" s="14">
        <f>I4152+I4155</f>
        <v>263257.90000000002</v>
      </c>
      <c r="J4151" s="14">
        <f t="shared" ref="J4151" si="1832">J4152+J4155</f>
        <v>263151.46136000002</v>
      </c>
      <c r="K4151" s="78">
        <f t="shared" si="1807"/>
        <v>99.959568681509651</v>
      </c>
      <c r="L4151" s="14">
        <f>L4152+L4155</f>
        <v>0</v>
      </c>
      <c r="M4151" s="50"/>
      <c r="N4151" s="50"/>
    </row>
    <row r="4152" spans="1:14" ht="31.2" x14ac:dyDescent="0.3">
      <c r="A4152" s="64" t="s">
        <v>102</v>
      </c>
      <c r="B4152" s="62" t="s">
        <v>934</v>
      </c>
      <c r="C4152" s="68" t="s">
        <v>1372</v>
      </c>
      <c r="D4152" s="68" t="s">
        <v>1386</v>
      </c>
      <c r="E4152" s="8" t="s">
        <v>646</v>
      </c>
      <c r="F4152" s="8"/>
      <c r="G4152" s="13" t="s">
        <v>1152</v>
      </c>
      <c r="H4152" s="14">
        <f t="shared" ref="H4152:L4153" si="1833">H4153</f>
        <v>239247.1</v>
      </c>
      <c r="I4152" s="14">
        <f t="shared" si="1833"/>
        <v>248305.4296</v>
      </c>
      <c r="J4152" s="14">
        <f t="shared" si="1833"/>
        <v>248305.4296</v>
      </c>
      <c r="K4152" s="78">
        <f t="shared" si="1807"/>
        <v>100</v>
      </c>
      <c r="L4152" s="14">
        <f t="shared" si="1833"/>
        <v>0</v>
      </c>
      <c r="M4152" s="50"/>
      <c r="N4152" s="50"/>
    </row>
    <row r="4153" spans="1:14" ht="78" x14ac:dyDescent="0.3">
      <c r="A4153" s="64" t="s">
        <v>102</v>
      </c>
      <c r="B4153" s="62" t="s">
        <v>934</v>
      </c>
      <c r="C4153" s="68" t="s">
        <v>1372</v>
      </c>
      <c r="D4153" s="68" t="s">
        <v>1386</v>
      </c>
      <c r="E4153" s="8" t="s">
        <v>646</v>
      </c>
      <c r="F4153" s="45" t="s">
        <v>431</v>
      </c>
      <c r="G4153" s="23" t="s">
        <v>806</v>
      </c>
      <c r="H4153" s="14">
        <f t="shared" si="1833"/>
        <v>239247.1</v>
      </c>
      <c r="I4153" s="14">
        <f t="shared" si="1833"/>
        <v>248305.4296</v>
      </c>
      <c r="J4153" s="14">
        <f t="shared" si="1833"/>
        <v>248305.4296</v>
      </c>
      <c r="K4153" s="78">
        <f t="shared" si="1807"/>
        <v>100</v>
      </c>
      <c r="L4153" s="14">
        <f t="shared" si="1833"/>
        <v>0</v>
      </c>
      <c r="M4153" s="50"/>
      <c r="N4153" s="50"/>
    </row>
    <row r="4154" spans="1:14" ht="31.2" x14ac:dyDescent="0.3">
      <c r="A4154" s="64" t="s">
        <v>102</v>
      </c>
      <c r="B4154" s="62" t="s">
        <v>934</v>
      </c>
      <c r="C4154" s="68" t="s">
        <v>1372</v>
      </c>
      <c r="D4154" s="68" t="s">
        <v>1386</v>
      </c>
      <c r="E4154" s="8" t="s">
        <v>646</v>
      </c>
      <c r="F4154" s="45" t="s">
        <v>233</v>
      </c>
      <c r="G4154" s="23" t="s">
        <v>808</v>
      </c>
      <c r="H4154" s="14">
        <v>239247.1</v>
      </c>
      <c r="I4154" s="14">
        <v>248305.4296</v>
      </c>
      <c r="J4154" s="14">
        <v>248305.4296</v>
      </c>
      <c r="K4154" s="78">
        <f t="shared" si="1807"/>
        <v>100</v>
      </c>
      <c r="L4154" s="14"/>
      <c r="M4154" s="50"/>
      <c r="N4154" s="50"/>
    </row>
    <row r="4155" spans="1:14" ht="31.2" x14ac:dyDescent="0.3">
      <c r="A4155" s="64" t="s">
        <v>102</v>
      </c>
      <c r="B4155" s="62" t="s">
        <v>934</v>
      </c>
      <c r="C4155" s="68" t="s">
        <v>1372</v>
      </c>
      <c r="D4155" s="68" t="s">
        <v>1386</v>
      </c>
      <c r="E4155" s="8" t="s">
        <v>647</v>
      </c>
      <c r="F4155" s="8"/>
      <c r="G4155" s="13" t="s">
        <v>1154</v>
      </c>
      <c r="H4155" s="14">
        <f>H4156+H4158+H4162</f>
        <v>28595.5</v>
      </c>
      <c r="I4155" s="14">
        <f>I4156+I4158+I4162+I4160</f>
        <v>14952.470400000002</v>
      </c>
      <c r="J4155" s="14">
        <f t="shared" ref="J4155:L4155" si="1834">J4156+J4158+J4162+J4160</f>
        <v>14846.031760000002</v>
      </c>
      <c r="K4155" s="78">
        <f t="shared" si="1807"/>
        <v>99.288153481313685</v>
      </c>
      <c r="L4155" s="14">
        <f t="shared" si="1834"/>
        <v>0</v>
      </c>
      <c r="M4155" s="50"/>
      <c r="N4155" s="50"/>
    </row>
    <row r="4156" spans="1:14" ht="78" x14ac:dyDescent="0.3">
      <c r="A4156" s="64" t="s">
        <v>102</v>
      </c>
      <c r="B4156" s="62" t="s">
        <v>934</v>
      </c>
      <c r="C4156" s="68" t="s">
        <v>1372</v>
      </c>
      <c r="D4156" s="68" t="s">
        <v>1386</v>
      </c>
      <c r="E4156" s="8" t="s">
        <v>647</v>
      </c>
      <c r="F4156" s="45" t="s">
        <v>431</v>
      </c>
      <c r="G4156" s="23" t="s">
        <v>806</v>
      </c>
      <c r="H4156" s="14">
        <f t="shared" ref="H4156:L4156" si="1835">H4157</f>
        <v>1515.5</v>
      </c>
      <c r="I4156" s="14">
        <f t="shared" si="1835"/>
        <v>1669.9226699999999</v>
      </c>
      <c r="J4156" s="14">
        <f t="shared" si="1835"/>
        <v>1668.5077799999999</v>
      </c>
      <c r="K4156" s="78">
        <f t="shared" si="1807"/>
        <v>99.915272124546945</v>
      </c>
      <c r="L4156" s="14">
        <f t="shared" si="1835"/>
        <v>0</v>
      </c>
      <c r="M4156" s="50"/>
      <c r="N4156" s="50"/>
    </row>
    <row r="4157" spans="1:14" ht="31.2" x14ac:dyDescent="0.3">
      <c r="A4157" s="64" t="s">
        <v>102</v>
      </c>
      <c r="B4157" s="62" t="s">
        <v>934</v>
      </c>
      <c r="C4157" s="68" t="s">
        <v>1372</v>
      </c>
      <c r="D4157" s="68" t="s">
        <v>1386</v>
      </c>
      <c r="E4157" s="8" t="s">
        <v>647</v>
      </c>
      <c r="F4157" s="45" t="s">
        <v>233</v>
      </c>
      <c r="G4157" s="23" t="s">
        <v>808</v>
      </c>
      <c r="H4157" s="14">
        <v>1515.5</v>
      </c>
      <c r="I4157" s="14">
        <v>1669.9226699999999</v>
      </c>
      <c r="J4157" s="14">
        <v>1668.5077799999999</v>
      </c>
      <c r="K4157" s="78">
        <f t="shared" si="1807"/>
        <v>99.915272124546945</v>
      </c>
      <c r="L4157" s="14"/>
      <c r="M4157" s="50"/>
      <c r="N4157" s="50"/>
    </row>
    <row r="4158" spans="1:14" ht="31.2" x14ac:dyDescent="0.3">
      <c r="A4158" s="64" t="s">
        <v>102</v>
      </c>
      <c r="B4158" s="62" t="s">
        <v>934</v>
      </c>
      <c r="C4158" s="68" t="s">
        <v>1372</v>
      </c>
      <c r="D4158" s="68" t="s">
        <v>1386</v>
      </c>
      <c r="E4158" s="8" t="s">
        <v>647</v>
      </c>
      <c r="F4158" s="45" t="s">
        <v>380</v>
      </c>
      <c r="G4158" s="23" t="s">
        <v>809</v>
      </c>
      <c r="H4158" s="14">
        <f t="shared" ref="H4158:L4158" si="1836">H4159</f>
        <v>26618.9</v>
      </c>
      <c r="I4158" s="14">
        <f t="shared" si="1836"/>
        <v>13013.407730000001</v>
      </c>
      <c r="J4158" s="14">
        <f t="shared" si="1836"/>
        <v>12908.383980000001</v>
      </c>
      <c r="K4158" s="78">
        <f t="shared" si="1807"/>
        <v>99.192957354606762</v>
      </c>
      <c r="L4158" s="14">
        <f t="shared" si="1836"/>
        <v>0</v>
      </c>
      <c r="M4158" s="50"/>
      <c r="N4158" s="50"/>
    </row>
    <row r="4159" spans="1:14" ht="31.2" x14ac:dyDescent="0.3">
      <c r="A4159" s="64" t="s">
        <v>102</v>
      </c>
      <c r="B4159" s="62" t="s">
        <v>934</v>
      </c>
      <c r="C4159" s="68" t="s">
        <v>1372</v>
      </c>
      <c r="D4159" s="68" t="s">
        <v>1386</v>
      </c>
      <c r="E4159" s="8" t="s">
        <v>647</v>
      </c>
      <c r="F4159" s="8" t="s">
        <v>247</v>
      </c>
      <c r="G4159" s="23" t="s">
        <v>810</v>
      </c>
      <c r="H4159" s="14">
        <v>26618.9</v>
      </c>
      <c r="I4159" s="14">
        <v>13013.407730000001</v>
      </c>
      <c r="J4159" s="14">
        <v>12908.383980000001</v>
      </c>
      <c r="K4159" s="78">
        <f t="shared" si="1807"/>
        <v>99.192957354606762</v>
      </c>
      <c r="L4159" s="14"/>
      <c r="M4159" s="50"/>
      <c r="N4159" s="50"/>
    </row>
    <row r="4160" spans="1:14" x14ac:dyDescent="0.3">
      <c r="A4160" s="64" t="s">
        <v>102</v>
      </c>
      <c r="B4160" s="62" t="s">
        <v>934</v>
      </c>
      <c r="C4160" s="68" t="s">
        <v>1372</v>
      </c>
      <c r="D4160" s="68" t="s">
        <v>1386</v>
      </c>
      <c r="E4160" s="8" t="s">
        <v>647</v>
      </c>
      <c r="F4160" s="8" t="s">
        <v>404</v>
      </c>
      <c r="G4160" s="23" t="s">
        <v>811</v>
      </c>
      <c r="H4160" s="20">
        <v>0</v>
      </c>
      <c r="I4160" s="14">
        <f>I4161</f>
        <v>131.27000000000001</v>
      </c>
      <c r="J4160" s="14">
        <f t="shared" ref="J4160:L4160" si="1837">J4161</f>
        <v>131.27000000000001</v>
      </c>
      <c r="K4160" s="78">
        <f t="shared" si="1807"/>
        <v>100</v>
      </c>
      <c r="L4160" s="14">
        <f t="shared" si="1837"/>
        <v>0</v>
      </c>
      <c r="M4160" s="50"/>
      <c r="N4160" s="50"/>
    </row>
    <row r="4161" spans="1:14" x14ac:dyDescent="0.3">
      <c r="A4161" s="64" t="s">
        <v>102</v>
      </c>
      <c r="B4161" s="62" t="s">
        <v>934</v>
      </c>
      <c r="C4161" s="68" t="s">
        <v>1372</v>
      </c>
      <c r="D4161" s="68" t="s">
        <v>1386</v>
      </c>
      <c r="E4161" s="8" t="s">
        <v>647</v>
      </c>
      <c r="F4161" s="8" t="s">
        <v>724</v>
      </c>
      <c r="G4161" s="23" t="s">
        <v>816</v>
      </c>
      <c r="H4161" s="20">
        <v>0</v>
      </c>
      <c r="I4161" s="14">
        <v>131.27000000000001</v>
      </c>
      <c r="J4161" s="14">
        <v>131.27000000000001</v>
      </c>
      <c r="K4161" s="78">
        <f t="shared" si="1807"/>
        <v>100</v>
      </c>
      <c r="L4161" s="14"/>
      <c r="M4161" s="50"/>
      <c r="N4161" s="50"/>
    </row>
    <row r="4162" spans="1:14" x14ac:dyDescent="0.3">
      <c r="A4162" s="64" t="s">
        <v>102</v>
      </c>
      <c r="B4162" s="62" t="s">
        <v>934</v>
      </c>
      <c r="C4162" s="68" t="s">
        <v>1372</v>
      </c>
      <c r="D4162" s="68" t="s">
        <v>1386</v>
      </c>
      <c r="E4162" s="8" t="s">
        <v>647</v>
      </c>
      <c r="F4162" s="45" t="s">
        <v>464</v>
      </c>
      <c r="G4162" s="23" t="s">
        <v>822</v>
      </c>
      <c r="H4162" s="14">
        <f t="shared" ref="H4162:L4162" si="1838">H4163</f>
        <v>461.1</v>
      </c>
      <c r="I4162" s="14">
        <f t="shared" si="1838"/>
        <v>137.87</v>
      </c>
      <c r="J4162" s="14">
        <f t="shared" si="1838"/>
        <v>137.87</v>
      </c>
      <c r="K4162" s="78">
        <f t="shared" si="1807"/>
        <v>100</v>
      </c>
      <c r="L4162" s="14">
        <f t="shared" si="1838"/>
        <v>0</v>
      </c>
      <c r="M4162" s="50"/>
      <c r="N4162" s="50"/>
    </row>
    <row r="4163" spans="1:14" x14ac:dyDescent="0.3">
      <c r="A4163" s="64" t="s">
        <v>102</v>
      </c>
      <c r="B4163" s="62" t="s">
        <v>934</v>
      </c>
      <c r="C4163" s="68" t="s">
        <v>1372</v>
      </c>
      <c r="D4163" s="68" t="s">
        <v>1386</v>
      </c>
      <c r="E4163" s="8" t="s">
        <v>647</v>
      </c>
      <c r="F4163" s="45" t="s">
        <v>729</v>
      </c>
      <c r="G4163" s="23" t="s">
        <v>824</v>
      </c>
      <c r="H4163" s="14">
        <v>461.1</v>
      </c>
      <c r="I4163" s="14">
        <v>137.87</v>
      </c>
      <c r="J4163" s="14">
        <v>137.87</v>
      </c>
      <c r="K4163" s="78">
        <f t="shared" si="1807"/>
        <v>100</v>
      </c>
      <c r="L4163" s="14"/>
      <c r="M4163" s="50"/>
      <c r="N4163" s="50"/>
    </row>
    <row r="4164" spans="1:14" s="9" customFormat="1" x14ac:dyDescent="0.3">
      <c r="A4164" s="6" t="s">
        <v>102</v>
      </c>
      <c r="B4164" s="48" t="s">
        <v>912</v>
      </c>
      <c r="C4164" s="48" t="s">
        <v>1372</v>
      </c>
      <c r="D4164" s="48" t="s">
        <v>1477</v>
      </c>
      <c r="E4164" s="6"/>
      <c r="F4164" s="6"/>
      <c r="G4164" s="7" t="s">
        <v>1377</v>
      </c>
      <c r="H4164" s="16">
        <f t="shared" ref="H4164:L4164" si="1839">H4165+H4178+H4200+H4206+H4229+H4212</f>
        <v>446033.59200000006</v>
      </c>
      <c r="I4164" s="16">
        <f t="shared" si="1839"/>
        <v>304734.81610000005</v>
      </c>
      <c r="J4164" s="16">
        <f t="shared" si="1839"/>
        <v>297102.39885</v>
      </c>
      <c r="K4164" s="82">
        <f t="shared" si="1807"/>
        <v>97.49539046844734</v>
      </c>
      <c r="L4164" s="16">
        <f t="shared" si="1839"/>
        <v>0</v>
      </c>
      <c r="M4164" s="65"/>
      <c r="N4164" s="65"/>
    </row>
    <row r="4165" spans="1:14" ht="46.8" x14ac:dyDescent="0.3">
      <c r="A4165" s="64" t="s">
        <v>102</v>
      </c>
      <c r="B4165" s="62" t="s">
        <v>912</v>
      </c>
      <c r="C4165" s="68" t="s">
        <v>1372</v>
      </c>
      <c r="D4165" s="68" t="s">
        <v>1477</v>
      </c>
      <c r="E4165" s="8" t="s">
        <v>338</v>
      </c>
      <c r="F4165" s="8"/>
      <c r="G4165" s="13" t="s">
        <v>843</v>
      </c>
      <c r="H4165" s="14">
        <f>H4166+H4172</f>
        <v>7196</v>
      </c>
      <c r="I4165" s="14">
        <f>I4166+I4172</f>
        <v>6896</v>
      </c>
      <c r="J4165" s="14">
        <f t="shared" ref="J4165:L4165" si="1840">J4166+J4172</f>
        <v>6896</v>
      </c>
      <c r="K4165" s="78">
        <f t="shared" si="1807"/>
        <v>100</v>
      </c>
      <c r="L4165" s="14">
        <f t="shared" si="1840"/>
        <v>0</v>
      </c>
      <c r="M4165" s="50"/>
      <c r="N4165" s="50"/>
    </row>
    <row r="4166" spans="1:14" ht="46.8" x14ac:dyDescent="0.3">
      <c r="A4166" s="64" t="s">
        <v>102</v>
      </c>
      <c r="B4166" s="62" t="s">
        <v>912</v>
      </c>
      <c r="C4166" s="68" t="s">
        <v>1372</v>
      </c>
      <c r="D4166" s="68" t="s">
        <v>1477</v>
      </c>
      <c r="E4166" s="8" t="s">
        <v>339</v>
      </c>
      <c r="F4166" s="8"/>
      <c r="G4166" s="13" t="s">
        <v>844</v>
      </c>
      <c r="H4166" s="14">
        <f t="shared" ref="H4166:L4166" si="1841">H4167</f>
        <v>6233.5</v>
      </c>
      <c r="I4166" s="14">
        <f t="shared" si="1841"/>
        <v>5933.5</v>
      </c>
      <c r="J4166" s="14">
        <f t="shared" si="1841"/>
        <v>5933.5</v>
      </c>
      <c r="K4166" s="78">
        <f t="shared" si="1807"/>
        <v>100</v>
      </c>
      <c r="L4166" s="14">
        <f t="shared" si="1841"/>
        <v>0</v>
      </c>
      <c r="M4166" s="50"/>
      <c r="N4166" s="50"/>
    </row>
    <row r="4167" spans="1:14" ht="62.4" x14ac:dyDescent="0.3">
      <c r="A4167" s="64" t="s">
        <v>102</v>
      </c>
      <c r="B4167" s="62" t="s">
        <v>912</v>
      </c>
      <c r="C4167" s="68" t="s">
        <v>1372</v>
      </c>
      <c r="D4167" s="68" t="s">
        <v>1477</v>
      </c>
      <c r="E4167" s="8" t="s">
        <v>340</v>
      </c>
      <c r="F4167" s="8"/>
      <c r="G4167" s="13" t="s">
        <v>845</v>
      </c>
      <c r="H4167" s="14">
        <f>H4168+H4170</f>
        <v>6233.5</v>
      </c>
      <c r="I4167" s="14">
        <f>I4168+I4170</f>
        <v>5933.5</v>
      </c>
      <c r="J4167" s="14">
        <f t="shared" ref="J4167" si="1842">J4168+J4170</f>
        <v>5933.5</v>
      </c>
      <c r="K4167" s="78">
        <f t="shared" si="1807"/>
        <v>100</v>
      </c>
      <c r="L4167" s="14">
        <f>L4168+L4170</f>
        <v>0</v>
      </c>
      <c r="M4167" s="50"/>
      <c r="N4167" s="50"/>
    </row>
    <row r="4168" spans="1:14" ht="31.2" x14ac:dyDescent="0.3">
      <c r="A4168" s="64" t="s">
        <v>102</v>
      </c>
      <c r="B4168" s="62" t="s">
        <v>912</v>
      </c>
      <c r="C4168" s="68" t="s">
        <v>1372</v>
      </c>
      <c r="D4168" s="68" t="s">
        <v>1477</v>
      </c>
      <c r="E4168" s="8" t="s">
        <v>340</v>
      </c>
      <c r="F4168" s="45" t="s">
        <v>380</v>
      </c>
      <c r="G4168" s="23" t="s">
        <v>809</v>
      </c>
      <c r="H4168" s="14">
        <f t="shared" ref="H4168:L4168" si="1843">H4169</f>
        <v>2716.5</v>
      </c>
      <c r="I4168" s="14">
        <f t="shared" si="1843"/>
        <v>2716.5</v>
      </c>
      <c r="J4168" s="14">
        <f t="shared" si="1843"/>
        <v>2716.5</v>
      </c>
      <c r="K4168" s="78">
        <f t="shared" ref="K4168:K4231" si="1844">J4168/I4168*100</f>
        <v>100</v>
      </c>
      <c r="L4168" s="14">
        <f t="shared" si="1843"/>
        <v>0</v>
      </c>
      <c r="M4168" s="50"/>
      <c r="N4168" s="50"/>
    </row>
    <row r="4169" spans="1:14" ht="31.2" x14ac:dyDescent="0.3">
      <c r="A4169" s="64" t="s">
        <v>102</v>
      </c>
      <c r="B4169" s="62" t="s">
        <v>912</v>
      </c>
      <c r="C4169" s="68" t="s">
        <v>1372</v>
      </c>
      <c r="D4169" s="68" t="s">
        <v>1477</v>
      </c>
      <c r="E4169" s="8" t="s">
        <v>340</v>
      </c>
      <c r="F4169" s="8" t="s">
        <v>247</v>
      </c>
      <c r="G4169" s="23" t="s">
        <v>810</v>
      </c>
      <c r="H4169" s="14">
        <f>2740-11-12.5</f>
        <v>2716.5</v>
      </c>
      <c r="I4169" s="14">
        <v>2716.5</v>
      </c>
      <c r="J4169" s="14">
        <v>2716.5</v>
      </c>
      <c r="K4169" s="78">
        <f t="shared" si="1844"/>
        <v>100</v>
      </c>
      <c r="L4169" s="14"/>
      <c r="M4169" s="50"/>
      <c r="N4169" s="50"/>
    </row>
    <row r="4170" spans="1:14" ht="31.2" x14ac:dyDescent="0.3">
      <c r="A4170" s="64" t="s">
        <v>102</v>
      </c>
      <c r="B4170" s="62" t="s">
        <v>912</v>
      </c>
      <c r="C4170" s="68" t="s">
        <v>1372</v>
      </c>
      <c r="D4170" s="68" t="s">
        <v>1477</v>
      </c>
      <c r="E4170" s="8" t="s">
        <v>340</v>
      </c>
      <c r="F4170" s="45" t="s">
        <v>402</v>
      </c>
      <c r="G4170" s="23" t="s">
        <v>819</v>
      </c>
      <c r="H4170" s="14">
        <f t="shared" ref="H4170:L4170" si="1845">H4171</f>
        <v>3517</v>
      </c>
      <c r="I4170" s="14">
        <f t="shared" si="1845"/>
        <v>3217</v>
      </c>
      <c r="J4170" s="14">
        <f t="shared" si="1845"/>
        <v>3217</v>
      </c>
      <c r="K4170" s="78">
        <f t="shared" si="1844"/>
        <v>100</v>
      </c>
      <c r="L4170" s="14">
        <f t="shared" si="1845"/>
        <v>0</v>
      </c>
      <c r="M4170" s="50"/>
      <c r="N4170" s="50"/>
    </row>
    <row r="4171" spans="1:14" ht="46.8" x14ac:dyDescent="0.3">
      <c r="A4171" s="64" t="s">
        <v>102</v>
      </c>
      <c r="B4171" s="62" t="s">
        <v>912</v>
      </c>
      <c r="C4171" s="68" t="s">
        <v>1372</v>
      </c>
      <c r="D4171" s="68" t="s">
        <v>1477</v>
      </c>
      <c r="E4171" s="8" t="s">
        <v>340</v>
      </c>
      <c r="F4171" s="45" t="s">
        <v>280</v>
      </c>
      <c r="G4171" s="23" t="s">
        <v>821</v>
      </c>
      <c r="H4171" s="14">
        <v>3517</v>
      </c>
      <c r="I4171" s="14">
        <v>3217</v>
      </c>
      <c r="J4171" s="14">
        <v>3217</v>
      </c>
      <c r="K4171" s="78">
        <f t="shared" si="1844"/>
        <v>100</v>
      </c>
      <c r="L4171" s="14"/>
      <c r="M4171" s="50"/>
      <c r="N4171" s="50"/>
    </row>
    <row r="4172" spans="1:14" ht="46.8" x14ac:dyDescent="0.3">
      <c r="A4172" s="64" t="s">
        <v>102</v>
      </c>
      <c r="B4172" s="62" t="s">
        <v>912</v>
      </c>
      <c r="C4172" s="68" t="s">
        <v>1372</v>
      </c>
      <c r="D4172" s="68" t="s">
        <v>1477</v>
      </c>
      <c r="E4172" s="8" t="s">
        <v>341</v>
      </c>
      <c r="F4172" s="8"/>
      <c r="G4172" s="13" t="s">
        <v>846</v>
      </c>
      <c r="H4172" s="14">
        <f t="shared" ref="H4172:L4172" si="1846">H4173</f>
        <v>962.5</v>
      </c>
      <c r="I4172" s="14">
        <f t="shared" si="1846"/>
        <v>962.5</v>
      </c>
      <c r="J4172" s="14">
        <f t="shared" si="1846"/>
        <v>962.5</v>
      </c>
      <c r="K4172" s="78">
        <f t="shared" si="1844"/>
        <v>100</v>
      </c>
      <c r="L4172" s="14">
        <f t="shared" si="1846"/>
        <v>0</v>
      </c>
      <c r="M4172" s="50"/>
      <c r="N4172" s="50"/>
    </row>
    <row r="4173" spans="1:14" ht="62.4" x14ac:dyDescent="0.3">
      <c r="A4173" s="64" t="s">
        <v>102</v>
      </c>
      <c r="B4173" s="62" t="s">
        <v>912</v>
      </c>
      <c r="C4173" s="68" t="s">
        <v>1372</v>
      </c>
      <c r="D4173" s="68" t="s">
        <v>1477</v>
      </c>
      <c r="E4173" s="8" t="s">
        <v>342</v>
      </c>
      <c r="F4173" s="8"/>
      <c r="G4173" s="13" t="s">
        <v>847</v>
      </c>
      <c r="H4173" s="14">
        <f>H4174+H4176</f>
        <v>962.5</v>
      </c>
      <c r="I4173" s="14">
        <f>I4174+I4176</f>
        <v>962.5</v>
      </c>
      <c r="J4173" s="14">
        <f t="shared" ref="J4173" si="1847">J4174+J4176</f>
        <v>962.5</v>
      </c>
      <c r="K4173" s="78">
        <f t="shared" si="1844"/>
        <v>100</v>
      </c>
      <c r="L4173" s="14">
        <f>L4174+L4176</f>
        <v>0</v>
      </c>
      <c r="M4173" s="50"/>
      <c r="N4173" s="50"/>
    </row>
    <row r="4174" spans="1:14" ht="31.2" x14ac:dyDescent="0.3">
      <c r="A4174" s="64" t="s">
        <v>102</v>
      </c>
      <c r="B4174" s="62" t="s">
        <v>912</v>
      </c>
      <c r="C4174" s="68" t="s">
        <v>1372</v>
      </c>
      <c r="D4174" s="68" t="s">
        <v>1477</v>
      </c>
      <c r="E4174" s="8" t="s">
        <v>342</v>
      </c>
      <c r="F4174" s="45" t="s">
        <v>380</v>
      </c>
      <c r="G4174" s="23" t="s">
        <v>809</v>
      </c>
      <c r="H4174" s="14">
        <f t="shared" ref="H4174:L4174" si="1848">H4175</f>
        <v>37.5</v>
      </c>
      <c r="I4174" s="14">
        <f t="shared" si="1848"/>
        <v>37.5</v>
      </c>
      <c r="J4174" s="14">
        <f t="shared" si="1848"/>
        <v>37.5</v>
      </c>
      <c r="K4174" s="78">
        <f t="shared" si="1844"/>
        <v>100</v>
      </c>
      <c r="L4174" s="14">
        <f t="shared" si="1848"/>
        <v>0</v>
      </c>
      <c r="M4174" s="50"/>
      <c r="N4174" s="50"/>
    </row>
    <row r="4175" spans="1:14" ht="31.2" x14ac:dyDescent="0.3">
      <c r="A4175" s="64" t="s">
        <v>102</v>
      </c>
      <c r="B4175" s="62" t="s">
        <v>912</v>
      </c>
      <c r="C4175" s="68" t="s">
        <v>1372</v>
      </c>
      <c r="D4175" s="68" t="s">
        <v>1477</v>
      </c>
      <c r="E4175" s="8" t="s">
        <v>342</v>
      </c>
      <c r="F4175" s="8" t="s">
        <v>247</v>
      </c>
      <c r="G4175" s="23" t="s">
        <v>810</v>
      </c>
      <c r="H4175" s="14">
        <f>50-12.5</f>
        <v>37.5</v>
      </c>
      <c r="I4175" s="14">
        <v>37.5</v>
      </c>
      <c r="J4175" s="14">
        <v>37.5</v>
      </c>
      <c r="K4175" s="78">
        <f t="shared" si="1844"/>
        <v>100</v>
      </c>
      <c r="L4175" s="14"/>
      <c r="M4175" s="50"/>
      <c r="N4175" s="50"/>
    </row>
    <row r="4176" spans="1:14" ht="31.2" x14ac:dyDescent="0.3">
      <c r="A4176" s="64" t="s">
        <v>102</v>
      </c>
      <c r="B4176" s="62" t="s">
        <v>912</v>
      </c>
      <c r="C4176" s="68" t="s">
        <v>1372</v>
      </c>
      <c r="D4176" s="68" t="s">
        <v>1477</v>
      </c>
      <c r="E4176" s="8" t="s">
        <v>342</v>
      </c>
      <c r="F4176" s="45" t="s">
        <v>402</v>
      </c>
      <c r="G4176" s="23" t="s">
        <v>819</v>
      </c>
      <c r="H4176" s="14">
        <f t="shared" ref="H4176:L4176" si="1849">H4177</f>
        <v>925</v>
      </c>
      <c r="I4176" s="14">
        <f t="shared" si="1849"/>
        <v>925</v>
      </c>
      <c r="J4176" s="14">
        <f t="shared" si="1849"/>
        <v>925</v>
      </c>
      <c r="K4176" s="78">
        <f t="shared" si="1844"/>
        <v>100</v>
      </c>
      <c r="L4176" s="14">
        <f t="shared" si="1849"/>
        <v>0</v>
      </c>
      <c r="M4176" s="50"/>
      <c r="N4176" s="50"/>
    </row>
    <row r="4177" spans="1:14" ht="46.8" x14ac:dyDescent="0.3">
      <c r="A4177" s="64" t="s">
        <v>102</v>
      </c>
      <c r="B4177" s="62" t="s">
        <v>912</v>
      </c>
      <c r="C4177" s="68" t="s">
        <v>1372</v>
      </c>
      <c r="D4177" s="68" t="s">
        <v>1477</v>
      </c>
      <c r="E4177" s="8" t="s">
        <v>342</v>
      </c>
      <c r="F4177" s="45" t="s">
        <v>280</v>
      </c>
      <c r="G4177" s="23" t="s">
        <v>821</v>
      </c>
      <c r="H4177" s="14">
        <v>925</v>
      </c>
      <c r="I4177" s="14">
        <v>925</v>
      </c>
      <c r="J4177" s="14">
        <v>925</v>
      </c>
      <c r="K4177" s="78">
        <f t="shared" si="1844"/>
        <v>100</v>
      </c>
      <c r="L4177" s="14"/>
      <c r="M4177" s="50"/>
      <c r="N4177" s="50"/>
    </row>
    <row r="4178" spans="1:14" x14ac:dyDescent="0.3">
      <c r="A4178" s="64" t="s">
        <v>102</v>
      </c>
      <c r="B4178" s="62" t="s">
        <v>912</v>
      </c>
      <c r="C4178" s="68" t="s">
        <v>1372</v>
      </c>
      <c r="D4178" s="68" t="s">
        <v>1477</v>
      </c>
      <c r="E4178" s="8" t="s">
        <v>354</v>
      </c>
      <c r="F4178" s="8"/>
      <c r="G4178" s="13" t="s">
        <v>869</v>
      </c>
      <c r="H4178" s="14">
        <f>H4179+H4193</f>
        <v>31059.466999999997</v>
      </c>
      <c r="I4178" s="14">
        <f>I4179+I4193</f>
        <v>31060.691500000001</v>
      </c>
      <c r="J4178" s="14">
        <f t="shared" ref="J4178" si="1850">J4179+J4193</f>
        <v>31035.010490000001</v>
      </c>
      <c r="K4178" s="78">
        <f t="shared" si="1844"/>
        <v>99.91731990255272</v>
      </c>
      <c r="L4178" s="14">
        <f>L4179+L4193</f>
        <v>0</v>
      </c>
      <c r="M4178" s="50"/>
      <c r="N4178" s="50"/>
    </row>
    <row r="4179" spans="1:14" ht="46.8" x14ac:dyDescent="0.3">
      <c r="A4179" s="64" t="s">
        <v>102</v>
      </c>
      <c r="B4179" s="62" t="s">
        <v>912</v>
      </c>
      <c r="C4179" s="68" t="s">
        <v>1372</v>
      </c>
      <c r="D4179" s="68" t="s">
        <v>1477</v>
      </c>
      <c r="E4179" s="8" t="s">
        <v>648</v>
      </c>
      <c r="F4179" s="8"/>
      <c r="G4179" s="13" t="s">
        <v>870</v>
      </c>
      <c r="H4179" s="14">
        <f>H4180+H4183</f>
        <v>29595.060999999998</v>
      </c>
      <c r="I4179" s="14">
        <f>I4180+I4183</f>
        <v>29595.0605</v>
      </c>
      <c r="J4179" s="14">
        <f t="shared" ref="J4179" si="1851">J4180+J4183</f>
        <v>29569.380250000002</v>
      </c>
      <c r="K4179" s="78">
        <f t="shared" si="1844"/>
        <v>99.913227918557567</v>
      </c>
      <c r="L4179" s="14">
        <f>L4180+L4183</f>
        <v>0</v>
      </c>
      <c r="M4179" s="50"/>
      <c r="N4179" s="50"/>
    </row>
    <row r="4180" spans="1:14" ht="46.8" x14ac:dyDescent="0.3">
      <c r="A4180" s="64" t="s">
        <v>102</v>
      </c>
      <c r="B4180" s="62" t="s">
        <v>912</v>
      </c>
      <c r="C4180" s="68" t="s">
        <v>1372</v>
      </c>
      <c r="D4180" s="68" t="s">
        <v>1477</v>
      </c>
      <c r="E4180" s="8" t="s">
        <v>649</v>
      </c>
      <c r="F4180" s="8"/>
      <c r="G4180" s="13" t="s">
        <v>1304</v>
      </c>
      <c r="H4180" s="14">
        <f t="shared" ref="H4180:L4181" si="1852">H4181</f>
        <v>198</v>
      </c>
      <c r="I4180" s="14">
        <f t="shared" si="1852"/>
        <v>198</v>
      </c>
      <c r="J4180" s="14">
        <f t="shared" si="1852"/>
        <v>198</v>
      </c>
      <c r="K4180" s="78">
        <f t="shared" si="1844"/>
        <v>100</v>
      </c>
      <c r="L4180" s="14">
        <f t="shared" si="1852"/>
        <v>0</v>
      </c>
      <c r="M4180" s="50"/>
      <c r="N4180" s="50"/>
    </row>
    <row r="4181" spans="1:14" ht="39.6" customHeight="1" x14ac:dyDescent="0.3">
      <c r="A4181" s="64" t="s">
        <v>102</v>
      </c>
      <c r="B4181" s="62" t="s">
        <v>912</v>
      </c>
      <c r="C4181" s="68" t="s">
        <v>1372</v>
      </c>
      <c r="D4181" s="68" t="s">
        <v>1477</v>
      </c>
      <c r="E4181" s="8" t="s">
        <v>649</v>
      </c>
      <c r="F4181" s="45" t="s">
        <v>380</v>
      </c>
      <c r="G4181" s="23" t="s">
        <v>809</v>
      </c>
      <c r="H4181" s="14">
        <f t="shared" si="1852"/>
        <v>198</v>
      </c>
      <c r="I4181" s="14">
        <f t="shared" si="1852"/>
        <v>198</v>
      </c>
      <c r="J4181" s="14">
        <f t="shared" si="1852"/>
        <v>198</v>
      </c>
      <c r="K4181" s="78">
        <f t="shared" si="1844"/>
        <v>100</v>
      </c>
      <c r="L4181" s="14">
        <f t="shared" si="1852"/>
        <v>0</v>
      </c>
      <c r="M4181" s="50"/>
      <c r="N4181" s="50"/>
    </row>
    <row r="4182" spans="1:14" ht="31.2" x14ac:dyDescent="0.3">
      <c r="A4182" s="64" t="s">
        <v>102</v>
      </c>
      <c r="B4182" s="62" t="s">
        <v>912</v>
      </c>
      <c r="C4182" s="68" t="s">
        <v>1372</v>
      </c>
      <c r="D4182" s="68" t="s">
        <v>1477</v>
      </c>
      <c r="E4182" s="8" t="s">
        <v>649</v>
      </c>
      <c r="F4182" s="8" t="s">
        <v>247</v>
      </c>
      <c r="G4182" s="23" t="s">
        <v>810</v>
      </c>
      <c r="H4182" s="14">
        <v>198</v>
      </c>
      <c r="I4182" s="14">
        <v>198</v>
      </c>
      <c r="J4182" s="14">
        <v>198</v>
      </c>
      <c r="K4182" s="78">
        <f t="shared" si="1844"/>
        <v>100</v>
      </c>
      <c r="L4182" s="14"/>
      <c r="M4182" s="50"/>
      <c r="N4182" s="50"/>
    </row>
    <row r="4183" spans="1:14" ht="46.8" x14ac:dyDescent="0.3">
      <c r="A4183" s="64" t="s">
        <v>102</v>
      </c>
      <c r="B4183" s="62" t="s">
        <v>912</v>
      </c>
      <c r="C4183" s="68" t="s">
        <v>1372</v>
      </c>
      <c r="D4183" s="68" t="s">
        <v>1477</v>
      </c>
      <c r="E4183" s="8" t="s">
        <v>1305</v>
      </c>
      <c r="F4183" s="8"/>
      <c r="G4183" s="18" t="s">
        <v>115</v>
      </c>
      <c r="H4183" s="14">
        <f>H4184+H4187+H4190</f>
        <v>29397.060999999998</v>
      </c>
      <c r="I4183" s="14">
        <f>I4184+I4187+I4190</f>
        <v>29397.0605</v>
      </c>
      <c r="J4183" s="14">
        <f t="shared" ref="J4183" si="1853">J4184+J4187+J4190</f>
        <v>29371.380250000002</v>
      </c>
      <c r="K4183" s="78">
        <f t="shared" si="1844"/>
        <v>99.91264347671769</v>
      </c>
      <c r="L4183" s="14">
        <f>L4184+L4187+L4190</f>
        <v>0</v>
      </c>
      <c r="M4183" s="50"/>
      <c r="N4183" s="50"/>
    </row>
    <row r="4184" spans="1:14" ht="62.4" x14ac:dyDescent="0.3">
      <c r="A4184" s="64" t="s">
        <v>102</v>
      </c>
      <c r="B4184" s="62" t="s">
        <v>912</v>
      </c>
      <c r="C4184" s="68" t="s">
        <v>1372</v>
      </c>
      <c r="D4184" s="68" t="s">
        <v>1477</v>
      </c>
      <c r="E4184" s="8" t="s">
        <v>1309</v>
      </c>
      <c r="F4184" s="8"/>
      <c r="G4184" s="13" t="s">
        <v>871</v>
      </c>
      <c r="H4184" s="14">
        <f t="shared" ref="H4184:L4185" si="1854">H4185</f>
        <v>1201</v>
      </c>
      <c r="I4184" s="14">
        <f t="shared" si="1854"/>
        <v>1201</v>
      </c>
      <c r="J4184" s="14">
        <f t="shared" si="1854"/>
        <v>1175.32</v>
      </c>
      <c r="K4184" s="78">
        <f t="shared" si="1844"/>
        <v>97.861781848459614</v>
      </c>
      <c r="L4184" s="14">
        <f t="shared" si="1854"/>
        <v>0</v>
      </c>
      <c r="M4184" s="50"/>
      <c r="N4184" s="50"/>
    </row>
    <row r="4185" spans="1:14" ht="31.2" x14ac:dyDescent="0.3">
      <c r="A4185" s="64" t="s">
        <v>102</v>
      </c>
      <c r="B4185" s="62" t="s">
        <v>912</v>
      </c>
      <c r="C4185" s="68" t="s">
        <v>1372</v>
      </c>
      <c r="D4185" s="68" t="s">
        <v>1477</v>
      </c>
      <c r="E4185" s="8" t="s">
        <v>1309</v>
      </c>
      <c r="F4185" s="45" t="s">
        <v>380</v>
      </c>
      <c r="G4185" s="23" t="s">
        <v>809</v>
      </c>
      <c r="H4185" s="14">
        <f t="shared" si="1854"/>
        <v>1201</v>
      </c>
      <c r="I4185" s="14">
        <f t="shared" si="1854"/>
        <v>1201</v>
      </c>
      <c r="J4185" s="14">
        <f t="shared" si="1854"/>
        <v>1175.32</v>
      </c>
      <c r="K4185" s="78">
        <f t="shared" si="1844"/>
        <v>97.861781848459614</v>
      </c>
      <c r="L4185" s="14">
        <f t="shared" si="1854"/>
        <v>0</v>
      </c>
      <c r="M4185" s="50"/>
      <c r="N4185" s="50"/>
    </row>
    <row r="4186" spans="1:14" ht="31.2" x14ac:dyDescent="0.3">
      <c r="A4186" s="64" t="s">
        <v>102</v>
      </c>
      <c r="B4186" s="62" t="s">
        <v>912</v>
      </c>
      <c r="C4186" s="68" t="s">
        <v>1372</v>
      </c>
      <c r="D4186" s="68" t="s">
        <v>1477</v>
      </c>
      <c r="E4186" s="8" t="s">
        <v>1309</v>
      </c>
      <c r="F4186" s="8" t="s">
        <v>247</v>
      </c>
      <c r="G4186" s="23" t="s">
        <v>810</v>
      </c>
      <c r="H4186" s="14">
        <v>1201</v>
      </c>
      <c r="I4186" s="14">
        <v>1201</v>
      </c>
      <c r="J4186" s="14">
        <v>1175.32</v>
      </c>
      <c r="K4186" s="78">
        <f t="shared" si="1844"/>
        <v>97.861781848459614</v>
      </c>
      <c r="L4186" s="14"/>
      <c r="M4186" s="50"/>
      <c r="N4186" s="50"/>
    </row>
    <row r="4187" spans="1:14" ht="31.2" x14ac:dyDescent="0.3">
      <c r="A4187" s="64" t="s">
        <v>102</v>
      </c>
      <c r="B4187" s="62" t="s">
        <v>912</v>
      </c>
      <c r="C4187" s="68" t="s">
        <v>1372</v>
      </c>
      <c r="D4187" s="68" t="s">
        <v>1477</v>
      </c>
      <c r="E4187" s="8" t="s">
        <v>1307</v>
      </c>
      <c r="F4187" s="8"/>
      <c r="G4187" s="18" t="s">
        <v>758</v>
      </c>
      <c r="H4187" s="14">
        <f t="shared" ref="H4187:L4188" si="1855">H4188</f>
        <v>7667.2</v>
      </c>
      <c r="I4187" s="14">
        <f t="shared" si="1855"/>
        <v>7667.2</v>
      </c>
      <c r="J4187" s="14">
        <f t="shared" si="1855"/>
        <v>7667.2</v>
      </c>
      <c r="K4187" s="78">
        <f t="shared" si="1844"/>
        <v>100</v>
      </c>
      <c r="L4187" s="14">
        <f t="shared" si="1855"/>
        <v>0</v>
      </c>
      <c r="M4187" s="50"/>
      <c r="N4187" s="50"/>
    </row>
    <row r="4188" spans="1:14" ht="31.2" x14ac:dyDescent="0.3">
      <c r="A4188" s="64" t="s">
        <v>102</v>
      </c>
      <c r="B4188" s="62" t="s">
        <v>912</v>
      </c>
      <c r="C4188" s="68" t="s">
        <v>1372</v>
      </c>
      <c r="D4188" s="68" t="s">
        <v>1477</v>
      </c>
      <c r="E4188" s="8" t="s">
        <v>1307</v>
      </c>
      <c r="F4188" s="45" t="s">
        <v>402</v>
      </c>
      <c r="G4188" s="23" t="s">
        <v>819</v>
      </c>
      <c r="H4188" s="14">
        <f t="shared" si="1855"/>
        <v>7667.2</v>
      </c>
      <c r="I4188" s="14">
        <f t="shared" si="1855"/>
        <v>7667.2</v>
      </c>
      <c r="J4188" s="14">
        <f t="shared" si="1855"/>
        <v>7667.2</v>
      </c>
      <c r="K4188" s="78">
        <f t="shared" si="1844"/>
        <v>100</v>
      </c>
      <c r="L4188" s="14">
        <f t="shared" si="1855"/>
        <v>0</v>
      </c>
      <c r="M4188" s="50"/>
      <c r="N4188" s="50"/>
    </row>
    <row r="4189" spans="1:14" ht="46.8" x14ac:dyDescent="0.3">
      <c r="A4189" s="64" t="s">
        <v>102</v>
      </c>
      <c r="B4189" s="62" t="s">
        <v>912</v>
      </c>
      <c r="C4189" s="68" t="s">
        <v>1372</v>
      </c>
      <c r="D4189" s="68" t="s">
        <v>1477</v>
      </c>
      <c r="E4189" s="8" t="s">
        <v>1307</v>
      </c>
      <c r="F4189" s="45" t="s">
        <v>280</v>
      </c>
      <c r="G4189" s="23" t="s">
        <v>821</v>
      </c>
      <c r="H4189" s="14">
        <v>7667.2</v>
      </c>
      <c r="I4189" s="14">
        <v>7667.2</v>
      </c>
      <c r="J4189" s="14">
        <v>7667.2</v>
      </c>
      <c r="K4189" s="78">
        <f t="shared" si="1844"/>
        <v>100</v>
      </c>
      <c r="L4189" s="14"/>
      <c r="M4189" s="50"/>
      <c r="N4189" s="50"/>
    </row>
    <row r="4190" spans="1:14" ht="62.4" x14ac:dyDescent="0.3">
      <c r="A4190" s="64" t="s">
        <v>102</v>
      </c>
      <c r="B4190" s="62" t="s">
        <v>912</v>
      </c>
      <c r="C4190" s="68" t="s">
        <v>1372</v>
      </c>
      <c r="D4190" s="68" t="s">
        <v>1477</v>
      </c>
      <c r="E4190" s="8" t="s">
        <v>1308</v>
      </c>
      <c r="F4190" s="8"/>
      <c r="G4190" s="13" t="s">
        <v>301</v>
      </c>
      <c r="H4190" s="14">
        <f t="shared" ref="H4190:L4191" si="1856">H4191</f>
        <v>20528.860999999997</v>
      </c>
      <c r="I4190" s="14">
        <f t="shared" si="1856"/>
        <v>20528.860499999999</v>
      </c>
      <c r="J4190" s="14">
        <f t="shared" si="1856"/>
        <v>20528.860250000002</v>
      </c>
      <c r="K4190" s="78">
        <f t="shared" si="1844"/>
        <v>99.999998782202269</v>
      </c>
      <c r="L4190" s="14">
        <f t="shared" si="1856"/>
        <v>0</v>
      </c>
      <c r="M4190" s="50"/>
      <c r="N4190" s="50"/>
    </row>
    <row r="4191" spans="1:14" ht="31.2" x14ac:dyDescent="0.3">
      <c r="A4191" s="64" t="s">
        <v>102</v>
      </c>
      <c r="B4191" s="62" t="s">
        <v>912</v>
      </c>
      <c r="C4191" s="68" t="s">
        <v>1372</v>
      </c>
      <c r="D4191" s="68" t="s">
        <v>1477</v>
      </c>
      <c r="E4191" s="8" t="s">
        <v>1308</v>
      </c>
      <c r="F4191" s="45" t="s">
        <v>402</v>
      </c>
      <c r="G4191" s="23" t="s">
        <v>819</v>
      </c>
      <c r="H4191" s="14">
        <f t="shared" si="1856"/>
        <v>20528.860999999997</v>
      </c>
      <c r="I4191" s="14">
        <f t="shared" si="1856"/>
        <v>20528.860499999999</v>
      </c>
      <c r="J4191" s="14">
        <f t="shared" si="1856"/>
        <v>20528.860250000002</v>
      </c>
      <c r="K4191" s="78">
        <f t="shared" si="1844"/>
        <v>99.999998782202269</v>
      </c>
      <c r="L4191" s="14">
        <f t="shared" si="1856"/>
        <v>0</v>
      </c>
      <c r="M4191" s="50"/>
      <c r="N4191" s="50"/>
    </row>
    <row r="4192" spans="1:14" ht="46.8" x14ac:dyDescent="0.3">
      <c r="A4192" s="64" t="s">
        <v>102</v>
      </c>
      <c r="B4192" s="62" t="s">
        <v>912</v>
      </c>
      <c r="C4192" s="68" t="s">
        <v>1372</v>
      </c>
      <c r="D4192" s="68" t="s">
        <v>1477</v>
      </c>
      <c r="E4192" s="8" t="s">
        <v>1308</v>
      </c>
      <c r="F4192" s="45" t="s">
        <v>280</v>
      </c>
      <c r="G4192" s="23" t="s">
        <v>821</v>
      </c>
      <c r="H4192" s="14">
        <f>22384.939-1856.078</f>
        <v>20528.860999999997</v>
      </c>
      <c r="I4192" s="14">
        <v>20528.860499999999</v>
      </c>
      <c r="J4192" s="14">
        <v>20528.860250000002</v>
      </c>
      <c r="K4192" s="78">
        <f t="shared" si="1844"/>
        <v>99.999998782202269</v>
      </c>
      <c r="L4192" s="14"/>
      <c r="M4192" s="50"/>
      <c r="N4192" s="50"/>
    </row>
    <row r="4193" spans="1:14" ht="31.2" x14ac:dyDescent="0.3">
      <c r="A4193" s="64" t="s">
        <v>102</v>
      </c>
      <c r="B4193" s="62" t="s">
        <v>912</v>
      </c>
      <c r="C4193" s="68" t="s">
        <v>1372</v>
      </c>
      <c r="D4193" s="68" t="s">
        <v>1477</v>
      </c>
      <c r="E4193" s="8" t="s">
        <v>1310</v>
      </c>
      <c r="F4193" s="8"/>
      <c r="G4193" s="18" t="s">
        <v>116</v>
      </c>
      <c r="H4193" s="14">
        <f t="shared" ref="H4193:L4194" si="1857">H4194</f>
        <v>1464.4059999999999</v>
      </c>
      <c r="I4193" s="14">
        <f t="shared" si="1857"/>
        <v>1465.6309999999999</v>
      </c>
      <c r="J4193" s="14">
        <f t="shared" si="1857"/>
        <v>1465.63024</v>
      </c>
      <c r="K4193" s="78">
        <f t="shared" si="1844"/>
        <v>99.999948145201628</v>
      </c>
      <c r="L4193" s="14">
        <f t="shared" si="1857"/>
        <v>0</v>
      </c>
      <c r="M4193" s="50"/>
      <c r="N4193" s="50"/>
    </row>
    <row r="4194" spans="1:14" ht="78" x14ac:dyDescent="0.3">
      <c r="A4194" s="64" t="s">
        <v>102</v>
      </c>
      <c r="B4194" s="62" t="s">
        <v>912</v>
      </c>
      <c r="C4194" s="68" t="s">
        <v>1372</v>
      </c>
      <c r="D4194" s="68" t="s">
        <v>1477</v>
      </c>
      <c r="E4194" s="8" t="s">
        <v>1311</v>
      </c>
      <c r="F4194" s="8"/>
      <c r="G4194" s="13" t="s">
        <v>873</v>
      </c>
      <c r="H4194" s="14">
        <f t="shared" si="1857"/>
        <v>1464.4059999999999</v>
      </c>
      <c r="I4194" s="14">
        <f t="shared" si="1857"/>
        <v>1465.6309999999999</v>
      </c>
      <c r="J4194" s="14">
        <f t="shared" si="1857"/>
        <v>1465.63024</v>
      </c>
      <c r="K4194" s="78">
        <f t="shared" si="1844"/>
        <v>99.999948145201628</v>
      </c>
      <c r="L4194" s="14">
        <f t="shared" si="1857"/>
        <v>0</v>
      </c>
      <c r="M4194" s="50"/>
      <c r="N4194" s="50"/>
    </row>
    <row r="4195" spans="1:14" ht="78" x14ac:dyDescent="0.3">
      <c r="A4195" s="64" t="s">
        <v>102</v>
      </c>
      <c r="B4195" s="62" t="s">
        <v>912</v>
      </c>
      <c r="C4195" s="68" t="s">
        <v>1372</v>
      </c>
      <c r="D4195" s="68" t="s">
        <v>1477</v>
      </c>
      <c r="E4195" s="8" t="s">
        <v>1313</v>
      </c>
      <c r="F4195" s="8"/>
      <c r="G4195" s="13" t="s">
        <v>875</v>
      </c>
      <c r="H4195" s="14">
        <f>H4196+H4198</f>
        <v>1464.4059999999999</v>
      </c>
      <c r="I4195" s="14">
        <f>I4196+I4198</f>
        <v>1465.6309999999999</v>
      </c>
      <c r="J4195" s="14">
        <f t="shared" ref="J4195" si="1858">J4196+J4198</f>
        <v>1465.63024</v>
      </c>
      <c r="K4195" s="78">
        <f t="shared" si="1844"/>
        <v>99.999948145201628</v>
      </c>
      <c r="L4195" s="14">
        <f>L4196+L4198</f>
        <v>0</v>
      </c>
      <c r="M4195" s="50"/>
      <c r="N4195" s="50"/>
    </row>
    <row r="4196" spans="1:14" ht="31.2" x14ac:dyDescent="0.3">
      <c r="A4196" s="64" t="s">
        <v>102</v>
      </c>
      <c r="B4196" s="62" t="s">
        <v>912</v>
      </c>
      <c r="C4196" s="68" t="s">
        <v>1372</v>
      </c>
      <c r="D4196" s="68" t="s">
        <v>1477</v>
      </c>
      <c r="E4196" s="8" t="s">
        <v>1313</v>
      </c>
      <c r="F4196" s="45" t="s">
        <v>380</v>
      </c>
      <c r="G4196" s="23" t="s">
        <v>809</v>
      </c>
      <c r="H4196" s="14">
        <f t="shared" ref="H4196:L4196" si="1859">H4197</f>
        <v>954.40599999999995</v>
      </c>
      <c r="I4196" s="14">
        <f t="shared" si="1859"/>
        <v>955.63099999999997</v>
      </c>
      <c r="J4196" s="14">
        <f t="shared" si="1859"/>
        <v>955.63023999999996</v>
      </c>
      <c r="K4196" s="78">
        <f t="shared" si="1844"/>
        <v>99.999920471395342</v>
      </c>
      <c r="L4196" s="14">
        <f t="shared" si="1859"/>
        <v>0</v>
      </c>
      <c r="M4196" s="50"/>
      <c r="N4196" s="50"/>
    </row>
    <row r="4197" spans="1:14" ht="31.2" x14ac:dyDescent="0.3">
      <c r="A4197" s="64" t="s">
        <v>102</v>
      </c>
      <c r="B4197" s="62" t="s">
        <v>912</v>
      </c>
      <c r="C4197" s="68" t="s">
        <v>1372</v>
      </c>
      <c r="D4197" s="68" t="s">
        <v>1477</v>
      </c>
      <c r="E4197" s="8" t="s">
        <v>1313</v>
      </c>
      <c r="F4197" s="8" t="s">
        <v>247</v>
      </c>
      <c r="G4197" s="23" t="s">
        <v>810</v>
      </c>
      <c r="H4197" s="14">
        <f>721.2+257.493-0.5-23.787</f>
        <v>954.40599999999995</v>
      </c>
      <c r="I4197" s="14">
        <v>955.63099999999997</v>
      </c>
      <c r="J4197" s="14">
        <v>955.63023999999996</v>
      </c>
      <c r="K4197" s="78">
        <f t="shared" si="1844"/>
        <v>99.999920471395342</v>
      </c>
      <c r="L4197" s="14"/>
      <c r="M4197" s="50"/>
      <c r="N4197" s="50"/>
    </row>
    <row r="4198" spans="1:14" ht="31.2" x14ac:dyDescent="0.3">
      <c r="A4198" s="64" t="s">
        <v>102</v>
      </c>
      <c r="B4198" s="62" t="s">
        <v>912</v>
      </c>
      <c r="C4198" s="68" t="s">
        <v>1372</v>
      </c>
      <c r="D4198" s="68" t="s">
        <v>1477</v>
      </c>
      <c r="E4198" s="8" t="s">
        <v>1313</v>
      </c>
      <c r="F4198" s="45" t="s">
        <v>402</v>
      </c>
      <c r="G4198" s="23" t="s">
        <v>819</v>
      </c>
      <c r="H4198" s="14">
        <f t="shared" ref="H4198:L4198" si="1860">H4199</f>
        <v>510</v>
      </c>
      <c r="I4198" s="14">
        <f t="shared" si="1860"/>
        <v>510</v>
      </c>
      <c r="J4198" s="14">
        <f t="shared" si="1860"/>
        <v>510</v>
      </c>
      <c r="K4198" s="78">
        <f t="shared" si="1844"/>
        <v>100</v>
      </c>
      <c r="L4198" s="14">
        <f t="shared" si="1860"/>
        <v>0</v>
      </c>
      <c r="M4198" s="50"/>
      <c r="N4198" s="50"/>
    </row>
    <row r="4199" spans="1:14" ht="46.8" x14ac:dyDescent="0.3">
      <c r="A4199" s="64" t="s">
        <v>102</v>
      </c>
      <c r="B4199" s="62" t="s">
        <v>912</v>
      </c>
      <c r="C4199" s="68" t="s">
        <v>1372</v>
      </c>
      <c r="D4199" s="68" t="s">
        <v>1477</v>
      </c>
      <c r="E4199" s="8" t="s">
        <v>1313</v>
      </c>
      <c r="F4199" s="45" t="s">
        <v>280</v>
      </c>
      <c r="G4199" s="23" t="s">
        <v>821</v>
      </c>
      <c r="H4199" s="14">
        <v>510</v>
      </c>
      <c r="I4199" s="14">
        <v>510</v>
      </c>
      <c r="J4199" s="14">
        <v>510</v>
      </c>
      <c r="K4199" s="78">
        <f t="shared" si="1844"/>
        <v>100</v>
      </c>
      <c r="L4199" s="14"/>
      <c r="M4199" s="50"/>
      <c r="N4199" s="50"/>
    </row>
    <row r="4200" spans="1:14" ht="31.2" x14ac:dyDescent="0.3">
      <c r="A4200" s="64" t="s">
        <v>102</v>
      </c>
      <c r="B4200" s="62" t="s">
        <v>912</v>
      </c>
      <c r="C4200" s="68" t="s">
        <v>1372</v>
      </c>
      <c r="D4200" s="68" t="s">
        <v>1477</v>
      </c>
      <c r="E4200" s="8" t="s">
        <v>438</v>
      </c>
      <c r="F4200" s="8"/>
      <c r="G4200" s="18" t="s">
        <v>891</v>
      </c>
      <c r="H4200" s="14">
        <f t="shared" ref="H4200:L4204" si="1861">H4201</f>
        <v>845</v>
      </c>
      <c r="I4200" s="14">
        <f t="shared" si="1861"/>
        <v>845</v>
      </c>
      <c r="J4200" s="14">
        <f t="shared" si="1861"/>
        <v>845</v>
      </c>
      <c r="K4200" s="78">
        <f t="shared" si="1844"/>
        <v>100</v>
      </c>
      <c r="L4200" s="14">
        <f t="shared" si="1861"/>
        <v>0</v>
      </c>
      <c r="M4200" s="50"/>
      <c r="N4200" s="50"/>
    </row>
    <row r="4201" spans="1:14" ht="46.8" x14ac:dyDescent="0.3">
      <c r="A4201" s="64" t="s">
        <v>102</v>
      </c>
      <c r="B4201" s="62" t="s">
        <v>912</v>
      </c>
      <c r="C4201" s="68" t="s">
        <v>1372</v>
      </c>
      <c r="D4201" s="68" t="s">
        <v>1477</v>
      </c>
      <c r="E4201" s="8" t="s">
        <v>439</v>
      </c>
      <c r="F4201" s="8"/>
      <c r="G4201" s="18" t="s">
        <v>119</v>
      </c>
      <c r="H4201" s="14">
        <f t="shared" si="1861"/>
        <v>845</v>
      </c>
      <c r="I4201" s="14">
        <f t="shared" si="1861"/>
        <v>845</v>
      </c>
      <c r="J4201" s="14">
        <f t="shared" si="1861"/>
        <v>845</v>
      </c>
      <c r="K4201" s="78">
        <f t="shared" si="1844"/>
        <v>100</v>
      </c>
      <c r="L4201" s="14">
        <f t="shared" si="1861"/>
        <v>0</v>
      </c>
      <c r="M4201" s="50"/>
      <c r="N4201" s="50"/>
    </row>
    <row r="4202" spans="1:14" ht="46.8" x14ac:dyDescent="0.3">
      <c r="A4202" s="64" t="s">
        <v>102</v>
      </c>
      <c r="B4202" s="62" t="s">
        <v>912</v>
      </c>
      <c r="C4202" s="68" t="s">
        <v>1372</v>
      </c>
      <c r="D4202" s="68" t="s">
        <v>1477</v>
      </c>
      <c r="E4202" s="8" t="s">
        <v>440</v>
      </c>
      <c r="F4202" s="8"/>
      <c r="G4202" s="18" t="s">
        <v>120</v>
      </c>
      <c r="H4202" s="14">
        <f t="shared" si="1861"/>
        <v>845</v>
      </c>
      <c r="I4202" s="14">
        <f t="shared" si="1861"/>
        <v>845</v>
      </c>
      <c r="J4202" s="14">
        <f t="shared" si="1861"/>
        <v>845</v>
      </c>
      <c r="K4202" s="78">
        <f t="shared" si="1844"/>
        <v>100</v>
      </c>
      <c r="L4202" s="14">
        <f t="shared" si="1861"/>
        <v>0</v>
      </c>
      <c r="M4202" s="50"/>
      <c r="N4202" s="50"/>
    </row>
    <row r="4203" spans="1:14" ht="31.2" x14ac:dyDescent="0.3">
      <c r="A4203" s="64" t="s">
        <v>102</v>
      </c>
      <c r="B4203" s="62" t="s">
        <v>912</v>
      </c>
      <c r="C4203" s="68" t="s">
        <v>1372</v>
      </c>
      <c r="D4203" s="68" t="s">
        <v>1477</v>
      </c>
      <c r="E4203" s="8" t="s">
        <v>650</v>
      </c>
      <c r="F4203" s="8"/>
      <c r="G4203" s="13" t="s">
        <v>892</v>
      </c>
      <c r="H4203" s="14">
        <f t="shared" si="1861"/>
        <v>845</v>
      </c>
      <c r="I4203" s="14">
        <f t="shared" si="1861"/>
        <v>845</v>
      </c>
      <c r="J4203" s="14">
        <f t="shared" si="1861"/>
        <v>845</v>
      </c>
      <c r="K4203" s="78">
        <f t="shared" si="1844"/>
        <v>100</v>
      </c>
      <c r="L4203" s="14">
        <f t="shared" si="1861"/>
        <v>0</v>
      </c>
      <c r="M4203" s="50"/>
      <c r="N4203" s="50"/>
    </row>
    <row r="4204" spans="1:14" ht="31.2" x14ac:dyDescent="0.3">
      <c r="A4204" s="64" t="s">
        <v>102</v>
      </c>
      <c r="B4204" s="62" t="s">
        <v>912</v>
      </c>
      <c r="C4204" s="68" t="s">
        <v>1372</v>
      </c>
      <c r="D4204" s="68" t="s">
        <v>1477</v>
      </c>
      <c r="E4204" s="8" t="s">
        <v>650</v>
      </c>
      <c r="F4204" s="45" t="s">
        <v>380</v>
      </c>
      <c r="G4204" s="23" t="s">
        <v>809</v>
      </c>
      <c r="H4204" s="14">
        <f t="shared" si="1861"/>
        <v>845</v>
      </c>
      <c r="I4204" s="14">
        <f t="shared" si="1861"/>
        <v>845</v>
      </c>
      <c r="J4204" s="14">
        <f t="shared" si="1861"/>
        <v>845</v>
      </c>
      <c r="K4204" s="78">
        <f t="shared" si="1844"/>
        <v>100</v>
      </c>
      <c r="L4204" s="14">
        <f t="shared" si="1861"/>
        <v>0</v>
      </c>
      <c r="M4204" s="50"/>
      <c r="N4204" s="50"/>
    </row>
    <row r="4205" spans="1:14" ht="31.2" x14ac:dyDescent="0.3">
      <c r="A4205" s="64" t="s">
        <v>102</v>
      </c>
      <c r="B4205" s="62" t="s">
        <v>912</v>
      </c>
      <c r="C4205" s="68" t="s">
        <v>1372</v>
      </c>
      <c r="D4205" s="68" t="s">
        <v>1477</v>
      </c>
      <c r="E4205" s="8" t="s">
        <v>650</v>
      </c>
      <c r="F4205" s="8" t="s">
        <v>247</v>
      </c>
      <c r="G4205" s="23" t="s">
        <v>810</v>
      </c>
      <c r="H4205" s="14">
        <f>849-4</f>
        <v>845</v>
      </c>
      <c r="I4205" s="14">
        <v>845</v>
      </c>
      <c r="J4205" s="19">
        <v>845</v>
      </c>
      <c r="K4205" s="75">
        <f t="shared" si="1844"/>
        <v>100</v>
      </c>
      <c r="L4205" s="14"/>
      <c r="M4205" s="50"/>
      <c r="N4205" s="50"/>
    </row>
    <row r="4206" spans="1:14" ht="31.2" x14ac:dyDescent="0.3">
      <c r="A4206" s="64" t="s">
        <v>102</v>
      </c>
      <c r="B4206" s="62" t="s">
        <v>912</v>
      </c>
      <c r="C4206" s="68" t="s">
        <v>1372</v>
      </c>
      <c r="D4206" s="68" t="s">
        <v>1477</v>
      </c>
      <c r="E4206" s="8" t="s">
        <v>526</v>
      </c>
      <c r="F4206" s="8"/>
      <c r="G4206" s="23" t="s">
        <v>1094</v>
      </c>
      <c r="H4206" s="14">
        <f t="shared" ref="H4206:L4210" si="1862">H4207</f>
        <v>314.14099999999996</v>
      </c>
      <c r="I4206" s="14">
        <f t="shared" si="1862"/>
        <v>314.14100000000002</v>
      </c>
      <c r="J4206" s="14">
        <f t="shared" si="1862"/>
        <v>314.14049999999997</v>
      </c>
      <c r="K4206" s="78">
        <f t="shared" si="1844"/>
        <v>99.999840835803028</v>
      </c>
      <c r="L4206" s="14">
        <f t="shared" si="1862"/>
        <v>0</v>
      </c>
      <c r="M4206" s="50"/>
      <c r="N4206" s="50"/>
    </row>
    <row r="4207" spans="1:14" ht="31.2" x14ac:dyDescent="0.3">
      <c r="A4207" s="64" t="s">
        <v>102</v>
      </c>
      <c r="B4207" s="62" t="s">
        <v>912</v>
      </c>
      <c r="C4207" s="68" t="s">
        <v>1372</v>
      </c>
      <c r="D4207" s="68" t="s">
        <v>1477</v>
      </c>
      <c r="E4207" s="8" t="s">
        <v>527</v>
      </c>
      <c r="F4207" s="8"/>
      <c r="G4207" s="23" t="s">
        <v>1095</v>
      </c>
      <c r="H4207" s="14">
        <f t="shared" si="1862"/>
        <v>314.14099999999996</v>
      </c>
      <c r="I4207" s="14">
        <f t="shared" si="1862"/>
        <v>314.14100000000002</v>
      </c>
      <c r="J4207" s="14">
        <f t="shared" si="1862"/>
        <v>314.14049999999997</v>
      </c>
      <c r="K4207" s="78">
        <f t="shared" si="1844"/>
        <v>99.999840835803028</v>
      </c>
      <c r="L4207" s="14">
        <f t="shared" si="1862"/>
        <v>0</v>
      </c>
      <c r="M4207" s="50"/>
      <c r="N4207" s="50"/>
    </row>
    <row r="4208" spans="1:14" ht="73.2" customHeight="1" x14ac:dyDescent="0.3">
      <c r="A4208" s="64" t="s">
        <v>102</v>
      </c>
      <c r="B4208" s="62" t="s">
        <v>912</v>
      </c>
      <c r="C4208" s="68" t="s">
        <v>1372</v>
      </c>
      <c r="D4208" s="68" t="s">
        <v>1477</v>
      </c>
      <c r="E4208" s="8" t="s">
        <v>528</v>
      </c>
      <c r="F4208" s="8"/>
      <c r="G4208" s="13" t="s">
        <v>1187</v>
      </c>
      <c r="H4208" s="14">
        <f t="shared" si="1862"/>
        <v>314.14099999999996</v>
      </c>
      <c r="I4208" s="14">
        <f t="shared" si="1862"/>
        <v>314.14100000000002</v>
      </c>
      <c r="J4208" s="14">
        <f t="shared" si="1862"/>
        <v>314.14049999999997</v>
      </c>
      <c r="K4208" s="78">
        <f t="shared" si="1844"/>
        <v>99.999840835803028</v>
      </c>
      <c r="L4208" s="14">
        <f t="shared" si="1862"/>
        <v>0</v>
      </c>
      <c r="M4208" s="50"/>
      <c r="N4208" s="50"/>
    </row>
    <row r="4209" spans="1:14" ht="31.2" x14ac:dyDescent="0.3">
      <c r="A4209" s="64" t="s">
        <v>102</v>
      </c>
      <c r="B4209" s="62" t="s">
        <v>912</v>
      </c>
      <c r="C4209" s="68" t="s">
        <v>1372</v>
      </c>
      <c r="D4209" s="68" t="s">
        <v>1477</v>
      </c>
      <c r="E4209" s="8" t="s">
        <v>1197</v>
      </c>
      <c r="F4209" s="8"/>
      <c r="G4209" s="13" t="s">
        <v>1198</v>
      </c>
      <c r="H4209" s="14">
        <f t="shared" si="1862"/>
        <v>314.14099999999996</v>
      </c>
      <c r="I4209" s="14">
        <f t="shared" si="1862"/>
        <v>314.14100000000002</v>
      </c>
      <c r="J4209" s="14">
        <f t="shared" si="1862"/>
        <v>314.14049999999997</v>
      </c>
      <c r="K4209" s="78">
        <f t="shared" si="1844"/>
        <v>99.999840835803028</v>
      </c>
      <c r="L4209" s="14">
        <f t="shared" si="1862"/>
        <v>0</v>
      </c>
      <c r="M4209" s="50"/>
      <c r="N4209" s="50"/>
    </row>
    <row r="4210" spans="1:14" ht="31.2" x14ac:dyDescent="0.3">
      <c r="A4210" s="64" t="s">
        <v>102</v>
      </c>
      <c r="B4210" s="62" t="s">
        <v>912</v>
      </c>
      <c r="C4210" s="68" t="s">
        <v>1372</v>
      </c>
      <c r="D4210" s="68" t="s">
        <v>1477</v>
      </c>
      <c r="E4210" s="8" t="s">
        <v>1197</v>
      </c>
      <c r="F4210" s="45" t="s">
        <v>380</v>
      </c>
      <c r="G4210" s="23" t="s">
        <v>809</v>
      </c>
      <c r="H4210" s="14">
        <f t="shared" si="1862"/>
        <v>314.14099999999996</v>
      </c>
      <c r="I4210" s="14">
        <f t="shared" si="1862"/>
        <v>314.14100000000002</v>
      </c>
      <c r="J4210" s="14">
        <f t="shared" si="1862"/>
        <v>314.14049999999997</v>
      </c>
      <c r="K4210" s="78">
        <f t="shared" si="1844"/>
        <v>99.999840835803028</v>
      </c>
      <c r="L4210" s="14">
        <f t="shared" si="1862"/>
        <v>0</v>
      </c>
      <c r="M4210" s="50"/>
      <c r="N4210" s="50"/>
    </row>
    <row r="4211" spans="1:14" ht="31.2" x14ac:dyDescent="0.3">
      <c r="A4211" s="64" t="s">
        <v>102</v>
      </c>
      <c r="B4211" s="62" t="s">
        <v>912</v>
      </c>
      <c r="C4211" s="68" t="s">
        <v>1372</v>
      </c>
      <c r="D4211" s="68" t="s">
        <v>1477</v>
      </c>
      <c r="E4211" s="8" t="s">
        <v>1197</v>
      </c>
      <c r="F4211" s="8" t="s">
        <v>247</v>
      </c>
      <c r="G4211" s="23" t="s">
        <v>810</v>
      </c>
      <c r="H4211" s="14">
        <f>418.9-104.759</f>
        <v>314.14099999999996</v>
      </c>
      <c r="I4211" s="14">
        <v>314.14100000000002</v>
      </c>
      <c r="J4211" s="14">
        <v>314.14049999999997</v>
      </c>
      <c r="K4211" s="78">
        <f t="shared" si="1844"/>
        <v>99.999840835803028</v>
      </c>
      <c r="L4211" s="14"/>
      <c r="M4211" s="50"/>
      <c r="N4211" s="50"/>
    </row>
    <row r="4212" spans="1:14" ht="31.2" x14ac:dyDescent="0.3">
      <c r="A4212" s="64" t="s">
        <v>102</v>
      </c>
      <c r="B4212" s="62" t="s">
        <v>912</v>
      </c>
      <c r="C4212" s="68" t="s">
        <v>1372</v>
      </c>
      <c r="D4212" s="68" t="s">
        <v>1477</v>
      </c>
      <c r="E4212" s="8" t="s">
        <v>94</v>
      </c>
      <c r="F4212" s="8"/>
      <c r="G4212" s="31" t="s">
        <v>172</v>
      </c>
      <c r="H4212" s="14">
        <f t="shared" ref="H4212:L4212" si="1863">H4213</f>
        <v>2201.8940000000002</v>
      </c>
      <c r="I4212" s="14">
        <f t="shared" si="1863"/>
        <v>2201.8940000000002</v>
      </c>
      <c r="J4212" s="14">
        <f t="shared" si="1863"/>
        <v>2201.8931299999999</v>
      </c>
      <c r="K4212" s="78">
        <f t="shared" si="1844"/>
        <v>99.9999604885612</v>
      </c>
      <c r="L4212" s="14">
        <f t="shared" si="1863"/>
        <v>0</v>
      </c>
      <c r="M4212" s="50"/>
      <c r="N4212" s="50"/>
    </row>
    <row r="4213" spans="1:14" ht="31.2" x14ac:dyDescent="0.3">
      <c r="A4213" s="64" t="s">
        <v>102</v>
      </c>
      <c r="B4213" s="62" t="s">
        <v>912</v>
      </c>
      <c r="C4213" s="68" t="s">
        <v>1372</v>
      </c>
      <c r="D4213" s="68" t="s">
        <v>1477</v>
      </c>
      <c r="E4213" s="8" t="s">
        <v>95</v>
      </c>
      <c r="F4213" s="8"/>
      <c r="G4213" s="31" t="s">
        <v>173</v>
      </c>
      <c r="H4213" s="14">
        <f>H4214+H4218+H4222</f>
        <v>2201.8940000000002</v>
      </c>
      <c r="I4213" s="14">
        <f>I4214+I4218+I4222</f>
        <v>2201.8940000000002</v>
      </c>
      <c r="J4213" s="14">
        <f t="shared" ref="J4213" si="1864">J4214+J4218+J4222</f>
        <v>2201.8931299999999</v>
      </c>
      <c r="K4213" s="78">
        <f t="shared" si="1844"/>
        <v>99.9999604885612</v>
      </c>
      <c r="L4213" s="14">
        <f>L4214+L4218+L4222</f>
        <v>0</v>
      </c>
      <c r="M4213" s="50"/>
      <c r="N4213" s="50"/>
    </row>
    <row r="4214" spans="1:14" ht="62.4" x14ac:dyDescent="0.3">
      <c r="A4214" s="64" t="s">
        <v>102</v>
      </c>
      <c r="B4214" s="62" t="s">
        <v>912</v>
      </c>
      <c r="C4214" s="68" t="s">
        <v>1372</v>
      </c>
      <c r="D4214" s="68" t="s">
        <v>1477</v>
      </c>
      <c r="E4214" s="8" t="s">
        <v>96</v>
      </c>
      <c r="F4214" s="8"/>
      <c r="G4214" s="31" t="s">
        <v>205</v>
      </c>
      <c r="H4214" s="14">
        <f t="shared" ref="H4214:L4216" si="1865">H4215</f>
        <v>68.963000000000008</v>
      </c>
      <c r="I4214" s="14">
        <f t="shared" si="1865"/>
        <v>68.962999999999994</v>
      </c>
      <c r="J4214" s="14">
        <f t="shared" si="1865"/>
        <v>68.962739999999997</v>
      </c>
      <c r="K4214" s="78">
        <f t="shared" si="1844"/>
        <v>99.999622986239004</v>
      </c>
      <c r="L4214" s="14">
        <f t="shared" si="1865"/>
        <v>0</v>
      </c>
      <c r="M4214" s="50"/>
      <c r="N4214" s="50"/>
    </row>
    <row r="4215" spans="1:14" ht="62.4" x14ac:dyDescent="0.3">
      <c r="A4215" s="64" t="s">
        <v>102</v>
      </c>
      <c r="B4215" s="62" t="s">
        <v>912</v>
      </c>
      <c r="C4215" s="68" t="s">
        <v>1372</v>
      </c>
      <c r="D4215" s="68" t="s">
        <v>1477</v>
      </c>
      <c r="E4215" s="8" t="s">
        <v>206</v>
      </c>
      <c r="F4215" s="8"/>
      <c r="G4215" s="34" t="s">
        <v>705</v>
      </c>
      <c r="H4215" s="14">
        <f t="shared" si="1865"/>
        <v>68.963000000000008</v>
      </c>
      <c r="I4215" s="14">
        <f t="shared" si="1865"/>
        <v>68.962999999999994</v>
      </c>
      <c r="J4215" s="14">
        <f t="shared" si="1865"/>
        <v>68.962739999999997</v>
      </c>
      <c r="K4215" s="78">
        <f t="shared" si="1844"/>
        <v>99.999622986239004</v>
      </c>
      <c r="L4215" s="14">
        <f t="shared" si="1865"/>
        <v>0</v>
      </c>
      <c r="M4215" s="50"/>
      <c r="N4215" s="50"/>
    </row>
    <row r="4216" spans="1:14" ht="31.2" x14ac:dyDescent="0.3">
      <c r="A4216" s="64" t="s">
        <v>102</v>
      </c>
      <c r="B4216" s="62" t="s">
        <v>912</v>
      </c>
      <c r="C4216" s="68" t="s">
        <v>1372</v>
      </c>
      <c r="D4216" s="68" t="s">
        <v>1477</v>
      </c>
      <c r="E4216" s="8" t="s">
        <v>206</v>
      </c>
      <c r="F4216" s="45" t="s">
        <v>380</v>
      </c>
      <c r="G4216" s="23" t="s">
        <v>809</v>
      </c>
      <c r="H4216" s="14">
        <f t="shared" si="1865"/>
        <v>68.963000000000008</v>
      </c>
      <c r="I4216" s="14">
        <f t="shared" si="1865"/>
        <v>68.962999999999994</v>
      </c>
      <c r="J4216" s="14">
        <f t="shared" si="1865"/>
        <v>68.962739999999997</v>
      </c>
      <c r="K4216" s="78">
        <f t="shared" si="1844"/>
        <v>99.999622986239004</v>
      </c>
      <c r="L4216" s="14">
        <f t="shared" si="1865"/>
        <v>0</v>
      </c>
      <c r="M4216" s="50"/>
      <c r="N4216" s="50"/>
    </row>
    <row r="4217" spans="1:14" ht="31.2" x14ac:dyDescent="0.3">
      <c r="A4217" s="64" t="s">
        <v>102</v>
      </c>
      <c r="B4217" s="62" t="s">
        <v>912</v>
      </c>
      <c r="C4217" s="68" t="s">
        <v>1372</v>
      </c>
      <c r="D4217" s="68" t="s">
        <v>1477</v>
      </c>
      <c r="E4217" s="8" t="s">
        <v>206</v>
      </c>
      <c r="F4217" s="8" t="s">
        <v>247</v>
      </c>
      <c r="G4217" s="23" t="s">
        <v>810</v>
      </c>
      <c r="H4217" s="14">
        <f>130.4-61.437</f>
        <v>68.963000000000008</v>
      </c>
      <c r="I4217" s="14">
        <v>68.962999999999994</v>
      </c>
      <c r="J4217" s="14">
        <v>68.962739999999997</v>
      </c>
      <c r="K4217" s="78">
        <f t="shared" si="1844"/>
        <v>99.999622986239004</v>
      </c>
      <c r="L4217" s="14"/>
      <c r="M4217" s="50"/>
      <c r="N4217" s="50"/>
    </row>
    <row r="4218" spans="1:14" ht="46.8" x14ac:dyDescent="0.3">
      <c r="A4218" s="64" t="s">
        <v>102</v>
      </c>
      <c r="B4218" s="62" t="s">
        <v>912</v>
      </c>
      <c r="C4218" s="68" t="s">
        <v>1372</v>
      </c>
      <c r="D4218" s="68" t="s">
        <v>1477</v>
      </c>
      <c r="E4218" s="8" t="s">
        <v>97</v>
      </c>
      <c r="F4218" s="8"/>
      <c r="G4218" s="31" t="s">
        <v>1219</v>
      </c>
      <c r="H4218" s="14">
        <f t="shared" ref="H4218:L4220" si="1866">H4219</f>
        <v>2081.931</v>
      </c>
      <c r="I4218" s="14">
        <f t="shared" si="1866"/>
        <v>2081.931</v>
      </c>
      <c r="J4218" s="14">
        <f t="shared" si="1866"/>
        <v>2081.93039</v>
      </c>
      <c r="K4218" s="78">
        <f t="shared" si="1844"/>
        <v>99.999970700277771</v>
      </c>
      <c r="L4218" s="14">
        <f t="shared" si="1866"/>
        <v>0</v>
      </c>
      <c r="M4218" s="50"/>
      <c r="N4218" s="50"/>
    </row>
    <row r="4219" spans="1:14" ht="46.8" x14ac:dyDescent="0.3">
      <c r="A4219" s="64" t="s">
        <v>102</v>
      </c>
      <c r="B4219" s="62" t="s">
        <v>912</v>
      </c>
      <c r="C4219" s="68" t="s">
        <v>1372</v>
      </c>
      <c r="D4219" s="68" t="s">
        <v>1477</v>
      </c>
      <c r="E4219" s="8" t="s">
        <v>98</v>
      </c>
      <c r="F4219" s="8"/>
      <c r="G4219" s="34" t="s">
        <v>207</v>
      </c>
      <c r="H4219" s="14">
        <f t="shared" si="1866"/>
        <v>2081.931</v>
      </c>
      <c r="I4219" s="14">
        <f t="shared" si="1866"/>
        <v>2081.931</v>
      </c>
      <c r="J4219" s="14">
        <f t="shared" si="1866"/>
        <v>2081.93039</v>
      </c>
      <c r="K4219" s="78">
        <f t="shared" si="1844"/>
        <v>99.999970700277771</v>
      </c>
      <c r="L4219" s="14">
        <f t="shared" si="1866"/>
        <v>0</v>
      </c>
      <c r="M4219" s="50"/>
      <c r="N4219" s="50"/>
    </row>
    <row r="4220" spans="1:14" ht="31.2" x14ac:dyDescent="0.3">
      <c r="A4220" s="64" t="s">
        <v>102</v>
      </c>
      <c r="B4220" s="62" t="s">
        <v>912</v>
      </c>
      <c r="C4220" s="68" t="s">
        <v>1372</v>
      </c>
      <c r="D4220" s="68" t="s">
        <v>1477</v>
      </c>
      <c r="E4220" s="8" t="s">
        <v>98</v>
      </c>
      <c r="F4220" s="45" t="s">
        <v>380</v>
      </c>
      <c r="G4220" s="23" t="s">
        <v>809</v>
      </c>
      <c r="H4220" s="14">
        <f t="shared" si="1866"/>
        <v>2081.931</v>
      </c>
      <c r="I4220" s="14">
        <f t="shared" si="1866"/>
        <v>2081.931</v>
      </c>
      <c r="J4220" s="14">
        <f t="shared" si="1866"/>
        <v>2081.93039</v>
      </c>
      <c r="K4220" s="78">
        <f t="shared" si="1844"/>
        <v>99.999970700277771</v>
      </c>
      <c r="L4220" s="14">
        <f t="shared" si="1866"/>
        <v>0</v>
      </c>
      <c r="M4220" s="50"/>
      <c r="N4220" s="50"/>
    </row>
    <row r="4221" spans="1:14" ht="31.2" x14ac:dyDescent="0.3">
      <c r="A4221" s="64" t="s">
        <v>102</v>
      </c>
      <c r="B4221" s="62" t="s">
        <v>912</v>
      </c>
      <c r="C4221" s="68" t="s">
        <v>1372</v>
      </c>
      <c r="D4221" s="68" t="s">
        <v>1477</v>
      </c>
      <c r="E4221" s="8" t="s">
        <v>98</v>
      </c>
      <c r="F4221" s="8" t="s">
        <v>247</v>
      </c>
      <c r="G4221" s="23" t="s">
        <v>810</v>
      </c>
      <c r="H4221" s="14">
        <f>2237.9-155.969</f>
        <v>2081.931</v>
      </c>
      <c r="I4221" s="14">
        <v>2081.931</v>
      </c>
      <c r="J4221" s="14">
        <v>2081.93039</v>
      </c>
      <c r="K4221" s="78">
        <f t="shared" si="1844"/>
        <v>99.999970700277771</v>
      </c>
      <c r="L4221" s="14"/>
      <c r="M4221" s="50"/>
      <c r="N4221" s="50"/>
    </row>
    <row r="4222" spans="1:14" ht="46.8" x14ac:dyDescent="0.3">
      <c r="A4222" s="64" t="s">
        <v>102</v>
      </c>
      <c r="B4222" s="62" t="s">
        <v>912</v>
      </c>
      <c r="C4222" s="68" t="s">
        <v>1372</v>
      </c>
      <c r="D4222" s="68" t="s">
        <v>1477</v>
      </c>
      <c r="E4222" s="8" t="s">
        <v>99</v>
      </c>
      <c r="F4222" s="8"/>
      <c r="G4222" s="31" t="s">
        <v>752</v>
      </c>
      <c r="H4222" s="14">
        <f>H4223+H4226</f>
        <v>51</v>
      </c>
      <c r="I4222" s="14">
        <f>I4223+I4226</f>
        <v>51</v>
      </c>
      <c r="J4222" s="14">
        <f t="shared" ref="J4222" si="1867">J4223+J4226</f>
        <v>51</v>
      </c>
      <c r="K4222" s="78">
        <f t="shared" si="1844"/>
        <v>100</v>
      </c>
      <c r="L4222" s="14">
        <f>L4223+L4226</f>
        <v>0</v>
      </c>
      <c r="M4222" s="50"/>
      <c r="N4222" s="50"/>
    </row>
    <row r="4223" spans="1:14" ht="31.2" x14ac:dyDescent="0.3">
      <c r="A4223" s="64" t="s">
        <v>102</v>
      </c>
      <c r="B4223" s="62" t="s">
        <v>912</v>
      </c>
      <c r="C4223" s="68" t="s">
        <v>1372</v>
      </c>
      <c r="D4223" s="68" t="s">
        <v>1477</v>
      </c>
      <c r="E4223" s="8" t="s">
        <v>100</v>
      </c>
      <c r="F4223" s="8"/>
      <c r="G4223" s="31" t="s">
        <v>174</v>
      </c>
      <c r="H4223" s="14">
        <f t="shared" ref="H4223:L4224" si="1868">H4224</f>
        <v>21</v>
      </c>
      <c r="I4223" s="14">
        <f t="shared" si="1868"/>
        <v>21</v>
      </c>
      <c r="J4223" s="14">
        <f t="shared" si="1868"/>
        <v>21</v>
      </c>
      <c r="K4223" s="78">
        <f t="shared" si="1844"/>
        <v>100</v>
      </c>
      <c r="L4223" s="14">
        <f t="shared" si="1868"/>
        <v>0</v>
      </c>
      <c r="M4223" s="50"/>
      <c r="N4223" s="50"/>
    </row>
    <row r="4224" spans="1:14" ht="31.2" x14ac:dyDescent="0.3">
      <c r="A4224" s="64" t="s">
        <v>102</v>
      </c>
      <c r="B4224" s="62" t="s">
        <v>912</v>
      </c>
      <c r="C4224" s="68" t="s">
        <v>1372</v>
      </c>
      <c r="D4224" s="68" t="s">
        <v>1477</v>
      </c>
      <c r="E4224" s="8" t="s">
        <v>100</v>
      </c>
      <c r="F4224" s="45" t="s">
        <v>380</v>
      </c>
      <c r="G4224" s="23" t="s">
        <v>809</v>
      </c>
      <c r="H4224" s="14">
        <f t="shared" si="1868"/>
        <v>21</v>
      </c>
      <c r="I4224" s="14">
        <f t="shared" si="1868"/>
        <v>21</v>
      </c>
      <c r="J4224" s="14">
        <f t="shared" si="1868"/>
        <v>21</v>
      </c>
      <c r="K4224" s="78">
        <f t="shared" si="1844"/>
        <v>100</v>
      </c>
      <c r="L4224" s="14">
        <f t="shared" si="1868"/>
        <v>0</v>
      </c>
      <c r="M4224" s="50"/>
      <c r="N4224" s="50"/>
    </row>
    <row r="4225" spans="1:14" ht="31.2" x14ac:dyDescent="0.3">
      <c r="A4225" s="64" t="s">
        <v>102</v>
      </c>
      <c r="B4225" s="62" t="s">
        <v>912</v>
      </c>
      <c r="C4225" s="68" t="s">
        <v>1372</v>
      </c>
      <c r="D4225" s="68" t="s">
        <v>1477</v>
      </c>
      <c r="E4225" s="8" t="s">
        <v>100</v>
      </c>
      <c r="F4225" s="8" t="s">
        <v>247</v>
      </c>
      <c r="G4225" s="23" t="s">
        <v>810</v>
      </c>
      <c r="H4225" s="14">
        <v>21</v>
      </c>
      <c r="I4225" s="14">
        <v>21</v>
      </c>
      <c r="J4225" s="14">
        <v>21</v>
      </c>
      <c r="K4225" s="78">
        <f t="shared" si="1844"/>
        <v>100</v>
      </c>
      <c r="L4225" s="14"/>
      <c r="M4225" s="50"/>
      <c r="N4225" s="50"/>
    </row>
    <row r="4226" spans="1:14" ht="31.2" x14ac:dyDescent="0.3">
      <c r="A4226" s="64" t="s">
        <v>102</v>
      </c>
      <c r="B4226" s="62" t="s">
        <v>912</v>
      </c>
      <c r="C4226" s="68" t="s">
        <v>1372</v>
      </c>
      <c r="D4226" s="68" t="s">
        <v>1477</v>
      </c>
      <c r="E4226" s="8" t="s">
        <v>279</v>
      </c>
      <c r="F4226" s="8"/>
      <c r="G4226" s="23" t="s">
        <v>1331</v>
      </c>
      <c r="H4226" s="14">
        <f t="shared" ref="H4226:L4227" si="1869">H4227</f>
        <v>30</v>
      </c>
      <c r="I4226" s="14">
        <f t="shared" si="1869"/>
        <v>30</v>
      </c>
      <c r="J4226" s="14">
        <f t="shared" si="1869"/>
        <v>30</v>
      </c>
      <c r="K4226" s="78">
        <f t="shared" si="1844"/>
        <v>100</v>
      </c>
      <c r="L4226" s="14">
        <f t="shared" si="1869"/>
        <v>0</v>
      </c>
      <c r="M4226" s="50"/>
      <c r="N4226" s="50"/>
    </row>
    <row r="4227" spans="1:14" x14ac:dyDescent="0.3">
      <c r="A4227" s="64" t="s">
        <v>102</v>
      </c>
      <c r="B4227" s="62" t="s">
        <v>912</v>
      </c>
      <c r="C4227" s="68" t="s">
        <v>1372</v>
      </c>
      <c r="D4227" s="68" t="s">
        <v>1477</v>
      </c>
      <c r="E4227" s="8" t="s">
        <v>279</v>
      </c>
      <c r="F4227" s="8" t="s">
        <v>404</v>
      </c>
      <c r="G4227" s="13" t="s">
        <v>811</v>
      </c>
      <c r="H4227" s="14">
        <f t="shared" si="1869"/>
        <v>30</v>
      </c>
      <c r="I4227" s="14">
        <f t="shared" si="1869"/>
        <v>30</v>
      </c>
      <c r="J4227" s="14">
        <f t="shared" si="1869"/>
        <v>30</v>
      </c>
      <c r="K4227" s="78">
        <f t="shared" si="1844"/>
        <v>100</v>
      </c>
      <c r="L4227" s="14">
        <f t="shared" si="1869"/>
        <v>0</v>
      </c>
      <c r="M4227" s="50"/>
      <c r="N4227" s="50"/>
    </row>
    <row r="4228" spans="1:14" x14ac:dyDescent="0.3">
      <c r="A4228" s="64" t="s">
        <v>102</v>
      </c>
      <c r="B4228" s="62" t="s">
        <v>912</v>
      </c>
      <c r="C4228" s="68" t="s">
        <v>1372</v>
      </c>
      <c r="D4228" s="68" t="s">
        <v>1477</v>
      </c>
      <c r="E4228" s="8" t="s">
        <v>279</v>
      </c>
      <c r="F4228" s="8" t="s">
        <v>724</v>
      </c>
      <c r="G4228" s="13" t="s">
        <v>816</v>
      </c>
      <c r="H4228" s="14">
        <v>30</v>
      </c>
      <c r="I4228" s="14">
        <v>30</v>
      </c>
      <c r="J4228" s="14">
        <v>30</v>
      </c>
      <c r="K4228" s="78">
        <f t="shared" si="1844"/>
        <v>100</v>
      </c>
      <c r="L4228" s="14"/>
      <c r="M4228" s="50"/>
      <c r="N4228" s="50"/>
    </row>
    <row r="4229" spans="1:14" ht="31.2" x14ac:dyDescent="0.3">
      <c r="A4229" s="64" t="s">
        <v>102</v>
      </c>
      <c r="B4229" s="62" t="s">
        <v>912</v>
      </c>
      <c r="C4229" s="68" t="s">
        <v>1372</v>
      </c>
      <c r="D4229" s="68" t="s">
        <v>1477</v>
      </c>
      <c r="E4229" s="8" t="s">
        <v>429</v>
      </c>
      <c r="F4229" s="8"/>
      <c r="G4229" s="23" t="s">
        <v>1140</v>
      </c>
      <c r="H4229" s="14">
        <f t="shared" ref="H4229:L4229" si="1870">H4230+H4247+H4254+H4251</f>
        <v>404417.09</v>
      </c>
      <c r="I4229" s="14">
        <f t="shared" si="1870"/>
        <v>263417.08960000001</v>
      </c>
      <c r="J4229" s="14">
        <f t="shared" si="1870"/>
        <v>255810.35473000002</v>
      </c>
      <c r="K4229" s="78">
        <f t="shared" si="1844"/>
        <v>97.112284976821044</v>
      </c>
      <c r="L4229" s="14">
        <f t="shared" si="1870"/>
        <v>0</v>
      </c>
      <c r="M4229" s="50"/>
      <c r="N4229" s="50"/>
    </row>
    <row r="4230" spans="1:14" ht="46.8" x14ac:dyDescent="0.3">
      <c r="A4230" s="64" t="s">
        <v>102</v>
      </c>
      <c r="B4230" s="62" t="s">
        <v>912</v>
      </c>
      <c r="C4230" s="68" t="s">
        <v>1372</v>
      </c>
      <c r="D4230" s="68" t="s">
        <v>1477</v>
      </c>
      <c r="E4230" s="8" t="s">
        <v>651</v>
      </c>
      <c r="F4230" s="8"/>
      <c r="G4230" s="18" t="s">
        <v>142</v>
      </c>
      <c r="H4230" s="14">
        <f>H4231+H4244+H4238</f>
        <v>167379.30300000001</v>
      </c>
      <c r="I4230" s="14">
        <f>I4231+I4244+I4238</f>
        <v>167379.3026</v>
      </c>
      <c r="J4230" s="14">
        <f t="shared" ref="J4230" si="1871">J4231+J4244+J4238</f>
        <v>160374.23148000002</v>
      </c>
      <c r="K4230" s="78">
        <f t="shared" si="1844"/>
        <v>95.814852248046122</v>
      </c>
      <c r="L4230" s="14">
        <f>L4231+L4244+L4238</f>
        <v>0</v>
      </c>
      <c r="M4230" s="50"/>
      <c r="N4230" s="50"/>
    </row>
    <row r="4231" spans="1:14" ht="62.4" x14ac:dyDescent="0.3">
      <c r="A4231" s="64" t="s">
        <v>102</v>
      </c>
      <c r="B4231" s="62" t="s">
        <v>912</v>
      </c>
      <c r="C4231" s="68" t="s">
        <v>1372</v>
      </c>
      <c r="D4231" s="68" t="s">
        <v>1477</v>
      </c>
      <c r="E4231" s="8" t="s">
        <v>652</v>
      </c>
      <c r="F4231" s="8"/>
      <c r="G4231" s="23" t="s">
        <v>1291</v>
      </c>
      <c r="H4231" s="14">
        <f>H4232+H4234+H4236</f>
        <v>55698.600000000006</v>
      </c>
      <c r="I4231" s="14">
        <f>I4232+I4234+I4236</f>
        <v>55698.6</v>
      </c>
      <c r="J4231" s="14">
        <f t="shared" ref="J4231" si="1872">J4232+J4234+J4236</f>
        <v>55468.972330000004</v>
      </c>
      <c r="K4231" s="78">
        <f t="shared" si="1844"/>
        <v>99.58773170241264</v>
      </c>
      <c r="L4231" s="14">
        <f>L4232+L4234+L4236</f>
        <v>0</v>
      </c>
      <c r="M4231" s="50"/>
      <c r="N4231" s="50"/>
    </row>
    <row r="4232" spans="1:14" ht="91.2" customHeight="1" x14ac:dyDescent="0.3">
      <c r="A4232" s="64" t="s">
        <v>102</v>
      </c>
      <c r="B4232" s="62" t="s">
        <v>912</v>
      </c>
      <c r="C4232" s="68" t="s">
        <v>1372</v>
      </c>
      <c r="D4232" s="68" t="s">
        <v>1477</v>
      </c>
      <c r="E4232" s="8" t="s">
        <v>652</v>
      </c>
      <c r="F4232" s="45" t="s">
        <v>431</v>
      </c>
      <c r="G4232" s="23" t="s">
        <v>806</v>
      </c>
      <c r="H4232" s="14">
        <f t="shared" ref="H4232:L4232" si="1873">H4233</f>
        <v>49302.8</v>
      </c>
      <c r="I4232" s="14">
        <f t="shared" si="1873"/>
        <v>49754.280509999997</v>
      </c>
      <c r="J4232" s="14">
        <f t="shared" si="1873"/>
        <v>49674.297729999998</v>
      </c>
      <c r="K4232" s="78">
        <f t="shared" ref="K4232:K4295" si="1874">J4232/I4232*100</f>
        <v>99.839244424439173</v>
      </c>
      <c r="L4232" s="14">
        <f t="shared" si="1873"/>
        <v>0</v>
      </c>
      <c r="M4232" s="50"/>
      <c r="N4232" s="50"/>
    </row>
    <row r="4233" spans="1:14" x14ac:dyDescent="0.3">
      <c r="A4233" s="64" t="s">
        <v>102</v>
      </c>
      <c r="B4233" s="62" t="s">
        <v>912</v>
      </c>
      <c r="C4233" s="68" t="s">
        <v>1372</v>
      </c>
      <c r="D4233" s="68" t="s">
        <v>1477</v>
      </c>
      <c r="E4233" s="8" t="s">
        <v>652</v>
      </c>
      <c r="F4233" s="8" t="s">
        <v>719</v>
      </c>
      <c r="G4233" s="23" t="s">
        <v>807</v>
      </c>
      <c r="H4233" s="14">
        <v>49302.8</v>
      </c>
      <c r="I4233" s="14">
        <v>49754.280509999997</v>
      </c>
      <c r="J4233" s="14">
        <v>49674.297729999998</v>
      </c>
      <c r="K4233" s="78">
        <f t="shared" si="1874"/>
        <v>99.839244424439173</v>
      </c>
      <c r="L4233" s="14"/>
      <c r="M4233" s="50"/>
      <c r="N4233" s="50"/>
    </row>
    <row r="4234" spans="1:14" ht="31.2" x14ac:dyDescent="0.3">
      <c r="A4234" s="64" t="s">
        <v>102</v>
      </c>
      <c r="B4234" s="62" t="s">
        <v>912</v>
      </c>
      <c r="C4234" s="68" t="s">
        <v>1372</v>
      </c>
      <c r="D4234" s="68" t="s">
        <v>1477</v>
      </c>
      <c r="E4234" s="8" t="s">
        <v>652</v>
      </c>
      <c r="F4234" s="45" t="s">
        <v>380</v>
      </c>
      <c r="G4234" s="23" t="s">
        <v>809</v>
      </c>
      <c r="H4234" s="14">
        <f t="shared" ref="H4234:L4234" si="1875">H4235</f>
        <v>6284.8</v>
      </c>
      <c r="I4234" s="14">
        <f t="shared" si="1875"/>
        <v>5833.3454899999997</v>
      </c>
      <c r="J4234" s="14">
        <f t="shared" si="1875"/>
        <v>5683.7006000000001</v>
      </c>
      <c r="K4234" s="78">
        <f t="shared" si="1874"/>
        <v>97.434664374730886</v>
      </c>
      <c r="L4234" s="14">
        <f t="shared" si="1875"/>
        <v>0</v>
      </c>
      <c r="M4234" s="50"/>
      <c r="N4234" s="50"/>
    </row>
    <row r="4235" spans="1:14" ht="31.2" x14ac:dyDescent="0.3">
      <c r="A4235" s="64" t="s">
        <v>102</v>
      </c>
      <c r="B4235" s="62" t="s">
        <v>912</v>
      </c>
      <c r="C4235" s="68" t="s">
        <v>1372</v>
      </c>
      <c r="D4235" s="68" t="s">
        <v>1477</v>
      </c>
      <c r="E4235" s="8" t="s">
        <v>652</v>
      </c>
      <c r="F4235" s="8" t="s">
        <v>247</v>
      </c>
      <c r="G4235" s="23" t="s">
        <v>810</v>
      </c>
      <c r="H4235" s="14">
        <v>6284.8</v>
      </c>
      <c r="I4235" s="14">
        <v>5833.3454899999997</v>
      </c>
      <c r="J4235" s="14">
        <v>5683.7006000000001</v>
      </c>
      <c r="K4235" s="78">
        <f t="shared" si="1874"/>
        <v>97.434664374730886</v>
      </c>
      <c r="L4235" s="14"/>
      <c r="M4235" s="50"/>
      <c r="N4235" s="50"/>
    </row>
    <row r="4236" spans="1:14" x14ac:dyDescent="0.3">
      <c r="A4236" s="64" t="s">
        <v>102</v>
      </c>
      <c r="B4236" s="62" t="s">
        <v>912</v>
      </c>
      <c r="C4236" s="68" t="s">
        <v>1372</v>
      </c>
      <c r="D4236" s="68" t="s">
        <v>1477</v>
      </c>
      <c r="E4236" s="8" t="s">
        <v>652</v>
      </c>
      <c r="F4236" s="45" t="s">
        <v>464</v>
      </c>
      <c r="G4236" s="23" t="s">
        <v>822</v>
      </c>
      <c r="H4236" s="14">
        <f t="shared" ref="H4236:L4236" si="1876">H4237</f>
        <v>111</v>
      </c>
      <c r="I4236" s="14">
        <f t="shared" si="1876"/>
        <v>110.974</v>
      </c>
      <c r="J4236" s="14">
        <f t="shared" si="1876"/>
        <v>110.974</v>
      </c>
      <c r="K4236" s="78">
        <f t="shared" si="1874"/>
        <v>100</v>
      </c>
      <c r="L4236" s="14">
        <f t="shared" si="1876"/>
        <v>0</v>
      </c>
      <c r="M4236" s="50"/>
      <c r="N4236" s="50"/>
    </row>
    <row r="4237" spans="1:14" x14ac:dyDescent="0.3">
      <c r="A4237" s="64" t="s">
        <v>102</v>
      </c>
      <c r="B4237" s="62" t="s">
        <v>912</v>
      </c>
      <c r="C4237" s="68" t="s">
        <v>1372</v>
      </c>
      <c r="D4237" s="68" t="s">
        <v>1477</v>
      </c>
      <c r="E4237" s="8" t="s">
        <v>652</v>
      </c>
      <c r="F4237" s="45" t="s">
        <v>729</v>
      </c>
      <c r="G4237" s="23" t="s">
        <v>824</v>
      </c>
      <c r="H4237" s="14">
        <v>111</v>
      </c>
      <c r="I4237" s="14">
        <v>110.974</v>
      </c>
      <c r="J4237" s="14">
        <v>110.974</v>
      </c>
      <c r="K4237" s="78">
        <f t="shared" si="1874"/>
        <v>100</v>
      </c>
      <c r="L4237" s="14"/>
      <c r="M4237" s="50"/>
      <c r="N4237" s="50"/>
    </row>
    <row r="4238" spans="1:14" ht="31.2" x14ac:dyDescent="0.3">
      <c r="A4238" s="64" t="s">
        <v>102</v>
      </c>
      <c r="B4238" s="62" t="s">
        <v>912</v>
      </c>
      <c r="C4238" s="68" t="s">
        <v>1372</v>
      </c>
      <c r="D4238" s="68" t="s">
        <v>1477</v>
      </c>
      <c r="E4238" s="8" t="s">
        <v>101</v>
      </c>
      <c r="F4238" s="8"/>
      <c r="G4238" s="35" t="s">
        <v>175</v>
      </c>
      <c r="H4238" s="14">
        <f>H4239+H4241</f>
        <v>87468.332999999999</v>
      </c>
      <c r="I4238" s="14">
        <f>I4239+I4241</f>
        <v>87468.332669999989</v>
      </c>
      <c r="J4238" s="14">
        <f t="shared" ref="J4238" si="1877">J4239+J4241</f>
        <v>85209.343919999999</v>
      </c>
      <c r="K4238" s="78">
        <f t="shared" si="1874"/>
        <v>97.417363883540929</v>
      </c>
      <c r="L4238" s="14">
        <f>L4239+L4241</f>
        <v>0</v>
      </c>
      <c r="M4238" s="50"/>
      <c r="N4238" s="50"/>
    </row>
    <row r="4239" spans="1:14" ht="31.2" x14ac:dyDescent="0.3">
      <c r="A4239" s="64" t="s">
        <v>102</v>
      </c>
      <c r="B4239" s="62" t="s">
        <v>912</v>
      </c>
      <c r="C4239" s="68" t="s">
        <v>1372</v>
      </c>
      <c r="D4239" s="68" t="s">
        <v>1477</v>
      </c>
      <c r="E4239" s="8" t="s">
        <v>101</v>
      </c>
      <c r="F4239" s="45" t="s">
        <v>380</v>
      </c>
      <c r="G4239" s="23" t="s">
        <v>809</v>
      </c>
      <c r="H4239" s="14">
        <f t="shared" ref="H4239:L4239" si="1878">H4240</f>
        <v>80861.933000000005</v>
      </c>
      <c r="I4239" s="14">
        <f t="shared" si="1878"/>
        <v>81136.379669999995</v>
      </c>
      <c r="J4239" s="14">
        <f t="shared" si="1878"/>
        <v>78877.390920000005</v>
      </c>
      <c r="K4239" s="78">
        <f t="shared" si="1874"/>
        <v>97.215812735066791</v>
      </c>
      <c r="L4239" s="14">
        <f t="shared" si="1878"/>
        <v>0</v>
      </c>
      <c r="M4239" s="50"/>
      <c r="N4239" s="50"/>
    </row>
    <row r="4240" spans="1:14" ht="31.2" x14ac:dyDescent="0.3">
      <c r="A4240" s="64" t="s">
        <v>102</v>
      </c>
      <c r="B4240" s="62" t="s">
        <v>912</v>
      </c>
      <c r="C4240" s="68" t="s">
        <v>1372</v>
      </c>
      <c r="D4240" s="68" t="s">
        <v>1477</v>
      </c>
      <c r="E4240" s="8" t="s">
        <v>101</v>
      </c>
      <c r="F4240" s="8" t="s">
        <v>247</v>
      </c>
      <c r="G4240" s="23" t="s">
        <v>810</v>
      </c>
      <c r="H4240" s="14">
        <f>77892.403-606.1+3575.63</f>
        <v>80861.933000000005</v>
      </c>
      <c r="I4240" s="14">
        <v>81136.379669999995</v>
      </c>
      <c r="J4240" s="14">
        <v>78877.390920000005</v>
      </c>
      <c r="K4240" s="78">
        <f t="shared" si="1874"/>
        <v>97.215812735066791</v>
      </c>
      <c r="L4240" s="14"/>
      <c r="M4240" s="50"/>
      <c r="N4240" s="50"/>
    </row>
    <row r="4241" spans="1:14" x14ac:dyDescent="0.3">
      <c r="A4241" s="64" t="s">
        <v>102</v>
      </c>
      <c r="B4241" s="62" t="s">
        <v>912</v>
      </c>
      <c r="C4241" s="68" t="s">
        <v>1372</v>
      </c>
      <c r="D4241" s="68" t="s">
        <v>1477</v>
      </c>
      <c r="E4241" s="8" t="s">
        <v>101</v>
      </c>
      <c r="F4241" s="45" t="s">
        <v>464</v>
      </c>
      <c r="G4241" s="23" t="s">
        <v>822</v>
      </c>
      <c r="H4241" s="14">
        <f>H4243+H4242</f>
        <v>6606.4</v>
      </c>
      <c r="I4241" s="14">
        <f t="shared" ref="I4241:L4241" si="1879">I4243+I4242</f>
        <v>6331.9529999999995</v>
      </c>
      <c r="J4241" s="14">
        <f t="shared" si="1879"/>
        <v>6331.9529999999995</v>
      </c>
      <c r="K4241" s="78">
        <f t="shared" si="1874"/>
        <v>100</v>
      </c>
      <c r="L4241" s="14">
        <f t="shared" si="1879"/>
        <v>0</v>
      </c>
      <c r="M4241" s="50"/>
      <c r="N4241" s="50"/>
    </row>
    <row r="4242" spans="1:14" x14ac:dyDescent="0.3">
      <c r="A4242" s="64" t="s">
        <v>102</v>
      </c>
      <c r="B4242" s="62" t="s">
        <v>912</v>
      </c>
      <c r="C4242" s="68" t="s">
        <v>1372</v>
      </c>
      <c r="D4242" s="68" t="s">
        <v>1477</v>
      </c>
      <c r="E4242" s="8" t="s">
        <v>101</v>
      </c>
      <c r="F4242" s="45" t="s">
        <v>728</v>
      </c>
      <c r="G4242" s="23" t="s">
        <v>823</v>
      </c>
      <c r="H4242" s="19">
        <v>0</v>
      </c>
      <c r="I4242" s="14">
        <v>82.557000000000002</v>
      </c>
      <c r="J4242" s="14">
        <v>82.557000000000002</v>
      </c>
      <c r="K4242" s="78">
        <f t="shared" si="1874"/>
        <v>100</v>
      </c>
      <c r="L4242" s="14"/>
      <c r="M4242" s="50"/>
      <c r="N4242" s="50"/>
    </row>
    <row r="4243" spans="1:14" x14ac:dyDescent="0.3">
      <c r="A4243" s="64" t="s">
        <v>102</v>
      </c>
      <c r="B4243" s="62" t="s">
        <v>912</v>
      </c>
      <c r="C4243" s="68" t="s">
        <v>1372</v>
      </c>
      <c r="D4243" s="68" t="s">
        <v>1477</v>
      </c>
      <c r="E4243" s="8" t="s">
        <v>101</v>
      </c>
      <c r="F4243" s="45" t="s">
        <v>729</v>
      </c>
      <c r="G4243" s="23" t="s">
        <v>824</v>
      </c>
      <c r="H4243" s="14">
        <v>6606.4</v>
      </c>
      <c r="I4243" s="14">
        <v>6249.3959999999997</v>
      </c>
      <c r="J4243" s="14">
        <v>6249.3959999999997</v>
      </c>
      <c r="K4243" s="78">
        <f t="shared" si="1874"/>
        <v>100</v>
      </c>
      <c r="L4243" s="14"/>
      <c r="M4243" s="50"/>
      <c r="N4243" s="50"/>
    </row>
    <row r="4244" spans="1:14" ht="31.2" x14ac:dyDescent="0.3">
      <c r="A4244" s="64" t="s">
        <v>102</v>
      </c>
      <c r="B4244" s="62" t="s">
        <v>912</v>
      </c>
      <c r="C4244" s="68" t="s">
        <v>1372</v>
      </c>
      <c r="D4244" s="68" t="s">
        <v>1477</v>
      </c>
      <c r="E4244" s="8" t="s">
        <v>653</v>
      </c>
      <c r="F4244" s="8"/>
      <c r="G4244" s="13" t="s">
        <v>208</v>
      </c>
      <c r="H4244" s="14">
        <f t="shared" ref="H4244:L4245" si="1880">H4245</f>
        <v>24212.369999999995</v>
      </c>
      <c r="I4244" s="14">
        <f t="shared" si="1880"/>
        <v>24212.369930000001</v>
      </c>
      <c r="J4244" s="14">
        <f t="shared" si="1880"/>
        <v>19695.915229999999</v>
      </c>
      <c r="K4244" s="78">
        <f t="shared" si="1874"/>
        <v>81.346498863773135</v>
      </c>
      <c r="L4244" s="14">
        <f t="shared" si="1880"/>
        <v>0</v>
      </c>
      <c r="M4244" s="50"/>
      <c r="N4244" s="50"/>
    </row>
    <row r="4245" spans="1:14" ht="31.2" x14ac:dyDescent="0.3">
      <c r="A4245" s="64" t="s">
        <v>102</v>
      </c>
      <c r="B4245" s="62" t="s">
        <v>912</v>
      </c>
      <c r="C4245" s="68" t="s">
        <v>1372</v>
      </c>
      <c r="D4245" s="68" t="s">
        <v>1477</v>
      </c>
      <c r="E4245" s="8" t="s">
        <v>653</v>
      </c>
      <c r="F4245" s="45" t="s">
        <v>380</v>
      </c>
      <c r="G4245" s="23" t="s">
        <v>809</v>
      </c>
      <c r="H4245" s="14">
        <f t="shared" si="1880"/>
        <v>24212.369999999995</v>
      </c>
      <c r="I4245" s="14">
        <f t="shared" si="1880"/>
        <v>24212.369930000001</v>
      </c>
      <c r="J4245" s="14">
        <f t="shared" si="1880"/>
        <v>19695.915229999999</v>
      </c>
      <c r="K4245" s="78">
        <f t="shared" si="1874"/>
        <v>81.346498863773135</v>
      </c>
      <c r="L4245" s="14">
        <f t="shared" si="1880"/>
        <v>0</v>
      </c>
      <c r="M4245" s="50"/>
      <c r="N4245" s="50"/>
    </row>
    <row r="4246" spans="1:14" ht="31.2" x14ac:dyDescent="0.3">
      <c r="A4246" s="64" t="s">
        <v>102</v>
      </c>
      <c r="B4246" s="62" t="s">
        <v>912</v>
      </c>
      <c r="C4246" s="68" t="s">
        <v>1372</v>
      </c>
      <c r="D4246" s="68" t="s">
        <v>1477</v>
      </c>
      <c r="E4246" s="8" t="s">
        <v>653</v>
      </c>
      <c r="F4246" s="8" t="s">
        <v>247</v>
      </c>
      <c r="G4246" s="23" t="s">
        <v>810</v>
      </c>
      <c r="H4246" s="14">
        <f>102444.4-3575.63-74656.4</f>
        <v>24212.369999999995</v>
      </c>
      <c r="I4246" s="14">
        <v>24212.369930000001</v>
      </c>
      <c r="J4246" s="14">
        <v>19695.915229999999</v>
      </c>
      <c r="K4246" s="78">
        <f t="shared" si="1874"/>
        <v>81.346498863773135</v>
      </c>
      <c r="L4246" s="14"/>
      <c r="M4246" s="50"/>
      <c r="N4246" s="50"/>
    </row>
    <row r="4247" spans="1:14" x14ac:dyDescent="0.3">
      <c r="A4247" s="64" t="s">
        <v>102</v>
      </c>
      <c r="B4247" s="62" t="s">
        <v>912</v>
      </c>
      <c r="C4247" s="68" t="s">
        <v>1372</v>
      </c>
      <c r="D4247" s="68" t="s">
        <v>1477</v>
      </c>
      <c r="E4247" s="8" t="s">
        <v>654</v>
      </c>
      <c r="F4247" s="8"/>
      <c r="G4247" s="18" t="s">
        <v>143</v>
      </c>
      <c r="H4247" s="14">
        <f>H4248</f>
        <v>14234.2</v>
      </c>
      <c r="I4247" s="14">
        <f t="shared" ref="I4247:L4247" si="1881">I4248</f>
        <v>14234.2</v>
      </c>
      <c r="J4247" s="14">
        <f t="shared" si="1881"/>
        <v>14234.2</v>
      </c>
      <c r="K4247" s="78">
        <f t="shared" si="1874"/>
        <v>100</v>
      </c>
      <c r="L4247" s="14">
        <f t="shared" si="1881"/>
        <v>0</v>
      </c>
      <c r="M4247" s="50"/>
      <c r="N4247" s="50"/>
    </row>
    <row r="4248" spans="1:14" ht="62.4" x14ac:dyDescent="0.3">
      <c r="A4248" s="64" t="s">
        <v>102</v>
      </c>
      <c r="B4248" s="62" t="s">
        <v>912</v>
      </c>
      <c r="C4248" s="68" t="s">
        <v>1372</v>
      </c>
      <c r="D4248" s="68" t="s">
        <v>1477</v>
      </c>
      <c r="E4248" s="8" t="s">
        <v>655</v>
      </c>
      <c r="F4248" s="8"/>
      <c r="G4248" s="23" t="s">
        <v>1291</v>
      </c>
      <c r="H4248" s="14">
        <f t="shared" ref="H4248:L4249" si="1882">H4249</f>
        <v>14234.2</v>
      </c>
      <c r="I4248" s="14">
        <f t="shared" si="1882"/>
        <v>14234.2</v>
      </c>
      <c r="J4248" s="14">
        <f t="shared" si="1882"/>
        <v>14234.2</v>
      </c>
      <c r="K4248" s="78">
        <f t="shared" si="1874"/>
        <v>100</v>
      </c>
      <c r="L4248" s="14">
        <f t="shared" si="1882"/>
        <v>0</v>
      </c>
      <c r="M4248" s="50"/>
      <c r="N4248" s="50"/>
    </row>
    <row r="4249" spans="1:14" ht="31.2" x14ac:dyDescent="0.3">
      <c r="A4249" s="64" t="s">
        <v>102</v>
      </c>
      <c r="B4249" s="62" t="s">
        <v>912</v>
      </c>
      <c r="C4249" s="68" t="s">
        <v>1372</v>
      </c>
      <c r="D4249" s="68" t="s">
        <v>1477</v>
      </c>
      <c r="E4249" s="8" t="s">
        <v>655</v>
      </c>
      <c r="F4249" s="45" t="s">
        <v>402</v>
      </c>
      <c r="G4249" s="23" t="s">
        <v>819</v>
      </c>
      <c r="H4249" s="14">
        <f t="shared" si="1882"/>
        <v>14234.2</v>
      </c>
      <c r="I4249" s="14">
        <f t="shared" si="1882"/>
        <v>14234.2</v>
      </c>
      <c r="J4249" s="14">
        <f t="shared" si="1882"/>
        <v>14234.2</v>
      </c>
      <c r="K4249" s="78">
        <f t="shared" si="1874"/>
        <v>100</v>
      </c>
      <c r="L4249" s="14">
        <f t="shared" si="1882"/>
        <v>0</v>
      </c>
      <c r="M4249" s="50"/>
      <c r="N4249" s="50"/>
    </row>
    <row r="4250" spans="1:14" x14ac:dyDescent="0.3">
      <c r="A4250" s="64" t="s">
        <v>102</v>
      </c>
      <c r="B4250" s="62" t="s">
        <v>912</v>
      </c>
      <c r="C4250" s="68" t="s">
        <v>1372</v>
      </c>
      <c r="D4250" s="68" t="s">
        <v>1477</v>
      </c>
      <c r="E4250" s="8" t="s">
        <v>655</v>
      </c>
      <c r="F4250" s="8" t="s">
        <v>726</v>
      </c>
      <c r="G4250" s="13" t="s">
        <v>820</v>
      </c>
      <c r="H4250" s="14">
        <v>14234.2</v>
      </c>
      <c r="I4250" s="14">
        <v>14234.2</v>
      </c>
      <c r="J4250" s="14">
        <v>14234.2</v>
      </c>
      <c r="K4250" s="78">
        <f t="shared" si="1874"/>
        <v>100</v>
      </c>
      <c r="L4250" s="14"/>
      <c r="M4250" s="50"/>
      <c r="N4250" s="50"/>
    </row>
    <row r="4251" spans="1:14" ht="46.8" hidden="1" x14ac:dyDescent="0.3">
      <c r="A4251" s="64" t="s">
        <v>102</v>
      </c>
      <c r="B4251" s="62" t="s">
        <v>912</v>
      </c>
      <c r="C4251" s="68" t="s">
        <v>1372</v>
      </c>
      <c r="D4251" s="68" t="s">
        <v>1477</v>
      </c>
      <c r="E4251" s="8" t="s">
        <v>535</v>
      </c>
      <c r="F4251" s="8"/>
      <c r="G4251" s="31" t="s">
        <v>176</v>
      </c>
      <c r="H4251" s="14">
        <f t="shared" ref="H4251:L4252" si="1883">H4252</f>
        <v>141000</v>
      </c>
      <c r="I4251" s="14">
        <f t="shared" si="1883"/>
        <v>0</v>
      </c>
      <c r="J4251" s="14">
        <f t="shared" si="1883"/>
        <v>0</v>
      </c>
      <c r="K4251" s="78" t="e">
        <f t="shared" si="1874"/>
        <v>#DIV/0!</v>
      </c>
      <c r="L4251" s="14">
        <f t="shared" si="1883"/>
        <v>0</v>
      </c>
      <c r="M4251" s="50">
        <v>111</v>
      </c>
      <c r="N4251" s="50"/>
    </row>
    <row r="4252" spans="1:14" ht="31.2" hidden="1" x14ac:dyDescent="0.3">
      <c r="A4252" s="64" t="s">
        <v>102</v>
      </c>
      <c r="B4252" s="62" t="s">
        <v>912</v>
      </c>
      <c r="C4252" s="68" t="s">
        <v>1372</v>
      </c>
      <c r="D4252" s="68" t="s">
        <v>1477</v>
      </c>
      <c r="E4252" s="8" t="s">
        <v>535</v>
      </c>
      <c r="F4252" s="45" t="s">
        <v>380</v>
      </c>
      <c r="G4252" s="23" t="s">
        <v>809</v>
      </c>
      <c r="H4252" s="14">
        <f t="shared" si="1883"/>
        <v>141000</v>
      </c>
      <c r="I4252" s="14">
        <f t="shared" si="1883"/>
        <v>0</v>
      </c>
      <c r="J4252" s="14">
        <f t="shared" si="1883"/>
        <v>0</v>
      </c>
      <c r="K4252" s="78" t="e">
        <f t="shared" si="1874"/>
        <v>#DIV/0!</v>
      </c>
      <c r="L4252" s="14">
        <f t="shared" si="1883"/>
        <v>0</v>
      </c>
      <c r="M4252" s="50">
        <v>111</v>
      </c>
      <c r="N4252" s="50"/>
    </row>
    <row r="4253" spans="1:14" ht="31.2" hidden="1" x14ac:dyDescent="0.3">
      <c r="A4253" s="64" t="s">
        <v>102</v>
      </c>
      <c r="B4253" s="62" t="s">
        <v>912</v>
      </c>
      <c r="C4253" s="68" t="s">
        <v>1372</v>
      </c>
      <c r="D4253" s="68" t="s">
        <v>1477</v>
      </c>
      <c r="E4253" s="8" t="s">
        <v>535</v>
      </c>
      <c r="F4253" s="8" t="s">
        <v>247</v>
      </c>
      <c r="G4253" s="23" t="s">
        <v>810</v>
      </c>
      <c r="H4253" s="14">
        <v>141000</v>
      </c>
      <c r="I4253" s="14">
        <v>0</v>
      </c>
      <c r="J4253" s="19">
        <v>0</v>
      </c>
      <c r="K4253" s="75" t="e">
        <f t="shared" si="1874"/>
        <v>#DIV/0!</v>
      </c>
      <c r="L4253" s="14"/>
      <c r="M4253" s="50">
        <v>111</v>
      </c>
      <c r="N4253" s="50"/>
    </row>
    <row r="4254" spans="1:14" x14ac:dyDescent="0.3">
      <c r="A4254" s="64" t="s">
        <v>102</v>
      </c>
      <c r="B4254" s="62" t="s">
        <v>912</v>
      </c>
      <c r="C4254" s="68" t="s">
        <v>1372</v>
      </c>
      <c r="D4254" s="68" t="s">
        <v>1477</v>
      </c>
      <c r="E4254" s="8" t="s">
        <v>430</v>
      </c>
      <c r="F4254" s="8"/>
      <c r="G4254" s="23" t="s">
        <v>1141</v>
      </c>
      <c r="H4254" s="14">
        <f>H4264+H4269+H4272+H4279+H4255+H4258+H4282+H4261+H4275</f>
        <v>81803.587</v>
      </c>
      <c r="I4254" s="14">
        <f>I4264+I4269+I4272+I4279+I4255+I4258+I4282+I4261+I4275</f>
        <v>81803.587</v>
      </c>
      <c r="J4254" s="14">
        <f t="shared" ref="J4254:L4254" si="1884">J4264+J4269+J4272+J4279+J4255+J4258+J4282+J4261+J4275</f>
        <v>81201.923249999993</v>
      </c>
      <c r="K4254" s="78">
        <f t="shared" si="1874"/>
        <v>99.264501995493177</v>
      </c>
      <c r="L4254" s="14">
        <f t="shared" si="1884"/>
        <v>0</v>
      </c>
      <c r="M4254" s="50"/>
      <c r="N4254" s="50"/>
    </row>
    <row r="4255" spans="1:14" ht="31.2" x14ac:dyDescent="0.3">
      <c r="A4255" s="64" t="s">
        <v>102</v>
      </c>
      <c r="B4255" s="62" t="s">
        <v>912</v>
      </c>
      <c r="C4255" s="68" t="s">
        <v>1372</v>
      </c>
      <c r="D4255" s="68" t="s">
        <v>1477</v>
      </c>
      <c r="E4255" s="8" t="s">
        <v>56</v>
      </c>
      <c r="F4255" s="8"/>
      <c r="G4255" s="31" t="s">
        <v>1182</v>
      </c>
      <c r="H4255" s="14">
        <f t="shared" ref="H4255:L4256" si="1885">H4256</f>
        <v>23382.799999999999</v>
      </c>
      <c r="I4255" s="14">
        <f t="shared" si="1885"/>
        <v>23382.799999999999</v>
      </c>
      <c r="J4255" s="14">
        <f t="shared" si="1885"/>
        <v>22883.165260000002</v>
      </c>
      <c r="K4255" s="78">
        <f t="shared" si="1874"/>
        <v>97.863238192175444</v>
      </c>
      <c r="L4255" s="14">
        <f t="shared" si="1885"/>
        <v>0</v>
      </c>
      <c r="M4255" s="50"/>
      <c r="N4255" s="50"/>
    </row>
    <row r="4256" spans="1:14" ht="31.2" x14ac:dyDescent="0.3">
      <c r="A4256" s="64" t="s">
        <v>102</v>
      </c>
      <c r="B4256" s="62" t="s">
        <v>912</v>
      </c>
      <c r="C4256" s="68" t="s">
        <v>1372</v>
      </c>
      <c r="D4256" s="68" t="s">
        <v>1477</v>
      </c>
      <c r="E4256" s="8" t="s">
        <v>56</v>
      </c>
      <c r="F4256" s="45" t="s">
        <v>380</v>
      </c>
      <c r="G4256" s="23" t="s">
        <v>809</v>
      </c>
      <c r="H4256" s="14">
        <f t="shared" si="1885"/>
        <v>23382.799999999999</v>
      </c>
      <c r="I4256" s="14">
        <f t="shared" si="1885"/>
        <v>23382.799999999999</v>
      </c>
      <c r="J4256" s="14">
        <f t="shared" si="1885"/>
        <v>22883.165260000002</v>
      </c>
      <c r="K4256" s="78">
        <f t="shared" si="1874"/>
        <v>97.863238192175444</v>
      </c>
      <c r="L4256" s="14">
        <f t="shared" si="1885"/>
        <v>0</v>
      </c>
      <c r="M4256" s="50"/>
      <c r="N4256" s="50"/>
    </row>
    <row r="4257" spans="1:14" ht="31.2" x14ac:dyDescent="0.3">
      <c r="A4257" s="64" t="s">
        <v>102</v>
      </c>
      <c r="B4257" s="62" t="s">
        <v>912</v>
      </c>
      <c r="C4257" s="68" t="s">
        <v>1372</v>
      </c>
      <c r="D4257" s="68" t="s">
        <v>1477</v>
      </c>
      <c r="E4257" s="8" t="s">
        <v>56</v>
      </c>
      <c r="F4257" s="8" t="s">
        <v>247</v>
      </c>
      <c r="G4257" s="23" t="s">
        <v>810</v>
      </c>
      <c r="H4257" s="14">
        <f>22707.8+675</f>
        <v>23382.799999999999</v>
      </c>
      <c r="I4257" s="14">
        <v>23382.799999999999</v>
      </c>
      <c r="J4257" s="14">
        <v>22883.165260000002</v>
      </c>
      <c r="K4257" s="78">
        <f t="shared" si="1874"/>
        <v>97.863238192175444</v>
      </c>
      <c r="L4257" s="14"/>
      <c r="M4257" s="50"/>
      <c r="N4257" s="50"/>
    </row>
    <row r="4258" spans="1:14" ht="51.6" customHeight="1" x14ac:dyDescent="0.3">
      <c r="A4258" s="64" t="s">
        <v>102</v>
      </c>
      <c r="B4258" s="62" t="s">
        <v>912</v>
      </c>
      <c r="C4258" s="68" t="s">
        <v>1372</v>
      </c>
      <c r="D4258" s="68" t="s">
        <v>1477</v>
      </c>
      <c r="E4258" s="8" t="s">
        <v>1225</v>
      </c>
      <c r="F4258" s="8"/>
      <c r="G4258" s="23" t="s">
        <v>753</v>
      </c>
      <c r="H4258" s="14">
        <f t="shared" ref="H4258:L4259" si="1886">H4259</f>
        <v>146.36000000000001</v>
      </c>
      <c r="I4258" s="14">
        <f t="shared" si="1886"/>
        <v>146.36000000000001</v>
      </c>
      <c r="J4258" s="14">
        <f t="shared" si="1886"/>
        <v>146.36000000000001</v>
      </c>
      <c r="K4258" s="78">
        <f t="shared" si="1874"/>
        <v>100</v>
      </c>
      <c r="L4258" s="14">
        <f t="shared" si="1886"/>
        <v>0</v>
      </c>
      <c r="M4258" s="50"/>
      <c r="N4258" s="50"/>
    </row>
    <row r="4259" spans="1:14" ht="31.2" x14ac:dyDescent="0.3">
      <c r="A4259" s="64" t="s">
        <v>102</v>
      </c>
      <c r="B4259" s="62" t="s">
        <v>912</v>
      </c>
      <c r="C4259" s="68" t="s">
        <v>1372</v>
      </c>
      <c r="D4259" s="68" t="s">
        <v>1477</v>
      </c>
      <c r="E4259" s="8" t="s">
        <v>1225</v>
      </c>
      <c r="F4259" s="45" t="s">
        <v>380</v>
      </c>
      <c r="G4259" s="23" t="s">
        <v>809</v>
      </c>
      <c r="H4259" s="14">
        <f t="shared" si="1886"/>
        <v>146.36000000000001</v>
      </c>
      <c r="I4259" s="14">
        <f t="shared" si="1886"/>
        <v>146.36000000000001</v>
      </c>
      <c r="J4259" s="14">
        <f t="shared" si="1886"/>
        <v>146.36000000000001</v>
      </c>
      <c r="K4259" s="78">
        <f t="shared" si="1874"/>
        <v>100</v>
      </c>
      <c r="L4259" s="14">
        <f t="shared" si="1886"/>
        <v>0</v>
      </c>
      <c r="M4259" s="50"/>
      <c r="N4259" s="50"/>
    </row>
    <row r="4260" spans="1:14" ht="31.2" x14ac:dyDescent="0.3">
      <c r="A4260" s="64" t="s">
        <v>102</v>
      </c>
      <c r="B4260" s="62" t="s">
        <v>912</v>
      </c>
      <c r="C4260" s="68" t="s">
        <v>1372</v>
      </c>
      <c r="D4260" s="68" t="s">
        <v>1477</v>
      </c>
      <c r="E4260" s="8" t="s">
        <v>1225</v>
      </c>
      <c r="F4260" s="8" t="s">
        <v>247</v>
      </c>
      <c r="G4260" s="23" t="s">
        <v>810</v>
      </c>
      <c r="H4260" s="14">
        <f>146.5-0.14</f>
        <v>146.36000000000001</v>
      </c>
      <c r="I4260" s="14">
        <v>146.36000000000001</v>
      </c>
      <c r="J4260" s="14">
        <v>146.36000000000001</v>
      </c>
      <c r="K4260" s="78">
        <f t="shared" si="1874"/>
        <v>100</v>
      </c>
      <c r="L4260" s="14"/>
      <c r="M4260" s="50"/>
      <c r="N4260" s="50"/>
    </row>
    <row r="4261" spans="1:14" ht="31.2" x14ac:dyDescent="0.3">
      <c r="A4261" s="64" t="s">
        <v>102</v>
      </c>
      <c r="B4261" s="62" t="s">
        <v>912</v>
      </c>
      <c r="C4261" s="68" t="s">
        <v>1372</v>
      </c>
      <c r="D4261" s="68" t="s">
        <v>1477</v>
      </c>
      <c r="E4261" s="8" t="s">
        <v>1229</v>
      </c>
      <c r="F4261" s="8"/>
      <c r="G4261" s="23" t="s">
        <v>1231</v>
      </c>
      <c r="H4261" s="14">
        <f t="shared" ref="H4261:L4262" si="1887">H4262</f>
        <v>4.7199999999999989</v>
      </c>
      <c r="I4261" s="14">
        <f t="shared" si="1887"/>
        <v>4.72</v>
      </c>
      <c r="J4261" s="14">
        <f t="shared" si="1887"/>
        <v>4.72</v>
      </c>
      <c r="K4261" s="78">
        <f t="shared" si="1874"/>
        <v>100</v>
      </c>
      <c r="L4261" s="14">
        <f t="shared" si="1887"/>
        <v>0</v>
      </c>
      <c r="M4261" s="50"/>
      <c r="N4261" s="50"/>
    </row>
    <row r="4262" spans="1:14" ht="31.2" x14ac:dyDescent="0.3">
      <c r="A4262" s="64" t="s">
        <v>102</v>
      </c>
      <c r="B4262" s="62" t="s">
        <v>912</v>
      </c>
      <c r="C4262" s="68" t="s">
        <v>1372</v>
      </c>
      <c r="D4262" s="68" t="s">
        <v>1477</v>
      </c>
      <c r="E4262" s="8" t="s">
        <v>1229</v>
      </c>
      <c r="F4262" s="45" t="s">
        <v>380</v>
      </c>
      <c r="G4262" s="23" t="s">
        <v>809</v>
      </c>
      <c r="H4262" s="14">
        <f t="shared" si="1887"/>
        <v>4.7199999999999989</v>
      </c>
      <c r="I4262" s="14">
        <f t="shared" si="1887"/>
        <v>4.72</v>
      </c>
      <c r="J4262" s="14">
        <f t="shared" si="1887"/>
        <v>4.72</v>
      </c>
      <c r="K4262" s="78">
        <f t="shared" si="1874"/>
        <v>100</v>
      </c>
      <c r="L4262" s="14">
        <f t="shared" si="1887"/>
        <v>0</v>
      </c>
      <c r="M4262" s="50"/>
      <c r="N4262" s="50"/>
    </row>
    <row r="4263" spans="1:14" ht="31.2" x14ac:dyDescent="0.3">
      <c r="A4263" s="64" t="s">
        <v>102</v>
      </c>
      <c r="B4263" s="62" t="s">
        <v>912</v>
      </c>
      <c r="C4263" s="68" t="s">
        <v>1372</v>
      </c>
      <c r="D4263" s="68" t="s">
        <v>1477</v>
      </c>
      <c r="E4263" s="8" t="s">
        <v>1229</v>
      </c>
      <c r="F4263" s="8" t="s">
        <v>247</v>
      </c>
      <c r="G4263" s="23" t="s">
        <v>810</v>
      </c>
      <c r="H4263" s="14">
        <f>41.9-37.18</f>
        <v>4.7199999999999989</v>
      </c>
      <c r="I4263" s="14">
        <v>4.72</v>
      </c>
      <c r="J4263" s="14">
        <v>4.72</v>
      </c>
      <c r="K4263" s="78">
        <f t="shared" si="1874"/>
        <v>100</v>
      </c>
      <c r="L4263" s="14"/>
      <c r="M4263" s="50"/>
      <c r="N4263" s="50"/>
    </row>
    <row r="4264" spans="1:14" ht="31.2" x14ac:dyDescent="0.3">
      <c r="A4264" s="64" t="s">
        <v>102</v>
      </c>
      <c r="B4264" s="62" t="s">
        <v>912</v>
      </c>
      <c r="C4264" s="68" t="s">
        <v>1372</v>
      </c>
      <c r="D4264" s="68" t="s">
        <v>1477</v>
      </c>
      <c r="E4264" s="8" t="s">
        <v>583</v>
      </c>
      <c r="F4264" s="8"/>
      <c r="G4264" s="13" t="s">
        <v>1142</v>
      </c>
      <c r="H4264" s="14">
        <f>H4265+H4267</f>
        <v>46483.68</v>
      </c>
      <c r="I4264" s="14">
        <f>I4265+I4267</f>
        <v>46483.68</v>
      </c>
      <c r="J4264" s="14">
        <f t="shared" ref="J4264" si="1888">J4265+J4267</f>
        <v>46480.979289999996</v>
      </c>
      <c r="K4264" s="78">
        <f t="shared" si="1874"/>
        <v>99.994189982376597</v>
      </c>
      <c r="L4264" s="14">
        <f>L4265+L4267</f>
        <v>0</v>
      </c>
      <c r="M4264" s="50"/>
      <c r="N4264" s="50"/>
    </row>
    <row r="4265" spans="1:14" ht="31.2" x14ac:dyDescent="0.3">
      <c r="A4265" s="64" t="s">
        <v>102</v>
      </c>
      <c r="B4265" s="62" t="s">
        <v>912</v>
      </c>
      <c r="C4265" s="68" t="s">
        <v>1372</v>
      </c>
      <c r="D4265" s="68" t="s">
        <v>1477</v>
      </c>
      <c r="E4265" s="8" t="s">
        <v>583</v>
      </c>
      <c r="F4265" s="45" t="s">
        <v>380</v>
      </c>
      <c r="G4265" s="23" t="s">
        <v>809</v>
      </c>
      <c r="H4265" s="14">
        <f t="shared" ref="H4265:L4265" si="1889">H4266</f>
        <v>14088.900000000001</v>
      </c>
      <c r="I4265" s="14">
        <f t="shared" si="1889"/>
        <v>14088.900000000001</v>
      </c>
      <c r="J4265" s="14">
        <f t="shared" si="1889"/>
        <v>14086.199989999999</v>
      </c>
      <c r="K4265" s="78">
        <f t="shared" si="1874"/>
        <v>99.980835906280817</v>
      </c>
      <c r="L4265" s="14">
        <f t="shared" si="1889"/>
        <v>0</v>
      </c>
      <c r="M4265" s="50"/>
      <c r="N4265" s="50"/>
    </row>
    <row r="4266" spans="1:14" ht="31.2" x14ac:dyDescent="0.3">
      <c r="A4266" s="64" t="s">
        <v>102</v>
      </c>
      <c r="B4266" s="62" t="s">
        <v>912</v>
      </c>
      <c r="C4266" s="68" t="s">
        <v>1372</v>
      </c>
      <c r="D4266" s="68" t="s">
        <v>1477</v>
      </c>
      <c r="E4266" s="8" t="s">
        <v>583</v>
      </c>
      <c r="F4266" s="8" t="s">
        <v>247</v>
      </c>
      <c r="G4266" s="23" t="s">
        <v>810</v>
      </c>
      <c r="H4266" s="14">
        <v>14088.900000000001</v>
      </c>
      <c r="I4266" s="14">
        <v>14088.900000000001</v>
      </c>
      <c r="J4266" s="14">
        <v>14086.199989999999</v>
      </c>
      <c r="K4266" s="78">
        <f t="shared" si="1874"/>
        <v>99.980835906280817</v>
      </c>
      <c r="L4266" s="14"/>
      <c r="M4266" s="50"/>
      <c r="N4266" s="50"/>
    </row>
    <row r="4267" spans="1:14" x14ac:dyDescent="0.3">
      <c r="A4267" s="64" t="s">
        <v>102</v>
      </c>
      <c r="B4267" s="62" t="s">
        <v>912</v>
      </c>
      <c r="C4267" s="68" t="s">
        <v>1372</v>
      </c>
      <c r="D4267" s="68" t="s">
        <v>1477</v>
      </c>
      <c r="E4267" s="8" t="s">
        <v>583</v>
      </c>
      <c r="F4267" s="45" t="s">
        <v>464</v>
      </c>
      <c r="G4267" s="23" t="s">
        <v>822</v>
      </c>
      <c r="H4267" s="14">
        <f t="shared" ref="H4267:L4267" si="1890">H4268</f>
        <v>32394.78</v>
      </c>
      <c r="I4267" s="14">
        <f t="shared" si="1890"/>
        <v>32394.78</v>
      </c>
      <c r="J4267" s="14">
        <f t="shared" si="1890"/>
        <v>32394.779299999998</v>
      </c>
      <c r="K4267" s="78">
        <f t="shared" si="1874"/>
        <v>99.999997839158041</v>
      </c>
      <c r="L4267" s="14">
        <f t="shared" si="1890"/>
        <v>0</v>
      </c>
      <c r="M4267" s="50"/>
      <c r="N4267" s="50"/>
    </row>
    <row r="4268" spans="1:14" ht="62.4" x14ac:dyDescent="0.3">
      <c r="A4268" s="64" t="s">
        <v>102</v>
      </c>
      <c r="B4268" s="62" t="s">
        <v>912</v>
      </c>
      <c r="C4268" s="68" t="s">
        <v>1372</v>
      </c>
      <c r="D4268" s="68" t="s">
        <v>1477</v>
      </c>
      <c r="E4268" s="8" t="s">
        <v>583</v>
      </c>
      <c r="F4268" s="45" t="s">
        <v>727</v>
      </c>
      <c r="G4268" s="18" t="s">
        <v>830</v>
      </c>
      <c r="H4268" s="14">
        <f>32400-5.22</f>
        <v>32394.78</v>
      </c>
      <c r="I4268" s="14">
        <v>32394.78</v>
      </c>
      <c r="J4268" s="14">
        <v>32394.779299999998</v>
      </c>
      <c r="K4268" s="78">
        <f t="shared" si="1874"/>
        <v>99.999997839158041</v>
      </c>
      <c r="L4268" s="14"/>
      <c r="M4268" s="50"/>
      <c r="N4268" s="50"/>
    </row>
    <row r="4269" spans="1:14" ht="62.4" x14ac:dyDescent="0.3">
      <c r="A4269" s="64" t="s">
        <v>102</v>
      </c>
      <c r="B4269" s="62" t="s">
        <v>912</v>
      </c>
      <c r="C4269" s="68" t="s">
        <v>1372</v>
      </c>
      <c r="D4269" s="68" t="s">
        <v>1477</v>
      </c>
      <c r="E4269" s="8" t="s">
        <v>656</v>
      </c>
      <c r="F4269" s="8"/>
      <c r="G4269" s="13" t="s">
        <v>1144</v>
      </c>
      <c r="H4269" s="14">
        <f t="shared" ref="H4269:L4270" si="1891">H4270</f>
        <v>2229.6000000000004</v>
      </c>
      <c r="I4269" s="14">
        <f t="shared" si="1891"/>
        <v>2229.6</v>
      </c>
      <c r="J4269" s="14">
        <f t="shared" si="1891"/>
        <v>2164.7719999999999</v>
      </c>
      <c r="K4269" s="78">
        <f t="shared" si="1874"/>
        <v>97.092393254395404</v>
      </c>
      <c r="L4269" s="14">
        <f t="shared" si="1891"/>
        <v>0</v>
      </c>
      <c r="M4269" s="50"/>
      <c r="N4269" s="50"/>
    </row>
    <row r="4270" spans="1:14" ht="31.2" x14ac:dyDescent="0.3">
      <c r="A4270" s="64" t="s">
        <v>102</v>
      </c>
      <c r="B4270" s="62" t="s">
        <v>912</v>
      </c>
      <c r="C4270" s="68" t="s">
        <v>1372</v>
      </c>
      <c r="D4270" s="68" t="s">
        <v>1477</v>
      </c>
      <c r="E4270" s="8" t="s">
        <v>656</v>
      </c>
      <c r="F4270" s="45" t="s">
        <v>380</v>
      </c>
      <c r="G4270" s="23" t="s">
        <v>809</v>
      </c>
      <c r="H4270" s="14">
        <f t="shared" si="1891"/>
        <v>2229.6000000000004</v>
      </c>
      <c r="I4270" s="14">
        <f t="shared" si="1891"/>
        <v>2229.6</v>
      </c>
      <c r="J4270" s="14">
        <f t="shared" si="1891"/>
        <v>2164.7719999999999</v>
      </c>
      <c r="K4270" s="78">
        <f t="shared" si="1874"/>
        <v>97.092393254395404</v>
      </c>
      <c r="L4270" s="14">
        <f t="shared" si="1891"/>
        <v>0</v>
      </c>
      <c r="M4270" s="50"/>
      <c r="N4270" s="50"/>
    </row>
    <row r="4271" spans="1:14" ht="31.2" x14ac:dyDescent="0.3">
      <c r="A4271" s="64" t="s">
        <v>102</v>
      </c>
      <c r="B4271" s="62" t="s">
        <v>912</v>
      </c>
      <c r="C4271" s="68" t="s">
        <v>1372</v>
      </c>
      <c r="D4271" s="68" t="s">
        <v>1477</v>
      </c>
      <c r="E4271" s="8" t="s">
        <v>656</v>
      </c>
      <c r="F4271" s="8" t="s">
        <v>247</v>
      </c>
      <c r="G4271" s="23" t="s">
        <v>810</v>
      </c>
      <c r="H4271" s="14">
        <f>5438.1-3208.5</f>
        <v>2229.6000000000004</v>
      </c>
      <c r="I4271" s="14">
        <v>2229.6</v>
      </c>
      <c r="J4271" s="14">
        <v>2164.7719999999999</v>
      </c>
      <c r="K4271" s="78">
        <f t="shared" si="1874"/>
        <v>97.092393254395404</v>
      </c>
      <c r="L4271" s="14"/>
      <c r="M4271" s="50"/>
      <c r="N4271" s="50"/>
    </row>
    <row r="4272" spans="1:14" ht="46.8" x14ac:dyDescent="0.3">
      <c r="A4272" s="64" t="s">
        <v>102</v>
      </c>
      <c r="B4272" s="62" t="s">
        <v>912</v>
      </c>
      <c r="C4272" s="68" t="s">
        <v>1372</v>
      </c>
      <c r="D4272" s="68" t="s">
        <v>1477</v>
      </c>
      <c r="E4272" s="8" t="s">
        <v>657</v>
      </c>
      <c r="F4272" s="8"/>
      <c r="G4272" s="13" t="s">
        <v>1145</v>
      </c>
      <c r="H4272" s="14">
        <f t="shared" ref="H4272:L4273" si="1892">H4273</f>
        <v>7028.1809999999996</v>
      </c>
      <c r="I4272" s="14">
        <f t="shared" si="1892"/>
        <v>7028.1809999999996</v>
      </c>
      <c r="J4272" s="14">
        <f t="shared" si="1892"/>
        <v>7028.1808000000001</v>
      </c>
      <c r="K4272" s="78">
        <f t="shared" si="1874"/>
        <v>99.999997154313476</v>
      </c>
      <c r="L4272" s="14">
        <f t="shared" si="1892"/>
        <v>0</v>
      </c>
      <c r="M4272" s="50"/>
      <c r="N4272" s="50"/>
    </row>
    <row r="4273" spans="1:14" ht="31.2" x14ac:dyDescent="0.3">
      <c r="A4273" s="64" t="s">
        <v>102</v>
      </c>
      <c r="B4273" s="62" t="s">
        <v>912</v>
      </c>
      <c r="C4273" s="68" t="s">
        <v>1372</v>
      </c>
      <c r="D4273" s="68" t="s">
        <v>1477</v>
      </c>
      <c r="E4273" s="8" t="s">
        <v>657</v>
      </c>
      <c r="F4273" s="45" t="s">
        <v>380</v>
      </c>
      <c r="G4273" s="23" t="s">
        <v>809</v>
      </c>
      <c r="H4273" s="14">
        <f t="shared" si="1892"/>
        <v>7028.1809999999996</v>
      </c>
      <c r="I4273" s="14">
        <f t="shared" si="1892"/>
        <v>7028.1809999999996</v>
      </c>
      <c r="J4273" s="14">
        <f t="shared" si="1892"/>
        <v>7028.1808000000001</v>
      </c>
      <c r="K4273" s="78">
        <f t="shared" si="1874"/>
        <v>99.999997154313476</v>
      </c>
      <c r="L4273" s="14">
        <f t="shared" si="1892"/>
        <v>0</v>
      </c>
      <c r="M4273" s="50"/>
      <c r="N4273" s="50"/>
    </row>
    <row r="4274" spans="1:14" ht="31.2" x14ac:dyDescent="0.3">
      <c r="A4274" s="64" t="s">
        <v>102</v>
      </c>
      <c r="B4274" s="62" t="s">
        <v>912</v>
      </c>
      <c r="C4274" s="68" t="s">
        <v>1372</v>
      </c>
      <c r="D4274" s="68" t="s">
        <v>1477</v>
      </c>
      <c r="E4274" s="8" t="s">
        <v>657</v>
      </c>
      <c r="F4274" s="8" t="s">
        <v>247</v>
      </c>
      <c r="G4274" s="23" t="s">
        <v>810</v>
      </c>
      <c r="H4274" s="14">
        <v>7028.1809999999996</v>
      </c>
      <c r="I4274" s="14">
        <v>7028.1809999999996</v>
      </c>
      <c r="J4274" s="14">
        <v>7028.1808000000001</v>
      </c>
      <c r="K4274" s="78">
        <f t="shared" si="1874"/>
        <v>99.999997154313476</v>
      </c>
      <c r="L4274" s="14"/>
      <c r="M4274" s="50"/>
      <c r="N4274" s="50"/>
    </row>
    <row r="4275" spans="1:14" x14ac:dyDescent="0.3">
      <c r="A4275" s="64" t="s">
        <v>102</v>
      </c>
      <c r="B4275" s="62" t="s">
        <v>912</v>
      </c>
      <c r="C4275" s="68" t="s">
        <v>1372</v>
      </c>
      <c r="D4275" s="68" t="s">
        <v>1477</v>
      </c>
      <c r="E4275" s="8" t="s">
        <v>1230</v>
      </c>
      <c r="F4275" s="8"/>
      <c r="G4275" s="23" t="s">
        <v>1156</v>
      </c>
      <c r="H4275" s="14">
        <f t="shared" ref="H4275:L4275" si="1893">H4276</f>
        <v>2206.2460000000001</v>
      </c>
      <c r="I4275" s="14">
        <f t="shared" si="1893"/>
        <v>2206.2460000000001</v>
      </c>
      <c r="J4275" s="14">
        <f t="shared" si="1893"/>
        <v>2206.2458999999999</v>
      </c>
      <c r="K4275" s="78">
        <f t="shared" si="1874"/>
        <v>99.999995467413868</v>
      </c>
      <c r="L4275" s="14">
        <f t="shared" si="1893"/>
        <v>0</v>
      </c>
      <c r="M4275" s="50"/>
      <c r="N4275" s="50"/>
    </row>
    <row r="4276" spans="1:14" x14ac:dyDescent="0.3">
      <c r="A4276" s="64" t="s">
        <v>102</v>
      </c>
      <c r="B4276" s="62" t="s">
        <v>912</v>
      </c>
      <c r="C4276" s="68" t="s">
        <v>1372</v>
      </c>
      <c r="D4276" s="68" t="s">
        <v>1477</v>
      </c>
      <c r="E4276" s="8" t="s">
        <v>1230</v>
      </c>
      <c r="F4276" s="45" t="s">
        <v>464</v>
      </c>
      <c r="G4276" s="23" t="s">
        <v>822</v>
      </c>
      <c r="H4276" s="14">
        <f>H4277+H4278</f>
        <v>2206.2460000000001</v>
      </c>
      <c r="I4276" s="14">
        <f>I4277+I4278</f>
        <v>2206.2460000000001</v>
      </c>
      <c r="J4276" s="14">
        <f t="shared" ref="J4276" si="1894">J4277+J4278</f>
        <v>2206.2458999999999</v>
      </c>
      <c r="K4276" s="78">
        <f t="shared" si="1874"/>
        <v>99.999995467413868</v>
      </c>
      <c r="L4276" s="14">
        <f>L4277+L4278</f>
        <v>0</v>
      </c>
      <c r="M4276" s="50"/>
      <c r="N4276" s="50"/>
    </row>
    <row r="4277" spans="1:14" x14ac:dyDescent="0.3">
      <c r="A4277" s="64" t="s">
        <v>102</v>
      </c>
      <c r="B4277" s="62" t="s">
        <v>912</v>
      </c>
      <c r="C4277" s="68" t="s">
        <v>1372</v>
      </c>
      <c r="D4277" s="68" t="s">
        <v>1477</v>
      </c>
      <c r="E4277" s="8" t="s">
        <v>1230</v>
      </c>
      <c r="F4277" s="45" t="s">
        <v>729</v>
      </c>
      <c r="G4277" s="23" t="s">
        <v>824</v>
      </c>
      <c r="H4277" s="14">
        <f>1598.3-0.09</f>
        <v>1598.21</v>
      </c>
      <c r="I4277" s="14">
        <v>1598.21</v>
      </c>
      <c r="J4277" s="14">
        <v>1598.2099000000001</v>
      </c>
      <c r="K4277" s="78">
        <f t="shared" si="1874"/>
        <v>99.999993742999976</v>
      </c>
      <c r="L4277" s="14"/>
      <c r="M4277" s="50"/>
      <c r="N4277" s="50"/>
    </row>
    <row r="4278" spans="1:14" ht="31.2" x14ac:dyDescent="0.3">
      <c r="A4278" s="64" t="s">
        <v>102</v>
      </c>
      <c r="B4278" s="62" t="s">
        <v>912</v>
      </c>
      <c r="C4278" s="68" t="s">
        <v>1372</v>
      </c>
      <c r="D4278" s="68" t="s">
        <v>1477</v>
      </c>
      <c r="E4278" s="8" t="s">
        <v>1230</v>
      </c>
      <c r="F4278" s="8" t="s">
        <v>730</v>
      </c>
      <c r="G4278" s="13" t="s">
        <v>825</v>
      </c>
      <c r="H4278" s="14">
        <f>610.3-2.264</f>
        <v>608.03599999999994</v>
      </c>
      <c r="I4278" s="14">
        <v>608.03599999999994</v>
      </c>
      <c r="J4278" s="14">
        <v>608.03599999999994</v>
      </c>
      <c r="K4278" s="78">
        <f t="shared" si="1874"/>
        <v>100</v>
      </c>
      <c r="L4278" s="14"/>
      <c r="M4278" s="50"/>
      <c r="N4278" s="50"/>
    </row>
    <row r="4279" spans="1:14" ht="46.8" x14ac:dyDescent="0.3">
      <c r="A4279" s="64" t="s">
        <v>102</v>
      </c>
      <c r="B4279" s="62" t="s">
        <v>912</v>
      </c>
      <c r="C4279" s="68" t="s">
        <v>1372</v>
      </c>
      <c r="D4279" s="68" t="s">
        <v>1477</v>
      </c>
      <c r="E4279" s="8" t="s">
        <v>658</v>
      </c>
      <c r="F4279" s="8"/>
      <c r="G4279" s="13" t="s">
        <v>754</v>
      </c>
      <c r="H4279" s="14">
        <f t="shared" ref="H4279:L4280" si="1895">H4280</f>
        <v>80.5</v>
      </c>
      <c r="I4279" s="14">
        <f t="shared" si="1895"/>
        <v>80.5</v>
      </c>
      <c r="J4279" s="14">
        <f t="shared" si="1895"/>
        <v>80.5</v>
      </c>
      <c r="K4279" s="78">
        <f t="shared" si="1874"/>
        <v>100</v>
      </c>
      <c r="L4279" s="14">
        <f t="shared" si="1895"/>
        <v>0</v>
      </c>
      <c r="M4279" s="50"/>
      <c r="N4279" s="50"/>
    </row>
    <row r="4280" spans="1:14" x14ac:dyDescent="0.3">
      <c r="A4280" s="64" t="s">
        <v>102</v>
      </c>
      <c r="B4280" s="62" t="s">
        <v>912</v>
      </c>
      <c r="C4280" s="68" t="s">
        <v>1372</v>
      </c>
      <c r="D4280" s="68" t="s">
        <v>1477</v>
      </c>
      <c r="E4280" s="8" t="s">
        <v>658</v>
      </c>
      <c r="F4280" s="8" t="s">
        <v>404</v>
      </c>
      <c r="G4280" s="13" t="s">
        <v>811</v>
      </c>
      <c r="H4280" s="14">
        <f t="shared" si="1895"/>
        <v>80.5</v>
      </c>
      <c r="I4280" s="14">
        <f t="shared" si="1895"/>
        <v>80.5</v>
      </c>
      <c r="J4280" s="14">
        <f t="shared" si="1895"/>
        <v>80.5</v>
      </c>
      <c r="K4280" s="78">
        <f t="shared" si="1874"/>
        <v>100</v>
      </c>
      <c r="L4280" s="14">
        <f t="shared" si="1895"/>
        <v>0</v>
      </c>
      <c r="M4280" s="50"/>
      <c r="N4280" s="50"/>
    </row>
    <row r="4281" spans="1:14" x14ac:dyDescent="0.3">
      <c r="A4281" s="64" t="s">
        <v>102</v>
      </c>
      <c r="B4281" s="62" t="s">
        <v>912</v>
      </c>
      <c r="C4281" s="68" t="s">
        <v>1372</v>
      </c>
      <c r="D4281" s="68" t="s">
        <v>1477</v>
      </c>
      <c r="E4281" s="8" t="s">
        <v>658</v>
      </c>
      <c r="F4281" s="8" t="s">
        <v>724</v>
      </c>
      <c r="G4281" s="13" t="s">
        <v>816</v>
      </c>
      <c r="H4281" s="14">
        <f>115-34.5</f>
        <v>80.5</v>
      </c>
      <c r="I4281" s="14">
        <v>80.5</v>
      </c>
      <c r="J4281" s="14">
        <v>80.5</v>
      </c>
      <c r="K4281" s="78">
        <f t="shared" si="1874"/>
        <v>100</v>
      </c>
      <c r="L4281" s="14"/>
      <c r="M4281" s="50"/>
      <c r="N4281" s="50"/>
    </row>
    <row r="4282" spans="1:14" ht="37.950000000000003" customHeight="1" x14ac:dyDescent="0.3">
      <c r="A4282" s="64" t="s">
        <v>102</v>
      </c>
      <c r="B4282" s="62" t="s">
        <v>912</v>
      </c>
      <c r="C4282" s="68" t="s">
        <v>1372</v>
      </c>
      <c r="D4282" s="68" t="s">
        <v>1477</v>
      </c>
      <c r="E4282" s="8" t="s">
        <v>584</v>
      </c>
      <c r="F4282" s="8"/>
      <c r="G4282" s="13" t="s">
        <v>1149</v>
      </c>
      <c r="H4282" s="14">
        <f t="shared" ref="H4282:L4283" si="1896">H4283</f>
        <v>241.5</v>
      </c>
      <c r="I4282" s="14">
        <f t="shared" si="1896"/>
        <v>241.5</v>
      </c>
      <c r="J4282" s="14">
        <f t="shared" si="1896"/>
        <v>207</v>
      </c>
      <c r="K4282" s="78">
        <f t="shared" si="1874"/>
        <v>85.714285714285708</v>
      </c>
      <c r="L4282" s="14">
        <f t="shared" si="1896"/>
        <v>0</v>
      </c>
      <c r="M4282" s="50"/>
      <c r="N4282" s="50"/>
    </row>
    <row r="4283" spans="1:14" x14ac:dyDescent="0.3">
      <c r="A4283" s="64" t="s">
        <v>102</v>
      </c>
      <c r="B4283" s="62" t="s">
        <v>912</v>
      </c>
      <c r="C4283" s="68" t="s">
        <v>1372</v>
      </c>
      <c r="D4283" s="68" t="s">
        <v>1477</v>
      </c>
      <c r="E4283" s="8" t="s">
        <v>584</v>
      </c>
      <c r="F4283" s="8" t="s">
        <v>404</v>
      </c>
      <c r="G4283" s="13" t="s">
        <v>811</v>
      </c>
      <c r="H4283" s="14">
        <f t="shared" si="1896"/>
        <v>241.5</v>
      </c>
      <c r="I4283" s="14">
        <f t="shared" si="1896"/>
        <v>241.5</v>
      </c>
      <c r="J4283" s="14">
        <f t="shared" si="1896"/>
        <v>207</v>
      </c>
      <c r="K4283" s="78">
        <f t="shared" si="1874"/>
        <v>85.714285714285708</v>
      </c>
      <c r="L4283" s="14">
        <f t="shared" si="1896"/>
        <v>0</v>
      </c>
      <c r="M4283" s="50"/>
      <c r="N4283" s="50"/>
    </row>
    <row r="4284" spans="1:14" x14ac:dyDescent="0.3">
      <c r="A4284" s="64" t="s">
        <v>102</v>
      </c>
      <c r="B4284" s="62" t="s">
        <v>912</v>
      </c>
      <c r="C4284" s="68" t="s">
        <v>1372</v>
      </c>
      <c r="D4284" s="68" t="s">
        <v>1477</v>
      </c>
      <c r="E4284" s="8" t="s">
        <v>584</v>
      </c>
      <c r="F4284" s="8" t="s">
        <v>724</v>
      </c>
      <c r="G4284" s="13" t="s">
        <v>816</v>
      </c>
      <c r="H4284" s="14">
        <v>241.5</v>
      </c>
      <c r="I4284" s="14">
        <v>241.5</v>
      </c>
      <c r="J4284" s="14">
        <v>207</v>
      </c>
      <c r="K4284" s="78">
        <f t="shared" si="1874"/>
        <v>85.714285714285708</v>
      </c>
      <c r="L4284" s="14"/>
      <c r="M4284" s="50"/>
      <c r="N4284" s="50"/>
    </row>
    <row r="4285" spans="1:14" s="3" customFormat="1" ht="31.2" hidden="1" x14ac:dyDescent="0.3">
      <c r="A4285" s="4" t="s">
        <v>102</v>
      </c>
      <c r="B4285" s="43" t="s">
        <v>1391</v>
      </c>
      <c r="C4285" s="43" t="s">
        <v>1391</v>
      </c>
      <c r="D4285" s="43" t="s">
        <v>915</v>
      </c>
      <c r="E4285" s="4"/>
      <c r="F4285" s="4"/>
      <c r="G4285" s="5" t="s">
        <v>1415</v>
      </c>
      <c r="H4285" s="15">
        <f t="shared" ref="H4285:L4285" si="1897">H4286</f>
        <v>3522.2</v>
      </c>
      <c r="I4285" s="15">
        <f t="shared" si="1897"/>
        <v>0</v>
      </c>
      <c r="J4285" s="15">
        <f t="shared" si="1897"/>
        <v>0</v>
      </c>
      <c r="K4285" s="81" t="e">
        <f t="shared" si="1874"/>
        <v>#DIV/0!</v>
      </c>
      <c r="L4285" s="15">
        <f t="shared" si="1897"/>
        <v>0</v>
      </c>
      <c r="M4285" s="50">
        <v>111</v>
      </c>
      <c r="N4285" s="65"/>
    </row>
    <row r="4286" spans="1:14" s="9" customFormat="1" ht="31.2" hidden="1" x14ac:dyDescent="0.3">
      <c r="A4286" s="6" t="s">
        <v>102</v>
      </c>
      <c r="B4286" s="48" t="s">
        <v>936</v>
      </c>
      <c r="C4286" s="48" t="s">
        <v>1391</v>
      </c>
      <c r="D4286" s="48" t="s">
        <v>1480</v>
      </c>
      <c r="E4286" s="6"/>
      <c r="F4286" s="6"/>
      <c r="G4286" s="7" t="s">
        <v>1421</v>
      </c>
      <c r="H4286" s="16">
        <f t="shared" ref="H4286:L4290" si="1898">H4287</f>
        <v>3522.2</v>
      </c>
      <c r="I4286" s="16">
        <f t="shared" si="1898"/>
        <v>0</v>
      </c>
      <c r="J4286" s="16">
        <f t="shared" si="1898"/>
        <v>0</v>
      </c>
      <c r="K4286" s="82" t="e">
        <f t="shared" si="1874"/>
        <v>#DIV/0!</v>
      </c>
      <c r="L4286" s="16">
        <f t="shared" si="1898"/>
        <v>0</v>
      </c>
      <c r="M4286" s="50">
        <v>111</v>
      </c>
      <c r="N4286" s="65"/>
    </row>
    <row r="4287" spans="1:14" ht="31.2" hidden="1" x14ac:dyDescent="0.3">
      <c r="A4287" s="64" t="s">
        <v>102</v>
      </c>
      <c r="B4287" s="62" t="s">
        <v>936</v>
      </c>
      <c r="C4287" s="68" t="s">
        <v>1391</v>
      </c>
      <c r="D4287" s="68" t="s">
        <v>1480</v>
      </c>
      <c r="E4287" s="8" t="s">
        <v>429</v>
      </c>
      <c r="F4287" s="8"/>
      <c r="G4287" s="23" t="s">
        <v>1140</v>
      </c>
      <c r="H4287" s="14">
        <f t="shared" si="1898"/>
        <v>3522.2</v>
      </c>
      <c r="I4287" s="14">
        <f t="shared" si="1898"/>
        <v>0</v>
      </c>
      <c r="J4287" s="14">
        <f t="shared" si="1898"/>
        <v>0</v>
      </c>
      <c r="K4287" s="78" t="e">
        <f t="shared" si="1874"/>
        <v>#DIV/0!</v>
      </c>
      <c r="L4287" s="14">
        <f t="shared" si="1898"/>
        <v>0</v>
      </c>
      <c r="M4287" s="50">
        <v>111</v>
      </c>
      <c r="N4287" s="50"/>
    </row>
    <row r="4288" spans="1:14" hidden="1" x14ac:dyDescent="0.3">
      <c r="A4288" s="64" t="s">
        <v>102</v>
      </c>
      <c r="B4288" s="62" t="s">
        <v>936</v>
      </c>
      <c r="C4288" s="68" t="s">
        <v>1391</v>
      </c>
      <c r="D4288" s="68" t="s">
        <v>1480</v>
      </c>
      <c r="E4288" s="8" t="s">
        <v>430</v>
      </c>
      <c r="F4288" s="8"/>
      <c r="G4288" s="23" t="s">
        <v>1141</v>
      </c>
      <c r="H4288" s="14">
        <f>H4289+H4292</f>
        <v>3522.2</v>
      </c>
      <c r="I4288" s="14">
        <f>I4289+I4292</f>
        <v>0</v>
      </c>
      <c r="J4288" s="14">
        <f t="shared" ref="J4288" si="1899">J4289+J4292</f>
        <v>0</v>
      </c>
      <c r="K4288" s="78" t="e">
        <f t="shared" si="1874"/>
        <v>#DIV/0!</v>
      </c>
      <c r="L4288" s="14">
        <f>L4289+L4292</f>
        <v>0</v>
      </c>
      <c r="M4288" s="50">
        <v>111</v>
      </c>
      <c r="N4288" s="50"/>
    </row>
    <row r="4289" spans="1:14" ht="31.2" hidden="1" x14ac:dyDescent="0.3">
      <c r="A4289" s="64" t="s">
        <v>102</v>
      </c>
      <c r="B4289" s="62" t="s">
        <v>936</v>
      </c>
      <c r="C4289" s="68" t="s">
        <v>1391</v>
      </c>
      <c r="D4289" s="68" t="s">
        <v>1480</v>
      </c>
      <c r="E4289" s="8" t="s">
        <v>209</v>
      </c>
      <c r="F4289" s="8"/>
      <c r="G4289" s="13" t="s">
        <v>1147</v>
      </c>
      <c r="H4289" s="14">
        <f t="shared" si="1898"/>
        <v>628.79999999999995</v>
      </c>
      <c r="I4289" s="14">
        <f t="shared" si="1898"/>
        <v>0</v>
      </c>
      <c r="J4289" s="14">
        <f t="shared" si="1898"/>
        <v>0</v>
      </c>
      <c r="K4289" s="78" t="e">
        <f t="shared" si="1874"/>
        <v>#DIV/0!</v>
      </c>
      <c r="L4289" s="14">
        <f t="shared" si="1898"/>
        <v>0</v>
      </c>
      <c r="M4289" s="50">
        <v>111</v>
      </c>
      <c r="N4289" s="50"/>
    </row>
    <row r="4290" spans="1:14" ht="31.2" hidden="1" x14ac:dyDescent="0.3">
      <c r="A4290" s="64" t="s">
        <v>102</v>
      </c>
      <c r="B4290" s="62" t="s">
        <v>936</v>
      </c>
      <c r="C4290" s="68" t="s">
        <v>1391</v>
      </c>
      <c r="D4290" s="68" t="s">
        <v>1480</v>
      </c>
      <c r="E4290" s="8" t="s">
        <v>209</v>
      </c>
      <c r="F4290" s="45" t="s">
        <v>380</v>
      </c>
      <c r="G4290" s="23" t="s">
        <v>809</v>
      </c>
      <c r="H4290" s="14">
        <f t="shared" si="1898"/>
        <v>628.79999999999995</v>
      </c>
      <c r="I4290" s="14">
        <f t="shared" si="1898"/>
        <v>0</v>
      </c>
      <c r="J4290" s="14">
        <f t="shared" si="1898"/>
        <v>0</v>
      </c>
      <c r="K4290" s="78" t="e">
        <f t="shared" si="1874"/>
        <v>#DIV/0!</v>
      </c>
      <c r="L4290" s="14">
        <f t="shared" si="1898"/>
        <v>0</v>
      </c>
      <c r="M4290" s="50">
        <v>111</v>
      </c>
      <c r="N4290" s="50"/>
    </row>
    <row r="4291" spans="1:14" ht="31.2" hidden="1" x14ac:dyDescent="0.3">
      <c r="A4291" s="64" t="s">
        <v>102</v>
      </c>
      <c r="B4291" s="62" t="s">
        <v>936</v>
      </c>
      <c r="C4291" s="68" t="s">
        <v>1391</v>
      </c>
      <c r="D4291" s="68" t="s">
        <v>1480</v>
      </c>
      <c r="E4291" s="8" t="s">
        <v>209</v>
      </c>
      <c r="F4291" s="8" t="s">
        <v>247</v>
      </c>
      <c r="G4291" s="23" t="s">
        <v>810</v>
      </c>
      <c r="H4291" s="14">
        <v>628.79999999999995</v>
      </c>
      <c r="I4291" s="14">
        <v>0</v>
      </c>
      <c r="J4291" s="19">
        <v>0</v>
      </c>
      <c r="K4291" s="75" t="e">
        <f t="shared" si="1874"/>
        <v>#DIV/0!</v>
      </c>
      <c r="L4291" s="14"/>
      <c r="M4291" s="50">
        <v>111</v>
      </c>
      <c r="N4291" s="50"/>
    </row>
    <row r="4292" spans="1:14" ht="31.2" hidden="1" x14ac:dyDescent="0.3">
      <c r="A4292" s="64" t="s">
        <v>102</v>
      </c>
      <c r="B4292" s="62" t="s">
        <v>936</v>
      </c>
      <c r="C4292" s="68" t="s">
        <v>1391</v>
      </c>
      <c r="D4292" s="68" t="s">
        <v>1480</v>
      </c>
      <c r="E4292" s="8" t="s">
        <v>210</v>
      </c>
      <c r="F4292" s="8"/>
      <c r="G4292" s="34" t="s">
        <v>1183</v>
      </c>
      <c r="H4292" s="14">
        <f>H4293+H4295</f>
        <v>2893.3999999999996</v>
      </c>
      <c r="I4292" s="14">
        <f>I4293+I4295</f>
        <v>0</v>
      </c>
      <c r="J4292" s="14">
        <f t="shared" ref="J4292" si="1900">J4293+J4295</f>
        <v>0</v>
      </c>
      <c r="K4292" s="78" t="e">
        <f t="shared" si="1874"/>
        <v>#DIV/0!</v>
      </c>
      <c r="L4292" s="14">
        <f>L4293+L4295</f>
        <v>0</v>
      </c>
      <c r="M4292" s="50">
        <v>111</v>
      </c>
      <c r="N4292" s="50"/>
    </row>
    <row r="4293" spans="1:14" ht="78" hidden="1" x14ac:dyDescent="0.3">
      <c r="A4293" s="64" t="s">
        <v>102</v>
      </c>
      <c r="B4293" s="62" t="s">
        <v>936</v>
      </c>
      <c r="C4293" s="68" t="s">
        <v>1391</v>
      </c>
      <c r="D4293" s="68" t="s">
        <v>1480</v>
      </c>
      <c r="E4293" s="8" t="s">
        <v>210</v>
      </c>
      <c r="F4293" s="45" t="s">
        <v>431</v>
      </c>
      <c r="G4293" s="23" t="s">
        <v>806</v>
      </c>
      <c r="H4293" s="14">
        <f t="shared" ref="H4293:L4293" si="1901">H4294</f>
        <v>793.2</v>
      </c>
      <c r="I4293" s="14">
        <f t="shared" si="1901"/>
        <v>0</v>
      </c>
      <c r="J4293" s="14">
        <f t="shared" si="1901"/>
        <v>0</v>
      </c>
      <c r="K4293" s="78" t="e">
        <f t="shared" si="1874"/>
        <v>#DIV/0!</v>
      </c>
      <c r="L4293" s="14">
        <f t="shared" si="1901"/>
        <v>0</v>
      </c>
      <c r="M4293" s="50">
        <v>111</v>
      </c>
      <c r="N4293" s="50"/>
    </row>
    <row r="4294" spans="1:14" ht="31.2" hidden="1" x14ac:dyDescent="0.3">
      <c r="A4294" s="64" t="s">
        <v>102</v>
      </c>
      <c r="B4294" s="62" t="s">
        <v>936</v>
      </c>
      <c r="C4294" s="68" t="s">
        <v>1391</v>
      </c>
      <c r="D4294" s="68" t="s">
        <v>1480</v>
      </c>
      <c r="E4294" s="8" t="s">
        <v>210</v>
      </c>
      <c r="F4294" s="45" t="s">
        <v>233</v>
      </c>
      <c r="G4294" s="23" t="s">
        <v>808</v>
      </c>
      <c r="H4294" s="14">
        <v>793.2</v>
      </c>
      <c r="I4294" s="14">
        <v>0</v>
      </c>
      <c r="J4294" s="19">
        <v>0</v>
      </c>
      <c r="K4294" s="75" t="e">
        <f t="shared" si="1874"/>
        <v>#DIV/0!</v>
      </c>
      <c r="L4294" s="14"/>
      <c r="M4294" s="50">
        <v>111</v>
      </c>
      <c r="N4294" s="50"/>
    </row>
    <row r="4295" spans="1:14" ht="31.2" hidden="1" x14ac:dyDescent="0.3">
      <c r="A4295" s="64" t="s">
        <v>102</v>
      </c>
      <c r="B4295" s="62" t="s">
        <v>936</v>
      </c>
      <c r="C4295" s="68" t="s">
        <v>1391</v>
      </c>
      <c r="D4295" s="68" t="s">
        <v>1480</v>
      </c>
      <c r="E4295" s="8" t="s">
        <v>210</v>
      </c>
      <c r="F4295" s="45" t="s">
        <v>380</v>
      </c>
      <c r="G4295" s="23" t="s">
        <v>809</v>
      </c>
      <c r="H4295" s="14">
        <f t="shared" ref="H4295:L4295" si="1902">H4296</f>
        <v>2100.1999999999998</v>
      </c>
      <c r="I4295" s="14">
        <f t="shared" si="1902"/>
        <v>0</v>
      </c>
      <c r="J4295" s="14">
        <f t="shared" si="1902"/>
        <v>0</v>
      </c>
      <c r="K4295" s="78" t="e">
        <f t="shared" si="1874"/>
        <v>#DIV/0!</v>
      </c>
      <c r="L4295" s="14">
        <f t="shared" si="1902"/>
        <v>0</v>
      </c>
      <c r="M4295" s="50">
        <v>111</v>
      </c>
      <c r="N4295" s="50"/>
    </row>
    <row r="4296" spans="1:14" ht="31.2" hidden="1" x14ac:dyDescent="0.3">
      <c r="A4296" s="64" t="s">
        <v>102</v>
      </c>
      <c r="B4296" s="62" t="s">
        <v>936</v>
      </c>
      <c r="C4296" s="68" t="s">
        <v>1391</v>
      </c>
      <c r="D4296" s="68" t="s">
        <v>1480</v>
      </c>
      <c r="E4296" s="8" t="s">
        <v>210</v>
      </c>
      <c r="F4296" s="8" t="s">
        <v>247</v>
      </c>
      <c r="G4296" s="23" t="s">
        <v>810</v>
      </c>
      <c r="H4296" s="14">
        <v>2100.1999999999998</v>
      </c>
      <c r="I4296" s="14">
        <v>0</v>
      </c>
      <c r="J4296" s="19">
        <v>0</v>
      </c>
      <c r="K4296" s="75" t="e">
        <f t="shared" ref="K4296:K4359" si="1903">J4296/I4296*100</f>
        <v>#DIV/0!</v>
      </c>
      <c r="L4296" s="14"/>
      <c r="M4296" s="50">
        <v>111</v>
      </c>
      <c r="N4296" s="50"/>
    </row>
    <row r="4297" spans="1:14" s="3" customFormat="1" x14ac:dyDescent="0.3">
      <c r="A4297" s="4" t="s">
        <v>102</v>
      </c>
      <c r="B4297" s="43" t="s">
        <v>1392</v>
      </c>
      <c r="C4297" s="43" t="s">
        <v>1392</v>
      </c>
      <c r="D4297" s="43" t="s">
        <v>915</v>
      </c>
      <c r="E4297" s="4"/>
      <c r="F4297" s="4"/>
      <c r="G4297" s="5" t="s">
        <v>1416</v>
      </c>
      <c r="H4297" s="15">
        <f t="shared" ref="H4297:L4302" si="1904">H4298</f>
        <v>1577.5</v>
      </c>
      <c r="I4297" s="15">
        <f t="shared" si="1904"/>
        <v>1577.5</v>
      </c>
      <c r="J4297" s="15">
        <f t="shared" si="1904"/>
        <v>1577.5</v>
      </c>
      <c r="K4297" s="81">
        <f t="shared" si="1903"/>
        <v>100</v>
      </c>
      <c r="L4297" s="15">
        <f t="shared" si="1904"/>
        <v>0</v>
      </c>
      <c r="M4297" s="65"/>
      <c r="N4297" s="65"/>
    </row>
    <row r="4298" spans="1:14" s="9" customFormat="1" x14ac:dyDescent="0.3">
      <c r="A4298" s="6" t="s">
        <v>102</v>
      </c>
      <c r="B4298" s="48" t="s">
        <v>941</v>
      </c>
      <c r="C4298" s="48" t="s">
        <v>1392</v>
      </c>
      <c r="D4298" s="48" t="s">
        <v>1372</v>
      </c>
      <c r="E4298" s="6"/>
      <c r="F4298" s="6"/>
      <c r="G4298" s="7" t="s">
        <v>1422</v>
      </c>
      <c r="H4298" s="16">
        <f t="shared" si="1904"/>
        <v>1577.5</v>
      </c>
      <c r="I4298" s="16">
        <f t="shared" si="1904"/>
        <v>1577.5</v>
      </c>
      <c r="J4298" s="16">
        <f t="shared" si="1904"/>
        <v>1577.5</v>
      </c>
      <c r="K4298" s="82">
        <f t="shared" si="1903"/>
        <v>100</v>
      </c>
      <c r="L4298" s="16">
        <f t="shared" si="1904"/>
        <v>0</v>
      </c>
      <c r="M4298" s="65"/>
      <c r="N4298" s="65"/>
    </row>
    <row r="4299" spans="1:14" ht="31.2" x14ac:dyDescent="0.3">
      <c r="A4299" s="64" t="s">
        <v>102</v>
      </c>
      <c r="B4299" s="62" t="s">
        <v>941</v>
      </c>
      <c r="C4299" s="68" t="s">
        <v>1392</v>
      </c>
      <c r="D4299" s="68" t="s">
        <v>1372</v>
      </c>
      <c r="E4299" s="8" t="s">
        <v>659</v>
      </c>
      <c r="F4299" s="8"/>
      <c r="G4299" s="13" t="s">
        <v>1067</v>
      </c>
      <c r="H4299" s="14">
        <f t="shared" si="1904"/>
        <v>1577.5</v>
      </c>
      <c r="I4299" s="14">
        <f t="shared" si="1904"/>
        <v>1577.5</v>
      </c>
      <c r="J4299" s="14">
        <f t="shared" si="1904"/>
        <v>1577.5</v>
      </c>
      <c r="K4299" s="78">
        <f t="shared" si="1903"/>
        <v>100</v>
      </c>
      <c r="L4299" s="14">
        <f t="shared" si="1904"/>
        <v>0</v>
      </c>
      <c r="M4299" s="50"/>
      <c r="N4299" s="50"/>
    </row>
    <row r="4300" spans="1:14" ht="31.2" x14ac:dyDescent="0.3">
      <c r="A4300" s="64" t="s">
        <v>102</v>
      </c>
      <c r="B4300" s="62" t="s">
        <v>941</v>
      </c>
      <c r="C4300" s="68" t="s">
        <v>1392</v>
      </c>
      <c r="D4300" s="68" t="s">
        <v>1372</v>
      </c>
      <c r="E4300" s="8" t="s">
        <v>660</v>
      </c>
      <c r="F4300" s="8"/>
      <c r="G4300" s="13" t="s">
        <v>1068</v>
      </c>
      <c r="H4300" s="14">
        <f t="shared" si="1904"/>
        <v>1577.5</v>
      </c>
      <c r="I4300" s="14">
        <f t="shared" si="1904"/>
        <v>1577.5</v>
      </c>
      <c r="J4300" s="14">
        <f t="shared" si="1904"/>
        <v>1577.5</v>
      </c>
      <c r="K4300" s="78">
        <f t="shared" si="1903"/>
        <v>100</v>
      </c>
      <c r="L4300" s="14">
        <f t="shared" si="1904"/>
        <v>0</v>
      </c>
      <c r="M4300" s="50"/>
      <c r="N4300" s="50"/>
    </row>
    <row r="4301" spans="1:14" ht="31.2" x14ac:dyDescent="0.3">
      <c r="A4301" s="64" t="s">
        <v>102</v>
      </c>
      <c r="B4301" s="62" t="s">
        <v>941</v>
      </c>
      <c r="C4301" s="68" t="s">
        <v>1392</v>
      </c>
      <c r="D4301" s="68" t="s">
        <v>1372</v>
      </c>
      <c r="E4301" s="8" t="s">
        <v>661</v>
      </c>
      <c r="F4301" s="8"/>
      <c r="G4301" s="18" t="s">
        <v>135</v>
      </c>
      <c r="H4301" s="14">
        <f t="shared" si="1904"/>
        <v>1577.5</v>
      </c>
      <c r="I4301" s="14">
        <f t="shared" si="1904"/>
        <v>1577.5</v>
      </c>
      <c r="J4301" s="14">
        <f t="shared" si="1904"/>
        <v>1577.5</v>
      </c>
      <c r="K4301" s="78">
        <f t="shared" si="1903"/>
        <v>100</v>
      </c>
      <c r="L4301" s="14">
        <f t="shared" si="1904"/>
        <v>0</v>
      </c>
      <c r="M4301" s="50"/>
      <c r="N4301" s="50"/>
    </row>
    <row r="4302" spans="1:14" ht="31.2" x14ac:dyDescent="0.3">
      <c r="A4302" s="64" t="s">
        <v>102</v>
      </c>
      <c r="B4302" s="62" t="s">
        <v>941</v>
      </c>
      <c r="C4302" s="68" t="s">
        <v>1392</v>
      </c>
      <c r="D4302" s="68" t="s">
        <v>1372</v>
      </c>
      <c r="E4302" s="8" t="s">
        <v>661</v>
      </c>
      <c r="F4302" s="45" t="s">
        <v>380</v>
      </c>
      <c r="G4302" s="23" t="s">
        <v>809</v>
      </c>
      <c r="H4302" s="14">
        <f t="shared" si="1904"/>
        <v>1577.5</v>
      </c>
      <c r="I4302" s="14">
        <f t="shared" si="1904"/>
        <v>1577.5</v>
      </c>
      <c r="J4302" s="14">
        <f t="shared" si="1904"/>
        <v>1577.5</v>
      </c>
      <c r="K4302" s="78">
        <f t="shared" si="1903"/>
        <v>100</v>
      </c>
      <c r="L4302" s="14">
        <f t="shared" si="1904"/>
        <v>0</v>
      </c>
      <c r="M4302" s="50"/>
      <c r="N4302" s="50"/>
    </row>
    <row r="4303" spans="1:14" ht="31.2" x14ac:dyDescent="0.3">
      <c r="A4303" s="64" t="s">
        <v>102</v>
      </c>
      <c r="B4303" s="62" t="s">
        <v>941</v>
      </c>
      <c r="C4303" s="68" t="s">
        <v>1392</v>
      </c>
      <c r="D4303" s="68" t="s">
        <v>1372</v>
      </c>
      <c r="E4303" s="8" t="s">
        <v>661</v>
      </c>
      <c r="F4303" s="8" t="s">
        <v>247</v>
      </c>
      <c r="G4303" s="23" t="s">
        <v>810</v>
      </c>
      <c r="H4303" s="14">
        <f>1580.1-2.6</f>
        <v>1577.5</v>
      </c>
      <c r="I4303" s="14">
        <v>1577.5</v>
      </c>
      <c r="J4303" s="14">
        <v>1577.5</v>
      </c>
      <c r="K4303" s="78">
        <f t="shared" si="1903"/>
        <v>100</v>
      </c>
      <c r="L4303" s="14"/>
      <c r="M4303" s="50"/>
      <c r="N4303" s="50"/>
    </row>
    <row r="4304" spans="1:14" s="3" customFormat="1" x14ac:dyDescent="0.3">
      <c r="A4304" s="4" t="s">
        <v>102</v>
      </c>
      <c r="B4304" s="43" t="s">
        <v>1399</v>
      </c>
      <c r="C4304" s="43" t="s">
        <v>1399</v>
      </c>
      <c r="D4304" s="43" t="s">
        <v>915</v>
      </c>
      <c r="E4304" s="4"/>
      <c r="F4304" s="4"/>
      <c r="G4304" s="5" t="s">
        <v>1400</v>
      </c>
      <c r="H4304" s="15">
        <f t="shared" ref="H4304:L4309" si="1905">H4305</f>
        <v>6705.06</v>
      </c>
      <c r="I4304" s="15">
        <f t="shared" si="1905"/>
        <v>6705.06</v>
      </c>
      <c r="J4304" s="15">
        <f t="shared" si="1905"/>
        <v>6705.06</v>
      </c>
      <c r="K4304" s="81">
        <f t="shared" si="1903"/>
        <v>100</v>
      </c>
      <c r="L4304" s="15">
        <f t="shared" si="1905"/>
        <v>0</v>
      </c>
      <c r="M4304" s="65"/>
      <c r="N4304" s="65"/>
    </row>
    <row r="4305" spans="1:14" s="9" customFormat="1" x14ac:dyDescent="0.3">
      <c r="A4305" s="6" t="s">
        <v>102</v>
      </c>
      <c r="B4305" s="48" t="s">
        <v>928</v>
      </c>
      <c r="C4305" s="48" t="s">
        <v>1399</v>
      </c>
      <c r="D4305" s="48" t="s">
        <v>1391</v>
      </c>
      <c r="E4305" s="6"/>
      <c r="F4305" s="6"/>
      <c r="G4305" s="7" t="s">
        <v>1401</v>
      </c>
      <c r="H4305" s="16">
        <f t="shared" si="1905"/>
        <v>6705.06</v>
      </c>
      <c r="I4305" s="16">
        <f t="shared" si="1905"/>
        <v>6705.06</v>
      </c>
      <c r="J4305" s="16">
        <f t="shared" si="1905"/>
        <v>6705.06</v>
      </c>
      <c r="K4305" s="82">
        <f t="shared" si="1903"/>
        <v>100</v>
      </c>
      <c r="L4305" s="16">
        <f t="shared" si="1905"/>
        <v>0</v>
      </c>
      <c r="M4305" s="65"/>
      <c r="N4305" s="65"/>
    </row>
    <row r="4306" spans="1:14" ht="31.2" x14ac:dyDescent="0.3">
      <c r="A4306" s="64" t="s">
        <v>102</v>
      </c>
      <c r="B4306" s="62" t="s">
        <v>928</v>
      </c>
      <c r="C4306" s="68" t="s">
        <v>1399</v>
      </c>
      <c r="D4306" s="68" t="s">
        <v>1391</v>
      </c>
      <c r="E4306" s="8" t="s">
        <v>429</v>
      </c>
      <c r="F4306" s="8"/>
      <c r="G4306" s="23" t="s">
        <v>1140</v>
      </c>
      <c r="H4306" s="14">
        <f t="shared" si="1905"/>
        <v>6705.06</v>
      </c>
      <c r="I4306" s="14">
        <f t="shared" si="1905"/>
        <v>6705.06</v>
      </c>
      <c r="J4306" s="14">
        <f t="shared" si="1905"/>
        <v>6705.06</v>
      </c>
      <c r="K4306" s="78">
        <f t="shared" si="1903"/>
        <v>100</v>
      </c>
      <c r="L4306" s="14">
        <f t="shared" si="1905"/>
        <v>0</v>
      </c>
      <c r="M4306" s="50"/>
      <c r="N4306" s="50"/>
    </row>
    <row r="4307" spans="1:14" x14ac:dyDescent="0.3">
      <c r="A4307" s="64" t="s">
        <v>102</v>
      </c>
      <c r="B4307" s="62" t="s">
        <v>928</v>
      </c>
      <c r="C4307" s="68" t="s">
        <v>1399</v>
      </c>
      <c r="D4307" s="68" t="s">
        <v>1391</v>
      </c>
      <c r="E4307" s="8" t="s">
        <v>430</v>
      </c>
      <c r="F4307" s="8"/>
      <c r="G4307" s="23" t="s">
        <v>1141</v>
      </c>
      <c r="H4307" s="14">
        <f t="shared" si="1905"/>
        <v>6705.06</v>
      </c>
      <c r="I4307" s="14">
        <f t="shared" si="1905"/>
        <v>6705.06</v>
      </c>
      <c r="J4307" s="14">
        <f t="shared" si="1905"/>
        <v>6705.06</v>
      </c>
      <c r="K4307" s="78">
        <f t="shared" si="1903"/>
        <v>100</v>
      </c>
      <c r="L4307" s="14">
        <f t="shared" si="1905"/>
        <v>0</v>
      </c>
      <c r="M4307" s="50"/>
      <c r="N4307" s="50"/>
    </row>
    <row r="4308" spans="1:14" ht="46.8" x14ac:dyDescent="0.3">
      <c r="A4308" s="64" t="s">
        <v>102</v>
      </c>
      <c r="B4308" s="62" t="s">
        <v>928</v>
      </c>
      <c r="C4308" s="68" t="s">
        <v>1399</v>
      </c>
      <c r="D4308" s="68" t="s">
        <v>1391</v>
      </c>
      <c r="E4308" s="8" t="s">
        <v>662</v>
      </c>
      <c r="F4308" s="8"/>
      <c r="G4308" s="13" t="s">
        <v>1148</v>
      </c>
      <c r="H4308" s="14">
        <f t="shared" si="1905"/>
        <v>6705.06</v>
      </c>
      <c r="I4308" s="14">
        <f t="shared" si="1905"/>
        <v>6705.06</v>
      </c>
      <c r="J4308" s="14">
        <f t="shared" si="1905"/>
        <v>6705.06</v>
      </c>
      <c r="K4308" s="78">
        <f t="shared" si="1903"/>
        <v>100</v>
      </c>
      <c r="L4308" s="14">
        <f t="shared" si="1905"/>
        <v>0</v>
      </c>
      <c r="M4308" s="50"/>
      <c r="N4308" s="50"/>
    </row>
    <row r="4309" spans="1:14" x14ac:dyDescent="0.3">
      <c r="A4309" s="64" t="s">
        <v>102</v>
      </c>
      <c r="B4309" s="62" t="s">
        <v>928</v>
      </c>
      <c r="C4309" s="68" t="s">
        <v>1399</v>
      </c>
      <c r="D4309" s="68" t="s">
        <v>1391</v>
      </c>
      <c r="E4309" s="8" t="s">
        <v>662</v>
      </c>
      <c r="F4309" s="8" t="s">
        <v>404</v>
      </c>
      <c r="G4309" s="13" t="s">
        <v>811</v>
      </c>
      <c r="H4309" s="14">
        <f t="shared" si="1905"/>
        <v>6705.06</v>
      </c>
      <c r="I4309" s="14">
        <f t="shared" si="1905"/>
        <v>6705.06</v>
      </c>
      <c r="J4309" s="14">
        <f t="shared" si="1905"/>
        <v>6705.06</v>
      </c>
      <c r="K4309" s="78">
        <f t="shared" si="1903"/>
        <v>100</v>
      </c>
      <c r="L4309" s="14">
        <f t="shared" si="1905"/>
        <v>0</v>
      </c>
      <c r="M4309" s="50"/>
      <c r="N4309" s="50"/>
    </row>
    <row r="4310" spans="1:14" ht="31.2" x14ac:dyDescent="0.3">
      <c r="A4310" s="64" t="s">
        <v>102</v>
      </c>
      <c r="B4310" s="62" t="s">
        <v>928</v>
      </c>
      <c r="C4310" s="68" t="s">
        <v>1399</v>
      </c>
      <c r="D4310" s="68" t="s">
        <v>1391</v>
      </c>
      <c r="E4310" s="8" t="s">
        <v>662</v>
      </c>
      <c r="F4310" s="64" t="s">
        <v>234</v>
      </c>
      <c r="G4310" s="13" t="s">
        <v>813</v>
      </c>
      <c r="H4310" s="14">
        <f>6864.1-159.04</f>
        <v>6705.06</v>
      </c>
      <c r="I4310" s="14">
        <v>6705.06</v>
      </c>
      <c r="J4310" s="14">
        <v>6705.06</v>
      </c>
      <c r="K4310" s="78">
        <f t="shared" si="1903"/>
        <v>100</v>
      </c>
      <c r="L4310" s="14"/>
      <c r="M4310" s="50"/>
      <c r="N4310" s="50"/>
    </row>
    <row r="4311" spans="1:14" s="3" customFormat="1" ht="31.2" x14ac:dyDescent="0.3">
      <c r="A4311" s="4" t="s">
        <v>713</v>
      </c>
      <c r="B4311" s="43" t="s">
        <v>915</v>
      </c>
      <c r="C4311" s="43" t="s">
        <v>915</v>
      </c>
      <c r="D4311" s="43" t="s">
        <v>915</v>
      </c>
      <c r="E4311" s="4"/>
      <c r="F4311" s="4"/>
      <c r="G4311" s="5" t="s">
        <v>1457</v>
      </c>
      <c r="H4311" s="15">
        <f t="shared" ref="H4311:L4311" si="1906">H4312+H4377+H4393</f>
        <v>893133.92300000018</v>
      </c>
      <c r="I4311" s="15">
        <f t="shared" si="1906"/>
        <v>895563.38193000015</v>
      </c>
      <c r="J4311" s="15">
        <f t="shared" si="1906"/>
        <v>890314.99589000025</v>
      </c>
      <c r="K4311" s="81">
        <f t="shared" si="1903"/>
        <v>99.413957052521596</v>
      </c>
      <c r="L4311" s="15">
        <f t="shared" si="1906"/>
        <v>0</v>
      </c>
      <c r="M4311" s="65"/>
      <c r="N4311" s="65"/>
    </row>
    <row r="4312" spans="1:14" s="3" customFormat="1" x14ac:dyDescent="0.3">
      <c r="A4312" s="4" t="s">
        <v>713</v>
      </c>
      <c r="B4312" s="43" t="s">
        <v>1374</v>
      </c>
      <c r="C4312" s="43" t="s">
        <v>1374</v>
      </c>
      <c r="D4312" s="43" t="s">
        <v>915</v>
      </c>
      <c r="E4312" s="4"/>
      <c r="F4312" s="4"/>
      <c r="G4312" s="5" t="s">
        <v>1378</v>
      </c>
      <c r="H4312" s="15">
        <f>H4313+H4356+H4364</f>
        <v>556785.91900000011</v>
      </c>
      <c r="I4312" s="15">
        <f>I4313+I4356+I4364</f>
        <v>568441.36522000015</v>
      </c>
      <c r="J4312" s="15">
        <f t="shared" ref="J4312" si="1907">J4313+J4356+J4364</f>
        <v>568435.73904000025</v>
      </c>
      <c r="K4312" s="81">
        <f t="shared" si="1903"/>
        <v>99.999010244443113</v>
      </c>
      <c r="L4312" s="15">
        <f>L4313+L4356+L4364</f>
        <v>0</v>
      </c>
      <c r="M4312" s="65"/>
      <c r="N4312" s="65"/>
    </row>
    <row r="4313" spans="1:14" s="9" customFormat="1" x14ac:dyDescent="0.3">
      <c r="A4313" s="6" t="s">
        <v>713</v>
      </c>
      <c r="B4313" s="48" t="s">
        <v>923</v>
      </c>
      <c r="C4313" s="48" t="s">
        <v>1374</v>
      </c>
      <c r="D4313" s="48" t="s">
        <v>1391</v>
      </c>
      <c r="E4313" s="6"/>
      <c r="F4313" s="6"/>
      <c r="G4313" s="7" t="s">
        <v>1166</v>
      </c>
      <c r="H4313" s="16">
        <f>H4320+H4314</f>
        <v>547489.84300000011</v>
      </c>
      <c r="I4313" s="16">
        <f>I4320+I4314+I4350</f>
        <v>557418.53560000006</v>
      </c>
      <c r="J4313" s="16">
        <f t="shared" ref="J4313:L4313" si="1908">J4320+J4314+J4350</f>
        <v>557412.90942000016</v>
      </c>
      <c r="K4313" s="82">
        <f t="shared" si="1903"/>
        <v>99.998990672243465</v>
      </c>
      <c r="L4313" s="16">
        <f t="shared" si="1908"/>
        <v>0</v>
      </c>
      <c r="M4313" s="65"/>
      <c r="N4313" s="65"/>
    </row>
    <row r="4314" spans="1:14" ht="31.2" x14ac:dyDescent="0.3">
      <c r="A4314" s="64" t="s">
        <v>713</v>
      </c>
      <c r="B4314" s="62" t="s">
        <v>923</v>
      </c>
      <c r="C4314" s="68" t="s">
        <v>1374</v>
      </c>
      <c r="D4314" s="68" t="s">
        <v>1391</v>
      </c>
      <c r="E4314" s="64" t="s">
        <v>406</v>
      </c>
      <c r="F4314" s="64"/>
      <c r="G4314" s="13" t="s">
        <v>848</v>
      </c>
      <c r="H4314" s="14">
        <f t="shared" ref="H4314:L4316" si="1909">H4315</f>
        <v>1513.6579999999999</v>
      </c>
      <c r="I4314" s="14">
        <f t="shared" si="1909"/>
        <v>1513.6579999999999</v>
      </c>
      <c r="J4314" s="14">
        <f t="shared" si="1909"/>
        <v>1513.6579999999999</v>
      </c>
      <c r="K4314" s="78">
        <f t="shared" si="1903"/>
        <v>100</v>
      </c>
      <c r="L4314" s="14">
        <f t="shared" si="1909"/>
        <v>0</v>
      </c>
      <c r="M4314" s="50"/>
      <c r="N4314" s="50"/>
    </row>
    <row r="4315" spans="1:14" ht="31.2" x14ac:dyDescent="0.3">
      <c r="A4315" s="64" t="s">
        <v>713</v>
      </c>
      <c r="B4315" s="62" t="s">
        <v>923</v>
      </c>
      <c r="C4315" s="68" t="s">
        <v>1374</v>
      </c>
      <c r="D4315" s="68" t="s">
        <v>1391</v>
      </c>
      <c r="E4315" s="64" t="s">
        <v>408</v>
      </c>
      <c r="F4315" s="64"/>
      <c r="G4315" s="13" t="s">
        <v>850</v>
      </c>
      <c r="H4315" s="14">
        <f t="shared" si="1909"/>
        <v>1513.6579999999999</v>
      </c>
      <c r="I4315" s="14">
        <f t="shared" si="1909"/>
        <v>1513.6579999999999</v>
      </c>
      <c r="J4315" s="14">
        <f t="shared" si="1909"/>
        <v>1513.6579999999999</v>
      </c>
      <c r="K4315" s="78">
        <f t="shared" si="1903"/>
        <v>100</v>
      </c>
      <c r="L4315" s="14">
        <f t="shared" si="1909"/>
        <v>0</v>
      </c>
      <c r="M4315" s="50"/>
      <c r="N4315" s="50"/>
    </row>
    <row r="4316" spans="1:14" ht="78" x14ac:dyDescent="0.3">
      <c r="A4316" s="64" t="s">
        <v>713</v>
      </c>
      <c r="B4316" s="62" t="s">
        <v>923</v>
      </c>
      <c r="C4316" s="68" t="s">
        <v>1374</v>
      </c>
      <c r="D4316" s="68" t="s">
        <v>1391</v>
      </c>
      <c r="E4316" s="64" t="s">
        <v>409</v>
      </c>
      <c r="F4316" s="64"/>
      <c r="G4316" s="18" t="s">
        <v>1203</v>
      </c>
      <c r="H4316" s="14">
        <f t="shared" si="1909"/>
        <v>1513.6579999999999</v>
      </c>
      <c r="I4316" s="14">
        <f t="shared" si="1909"/>
        <v>1513.6579999999999</v>
      </c>
      <c r="J4316" s="14">
        <f t="shared" si="1909"/>
        <v>1513.6579999999999</v>
      </c>
      <c r="K4316" s="78">
        <f t="shared" si="1903"/>
        <v>100</v>
      </c>
      <c r="L4316" s="14">
        <f t="shared" si="1909"/>
        <v>0</v>
      </c>
      <c r="M4316" s="50"/>
      <c r="N4316" s="50"/>
    </row>
    <row r="4317" spans="1:14" ht="31.2" x14ac:dyDescent="0.3">
      <c r="A4317" s="64" t="s">
        <v>713</v>
      </c>
      <c r="B4317" s="62" t="s">
        <v>923</v>
      </c>
      <c r="C4317" s="68" t="s">
        <v>1374</v>
      </c>
      <c r="D4317" s="68" t="s">
        <v>1391</v>
      </c>
      <c r="E4317" s="64" t="s">
        <v>409</v>
      </c>
      <c r="F4317" s="45" t="s">
        <v>402</v>
      </c>
      <c r="G4317" s="23" t="s">
        <v>819</v>
      </c>
      <c r="H4317" s="14">
        <f>H4318+H4319</f>
        <v>1513.6579999999999</v>
      </c>
      <c r="I4317" s="14">
        <f>I4318+I4319</f>
        <v>1513.6579999999999</v>
      </c>
      <c r="J4317" s="14">
        <f>J4318+J4319</f>
        <v>1513.6579999999999</v>
      </c>
      <c r="K4317" s="78">
        <f t="shared" si="1903"/>
        <v>100</v>
      </c>
      <c r="L4317" s="14">
        <f>L4318+L4319</f>
        <v>0</v>
      </c>
      <c r="M4317" s="50"/>
      <c r="N4317" s="50"/>
    </row>
    <row r="4318" spans="1:14" x14ac:dyDescent="0.3">
      <c r="A4318" s="64" t="s">
        <v>713</v>
      </c>
      <c r="B4318" s="62" t="s">
        <v>923</v>
      </c>
      <c r="C4318" s="68" t="s">
        <v>1374</v>
      </c>
      <c r="D4318" s="68" t="s">
        <v>1391</v>
      </c>
      <c r="E4318" s="64" t="s">
        <v>409</v>
      </c>
      <c r="F4318" s="8" t="s">
        <v>726</v>
      </c>
      <c r="G4318" s="13" t="s">
        <v>820</v>
      </c>
      <c r="H4318" s="14">
        <f>741.5+80.758</f>
        <v>822.25800000000004</v>
      </c>
      <c r="I4318" s="14">
        <v>822.25800000000004</v>
      </c>
      <c r="J4318" s="14">
        <v>822.25800000000004</v>
      </c>
      <c r="K4318" s="78">
        <f t="shared" si="1903"/>
        <v>100</v>
      </c>
      <c r="L4318" s="14"/>
      <c r="M4318" s="50"/>
      <c r="N4318" s="50"/>
    </row>
    <row r="4319" spans="1:14" x14ac:dyDescent="0.3">
      <c r="A4319" s="64" t="s">
        <v>713</v>
      </c>
      <c r="B4319" s="62" t="s">
        <v>923</v>
      </c>
      <c r="C4319" s="68" t="s">
        <v>1374</v>
      </c>
      <c r="D4319" s="68" t="s">
        <v>1391</v>
      </c>
      <c r="E4319" s="64" t="s">
        <v>409</v>
      </c>
      <c r="F4319" s="64" t="s">
        <v>223</v>
      </c>
      <c r="G4319" s="18" t="s">
        <v>829</v>
      </c>
      <c r="H4319" s="14">
        <f>597.4+94</f>
        <v>691.4</v>
      </c>
      <c r="I4319" s="14">
        <v>691.4</v>
      </c>
      <c r="J4319" s="14">
        <v>691.4</v>
      </c>
      <c r="K4319" s="78">
        <f t="shared" si="1903"/>
        <v>100</v>
      </c>
      <c r="L4319" s="14"/>
      <c r="M4319" s="50"/>
      <c r="N4319" s="50"/>
    </row>
    <row r="4320" spans="1:14" ht="31.2" x14ac:dyDescent="0.3">
      <c r="A4320" s="64" t="s">
        <v>713</v>
      </c>
      <c r="B4320" s="62" t="s">
        <v>923</v>
      </c>
      <c r="C4320" s="68" t="s">
        <v>1374</v>
      </c>
      <c r="D4320" s="68" t="s">
        <v>1391</v>
      </c>
      <c r="E4320" s="8" t="s">
        <v>446</v>
      </c>
      <c r="F4320" s="8"/>
      <c r="G4320" s="23" t="s">
        <v>864</v>
      </c>
      <c r="H4320" s="14">
        <f t="shared" ref="H4320:L4320" si="1910">H4321</f>
        <v>545976.18500000006</v>
      </c>
      <c r="I4320" s="14">
        <f t="shared" si="1910"/>
        <v>555544.87760000001</v>
      </c>
      <c r="J4320" s="14">
        <f t="shared" si="1910"/>
        <v>555539.2514200001</v>
      </c>
      <c r="K4320" s="78">
        <f t="shared" si="1903"/>
        <v>99.998987268134982</v>
      </c>
      <c r="L4320" s="14">
        <f t="shared" si="1910"/>
        <v>0</v>
      </c>
      <c r="M4320" s="50"/>
      <c r="N4320" s="50"/>
    </row>
    <row r="4321" spans="1:14" ht="31.2" x14ac:dyDescent="0.3">
      <c r="A4321" s="64" t="s">
        <v>713</v>
      </c>
      <c r="B4321" s="62" t="s">
        <v>923</v>
      </c>
      <c r="C4321" s="68" t="s">
        <v>1374</v>
      </c>
      <c r="D4321" s="68" t="s">
        <v>1391</v>
      </c>
      <c r="E4321" s="8" t="s">
        <v>447</v>
      </c>
      <c r="F4321" s="8"/>
      <c r="G4321" s="23" t="s">
        <v>865</v>
      </c>
      <c r="H4321" s="14">
        <f>H4322+H4330</f>
        <v>545976.18500000006</v>
      </c>
      <c r="I4321" s="14">
        <f>I4322+I4330</f>
        <v>555544.87760000001</v>
      </c>
      <c r="J4321" s="14">
        <f t="shared" ref="J4321" si="1911">J4322+J4330</f>
        <v>555539.2514200001</v>
      </c>
      <c r="K4321" s="78">
        <f t="shared" si="1903"/>
        <v>99.998987268134982</v>
      </c>
      <c r="L4321" s="14">
        <f>L4322+L4330</f>
        <v>0</v>
      </c>
      <c r="M4321" s="50"/>
      <c r="N4321" s="50"/>
    </row>
    <row r="4322" spans="1:14" ht="62.4" x14ac:dyDescent="0.3">
      <c r="A4322" s="64" t="s">
        <v>713</v>
      </c>
      <c r="B4322" s="62" t="s">
        <v>923</v>
      </c>
      <c r="C4322" s="68" t="s">
        <v>1374</v>
      </c>
      <c r="D4322" s="68" t="s">
        <v>1391</v>
      </c>
      <c r="E4322" s="8" t="s">
        <v>663</v>
      </c>
      <c r="F4322" s="8"/>
      <c r="G4322" s="13" t="s">
        <v>1168</v>
      </c>
      <c r="H4322" s="14">
        <f>H4323+H4327</f>
        <v>52303.785999999993</v>
      </c>
      <c r="I4322" s="14">
        <f t="shared" ref="I4322:J4322" si="1912">I4323+I4327</f>
        <v>52301.471599999997</v>
      </c>
      <c r="J4322" s="14">
        <f t="shared" si="1912"/>
        <v>52301.471599999997</v>
      </c>
      <c r="K4322" s="78">
        <f t="shared" si="1903"/>
        <v>100</v>
      </c>
      <c r="L4322" s="14">
        <f t="shared" ref="H4322:L4323" si="1913">L4323</f>
        <v>0</v>
      </c>
      <c r="M4322" s="50"/>
      <c r="N4322" s="50"/>
    </row>
    <row r="4323" spans="1:14" ht="46.8" x14ac:dyDescent="0.3">
      <c r="A4323" s="64" t="s">
        <v>713</v>
      </c>
      <c r="B4323" s="62" t="s">
        <v>923</v>
      </c>
      <c r="C4323" s="68" t="s">
        <v>1374</v>
      </c>
      <c r="D4323" s="68" t="s">
        <v>1391</v>
      </c>
      <c r="E4323" s="8" t="s">
        <v>664</v>
      </c>
      <c r="F4323" s="8"/>
      <c r="G4323" s="13" t="s">
        <v>1298</v>
      </c>
      <c r="H4323" s="14">
        <f t="shared" si="1913"/>
        <v>45571.471999999994</v>
      </c>
      <c r="I4323" s="14">
        <f t="shared" si="1913"/>
        <v>45571.471999999994</v>
      </c>
      <c r="J4323" s="14">
        <f>J4324</f>
        <v>45571.471999999994</v>
      </c>
      <c r="K4323" s="78">
        <f t="shared" si="1903"/>
        <v>100</v>
      </c>
      <c r="L4323" s="14">
        <f t="shared" si="1913"/>
        <v>0</v>
      </c>
      <c r="M4323" s="50"/>
      <c r="N4323" s="50"/>
    </row>
    <row r="4324" spans="1:14" ht="31.2" x14ac:dyDescent="0.3">
      <c r="A4324" s="64" t="s">
        <v>713</v>
      </c>
      <c r="B4324" s="62" t="s">
        <v>923</v>
      </c>
      <c r="C4324" s="68" t="s">
        <v>1374</v>
      </c>
      <c r="D4324" s="68" t="s">
        <v>1391</v>
      </c>
      <c r="E4324" s="8" t="s">
        <v>664</v>
      </c>
      <c r="F4324" s="45" t="s">
        <v>402</v>
      </c>
      <c r="G4324" s="23" t="s">
        <v>819</v>
      </c>
      <c r="H4324" s="14">
        <f>H4325+H4326</f>
        <v>45571.471999999994</v>
      </c>
      <c r="I4324" s="14">
        <f>I4325+I4326</f>
        <v>45571.471999999994</v>
      </c>
      <c r="J4324" s="14">
        <f>J4325+J4326</f>
        <v>45571.471999999994</v>
      </c>
      <c r="K4324" s="78">
        <f t="shared" si="1903"/>
        <v>100</v>
      </c>
      <c r="L4324" s="14">
        <f>L4325+L4326</f>
        <v>0</v>
      </c>
      <c r="M4324" s="50"/>
      <c r="N4324" s="50"/>
    </row>
    <row r="4325" spans="1:14" x14ac:dyDescent="0.3">
      <c r="A4325" s="64" t="s">
        <v>713</v>
      </c>
      <c r="B4325" s="62" t="s">
        <v>923</v>
      </c>
      <c r="C4325" s="68" t="s">
        <v>1374</v>
      </c>
      <c r="D4325" s="68" t="s">
        <v>1391</v>
      </c>
      <c r="E4325" s="8" t="s">
        <v>664</v>
      </c>
      <c r="F4325" s="8" t="s">
        <v>726</v>
      </c>
      <c r="G4325" s="13" t="s">
        <v>820</v>
      </c>
      <c r="H4325" s="14">
        <f>15000+12029.978-15000</f>
        <v>12029.977999999999</v>
      </c>
      <c r="I4325" s="14">
        <v>11956.999</v>
      </c>
      <c r="J4325" s="14">
        <v>11956.999</v>
      </c>
      <c r="K4325" s="78">
        <f t="shared" si="1903"/>
        <v>100</v>
      </c>
      <c r="L4325" s="14"/>
      <c r="M4325" s="50"/>
      <c r="N4325" s="50"/>
    </row>
    <row r="4326" spans="1:14" x14ac:dyDescent="0.3">
      <c r="A4326" s="64" t="s">
        <v>713</v>
      </c>
      <c r="B4326" s="62" t="s">
        <v>923</v>
      </c>
      <c r="C4326" s="68" t="s">
        <v>1374</v>
      </c>
      <c r="D4326" s="68" t="s">
        <v>1391</v>
      </c>
      <c r="E4326" s="8" t="s">
        <v>664</v>
      </c>
      <c r="F4326" s="64" t="s">
        <v>223</v>
      </c>
      <c r="G4326" s="18" t="s">
        <v>829</v>
      </c>
      <c r="H4326" s="14">
        <f>28456.25+3462.55+4421.76+399.974-3199.04</f>
        <v>33541.493999999999</v>
      </c>
      <c r="I4326" s="14">
        <v>33614.472999999998</v>
      </c>
      <c r="J4326" s="14">
        <v>33614.472999999998</v>
      </c>
      <c r="K4326" s="78">
        <f t="shared" si="1903"/>
        <v>100</v>
      </c>
      <c r="L4326" s="14"/>
      <c r="M4326" s="50"/>
      <c r="N4326" s="50"/>
    </row>
    <row r="4327" spans="1:14" ht="62.4" x14ac:dyDescent="0.3">
      <c r="A4327" s="64" t="s">
        <v>713</v>
      </c>
      <c r="B4327" s="62" t="s">
        <v>923</v>
      </c>
      <c r="C4327" s="68" t="s">
        <v>1374</v>
      </c>
      <c r="D4327" s="68" t="s">
        <v>1391</v>
      </c>
      <c r="E4327" s="8" t="s">
        <v>1025</v>
      </c>
      <c r="F4327" s="64"/>
      <c r="G4327" s="18" t="s">
        <v>1026</v>
      </c>
      <c r="H4327" s="14">
        <f>H4328</f>
        <v>6732.3139999999994</v>
      </c>
      <c r="I4327" s="14">
        <f t="shared" ref="I4327:L4328" si="1914">I4328</f>
        <v>6729.9996000000001</v>
      </c>
      <c r="J4327" s="14">
        <f t="shared" si="1914"/>
        <v>6729.9996000000001</v>
      </c>
      <c r="K4327" s="78">
        <f t="shared" si="1903"/>
        <v>100</v>
      </c>
      <c r="L4327" s="14">
        <f t="shared" si="1914"/>
        <v>0</v>
      </c>
      <c r="M4327" s="50"/>
      <c r="N4327" s="50"/>
    </row>
    <row r="4328" spans="1:14" ht="31.2" x14ac:dyDescent="0.3">
      <c r="A4328" s="64" t="s">
        <v>713</v>
      </c>
      <c r="B4328" s="62" t="s">
        <v>923</v>
      </c>
      <c r="C4328" s="68" t="s">
        <v>1374</v>
      </c>
      <c r="D4328" s="68" t="s">
        <v>1391</v>
      </c>
      <c r="E4328" s="8" t="s">
        <v>1025</v>
      </c>
      <c r="F4328" s="45" t="s">
        <v>402</v>
      </c>
      <c r="G4328" s="23" t="s">
        <v>819</v>
      </c>
      <c r="H4328" s="14">
        <f>H4329</f>
        <v>6732.3139999999994</v>
      </c>
      <c r="I4328" s="14">
        <f t="shared" si="1914"/>
        <v>6729.9996000000001</v>
      </c>
      <c r="J4328" s="14">
        <f t="shared" si="1914"/>
        <v>6729.9996000000001</v>
      </c>
      <c r="K4328" s="78">
        <f t="shared" si="1903"/>
        <v>100</v>
      </c>
      <c r="L4328" s="14">
        <f t="shared" si="1914"/>
        <v>0</v>
      </c>
      <c r="M4328" s="50"/>
      <c r="N4328" s="50"/>
    </row>
    <row r="4329" spans="1:14" x14ac:dyDescent="0.3">
      <c r="A4329" s="64" t="s">
        <v>713</v>
      </c>
      <c r="B4329" s="62" t="s">
        <v>923</v>
      </c>
      <c r="C4329" s="68" t="s">
        <v>1374</v>
      </c>
      <c r="D4329" s="68" t="s">
        <v>1391</v>
      </c>
      <c r="E4329" s="8" t="s">
        <v>1025</v>
      </c>
      <c r="F4329" s="64" t="s">
        <v>223</v>
      </c>
      <c r="G4329" s="18" t="s">
        <v>829</v>
      </c>
      <c r="H4329" s="14">
        <f>6740.4-8.086</f>
        <v>6732.3139999999994</v>
      </c>
      <c r="I4329" s="14">
        <v>6729.9996000000001</v>
      </c>
      <c r="J4329" s="19">
        <v>6729.9996000000001</v>
      </c>
      <c r="K4329" s="75">
        <f t="shared" si="1903"/>
        <v>100</v>
      </c>
      <c r="L4329" s="14"/>
      <c r="M4329" s="50"/>
      <c r="N4329" s="50"/>
    </row>
    <row r="4330" spans="1:14" ht="62.4" x14ac:dyDescent="0.3">
      <c r="A4330" s="64" t="s">
        <v>713</v>
      </c>
      <c r="B4330" s="62" t="s">
        <v>923</v>
      </c>
      <c r="C4330" s="68" t="s">
        <v>1374</v>
      </c>
      <c r="D4330" s="68" t="s">
        <v>1391</v>
      </c>
      <c r="E4330" s="8" t="s">
        <v>479</v>
      </c>
      <c r="F4330" s="8"/>
      <c r="G4330" s="18" t="s">
        <v>1206</v>
      </c>
      <c r="H4330" s="14">
        <f>H4331+H4335+H4342+H4339</f>
        <v>493672.39900000003</v>
      </c>
      <c r="I4330" s="14">
        <f>I4331+I4335+I4342+I4339+I4346</f>
        <v>503243.40600000002</v>
      </c>
      <c r="J4330" s="14">
        <f t="shared" ref="J4330:L4330" si="1915">J4331+J4335+J4342+J4339+J4346</f>
        <v>503237.77982000005</v>
      </c>
      <c r="K4330" s="78">
        <f t="shared" si="1903"/>
        <v>99.998882016151057</v>
      </c>
      <c r="L4330" s="14">
        <f t="shared" si="1915"/>
        <v>0</v>
      </c>
      <c r="M4330" s="50"/>
      <c r="N4330" s="50"/>
    </row>
    <row r="4331" spans="1:14" ht="62.4" x14ac:dyDescent="0.3">
      <c r="A4331" s="64" t="s">
        <v>713</v>
      </c>
      <c r="B4331" s="62" t="s">
        <v>923</v>
      </c>
      <c r="C4331" s="68" t="s">
        <v>1374</v>
      </c>
      <c r="D4331" s="68" t="s">
        <v>1391</v>
      </c>
      <c r="E4331" s="8" t="s">
        <v>480</v>
      </c>
      <c r="F4331" s="8"/>
      <c r="G4331" s="23" t="s">
        <v>1291</v>
      </c>
      <c r="H4331" s="14">
        <f t="shared" ref="H4331:L4331" si="1916">H4332</f>
        <v>451589.04700000002</v>
      </c>
      <c r="I4331" s="14">
        <f t="shared" si="1916"/>
        <v>451589.04700000002</v>
      </c>
      <c r="J4331" s="14">
        <f t="shared" si="1916"/>
        <v>451583.52754000004</v>
      </c>
      <c r="K4331" s="78">
        <f t="shared" si="1903"/>
        <v>99.998777769293426</v>
      </c>
      <c r="L4331" s="14">
        <f t="shared" si="1916"/>
        <v>0</v>
      </c>
      <c r="M4331" s="50"/>
      <c r="N4331" s="50"/>
    </row>
    <row r="4332" spans="1:14" ht="31.2" x14ac:dyDescent="0.3">
      <c r="A4332" s="64" t="s">
        <v>713</v>
      </c>
      <c r="B4332" s="62" t="s">
        <v>923</v>
      </c>
      <c r="C4332" s="68" t="s">
        <v>1374</v>
      </c>
      <c r="D4332" s="68" t="s">
        <v>1391</v>
      </c>
      <c r="E4332" s="8" t="s">
        <v>480</v>
      </c>
      <c r="F4332" s="45" t="s">
        <v>402</v>
      </c>
      <c r="G4332" s="23" t="s">
        <v>819</v>
      </c>
      <c r="H4332" s="14">
        <f>H4333+H4334</f>
        <v>451589.04700000002</v>
      </c>
      <c r="I4332" s="14">
        <f>I4333+I4334</f>
        <v>451589.04700000002</v>
      </c>
      <c r="J4332" s="14">
        <f t="shared" ref="J4332" si="1917">J4333+J4334</f>
        <v>451583.52754000004</v>
      </c>
      <c r="K4332" s="78">
        <f t="shared" si="1903"/>
        <v>99.998777769293426</v>
      </c>
      <c r="L4332" s="14">
        <f>L4333+L4334</f>
        <v>0</v>
      </c>
      <c r="M4332" s="50"/>
      <c r="N4332" s="50"/>
    </row>
    <row r="4333" spans="1:14" x14ac:dyDescent="0.3">
      <c r="A4333" s="64" t="s">
        <v>713</v>
      </c>
      <c r="B4333" s="62" t="s">
        <v>923</v>
      </c>
      <c r="C4333" s="68" t="s">
        <v>1374</v>
      </c>
      <c r="D4333" s="68" t="s">
        <v>1391</v>
      </c>
      <c r="E4333" s="8" t="s">
        <v>480</v>
      </c>
      <c r="F4333" s="8" t="s">
        <v>726</v>
      </c>
      <c r="G4333" s="13" t="s">
        <v>820</v>
      </c>
      <c r="H4333" s="14">
        <f>156217.8-1598.685-611.39</f>
        <v>154007.72499999998</v>
      </c>
      <c r="I4333" s="14">
        <v>155075.40805</v>
      </c>
      <c r="J4333" s="14">
        <v>155072.997</v>
      </c>
      <c r="K4333" s="78">
        <f t="shared" si="1903"/>
        <v>99.998445240267102</v>
      </c>
      <c r="L4333" s="14"/>
      <c r="M4333" s="50"/>
      <c r="N4333" s="50"/>
    </row>
    <row r="4334" spans="1:14" x14ac:dyDescent="0.3">
      <c r="A4334" s="64" t="s">
        <v>713</v>
      </c>
      <c r="B4334" s="62" t="s">
        <v>923</v>
      </c>
      <c r="C4334" s="68" t="s">
        <v>1374</v>
      </c>
      <c r="D4334" s="68" t="s">
        <v>1391</v>
      </c>
      <c r="E4334" s="8" t="s">
        <v>480</v>
      </c>
      <c r="F4334" s="64" t="s">
        <v>223</v>
      </c>
      <c r="G4334" s="18" t="s">
        <v>829</v>
      </c>
      <c r="H4334" s="14">
        <f>301353.9-3732.74-39.838</f>
        <v>297581.32200000004</v>
      </c>
      <c r="I4334" s="14">
        <v>296513.63894999999</v>
      </c>
      <c r="J4334" s="14">
        <v>296510.53054000001</v>
      </c>
      <c r="K4334" s="78">
        <f t="shared" si="1903"/>
        <v>99.998951680600257</v>
      </c>
      <c r="L4334" s="14"/>
      <c r="M4334" s="50"/>
      <c r="N4334" s="50"/>
    </row>
    <row r="4335" spans="1:14" ht="46.8" x14ac:dyDescent="0.3">
      <c r="A4335" s="64" t="s">
        <v>713</v>
      </c>
      <c r="B4335" s="62" t="s">
        <v>923</v>
      </c>
      <c r="C4335" s="68" t="s">
        <v>1374</v>
      </c>
      <c r="D4335" s="68" t="s">
        <v>1391</v>
      </c>
      <c r="E4335" s="8" t="s">
        <v>665</v>
      </c>
      <c r="F4335" s="8"/>
      <c r="G4335" s="13" t="s">
        <v>868</v>
      </c>
      <c r="H4335" s="14">
        <f t="shared" ref="H4335:L4335" si="1918">H4336</f>
        <v>35866.911999999997</v>
      </c>
      <c r="I4335" s="14">
        <f t="shared" si="1918"/>
        <v>35866.912000000004</v>
      </c>
      <c r="J4335" s="14">
        <f t="shared" si="1918"/>
        <v>35866.862000000001</v>
      </c>
      <c r="K4335" s="78">
        <f t="shared" si="1903"/>
        <v>99.999860595749084</v>
      </c>
      <c r="L4335" s="14">
        <f t="shared" si="1918"/>
        <v>0</v>
      </c>
      <c r="M4335" s="50"/>
      <c r="N4335" s="50"/>
    </row>
    <row r="4336" spans="1:14" ht="31.2" x14ac:dyDescent="0.3">
      <c r="A4336" s="64" t="s">
        <v>713</v>
      </c>
      <c r="B4336" s="62" t="s">
        <v>923</v>
      </c>
      <c r="C4336" s="68" t="s">
        <v>1374</v>
      </c>
      <c r="D4336" s="68" t="s">
        <v>1391</v>
      </c>
      <c r="E4336" s="8" t="s">
        <v>665</v>
      </c>
      <c r="F4336" s="45" t="s">
        <v>402</v>
      </c>
      <c r="G4336" s="23" t="s">
        <v>819</v>
      </c>
      <c r="H4336" s="14">
        <f>H4337+H4338</f>
        <v>35866.911999999997</v>
      </c>
      <c r="I4336" s="14">
        <f>I4337+I4338</f>
        <v>35866.912000000004</v>
      </c>
      <c r="J4336" s="14">
        <f t="shared" ref="J4336" si="1919">J4337+J4338</f>
        <v>35866.862000000001</v>
      </c>
      <c r="K4336" s="78">
        <f t="shared" si="1903"/>
        <v>99.999860595749084</v>
      </c>
      <c r="L4336" s="14">
        <f>L4337+L4338</f>
        <v>0</v>
      </c>
      <c r="M4336" s="50"/>
      <c r="N4336" s="50"/>
    </row>
    <row r="4337" spans="1:14" x14ac:dyDescent="0.3">
      <c r="A4337" s="64" t="s">
        <v>713</v>
      </c>
      <c r="B4337" s="62" t="s">
        <v>923</v>
      </c>
      <c r="C4337" s="68" t="s">
        <v>1374</v>
      </c>
      <c r="D4337" s="68" t="s">
        <v>1391</v>
      </c>
      <c r="E4337" s="8" t="s">
        <v>665</v>
      </c>
      <c r="F4337" s="8" t="s">
        <v>726</v>
      </c>
      <c r="G4337" s="13" t="s">
        <v>820</v>
      </c>
      <c r="H4337" s="14">
        <f>4369.8+307.5+1583.472</f>
        <v>6260.7719999999999</v>
      </c>
      <c r="I4337" s="14">
        <v>4677.3</v>
      </c>
      <c r="J4337" s="14">
        <v>4677.3</v>
      </c>
      <c r="K4337" s="78">
        <f t="shared" si="1903"/>
        <v>100</v>
      </c>
      <c r="L4337" s="14"/>
      <c r="M4337" s="50"/>
      <c r="N4337" s="50"/>
    </row>
    <row r="4338" spans="1:14" x14ac:dyDescent="0.3">
      <c r="A4338" s="64" t="s">
        <v>713</v>
      </c>
      <c r="B4338" s="62" t="s">
        <v>923</v>
      </c>
      <c r="C4338" s="68" t="s">
        <v>1374</v>
      </c>
      <c r="D4338" s="68" t="s">
        <v>1391</v>
      </c>
      <c r="E4338" s="8" t="s">
        <v>665</v>
      </c>
      <c r="F4338" s="64" t="s">
        <v>223</v>
      </c>
      <c r="G4338" s="18" t="s">
        <v>829</v>
      </c>
      <c r="H4338" s="14">
        <f>25648.6+3957.54</f>
        <v>29606.14</v>
      </c>
      <c r="I4338" s="14">
        <v>31189.612000000001</v>
      </c>
      <c r="J4338" s="14">
        <v>31189.562000000002</v>
      </c>
      <c r="K4338" s="78">
        <f t="shared" si="1903"/>
        <v>99.999839690214813</v>
      </c>
      <c r="L4338" s="14"/>
      <c r="M4338" s="50"/>
      <c r="N4338" s="50"/>
    </row>
    <row r="4339" spans="1:14" ht="31.2" x14ac:dyDescent="0.3">
      <c r="A4339" s="64" t="s">
        <v>713</v>
      </c>
      <c r="B4339" s="62" t="s">
        <v>923</v>
      </c>
      <c r="C4339" s="68" t="s">
        <v>1374</v>
      </c>
      <c r="D4339" s="68" t="s">
        <v>1391</v>
      </c>
      <c r="E4339" s="8" t="s">
        <v>1354</v>
      </c>
      <c r="F4339" s="45"/>
      <c r="G4339" s="18" t="s">
        <v>1355</v>
      </c>
      <c r="H4339" s="14">
        <f t="shared" ref="H4339:L4340" si="1920">H4340</f>
        <v>5519.64</v>
      </c>
      <c r="I4339" s="14">
        <f t="shared" si="1920"/>
        <v>5519.64</v>
      </c>
      <c r="J4339" s="14">
        <f t="shared" si="1920"/>
        <v>5519.64</v>
      </c>
      <c r="K4339" s="78">
        <f t="shared" si="1903"/>
        <v>100</v>
      </c>
      <c r="L4339" s="14">
        <f t="shared" si="1920"/>
        <v>0</v>
      </c>
      <c r="M4339" s="50"/>
      <c r="N4339" s="50"/>
    </row>
    <row r="4340" spans="1:14" ht="31.2" x14ac:dyDescent="0.3">
      <c r="A4340" s="64" t="s">
        <v>713</v>
      </c>
      <c r="B4340" s="62" t="s">
        <v>923</v>
      </c>
      <c r="C4340" s="68" t="s">
        <v>1374</v>
      </c>
      <c r="D4340" s="68" t="s">
        <v>1391</v>
      </c>
      <c r="E4340" s="8" t="s">
        <v>1354</v>
      </c>
      <c r="F4340" s="45" t="s">
        <v>402</v>
      </c>
      <c r="G4340" s="23" t="s">
        <v>819</v>
      </c>
      <c r="H4340" s="14">
        <f t="shared" si="1920"/>
        <v>5519.64</v>
      </c>
      <c r="I4340" s="14">
        <f t="shared" si="1920"/>
        <v>5519.64</v>
      </c>
      <c r="J4340" s="14">
        <f t="shared" si="1920"/>
        <v>5519.64</v>
      </c>
      <c r="K4340" s="78">
        <f t="shared" si="1903"/>
        <v>100</v>
      </c>
      <c r="L4340" s="14">
        <f t="shared" si="1920"/>
        <v>0</v>
      </c>
      <c r="M4340" s="50"/>
      <c r="N4340" s="50"/>
    </row>
    <row r="4341" spans="1:14" x14ac:dyDescent="0.3">
      <c r="A4341" s="64" t="s">
        <v>713</v>
      </c>
      <c r="B4341" s="62" t="s">
        <v>923</v>
      </c>
      <c r="C4341" s="68" t="s">
        <v>1374</v>
      </c>
      <c r="D4341" s="68" t="s">
        <v>1391</v>
      </c>
      <c r="E4341" s="8" t="s">
        <v>1354</v>
      </c>
      <c r="F4341" s="64" t="s">
        <v>223</v>
      </c>
      <c r="G4341" s="18" t="s">
        <v>829</v>
      </c>
      <c r="H4341" s="14">
        <f>3800+1719.64</f>
        <v>5519.64</v>
      </c>
      <c r="I4341" s="14">
        <v>5519.64</v>
      </c>
      <c r="J4341" s="14">
        <v>5519.64</v>
      </c>
      <c r="K4341" s="78">
        <f t="shared" si="1903"/>
        <v>100</v>
      </c>
      <c r="L4341" s="14"/>
      <c r="M4341" s="50"/>
      <c r="N4341" s="50"/>
    </row>
    <row r="4342" spans="1:14" ht="31.2" x14ac:dyDescent="0.3">
      <c r="A4342" s="64" t="s">
        <v>713</v>
      </c>
      <c r="B4342" s="62" t="s">
        <v>923</v>
      </c>
      <c r="C4342" s="68" t="s">
        <v>1374</v>
      </c>
      <c r="D4342" s="68" t="s">
        <v>1391</v>
      </c>
      <c r="E4342" s="8" t="s">
        <v>1196</v>
      </c>
      <c r="F4342" s="8"/>
      <c r="G4342" s="18" t="s">
        <v>1300</v>
      </c>
      <c r="H4342" s="14">
        <f t="shared" ref="H4342:L4342" si="1921">H4343</f>
        <v>696.8</v>
      </c>
      <c r="I4342" s="14">
        <f t="shared" si="1921"/>
        <v>696.8</v>
      </c>
      <c r="J4342" s="14">
        <f t="shared" si="1921"/>
        <v>696.76972999999998</v>
      </c>
      <c r="K4342" s="78">
        <f t="shared" si="1903"/>
        <v>99.995655855338697</v>
      </c>
      <c r="L4342" s="14">
        <f t="shared" si="1921"/>
        <v>0</v>
      </c>
      <c r="M4342" s="50"/>
      <c r="N4342" s="50"/>
    </row>
    <row r="4343" spans="1:14" ht="31.2" x14ac:dyDescent="0.3">
      <c r="A4343" s="64" t="s">
        <v>713</v>
      </c>
      <c r="B4343" s="62" t="s">
        <v>923</v>
      </c>
      <c r="C4343" s="68" t="s">
        <v>1374</v>
      </c>
      <c r="D4343" s="68" t="s">
        <v>1391</v>
      </c>
      <c r="E4343" s="8" t="s">
        <v>1196</v>
      </c>
      <c r="F4343" s="45" t="s">
        <v>402</v>
      </c>
      <c r="G4343" s="23" t="s">
        <v>819</v>
      </c>
      <c r="H4343" s="14">
        <f>H4344+H4345</f>
        <v>696.8</v>
      </c>
      <c r="I4343" s="14">
        <f>I4344+I4345</f>
        <v>696.8</v>
      </c>
      <c r="J4343" s="14">
        <f t="shared" ref="J4343" si="1922">J4344+J4345</f>
        <v>696.76972999999998</v>
      </c>
      <c r="K4343" s="78">
        <f t="shared" si="1903"/>
        <v>99.995655855338697</v>
      </c>
      <c r="L4343" s="14">
        <f>L4344+L4345</f>
        <v>0</v>
      </c>
      <c r="M4343" s="50"/>
      <c r="N4343" s="50"/>
    </row>
    <row r="4344" spans="1:14" x14ac:dyDescent="0.3">
      <c r="A4344" s="64" t="s">
        <v>713</v>
      </c>
      <c r="B4344" s="62" t="s">
        <v>923</v>
      </c>
      <c r="C4344" s="68" t="s">
        <v>1374</v>
      </c>
      <c r="D4344" s="68" t="s">
        <v>1391</v>
      </c>
      <c r="E4344" s="8" t="s">
        <v>1196</v>
      </c>
      <c r="F4344" s="8" t="s">
        <v>726</v>
      </c>
      <c r="G4344" s="13" t="s">
        <v>820</v>
      </c>
      <c r="H4344" s="14">
        <v>175</v>
      </c>
      <c r="I4344" s="14">
        <v>175</v>
      </c>
      <c r="J4344" s="14">
        <v>174.96973</v>
      </c>
      <c r="K4344" s="78">
        <f t="shared" si="1903"/>
        <v>99.982702857142854</v>
      </c>
      <c r="L4344" s="14"/>
      <c r="M4344" s="50"/>
      <c r="N4344" s="50"/>
    </row>
    <row r="4345" spans="1:14" x14ac:dyDescent="0.3">
      <c r="A4345" s="64" t="s">
        <v>713</v>
      </c>
      <c r="B4345" s="62" t="s">
        <v>923</v>
      </c>
      <c r="C4345" s="68" t="s">
        <v>1374</v>
      </c>
      <c r="D4345" s="68" t="s">
        <v>1391</v>
      </c>
      <c r="E4345" s="8" t="s">
        <v>1196</v>
      </c>
      <c r="F4345" s="64" t="s">
        <v>223</v>
      </c>
      <c r="G4345" s="18" t="s">
        <v>829</v>
      </c>
      <c r="H4345" s="14">
        <v>521.79999999999995</v>
      </c>
      <c r="I4345" s="14">
        <v>521.79999999999995</v>
      </c>
      <c r="J4345" s="14">
        <v>521.79999999999995</v>
      </c>
      <c r="K4345" s="78">
        <f t="shared" si="1903"/>
        <v>100</v>
      </c>
      <c r="L4345" s="14"/>
      <c r="M4345" s="50"/>
      <c r="N4345" s="50"/>
    </row>
    <row r="4346" spans="1:14" ht="62.4" x14ac:dyDescent="0.3">
      <c r="A4346" s="64" t="s">
        <v>713</v>
      </c>
      <c r="B4346" s="62" t="s">
        <v>923</v>
      </c>
      <c r="C4346" s="68" t="s">
        <v>1374</v>
      </c>
      <c r="D4346" s="68" t="s">
        <v>1391</v>
      </c>
      <c r="E4346" s="8" t="s">
        <v>104</v>
      </c>
      <c r="F4346" s="8"/>
      <c r="G4346" s="13" t="s">
        <v>152</v>
      </c>
      <c r="H4346" s="20">
        <v>0</v>
      </c>
      <c r="I4346" s="14">
        <f>I4347</f>
        <v>9571.0069999999996</v>
      </c>
      <c r="J4346" s="14">
        <f t="shared" ref="J4346:L4346" si="1923">J4347</f>
        <v>9570.9805500000002</v>
      </c>
      <c r="K4346" s="78">
        <f t="shared" si="1903"/>
        <v>99.999723644544417</v>
      </c>
      <c r="L4346" s="14">
        <f t="shared" si="1923"/>
        <v>0</v>
      </c>
      <c r="M4346" s="50"/>
      <c r="N4346" s="50"/>
    </row>
    <row r="4347" spans="1:14" ht="31.2" x14ac:dyDescent="0.3">
      <c r="A4347" s="64" t="s">
        <v>713</v>
      </c>
      <c r="B4347" s="62" t="s">
        <v>923</v>
      </c>
      <c r="C4347" s="68" t="s">
        <v>1374</v>
      </c>
      <c r="D4347" s="68" t="s">
        <v>1391</v>
      </c>
      <c r="E4347" s="8" t="s">
        <v>104</v>
      </c>
      <c r="F4347" s="45" t="s">
        <v>402</v>
      </c>
      <c r="G4347" s="23" t="s">
        <v>819</v>
      </c>
      <c r="H4347" s="20">
        <v>0</v>
      </c>
      <c r="I4347" s="14">
        <f>I4348+I4349</f>
        <v>9571.0069999999996</v>
      </c>
      <c r="J4347" s="14">
        <f t="shared" ref="J4347:L4347" si="1924">J4348+J4349</f>
        <v>9570.9805500000002</v>
      </c>
      <c r="K4347" s="78">
        <f t="shared" si="1903"/>
        <v>99.999723644544417</v>
      </c>
      <c r="L4347" s="14">
        <f t="shared" si="1924"/>
        <v>0</v>
      </c>
      <c r="M4347" s="50"/>
      <c r="N4347" s="50"/>
    </row>
    <row r="4348" spans="1:14" x14ac:dyDescent="0.3">
      <c r="A4348" s="64" t="s">
        <v>713</v>
      </c>
      <c r="B4348" s="62" t="s">
        <v>923</v>
      </c>
      <c r="C4348" s="68" t="s">
        <v>1374</v>
      </c>
      <c r="D4348" s="68" t="s">
        <v>1391</v>
      </c>
      <c r="E4348" s="8" t="s">
        <v>104</v>
      </c>
      <c r="F4348" s="8" t="s">
        <v>726</v>
      </c>
      <c r="G4348" s="13" t="s">
        <v>820</v>
      </c>
      <c r="H4348" s="20">
        <v>0</v>
      </c>
      <c r="I4348" s="14">
        <v>3735.8829999999998</v>
      </c>
      <c r="J4348" s="14">
        <v>3735.8827099999999</v>
      </c>
      <c r="K4348" s="78">
        <f t="shared" si="1903"/>
        <v>99.999992237444275</v>
      </c>
      <c r="L4348" s="14"/>
      <c r="M4348" s="50"/>
      <c r="N4348" s="50"/>
    </row>
    <row r="4349" spans="1:14" x14ac:dyDescent="0.3">
      <c r="A4349" s="64" t="s">
        <v>713</v>
      </c>
      <c r="B4349" s="62" t="s">
        <v>923</v>
      </c>
      <c r="C4349" s="68" t="s">
        <v>1374</v>
      </c>
      <c r="D4349" s="68" t="s">
        <v>1391</v>
      </c>
      <c r="E4349" s="8" t="s">
        <v>104</v>
      </c>
      <c r="F4349" s="64" t="s">
        <v>223</v>
      </c>
      <c r="G4349" s="18" t="s">
        <v>829</v>
      </c>
      <c r="H4349" s="20">
        <v>0</v>
      </c>
      <c r="I4349" s="14">
        <v>5835.1239999999998</v>
      </c>
      <c r="J4349" s="14">
        <v>5835.0978400000004</v>
      </c>
      <c r="K4349" s="78">
        <f t="shared" si="1903"/>
        <v>99.999551680478433</v>
      </c>
      <c r="L4349" s="14"/>
      <c r="M4349" s="50"/>
      <c r="N4349" s="50"/>
    </row>
    <row r="4350" spans="1:14" ht="31.2" x14ac:dyDescent="0.3">
      <c r="A4350" s="64" t="s">
        <v>713</v>
      </c>
      <c r="B4350" s="62" t="s">
        <v>923</v>
      </c>
      <c r="C4350" s="68" t="s">
        <v>1374</v>
      </c>
      <c r="D4350" s="68" t="s">
        <v>1391</v>
      </c>
      <c r="E4350" s="8" t="s">
        <v>429</v>
      </c>
      <c r="F4350" s="8"/>
      <c r="G4350" s="13" t="s">
        <v>1140</v>
      </c>
      <c r="H4350" s="19">
        <v>0</v>
      </c>
      <c r="I4350" s="14">
        <f>I4351</f>
        <v>360</v>
      </c>
      <c r="J4350" s="14">
        <f t="shared" ref="J4350:L4352" si="1925">J4351</f>
        <v>360</v>
      </c>
      <c r="K4350" s="78">
        <f t="shared" si="1903"/>
        <v>100</v>
      </c>
      <c r="L4350" s="14">
        <f t="shared" si="1925"/>
        <v>0</v>
      </c>
      <c r="M4350" s="50"/>
      <c r="N4350" s="50"/>
    </row>
    <row r="4351" spans="1:14" x14ac:dyDescent="0.3">
      <c r="A4351" s="64" t="s">
        <v>713</v>
      </c>
      <c r="B4351" s="62" t="s">
        <v>923</v>
      </c>
      <c r="C4351" s="68" t="s">
        <v>1374</v>
      </c>
      <c r="D4351" s="68" t="s">
        <v>1391</v>
      </c>
      <c r="E4351" s="8" t="s">
        <v>430</v>
      </c>
      <c r="F4351" s="8"/>
      <c r="G4351" s="13" t="s">
        <v>1141</v>
      </c>
      <c r="H4351" s="19">
        <v>0</v>
      </c>
      <c r="I4351" s="14">
        <f>I4352</f>
        <v>360</v>
      </c>
      <c r="J4351" s="14">
        <f t="shared" si="1925"/>
        <v>360</v>
      </c>
      <c r="K4351" s="78">
        <f t="shared" si="1903"/>
        <v>100</v>
      </c>
      <c r="L4351" s="14">
        <f t="shared" si="1925"/>
        <v>0</v>
      </c>
      <c r="M4351" s="50"/>
      <c r="N4351" s="50"/>
    </row>
    <row r="4352" spans="1:14" ht="46.8" x14ac:dyDescent="0.3">
      <c r="A4352" s="64" t="s">
        <v>713</v>
      </c>
      <c r="B4352" s="62" t="s">
        <v>923</v>
      </c>
      <c r="C4352" s="68" t="s">
        <v>1374</v>
      </c>
      <c r="D4352" s="68" t="s">
        <v>1391</v>
      </c>
      <c r="E4352" s="8" t="s">
        <v>39</v>
      </c>
      <c r="F4352" s="8"/>
      <c r="G4352" s="13" t="s">
        <v>40</v>
      </c>
      <c r="H4352" s="19">
        <v>0</v>
      </c>
      <c r="I4352" s="14">
        <f>I4353</f>
        <v>360</v>
      </c>
      <c r="J4352" s="14">
        <f t="shared" si="1925"/>
        <v>360</v>
      </c>
      <c r="K4352" s="78">
        <f t="shared" si="1903"/>
        <v>100</v>
      </c>
      <c r="L4352" s="14">
        <f t="shared" si="1925"/>
        <v>0</v>
      </c>
      <c r="M4352" s="50"/>
      <c r="N4352" s="50"/>
    </row>
    <row r="4353" spans="1:14" ht="31.2" x14ac:dyDescent="0.3">
      <c r="A4353" s="64" t="s">
        <v>713</v>
      </c>
      <c r="B4353" s="62" t="s">
        <v>923</v>
      </c>
      <c r="C4353" s="68" t="s">
        <v>1374</v>
      </c>
      <c r="D4353" s="68" t="s">
        <v>1391</v>
      </c>
      <c r="E4353" s="8" t="s">
        <v>39</v>
      </c>
      <c r="F4353" s="45" t="s">
        <v>402</v>
      </c>
      <c r="G4353" s="23" t="s">
        <v>819</v>
      </c>
      <c r="H4353" s="19">
        <v>0</v>
      </c>
      <c r="I4353" s="14">
        <f>I4354+I4355</f>
        <v>360</v>
      </c>
      <c r="J4353" s="14">
        <f t="shared" ref="J4353:L4353" si="1926">J4354+J4355</f>
        <v>360</v>
      </c>
      <c r="K4353" s="78">
        <f t="shared" si="1903"/>
        <v>100</v>
      </c>
      <c r="L4353" s="14">
        <f t="shared" si="1926"/>
        <v>0</v>
      </c>
      <c r="M4353" s="50"/>
      <c r="N4353" s="50"/>
    </row>
    <row r="4354" spans="1:14" x14ac:dyDescent="0.3">
      <c r="A4354" s="64" t="s">
        <v>713</v>
      </c>
      <c r="B4354" s="62" t="s">
        <v>923</v>
      </c>
      <c r="C4354" s="68" t="s">
        <v>1374</v>
      </c>
      <c r="D4354" s="68" t="s">
        <v>1391</v>
      </c>
      <c r="E4354" s="8" t="s">
        <v>39</v>
      </c>
      <c r="F4354" s="8" t="s">
        <v>726</v>
      </c>
      <c r="G4354" s="13" t="s">
        <v>820</v>
      </c>
      <c r="H4354" s="19">
        <v>0</v>
      </c>
      <c r="I4354" s="14">
        <v>205</v>
      </c>
      <c r="J4354" s="14">
        <v>205</v>
      </c>
      <c r="K4354" s="78">
        <f t="shared" si="1903"/>
        <v>100</v>
      </c>
      <c r="L4354" s="14"/>
      <c r="M4354" s="50"/>
      <c r="N4354" s="50"/>
    </row>
    <row r="4355" spans="1:14" x14ac:dyDescent="0.3">
      <c r="A4355" s="64" t="s">
        <v>713</v>
      </c>
      <c r="B4355" s="62" t="s">
        <v>923</v>
      </c>
      <c r="C4355" s="68" t="s">
        <v>1374</v>
      </c>
      <c r="D4355" s="68" t="s">
        <v>1391</v>
      </c>
      <c r="E4355" s="8" t="s">
        <v>39</v>
      </c>
      <c r="F4355" s="64" t="s">
        <v>223</v>
      </c>
      <c r="G4355" s="18" t="s">
        <v>829</v>
      </c>
      <c r="H4355" s="19">
        <v>0</v>
      </c>
      <c r="I4355" s="14">
        <v>155</v>
      </c>
      <c r="J4355" s="14">
        <v>155</v>
      </c>
      <c r="K4355" s="78">
        <f t="shared" si="1903"/>
        <v>100</v>
      </c>
      <c r="L4355" s="14"/>
      <c r="M4355" s="50"/>
      <c r="N4355" s="50"/>
    </row>
    <row r="4356" spans="1:14" s="9" customFormat="1" x14ac:dyDescent="0.3">
      <c r="A4356" s="6" t="s">
        <v>713</v>
      </c>
      <c r="B4356" s="48" t="s">
        <v>924</v>
      </c>
      <c r="C4356" s="48" t="s">
        <v>1374</v>
      </c>
      <c r="D4356" s="48" t="s">
        <v>1374</v>
      </c>
      <c r="E4356" s="6"/>
      <c r="F4356" s="6"/>
      <c r="G4356" s="7" t="s">
        <v>1221</v>
      </c>
      <c r="H4356" s="16">
        <f t="shared" ref="H4356:L4360" si="1927">H4357</f>
        <v>2559.8760000000002</v>
      </c>
      <c r="I4356" s="16">
        <f t="shared" si="1927"/>
        <v>2559.8760000000002</v>
      </c>
      <c r="J4356" s="16">
        <f t="shared" si="1927"/>
        <v>2559.8760000000002</v>
      </c>
      <c r="K4356" s="82">
        <f t="shared" si="1903"/>
        <v>100</v>
      </c>
      <c r="L4356" s="16">
        <f t="shared" si="1927"/>
        <v>0</v>
      </c>
      <c r="M4356" s="65"/>
      <c r="N4356" s="65"/>
    </row>
    <row r="4357" spans="1:14" ht="31.2" x14ac:dyDescent="0.3">
      <c r="A4357" s="64" t="s">
        <v>713</v>
      </c>
      <c r="B4357" s="62" t="s">
        <v>924</v>
      </c>
      <c r="C4357" s="68" t="s">
        <v>1374</v>
      </c>
      <c r="D4357" s="68" t="s">
        <v>1374</v>
      </c>
      <c r="E4357" s="8" t="s">
        <v>396</v>
      </c>
      <c r="F4357" s="8"/>
      <c r="G4357" s="13" t="s">
        <v>876</v>
      </c>
      <c r="H4357" s="14">
        <f t="shared" si="1927"/>
        <v>2559.8760000000002</v>
      </c>
      <c r="I4357" s="14">
        <f t="shared" si="1927"/>
        <v>2559.8760000000002</v>
      </c>
      <c r="J4357" s="14">
        <f t="shared" si="1927"/>
        <v>2559.8760000000002</v>
      </c>
      <c r="K4357" s="78">
        <f t="shared" si="1903"/>
        <v>100</v>
      </c>
      <c r="L4357" s="14">
        <f t="shared" si="1927"/>
        <v>0</v>
      </c>
      <c r="M4357" s="50"/>
      <c r="N4357" s="50"/>
    </row>
    <row r="4358" spans="1:14" ht="31.2" x14ac:dyDescent="0.3">
      <c r="A4358" s="64" t="s">
        <v>713</v>
      </c>
      <c r="B4358" s="62" t="s">
        <v>924</v>
      </c>
      <c r="C4358" s="68" t="s">
        <v>1374</v>
      </c>
      <c r="D4358" s="68" t="s">
        <v>1374</v>
      </c>
      <c r="E4358" s="8" t="s">
        <v>397</v>
      </c>
      <c r="F4358" s="8"/>
      <c r="G4358" s="13" t="s">
        <v>1316</v>
      </c>
      <c r="H4358" s="14">
        <f t="shared" si="1927"/>
        <v>2559.8760000000002</v>
      </c>
      <c r="I4358" s="14">
        <f t="shared" si="1927"/>
        <v>2559.8760000000002</v>
      </c>
      <c r="J4358" s="14">
        <f t="shared" si="1927"/>
        <v>2559.8760000000002</v>
      </c>
      <c r="K4358" s="78">
        <f t="shared" si="1903"/>
        <v>100</v>
      </c>
      <c r="L4358" s="14">
        <f t="shared" si="1927"/>
        <v>0</v>
      </c>
      <c r="M4358" s="50"/>
      <c r="N4358" s="50"/>
    </row>
    <row r="4359" spans="1:14" ht="46.8" x14ac:dyDescent="0.3">
      <c r="A4359" s="64" t="s">
        <v>713</v>
      </c>
      <c r="B4359" s="62" t="s">
        <v>924</v>
      </c>
      <c r="C4359" s="68" t="s">
        <v>1374</v>
      </c>
      <c r="D4359" s="68" t="s">
        <v>1374</v>
      </c>
      <c r="E4359" s="8" t="s">
        <v>398</v>
      </c>
      <c r="F4359" s="8"/>
      <c r="G4359" s="13" t="s">
        <v>1175</v>
      </c>
      <c r="H4359" s="14">
        <f t="shared" si="1927"/>
        <v>2559.8760000000002</v>
      </c>
      <c r="I4359" s="14">
        <f t="shared" si="1927"/>
        <v>2559.8760000000002</v>
      </c>
      <c r="J4359" s="14">
        <f t="shared" si="1927"/>
        <v>2559.8760000000002</v>
      </c>
      <c r="K4359" s="78">
        <f t="shared" si="1903"/>
        <v>100</v>
      </c>
      <c r="L4359" s="14">
        <f t="shared" si="1927"/>
        <v>0</v>
      </c>
      <c r="M4359" s="50"/>
      <c r="N4359" s="50"/>
    </row>
    <row r="4360" spans="1:14" ht="62.4" x14ac:dyDescent="0.3">
      <c r="A4360" s="64" t="s">
        <v>713</v>
      </c>
      <c r="B4360" s="62" t="s">
        <v>924</v>
      </c>
      <c r="C4360" s="68" t="s">
        <v>1374</v>
      </c>
      <c r="D4360" s="68" t="s">
        <v>1374</v>
      </c>
      <c r="E4360" s="8" t="s">
        <v>1337</v>
      </c>
      <c r="F4360" s="8"/>
      <c r="G4360" s="23" t="s">
        <v>1291</v>
      </c>
      <c r="H4360" s="14">
        <f t="shared" si="1927"/>
        <v>2559.8760000000002</v>
      </c>
      <c r="I4360" s="14">
        <f t="shared" si="1927"/>
        <v>2559.8760000000002</v>
      </c>
      <c r="J4360" s="14">
        <f t="shared" si="1927"/>
        <v>2559.8760000000002</v>
      </c>
      <c r="K4360" s="78">
        <f t="shared" ref="K4360:K4423" si="1928">J4360/I4360*100</f>
        <v>100</v>
      </c>
      <c r="L4360" s="14">
        <f t="shared" si="1927"/>
        <v>0</v>
      </c>
      <c r="M4360" s="50"/>
      <c r="N4360" s="50"/>
    </row>
    <row r="4361" spans="1:14" ht="31.2" x14ac:dyDescent="0.3">
      <c r="A4361" s="64" t="s">
        <v>713</v>
      </c>
      <c r="B4361" s="62" t="s">
        <v>924</v>
      </c>
      <c r="C4361" s="68" t="s">
        <v>1374</v>
      </c>
      <c r="D4361" s="68" t="s">
        <v>1374</v>
      </c>
      <c r="E4361" s="8" t="s">
        <v>1337</v>
      </c>
      <c r="F4361" s="45" t="s">
        <v>402</v>
      </c>
      <c r="G4361" s="23" t="s">
        <v>819</v>
      </c>
      <c r="H4361" s="14">
        <f>H4362+H4363</f>
        <v>2559.8760000000002</v>
      </c>
      <c r="I4361" s="14">
        <f>I4362+I4363</f>
        <v>2559.8760000000002</v>
      </c>
      <c r="J4361" s="14">
        <f t="shared" ref="J4361" si="1929">J4362+J4363</f>
        <v>2559.8760000000002</v>
      </c>
      <c r="K4361" s="78">
        <f t="shared" si="1928"/>
        <v>100</v>
      </c>
      <c r="L4361" s="14">
        <f>L4362+L4363</f>
        <v>0</v>
      </c>
      <c r="M4361" s="50"/>
      <c r="N4361" s="50"/>
    </row>
    <row r="4362" spans="1:14" x14ac:dyDescent="0.3">
      <c r="A4362" s="64" t="s">
        <v>713</v>
      </c>
      <c r="B4362" s="62" t="s">
        <v>924</v>
      </c>
      <c r="C4362" s="68" t="s">
        <v>1374</v>
      </c>
      <c r="D4362" s="68" t="s">
        <v>1374</v>
      </c>
      <c r="E4362" s="8" t="s">
        <v>1337</v>
      </c>
      <c r="F4362" s="8" t="s">
        <v>726</v>
      </c>
      <c r="G4362" s="13" t="s">
        <v>820</v>
      </c>
      <c r="H4362" s="14">
        <v>931.3</v>
      </c>
      <c r="I4362" s="14">
        <v>936.54</v>
      </c>
      <c r="J4362" s="14">
        <v>936.54</v>
      </c>
      <c r="K4362" s="78">
        <f t="shared" si="1928"/>
        <v>100</v>
      </c>
      <c r="L4362" s="14"/>
      <c r="M4362" s="50"/>
      <c r="N4362" s="50"/>
    </row>
    <row r="4363" spans="1:14" x14ac:dyDescent="0.3">
      <c r="A4363" s="64" t="s">
        <v>713</v>
      </c>
      <c r="B4363" s="62" t="s">
        <v>924</v>
      </c>
      <c r="C4363" s="68" t="s">
        <v>1374</v>
      </c>
      <c r="D4363" s="68" t="s">
        <v>1374</v>
      </c>
      <c r="E4363" s="8" t="s">
        <v>1337</v>
      </c>
      <c r="F4363" s="64" t="s">
        <v>223</v>
      </c>
      <c r="G4363" s="18" t="s">
        <v>829</v>
      </c>
      <c r="H4363" s="14">
        <f>1529.7+98.876</f>
        <v>1628.576</v>
      </c>
      <c r="I4363" s="14">
        <v>1623.336</v>
      </c>
      <c r="J4363" s="14">
        <v>1623.336</v>
      </c>
      <c r="K4363" s="78">
        <f t="shared" si="1928"/>
        <v>100</v>
      </c>
      <c r="L4363" s="14"/>
      <c r="M4363" s="50"/>
      <c r="N4363" s="50"/>
    </row>
    <row r="4364" spans="1:14" s="9" customFormat="1" x14ac:dyDescent="0.3">
      <c r="A4364" s="6" t="s">
        <v>713</v>
      </c>
      <c r="B4364" s="48" t="s">
        <v>925</v>
      </c>
      <c r="C4364" s="48" t="s">
        <v>1374</v>
      </c>
      <c r="D4364" s="48" t="s">
        <v>1398</v>
      </c>
      <c r="E4364" s="11"/>
      <c r="F4364" s="11"/>
      <c r="G4364" s="7" t="s">
        <v>1404</v>
      </c>
      <c r="H4364" s="16">
        <f t="shared" ref="H4364:L4368" si="1930">H4365</f>
        <v>6736.2</v>
      </c>
      <c r="I4364" s="16">
        <f>I4365+I4372</f>
        <v>8462.9536200000002</v>
      </c>
      <c r="J4364" s="16">
        <f t="shared" ref="J4364:L4364" si="1931">J4365+J4372</f>
        <v>8462.9536200000002</v>
      </c>
      <c r="K4364" s="82">
        <f t="shared" si="1928"/>
        <v>100</v>
      </c>
      <c r="L4364" s="16">
        <f t="shared" si="1931"/>
        <v>0</v>
      </c>
      <c r="M4364" s="65"/>
      <c r="N4364" s="65"/>
    </row>
    <row r="4365" spans="1:14" ht="31.2" x14ac:dyDescent="0.3">
      <c r="A4365" s="64" t="s">
        <v>713</v>
      </c>
      <c r="B4365" s="62" t="s">
        <v>925</v>
      </c>
      <c r="C4365" s="68" t="s">
        <v>1374</v>
      </c>
      <c r="D4365" s="68" t="s">
        <v>1398</v>
      </c>
      <c r="E4365" s="8" t="s">
        <v>446</v>
      </c>
      <c r="F4365" s="8"/>
      <c r="G4365" s="23" t="s">
        <v>864</v>
      </c>
      <c r="H4365" s="14">
        <f t="shared" si="1930"/>
        <v>6736.2</v>
      </c>
      <c r="I4365" s="14">
        <f t="shared" si="1930"/>
        <v>6589.9536200000002</v>
      </c>
      <c r="J4365" s="14">
        <f t="shared" si="1930"/>
        <v>6589.9536200000002</v>
      </c>
      <c r="K4365" s="78">
        <f t="shared" si="1928"/>
        <v>100</v>
      </c>
      <c r="L4365" s="14">
        <f t="shared" si="1930"/>
        <v>0</v>
      </c>
      <c r="M4365" s="50"/>
      <c r="N4365" s="50"/>
    </row>
    <row r="4366" spans="1:14" ht="31.2" x14ac:dyDescent="0.3">
      <c r="A4366" s="64" t="s">
        <v>713</v>
      </c>
      <c r="B4366" s="62" t="s">
        <v>925</v>
      </c>
      <c r="C4366" s="68" t="s">
        <v>1374</v>
      </c>
      <c r="D4366" s="68" t="s">
        <v>1398</v>
      </c>
      <c r="E4366" s="8" t="s">
        <v>666</v>
      </c>
      <c r="F4366" s="8"/>
      <c r="G4366" s="13" t="s">
        <v>1167</v>
      </c>
      <c r="H4366" s="14">
        <f t="shared" si="1930"/>
        <v>6736.2</v>
      </c>
      <c r="I4366" s="14">
        <f t="shared" si="1930"/>
        <v>6589.9536200000002</v>
      </c>
      <c r="J4366" s="14">
        <f t="shared" si="1930"/>
        <v>6589.9536200000002</v>
      </c>
      <c r="K4366" s="78">
        <f t="shared" si="1928"/>
        <v>100</v>
      </c>
      <c r="L4366" s="14">
        <f t="shared" si="1930"/>
        <v>0</v>
      </c>
      <c r="M4366" s="50"/>
      <c r="N4366" s="50"/>
    </row>
    <row r="4367" spans="1:14" ht="54.6" customHeight="1" x14ac:dyDescent="0.3">
      <c r="A4367" s="64" t="s">
        <v>713</v>
      </c>
      <c r="B4367" s="62" t="s">
        <v>925</v>
      </c>
      <c r="C4367" s="68" t="s">
        <v>1374</v>
      </c>
      <c r="D4367" s="68" t="s">
        <v>1398</v>
      </c>
      <c r="E4367" s="8" t="s">
        <v>103</v>
      </c>
      <c r="F4367" s="8"/>
      <c r="G4367" s="13" t="s">
        <v>1302</v>
      </c>
      <c r="H4367" s="14">
        <f t="shared" si="1930"/>
        <v>6736.2</v>
      </c>
      <c r="I4367" s="14">
        <f t="shared" si="1930"/>
        <v>6589.9536200000002</v>
      </c>
      <c r="J4367" s="14">
        <f t="shared" si="1930"/>
        <v>6589.9536200000002</v>
      </c>
      <c r="K4367" s="78">
        <f t="shared" si="1928"/>
        <v>100</v>
      </c>
      <c r="L4367" s="14">
        <f t="shared" si="1930"/>
        <v>0</v>
      </c>
      <c r="M4367" s="50"/>
      <c r="N4367" s="50"/>
    </row>
    <row r="4368" spans="1:14" x14ac:dyDescent="0.3">
      <c r="A4368" s="64" t="s">
        <v>713</v>
      </c>
      <c r="B4368" s="62" t="s">
        <v>925</v>
      </c>
      <c r="C4368" s="68" t="s">
        <v>1374</v>
      </c>
      <c r="D4368" s="68" t="s">
        <v>1398</v>
      </c>
      <c r="E4368" s="8" t="s">
        <v>281</v>
      </c>
      <c r="F4368" s="8"/>
      <c r="G4368" s="23" t="s">
        <v>299</v>
      </c>
      <c r="H4368" s="14">
        <f t="shared" si="1930"/>
        <v>6736.2</v>
      </c>
      <c r="I4368" s="14">
        <f t="shared" si="1930"/>
        <v>6589.9536200000002</v>
      </c>
      <c r="J4368" s="14">
        <f t="shared" si="1930"/>
        <v>6589.9536200000002</v>
      </c>
      <c r="K4368" s="78">
        <f t="shared" si="1928"/>
        <v>100</v>
      </c>
      <c r="L4368" s="14">
        <f t="shared" si="1930"/>
        <v>0</v>
      </c>
      <c r="M4368" s="50"/>
      <c r="N4368" s="50"/>
    </row>
    <row r="4369" spans="1:14" ht="31.2" x14ac:dyDescent="0.3">
      <c r="A4369" s="64" t="s">
        <v>713</v>
      </c>
      <c r="B4369" s="62" t="s">
        <v>925</v>
      </c>
      <c r="C4369" s="68" t="s">
        <v>1374</v>
      </c>
      <c r="D4369" s="68" t="s">
        <v>1398</v>
      </c>
      <c r="E4369" s="8" t="s">
        <v>281</v>
      </c>
      <c r="F4369" s="45" t="s">
        <v>402</v>
      </c>
      <c r="G4369" s="23" t="s">
        <v>819</v>
      </c>
      <c r="H4369" s="14">
        <f>H4370+H4371</f>
        <v>6736.2</v>
      </c>
      <c r="I4369" s="14">
        <f>I4370+I4371</f>
        <v>6589.9536200000002</v>
      </c>
      <c r="J4369" s="14">
        <f t="shared" ref="J4369" si="1932">J4370+J4371</f>
        <v>6589.9536200000002</v>
      </c>
      <c r="K4369" s="78">
        <f t="shared" si="1928"/>
        <v>100</v>
      </c>
      <c r="L4369" s="14">
        <f>L4370+L4371</f>
        <v>0</v>
      </c>
      <c r="M4369" s="50"/>
      <c r="N4369" s="50"/>
    </row>
    <row r="4370" spans="1:14" x14ac:dyDescent="0.3">
      <c r="A4370" s="64" t="s">
        <v>713</v>
      </c>
      <c r="B4370" s="62" t="s">
        <v>925</v>
      </c>
      <c r="C4370" s="68" t="s">
        <v>1374</v>
      </c>
      <c r="D4370" s="68" t="s">
        <v>1398</v>
      </c>
      <c r="E4370" s="8" t="s">
        <v>281</v>
      </c>
      <c r="F4370" s="8" t="s">
        <v>726</v>
      </c>
      <c r="G4370" s="13" t="s">
        <v>820</v>
      </c>
      <c r="H4370" s="14">
        <v>1987.7</v>
      </c>
      <c r="I4370" s="14">
        <v>1957.8538000000001</v>
      </c>
      <c r="J4370" s="14">
        <v>1957.8538000000001</v>
      </c>
      <c r="K4370" s="78">
        <f t="shared" si="1928"/>
        <v>100</v>
      </c>
      <c r="L4370" s="14"/>
      <c r="M4370" s="50"/>
      <c r="N4370" s="50"/>
    </row>
    <row r="4371" spans="1:14" x14ac:dyDescent="0.3">
      <c r="A4371" s="64" t="s">
        <v>713</v>
      </c>
      <c r="B4371" s="62" t="s">
        <v>925</v>
      </c>
      <c r="C4371" s="68" t="s">
        <v>1374</v>
      </c>
      <c r="D4371" s="68" t="s">
        <v>1398</v>
      </c>
      <c r="E4371" s="8" t="s">
        <v>281</v>
      </c>
      <c r="F4371" s="64" t="s">
        <v>223</v>
      </c>
      <c r="G4371" s="18" t="s">
        <v>829</v>
      </c>
      <c r="H4371" s="14">
        <f>4651.5+97</f>
        <v>4748.5</v>
      </c>
      <c r="I4371" s="14">
        <v>4632.0998200000004</v>
      </c>
      <c r="J4371" s="14">
        <v>4632.0998200000004</v>
      </c>
      <c r="K4371" s="78">
        <f t="shared" si="1928"/>
        <v>100</v>
      </c>
      <c r="L4371" s="14"/>
      <c r="M4371" s="50"/>
      <c r="N4371" s="50"/>
    </row>
    <row r="4372" spans="1:14" ht="31.2" x14ac:dyDescent="0.3">
      <c r="A4372" s="64" t="s">
        <v>713</v>
      </c>
      <c r="B4372" s="62" t="s">
        <v>925</v>
      </c>
      <c r="C4372" s="68" t="s">
        <v>1374</v>
      </c>
      <c r="D4372" s="68" t="s">
        <v>1398</v>
      </c>
      <c r="E4372" s="8" t="s">
        <v>429</v>
      </c>
      <c r="F4372" s="8"/>
      <c r="G4372" s="13" t="s">
        <v>1140</v>
      </c>
      <c r="H4372" s="20">
        <v>0</v>
      </c>
      <c r="I4372" s="14">
        <f>I4373</f>
        <v>1873</v>
      </c>
      <c r="J4372" s="14">
        <f t="shared" ref="J4372:L4373" si="1933">J4373</f>
        <v>1873</v>
      </c>
      <c r="K4372" s="78">
        <f t="shared" si="1928"/>
        <v>100</v>
      </c>
      <c r="L4372" s="14">
        <f t="shared" si="1933"/>
        <v>0</v>
      </c>
      <c r="M4372" s="50"/>
      <c r="N4372" s="50"/>
    </row>
    <row r="4373" spans="1:14" ht="46.8" x14ac:dyDescent="0.3">
      <c r="A4373" s="64" t="s">
        <v>713</v>
      </c>
      <c r="B4373" s="62" t="s">
        <v>925</v>
      </c>
      <c r="C4373" s="68" t="s">
        <v>1374</v>
      </c>
      <c r="D4373" s="68" t="s">
        <v>1398</v>
      </c>
      <c r="E4373" s="8" t="s">
        <v>535</v>
      </c>
      <c r="F4373" s="8"/>
      <c r="G4373" s="13" t="s">
        <v>176</v>
      </c>
      <c r="H4373" s="20">
        <v>0</v>
      </c>
      <c r="I4373" s="14">
        <f>I4374</f>
        <v>1873</v>
      </c>
      <c r="J4373" s="14">
        <f t="shared" si="1933"/>
        <v>1873</v>
      </c>
      <c r="K4373" s="78">
        <f t="shared" si="1928"/>
        <v>100</v>
      </c>
      <c r="L4373" s="14">
        <f t="shared" si="1933"/>
        <v>0</v>
      </c>
      <c r="M4373" s="50"/>
      <c r="N4373" s="50"/>
    </row>
    <row r="4374" spans="1:14" ht="31.2" x14ac:dyDescent="0.3">
      <c r="A4374" s="64" t="s">
        <v>713</v>
      </c>
      <c r="B4374" s="62" t="s">
        <v>925</v>
      </c>
      <c r="C4374" s="68" t="s">
        <v>1374</v>
      </c>
      <c r="D4374" s="68" t="s">
        <v>1398</v>
      </c>
      <c r="E4374" s="8" t="s">
        <v>535</v>
      </c>
      <c r="F4374" s="45" t="s">
        <v>402</v>
      </c>
      <c r="G4374" s="23" t="s">
        <v>819</v>
      </c>
      <c r="H4374" s="20">
        <v>0</v>
      </c>
      <c r="I4374" s="14">
        <f>I4375+I4376</f>
        <v>1873</v>
      </c>
      <c r="J4374" s="14">
        <f t="shared" ref="J4374:L4374" si="1934">J4375+J4376</f>
        <v>1873</v>
      </c>
      <c r="K4374" s="78">
        <f t="shared" si="1928"/>
        <v>100</v>
      </c>
      <c r="L4374" s="14">
        <f t="shared" si="1934"/>
        <v>0</v>
      </c>
      <c r="M4374" s="50"/>
      <c r="N4374" s="50"/>
    </row>
    <row r="4375" spans="1:14" x14ac:dyDescent="0.3">
      <c r="A4375" s="64" t="s">
        <v>713</v>
      </c>
      <c r="B4375" s="62" t="s">
        <v>925</v>
      </c>
      <c r="C4375" s="68" t="s">
        <v>1374</v>
      </c>
      <c r="D4375" s="68" t="s">
        <v>1398</v>
      </c>
      <c r="E4375" s="8" t="s">
        <v>535</v>
      </c>
      <c r="F4375" s="8" t="s">
        <v>726</v>
      </c>
      <c r="G4375" s="13" t="s">
        <v>820</v>
      </c>
      <c r="H4375" s="20">
        <v>0</v>
      </c>
      <c r="I4375" s="14">
        <v>730</v>
      </c>
      <c r="J4375" s="14">
        <v>730</v>
      </c>
      <c r="K4375" s="78">
        <f t="shared" si="1928"/>
        <v>100</v>
      </c>
      <c r="L4375" s="14"/>
      <c r="M4375" s="50"/>
      <c r="N4375" s="50"/>
    </row>
    <row r="4376" spans="1:14" x14ac:dyDescent="0.3">
      <c r="A4376" s="64" t="s">
        <v>713</v>
      </c>
      <c r="B4376" s="62" t="s">
        <v>925</v>
      </c>
      <c r="C4376" s="68" t="s">
        <v>1374</v>
      </c>
      <c r="D4376" s="68" t="s">
        <v>1398</v>
      </c>
      <c r="E4376" s="8" t="s">
        <v>535</v>
      </c>
      <c r="F4376" s="64" t="s">
        <v>223</v>
      </c>
      <c r="G4376" s="18" t="s">
        <v>829</v>
      </c>
      <c r="H4376" s="20">
        <v>0</v>
      </c>
      <c r="I4376" s="14">
        <v>1143</v>
      </c>
      <c r="J4376" s="14">
        <v>1143</v>
      </c>
      <c r="K4376" s="78">
        <f t="shared" si="1928"/>
        <v>100</v>
      </c>
      <c r="L4376" s="14"/>
      <c r="M4376" s="50"/>
      <c r="N4376" s="50"/>
    </row>
    <row r="4377" spans="1:14" s="3" customFormat="1" x14ac:dyDescent="0.3">
      <c r="A4377" s="4" t="s">
        <v>713</v>
      </c>
      <c r="B4377" s="43" t="s">
        <v>1399</v>
      </c>
      <c r="C4377" s="43" t="s">
        <v>1399</v>
      </c>
      <c r="D4377" s="43" t="s">
        <v>915</v>
      </c>
      <c r="E4377" s="4"/>
      <c r="F4377" s="4"/>
      <c r="G4377" s="5" t="s">
        <v>1400</v>
      </c>
      <c r="H4377" s="15">
        <f t="shared" ref="H4377:L4377" si="1935">H4378</f>
        <v>9840.6890000000003</v>
      </c>
      <c r="I4377" s="15">
        <f t="shared" si="1935"/>
        <v>269.68200000000002</v>
      </c>
      <c r="J4377" s="15">
        <f t="shared" si="1935"/>
        <v>269.6814</v>
      </c>
      <c r="K4377" s="81">
        <f t="shared" si="1928"/>
        <v>99.999777515740746</v>
      </c>
      <c r="L4377" s="15">
        <f t="shared" si="1935"/>
        <v>0</v>
      </c>
      <c r="M4377" s="65"/>
      <c r="N4377" s="65"/>
    </row>
    <row r="4378" spans="1:14" s="9" customFormat="1" x14ac:dyDescent="0.3">
      <c r="A4378" s="6" t="s">
        <v>713</v>
      </c>
      <c r="B4378" s="48" t="s">
        <v>928</v>
      </c>
      <c r="C4378" s="48" t="s">
        <v>1399</v>
      </c>
      <c r="D4378" s="48" t="s">
        <v>1391</v>
      </c>
      <c r="E4378" s="6"/>
      <c r="F4378" s="6"/>
      <c r="G4378" s="7" t="s">
        <v>1401</v>
      </c>
      <c r="H4378" s="16">
        <f t="shared" ref="H4378:L4378" si="1936">H4379+H4386</f>
        <v>9840.6890000000003</v>
      </c>
      <c r="I4378" s="16">
        <f t="shared" si="1936"/>
        <v>269.68200000000002</v>
      </c>
      <c r="J4378" s="16">
        <f t="shared" si="1936"/>
        <v>269.6814</v>
      </c>
      <c r="K4378" s="82">
        <f t="shared" si="1928"/>
        <v>99.999777515740746</v>
      </c>
      <c r="L4378" s="16">
        <f t="shared" si="1936"/>
        <v>0</v>
      </c>
      <c r="M4378" s="65"/>
      <c r="N4378" s="65"/>
    </row>
    <row r="4379" spans="1:14" ht="31.2" x14ac:dyDescent="0.3">
      <c r="A4379" s="64" t="s">
        <v>713</v>
      </c>
      <c r="B4379" s="62" t="s">
        <v>928</v>
      </c>
      <c r="C4379" s="68" t="s">
        <v>1399</v>
      </c>
      <c r="D4379" s="68" t="s">
        <v>1391</v>
      </c>
      <c r="E4379" s="8" t="s">
        <v>406</v>
      </c>
      <c r="F4379" s="8"/>
      <c r="G4379" s="13" t="s">
        <v>848</v>
      </c>
      <c r="H4379" s="14">
        <f t="shared" ref="H4379:L4381" si="1937">H4380</f>
        <v>269.68200000000002</v>
      </c>
      <c r="I4379" s="14">
        <f t="shared" si="1937"/>
        <v>269.68200000000002</v>
      </c>
      <c r="J4379" s="14">
        <f t="shared" si="1937"/>
        <v>269.6814</v>
      </c>
      <c r="K4379" s="78">
        <f t="shared" si="1928"/>
        <v>99.999777515740746</v>
      </c>
      <c r="L4379" s="14">
        <f t="shared" si="1937"/>
        <v>0</v>
      </c>
      <c r="M4379" s="50"/>
      <c r="N4379" s="50"/>
    </row>
    <row r="4380" spans="1:14" ht="62.4" x14ac:dyDescent="0.3">
      <c r="A4380" s="64" t="s">
        <v>713</v>
      </c>
      <c r="B4380" s="62" t="s">
        <v>928</v>
      </c>
      <c r="C4380" s="68" t="s">
        <v>1399</v>
      </c>
      <c r="D4380" s="68" t="s">
        <v>1391</v>
      </c>
      <c r="E4380" s="8" t="s">
        <v>407</v>
      </c>
      <c r="F4380" s="8"/>
      <c r="G4380" s="13" t="s">
        <v>1353</v>
      </c>
      <c r="H4380" s="14">
        <f t="shared" si="1937"/>
        <v>269.68200000000002</v>
      </c>
      <c r="I4380" s="14">
        <f t="shared" si="1937"/>
        <v>269.68200000000002</v>
      </c>
      <c r="J4380" s="14">
        <f t="shared" si="1937"/>
        <v>269.6814</v>
      </c>
      <c r="K4380" s="78">
        <f t="shared" si="1928"/>
        <v>99.999777515740746</v>
      </c>
      <c r="L4380" s="14">
        <f t="shared" si="1937"/>
        <v>0</v>
      </c>
      <c r="M4380" s="50"/>
      <c r="N4380" s="50"/>
    </row>
    <row r="4381" spans="1:14" ht="46.8" x14ac:dyDescent="0.3">
      <c r="A4381" s="64" t="s">
        <v>713</v>
      </c>
      <c r="B4381" s="62" t="s">
        <v>928</v>
      </c>
      <c r="C4381" s="68" t="s">
        <v>1399</v>
      </c>
      <c r="D4381" s="68" t="s">
        <v>1391</v>
      </c>
      <c r="E4381" s="8" t="s">
        <v>428</v>
      </c>
      <c r="F4381" s="8"/>
      <c r="G4381" s="13" t="s">
        <v>849</v>
      </c>
      <c r="H4381" s="14">
        <f>H4382</f>
        <v>269.68200000000002</v>
      </c>
      <c r="I4381" s="14">
        <f t="shared" si="1937"/>
        <v>269.68200000000002</v>
      </c>
      <c r="J4381" s="14">
        <f t="shared" si="1937"/>
        <v>269.6814</v>
      </c>
      <c r="K4381" s="78">
        <f t="shared" si="1928"/>
        <v>99.999777515740746</v>
      </c>
      <c r="L4381" s="14">
        <f t="shared" si="1937"/>
        <v>0</v>
      </c>
      <c r="M4381" s="50"/>
      <c r="N4381" s="50"/>
    </row>
    <row r="4382" spans="1:14" ht="46.8" x14ac:dyDescent="0.3">
      <c r="A4382" s="64" t="s">
        <v>713</v>
      </c>
      <c r="B4382" s="62" t="s">
        <v>928</v>
      </c>
      <c r="C4382" s="68" t="s">
        <v>1399</v>
      </c>
      <c r="D4382" s="68" t="s">
        <v>1391</v>
      </c>
      <c r="E4382" s="8" t="s">
        <v>692</v>
      </c>
      <c r="F4382" s="8"/>
      <c r="G4382" s="13" t="s">
        <v>291</v>
      </c>
      <c r="H4382" s="14">
        <f t="shared" ref="H4382:L4382" si="1938">H4383</f>
        <v>269.68200000000002</v>
      </c>
      <c r="I4382" s="14">
        <f t="shared" si="1938"/>
        <v>269.68200000000002</v>
      </c>
      <c r="J4382" s="14">
        <f t="shared" si="1938"/>
        <v>269.6814</v>
      </c>
      <c r="K4382" s="78">
        <f t="shared" si="1928"/>
        <v>99.999777515740746</v>
      </c>
      <c r="L4382" s="14">
        <f t="shared" si="1938"/>
        <v>0</v>
      </c>
      <c r="M4382" s="50"/>
      <c r="N4382" s="50"/>
    </row>
    <row r="4383" spans="1:14" ht="31.2" x14ac:dyDescent="0.3">
      <c r="A4383" s="64" t="s">
        <v>713</v>
      </c>
      <c r="B4383" s="62" t="s">
        <v>928</v>
      </c>
      <c r="C4383" s="68" t="s">
        <v>1399</v>
      </c>
      <c r="D4383" s="68" t="s">
        <v>1391</v>
      </c>
      <c r="E4383" s="8" t="s">
        <v>692</v>
      </c>
      <c r="F4383" s="45" t="s">
        <v>402</v>
      </c>
      <c r="G4383" s="23" t="s">
        <v>819</v>
      </c>
      <c r="H4383" s="14">
        <f>H4384+H4385</f>
        <v>269.68200000000002</v>
      </c>
      <c r="I4383" s="14">
        <f>I4384+I4385</f>
        <v>269.68200000000002</v>
      </c>
      <c r="J4383" s="14">
        <f t="shared" ref="J4383" si="1939">J4384+J4385</f>
        <v>269.6814</v>
      </c>
      <c r="K4383" s="78">
        <f t="shared" si="1928"/>
        <v>99.999777515740746</v>
      </c>
      <c r="L4383" s="14">
        <f>L4384+L4385</f>
        <v>0</v>
      </c>
      <c r="M4383" s="50"/>
      <c r="N4383" s="50"/>
    </row>
    <row r="4384" spans="1:14" x14ac:dyDescent="0.3">
      <c r="A4384" s="64" t="s">
        <v>713</v>
      </c>
      <c r="B4384" s="62" t="s">
        <v>928</v>
      </c>
      <c r="C4384" s="68" t="s">
        <v>1399</v>
      </c>
      <c r="D4384" s="68" t="s">
        <v>1391</v>
      </c>
      <c r="E4384" s="8" t="s">
        <v>692</v>
      </c>
      <c r="F4384" s="8" t="s">
        <v>726</v>
      </c>
      <c r="G4384" s="13" t="s">
        <v>820</v>
      </c>
      <c r="H4384" s="14">
        <f>110-23.535</f>
        <v>86.465000000000003</v>
      </c>
      <c r="I4384" s="14">
        <v>75.330399999999997</v>
      </c>
      <c r="J4384" s="14">
        <v>75.33</v>
      </c>
      <c r="K4384" s="78">
        <f t="shared" si="1928"/>
        <v>99.999469005872797</v>
      </c>
      <c r="L4384" s="14"/>
      <c r="M4384" s="50"/>
      <c r="N4384" s="50"/>
    </row>
    <row r="4385" spans="1:14" x14ac:dyDescent="0.3">
      <c r="A4385" s="64" t="s">
        <v>713</v>
      </c>
      <c r="B4385" s="62" t="s">
        <v>928</v>
      </c>
      <c r="C4385" s="68" t="s">
        <v>1399</v>
      </c>
      <c r="D4385" s="68" t="s">
        <v>1391</v>
      </c>
      <c r="E4385" s="8" t="s">
        <v>692</v>
      </c>
      <c r="F4385" s="64" t="s">
        <v>223</v>
      </c>
      <c r="G4385" s="18" t="s">
        <v>829</v>
      </c>
      <c r="H4385" s="14">
        <f>189.1-5.883</f>
        <v>183.21699999999998</v>
      </c>
      <c r="I4385" s="14">
        <v>194.35159999999999</v>
      </c>
      <c r="J4385" s="14">
        <v>194.35140000000001</v>
      </c>
      <c r="K4385" s="78">
        <f t="shared" si="1928"/>
        <v>99.999897093720875</v>
      </c>
      <c r="L4385" s="14"/>
      <c r="M4385" s="50"/>
      <c r="N4385" s="50"/>
    </row>
    <row r="4386" spans="1:14" ht="31.2" hidden="1" x14ac:dyDescent="0.3">
      <c r="A4386" s="64" t="s">
        <v>713</v>
      </c>
      <c r="B4386" s="62" t="s">
        <v>928</v>
      </c>
      <c r="C4386" s="68" t="s">
        <v>1399</v>
      </c>
      <c r="D4386" s="68" t="s">
        <v>1391</v>
      </c>
      <c r="E4386" s="8" t="s">
        <v>446</v>
      </c>
      <c r="F4386" s="8"/>
      <c r="G4386" s="23" t="s">
        <v>864</v>
      </c>
      <c r="H4386" s="14">
        <f t="shared" ref="H4386:L4387" si="1940">H4387</f>
        <v>9571.0069999999996</v>
      </c>
      <c r="I4386" s="14">
        <f t="shared" si="1940"/>
        <v>0</v>
      </c>
      <c r="J4386" s="14">
        <f t="shared" si="1940"/>
        <v>0</v>
      </c>
      <c r="K4386" s="78" t="e">
        <f t="shared" si="1928"/>
        <v>#DIV/0!</v>
      </c>
      <c r="L4386" s="14">
        <f t="shared" si="1940"/>
        <v>0</v>
      </c>
      <c r="M4386" s="50">
        <v>111</v>
      </c>
      <c r="N4386" s="50"/>
    </row>
    <row r="4387" spans="1:14" ht="31.2" hidden="1" x14ac:dyDescent="0.3">
      <c r="A4387" s="64" t="s">
        <v>713</v>
      </c>
      <c r="B4387" s="62" t="s">
        <v>928</v>
      </c>
      <c r="C4387" s="68" t="s">
        <v>1399</v>
      </c>
      <c r="D4387" s="68" t="s">
        <v>1391</v>
      </c>
      <c r="E4387" s="8" t="s">
        <v>447</v>
      </c>
      <c r="F4387" s="8"/>
      <c r="G4387" s="23" t="s">
        <v>865</v>
      </c>
      <c r="H4387" s="14">
        <f t="shared" si="1940"/>
        <v>9571.0069999999996</v>
      </c>
      <c r="I4387" s="14">
        <f t="shared" si="1940"/>
        <v>0</v>
      </c>
      <c r="J4387" s="14">
        <f t="shared" si="1940"/>
        <v>0</v>
      </c>
      <c r="K4387" s="78" t="e">
        <f t="shared" si="1928"/>
        <v>#DIV/0!</v>
      </c>
      <c r="L4387" s="14">
        <f t="shared" si="1940"/>
        <v>0</v>
      </c>
      <c r="M4387" s="50">
        <v>111</v>
      </c>
      <c r="N4387" s="50"/>
    </row>
    <row r="4388" spans="1:14" ht="62.4" hidden="1" x14ac:dyDescent="0.3">
      <c r="A4388" s="64" t="s">
        <v>713</v>
      </c>
      <c r="B4388" s="62" t="s">
        <v>928</v>
      </c>
      <c r="C4388" s="68" t="s">
        <v>1399</v>
      </c>
      <c r="D4388" s="68" t="s">
        <v>1391</v>
      </c>
      <c r="E4388" s="8" t="s">
        <v>479</v>
      </c>
      <c r="F4388" s="8"/>
      <c r="G4388" s="18" t="s">
        <v>1206</v>
      </c>
      <c r="H4388" s="14">
        <f t="shared" ref="H4388:L4389" si="1941">H4389</f>
        <v>9571.0069999999996</v>
      </c>
      <c r="I4388" s="14">
        <f t="shared" si="1941"/>
        <v>0</v>
      </c>
      <c r="J4388" s="14">
        <f t="shared" si="1941"/>
        <v>0</v>
      </c>
      <c r="K4388" s="78" t="e">
        <f t="shared" si="1928"/>
        <v>#DIV/0!</v>
      </c>
      <c r="L4388" s="14">
        <f t="shared" si="1941"/>
        <v>0</v>
      </c>
      <c r="M4388" s="50">
        <v>111</v>
      </c>
      <c r="N4388" s="50"/>
    </row>
    <row r="4389" spans="1:14" ht="62.4" hidden="1" x14ac:dyDescent="0.3">
      <c r="A4389" s="64" t="s">
        <v>713</v>
      </c>
      <c r="B4389" s="62" t="s">
        <v>928</v>
      </c>
      <c r="C4389" s="68" t="s">
        <v>1399</v>
      </c>
      <c r="D4389" s="68" t="s">
        <v>1391</v>
      </c>
      <c r="E4389" s="8" t="s">
        <v>104</v>
      </c>
      <c r="F4389" s="8"/>
      <c r="G4389" s="23" t="s">
        <v>152</v>
      </c>
      <c r="H4389" s="14">
        <f t="shared" si="1941"/>
        <v>9571.0069999999996</v>
      </c>
      <c r="I4389" s="14">
        <f t="shared" si="1941"/>
        <v>0</v>
      </c>
      <c r="J4389" s="14">
        <f t="shared" si="1941"/>
        <v>0</v>
      </c>
      <c r="K4389" s="78" t="e">
        <f t="shared" si="1928"/>
        <v>#DIV/0!</v>
      </c>
      <c r="L4389" s="14">
        <f t="shared" si="1941"/>
        <v>0</v>
      </c>
      <c r="M4389" s="50">
        <v>111</v>
      </c>
      <c r="N4389" s="50"/>
    </row>
    <row r="4390" spans="1:14" ht="31.2" hidden="1" x14ac:dyDescent="0.3">
      <c r="A4390" s="64" t="s">
        <v>713</v>
      </c>
      <c r="B4390" s="62" t="s">
        <v>928</v>
      </c>
      <c r="C4390" s="68" t="s">
        <v>1399</v>
      </c>
      <c r="D4390" s="68" t="s">
        <v>1391</v>
      </c>
      <c r="E4390" s="8" t="s">
        <v>104</v>
      </c>
      <c r="F4390" s="45" t="s">
        <v>402</v>
      </c>
      <c r="G4390" s="23" t="s">
        <v>819</v>
      </c>
      <c r="H4390" s="14">
        <f>H4391+H4392</f>
        <v>9571.0069999999996</v>
      </c>
      <c r="I4390" s="14">
        <f>I4391+I4392</f>
        <v>0</v>
      </c>
      <c r="J4390" s="14">
        <f t="shared" ref="J4390" si="1942">J4391+J4392</f>
        <v>0</v>
      </c>
      <c r="K4390" s="78" t="e">
        <f t="shared" si="1928"/>
        <v>#DIV/0!</v>
      </c>
      <c r="L4390" s="14">
        <f>L4391+L4392</f>
        <v>0</v>
      </c>
      <c r="M4390" s="50">
        <v>111</v>
      </c>
      <c r="N4390" s="50"/>
    </row>
    <row r="4391" spans="1:14" hidden="1" x14ac:dyDescent="0.3">
      <c r="A4391" s="64" t="s">
        <v>713</v>
      </c>
      <c r="B4391" s="62" t="s">
        <v>928</v>
      </c>
      <c r="C4391" s="68" t="s">
        <v>1399</v>
      </c>
      <c r="D4391" s="68" t="s">
        <v>1391</v>
      </c>
      <c r="E4391" s="8" t="s">
        <v>104</v>
      </c>
      <c r="F4391" s="8" t="s">
        <v>726</v>
      </c>
      <c r="G4391" s="13" t="s">
        <v>820</v>
      </c>
      <c r="H4391" s="14">
        <f>3966.2-230.317</f>
        <v>3735.8829999999998</v>
      </c>
      <c r="I4391" s="14">
        <v>0</v>
      </c>
      <c r="J4391" s="19">
        <v>0</v>
      </c>
      <c r="K4391" s="75" t="e">
        <f t="shared" si="1928"/>
        <v>#DIV/0!</v>
      </c>
      <c r="L4391" s="14"/>
      <c r="M4391" s="50">
        <v>111</v>
      </c>
      <c r="N4391" s="50"/>
    </row>
    <row r="4392" spans="1:14" hidden="1" x14ac:dyDescent="0.3">
      <c r="A4392" s="64" t="s">
        <v>713</v>
      </c>
      <c r="B4392" s="62" t="s">
        <v>928</v>
      </c>
      <c r="C4392" s="68" t="s">
        <v>1399</v>
      </c>
      <c r="D4392" s="68" t="s">
        <v>1391</v>
      </c>
      <c r="E4392" s="8" t="s">
        <v>104</v>
      </c>
      <c r="F4392" s="64" t="s">
        <v>223</v>
      </c>
      <c r="G4392" s="18" t="s">
        <v>829</v>
      </c>
      <c r="H4392" s="14">
        <f>6269.2-434.076</f>
        <v>5835.1239999999998</v>
      </c>
      <c r="I4392" s="14">
        <v>0</v>
      </c>
      <c r="J4392" s="19">
        <v>0</v>
      </c>
      <c r="K4392" s="75" t="e">
        <f t="shared" si="1928"/>
        <v>#DIV/0!</v>
      </c>
      <c r="L4392" s="14"/>
      <c r="M4392" s="50">
        <v>111</v>
      </c>
      <c r="N4392" s="50"/>
    </row>
    <row r="4393" spans="1:14" s="3" customFormat="1" x14ac:dyDescent="0.3">
      <c r="A4393" s="4" t="s">
        <v>713</v>
      </c>
      <c r="B4393" s="43" t="s">
        <v>1382</v>
      </c>
      <c r="C4393" s="43" t="s">
        <v>1382</v>
      </c>
      <c r="D4393" s="43" t="s">
        <v>915</v>
      </c>
      <c r="E4393" s="4"/>
      <c r="F4393" s="4"/>
      <c r="G4393" s="5" t="s">
        <v>1417</v>
      </c>
      <c r="H4393" s="15">
        <f t="shared" ref="H4393:L4393" si="1943">H4394+H4452+H4497+H4486</f>
        <v>326507.315</v>
      </c>
      <c r="I4393" s="15">
        <f t="shared" si="1943"/>
        <v>326852.33470999997</v>
      </c>
      <c r="J4393" s="15">
        <f t="shared" si="1943"/>
        <v>321609.57545</v>
      </c>
      <c r="K4393" s="81">
        <f t="shared" si="1928"/>
        <v>98.3959853722166</v>
      </c>
      <c r="L4393" s="15">
        <f t="shared" si="1943"/>
        <v>0</v>
      </c>
      <c r="M4393" s="65"/>
      <c r="N4393" s="65"/>
    </row>
    <row r="4394" spans="1:14" s="9" customFormat="1" x14ac:dyDescent="0.3">
      <c r="A4394" s="6" t="s">
        <v>713</v>
      </c>
      <c r="B4394" s="48" t="s">
        <v>933</v>
      </c>
      <c r="C4394" s="48" t="s">
        <v>1382</v>
      </c>
      <c r="D4394" s="48" t="s">
        <v>1372</v>
      </c>
      <c r="E4394" s="6"/>
      <c r="F4394" s="6"/>
      <c r="G4394" s="7" t="s">
        <v>1453</v>
      </c>
      <c r="H4394" s="16">
        <f>H4400+H4395</f>
        <v>178555.04399999999</v>
      </c>
      <c r="I4394" s="16">
        <f t="shared" ref="I4394:L4394" si="1944">I4400+I4395+I4446</f>
        <v>180018.64112000001</v>
      </c>
      <c r="J4394" s="16">
        <f t="shared" si="1944"/>
        <v>178894.77822000004</v>
      </c>
      <c r="K4394" s="82">
        <f t="shared" si="1928"/>
        <v>99.375696376215387</v>
      </c>
      <c r="L4394" s="16">
        <f t="shared" si="1944"/>
        <v>0</v>
      </c>
      <c r="M4394" s="65"/>
      <c r="N4394" s="65"/>
    </row>
    <row r="4395" spans="1:14" ht="31.2" x14ac:dyDescent="0.3">
      <c r="A4395" s="64" t="s">
        <v>713</v>
      </c>
      <c r="B4395" s="62" t="s">
        <v>933</v>
      </c>
      <c r="C4395" s="68" t="s">
        <v>1382</v>
      </c>
      <c r="D4395" s="68" t="s">
        <v>1372</v>
      </c>
      <c r="E4395" s="64" t="s">
        <v>406</v>
      </c>
      <c r="F4395" s="64"/>
      <c r="G4395" s="13" t="s">
        <v>848</v>
      </c>
      <c r="H4395" s="14">
        <f t="shared" ref="H4395:L4398" si="1945">H4396</f>
        <v>711.74199999999996</v>
      </c>
      <c r="I4395" s="14">
        <f t="shared" si="1945"/>
        <v>711.74199999999996</v>
      </c>
      <c r="J4395" s="14">
        <f t="shared" si="1945"/>
        <v>711.74159999999995</v>
      </c>
      <c r="K4395" s="78">
        <f t="shared" si="1928"/>
        <v>99.999943799860063</v>
      </c>
      <c r="L4395" s="14">
        <f t="shared" si="1945"/>
        <v>0</v>
      </c>
      <c r="M4395" s="50"/>
      <c r="N4395" s="50"/>
    </row>
    <row r="4396" spans="1:14" ht="31.2" x14ac:dyDescent="0.3">
      <c r="A4396" s="64" t="s">
        <v>713</v>
      </c>
      <c r="B4396" s="62" t="s">
        <v>933</v>
      </c>
      <c r="C4396" s="68" t="s">
        <v>1382</v>
      </c>
      <c r="D4396" s="68" t="s">
        <v>1372</v>
      </c>
      <c r="E4396" s="64" t="s">
        <v>408</v>
      </c>
      <c r="F4396" s="64"/>
      <c r="G4396" s="13" t="s">
        <v>850</v>
      </c>
      <c r="H4396" s="14">
        <f t="shared" si="1945"/>
        <v>711.74199999999996</v>
      </c>
      <c r="I4396" s="14">
        <f t="shared" si="1945"/>
        <v>711.74199999999996</v>
      </c>
      <c r="J4396" s="14">
        <f t="shared" si="1945"/>
        <v>711.74159999999995</v>
      </c>
      <c r="K4396" s="78">
        <f t="shared" si="1928"/>
        <v>99.999943799860063</v>
      </c>
      <c r="L4396" s="14">
        <f t="shared" si="1945"/>
        <v>0</v>
      </c>
      <c r="M4396" s="50"/>
      <c r="N4396" s="50"/>
    </row>
    <row r="4397" spans="1:14" ht="78" x14ac:dyDescent="0.3">
      <c r="A4397" s="64" t="s">
        <v>713</v>
      </c>
      <c r="B4397" s="62" t="s">
        <v>933</v>
      </c>
      <c r="C4397" s="68" t="s">
        <v>1382</v>
      </c>
      <c r="D4397" s="68" t="s">
        <v>1372</v>
      </c>
      <c r="E4397" s="64" t="s">
        <v>409</v>
      </c>
      <c r="F4397" s="64"/>
      <c r="G4397" s="18" t="s">
        <v>1203</v>
      </c>
      <c r="H4397" s="14">
        <f t="shared" si="1945"/>
        <v>711.74199999999996</v>
      </c>
      <c r="I4397" s="14">
        <f t="shared" si="1945"/>
        <v>711.74199999999996</v>
      </c>
      <c r="J4397" s="14">
        <f t="shared" si="1945"/>
        <v>711.74159999999995</v>
      </c>
      <c r="K4397" s="78">
        <f t="shared" si="1928"/>
        <v>99.999943799860063</v>
      </c>
      <c r="L4397" s="14">
        <f t="shared" si="1945"/>
        <v>0</v>
      </c>
      <c r="M4397" s="50"/>
      <c r="N4397" s="50"/>
    </row>
    <row r="4398" spans="1:14" ht="31.2" x14ac:dyDescent="0.3">
      <c r="A4398" s="64" t="s">
        <v>713</v>
      </c>
      <c r="B4398" s="62" t="s">
        <v>933</v>
      </c>
      <c r="C4398" s="68" t="s">
        <v>1382</v>
      </c>
      <c r="D4398" s="68" t="s">
        <v>1372</v>
      </c>
      <c r="E4398" s="64" t="s">
        <v>409</v>
      </c>
      <c r="F4398" s="45" t="s">
        <v>402</v>
      </c>
      <c r="G4398" s="23" t="s">
        <v>819</v>
      </c>
      <c r="H4398" s="14">
        <f t="shared" si="1945"/>
        <v>711.74199999999996</v>
      </c>
      <c r="I4398" s="14">
        <f t="shared" si="1945"/>
        <v>711.74199999999996</v>
      </c>
      <c r="J4398" s="14">
        <f t="shared" si="1945"/>
        <v>711.74159999999995</v>
      </c>
      <c r="K4398" s="78">
        <f t="shared" si="1928"/>
        <v>99.999943799860063</v>
      </c>
      <c r="L4398" s="14">
        <f t="shared" si="1945"/>
        <v>0</v>
      </c>
      <c r="M4398" s="50"/>
      <c r="N4398" s="50"/>
    </row>
    <row r="4399" spans="1:14" x14ac:dyDescent="0.3">
      <c r="A4399" s="64" t="s">
        <v>713</v>
      </c>
      <c r="B4399" s="62" t="s">
        <v>933</v>
      </c>
      <c r="C4399" s="68" t="s">
        <v>1382</v>
      </c>
      <c r="D4399" s="68" t="s">
        <v>1372</v>
      </c>
      <c r="E4399" s="64" t="s">
        <v>409</v>
      </c>
      <c r="F4399" s="64" t="s">
        <v>223</v>
      </c>
      <c r="G4399" s="18" t="s">
        <v>829</v>
      </c>
      <c r="H4399" s="14">
        <f>886.5-174.758</f>
        <v>711.74199999999996</v>
      </c>
      <c r="I4399" s="14">
        <v>711.74199999999996</v>
      </c>
      <c r="J4399" s="14">
        <v>711.74159999999995</v>
      </c>
      <c r="K4399" s="78">
        <f t="shared" si="1928"/>
        <v>99.999943799860063</v>
      </c>
      <c r="L4399" s="14"/>
      <c r="M4399" s="50"/>
      <c r="N4399" s="50"/>
    </row>
    <row r="4400" spans="1:14" ht="31.2" x14ac:dyDescent="0.3">
      <c r="A4400" s="64" t="s">
        <v>713</v>
      </c>
      <c r="B4400" s="62" t="s">
        <v>933</v>
      </c>
      <c r="C4400" s="68" t="s">
        <v>1382</v>
      </c>
      <c r="D4400" s="68" t="s">
        <v>1372</v>
      </c>
      <c r="E4400" s="8" t="s">
        <v>446</v>
      </c>
      <c r="F4400" s="8"/>
      <c r="G4400" s="23" t="s">
        <v>864</v>
      </c>
      <c r="H4400" s="14">
        <f t="shared" ref="H4400:L4400" si="1946">H4401+H4434</f>
        <v>177843.302</v>
      </c>
      <c r="I4400" s="14">
        <f t="shared" si="1946"/>
        <v>178896.94912</v>
      </c>
      <c r="J4400" s="14">
        <f t="shared" si="1946"/>
        <v>177773.08662000002</v>
      </c>
      <c r="K4400" s="78">
        <f t="shared" si="1928"/>
        <v>99.371782187718509</v>
      </c>
      <c r="L4400" s="14">
        <f t="shared" si="1946"/>
        <v>0</v>
      </c>
      <c r="M4400" s="50"/>
      <c r="N4400" s="50"/>
    </row>
    <row r="4401" spans="1:14" ht="31.2" x14ac:dyDescent="0.3">
      <c r="A4401" s="64" t="s">
        <v>713</v>
      </c>
      <c r="B4401" s="62" t="s">
        <v>933</v>
      </c>
      <c r="C4401" s="68" t="s">
        <v>1382</v>
      </c>
      <c r="D4401" s="68" t="s">
        <v>1372</v>
      </c>
      <c r="E4401" s="8" t="s">
        <v>447</v>
      </c>
      <c r="F4401" s="8"/>
      <c r="G4401" s="23" t="s">
        <v>865</v>
      </c>
      <c r="H4401" s="14">
        <f t="shared" ref="H4401:L4401" si="1947">H4407+H4413+H4427+H4402+H4422</f>
        <v>82356.429000000004</v>
      </c>
      <c r="I4401" s="14">
        <f t="shared" si="1947"/>
        <v>83258.179120000001</v>
      </c>
      <c r="J4401" s="14">
        <f t="shared" si="1947"/>
        <v>82134.316619999998</v>
      </c>
      <c r="K4401" s="78">
        <f t="shared" si="1928"/>
        <v>98.650147634888611</v>
      </c>
      <c r="L4401" s="14">
        <f t="shared" si="1947"/>
        <v>0</v>
      </c>
      <c r="M4401" s="50"/>
      <c r="N4401" s="50"/>
    </row>
    <row r="4402" spans="1:14" ht="62.4" x14ac:dyDescent="0.3">
      <c r="A4402" s="64" t="s">
        <v>713</v>
      </c>
      <c r="B4402" s="62" t="s">
        <v>933</v>
      </c>
      <c r="C4402" s="68" t="s">
        <v>1382</v>
      </c>
      <c r="D4402" s="68" t="s">
        <v>1372</v>
      </c>
      <c r="E4402" s="8" t="s">
        <v>532</v>
      </c>
      <c r="F4402" s="8"/>
      <c r="G4402" s="23" t="s">
        <v>866</v>
      </c>
      <c r="H4402" s="14">
        <f>H4403</f>
        <v>1246.2829999999999</v>
      </c>
      <c r="I4402" s="14">
        <f>I4403</f>
        <v>1246.28271</v>
      </c>
      <c r="J4402" s="14">
        <f t="shared" ref="J4402" si="1948">J4403</f>
        <v>1246.28271</v>
      </c>
      <c r="K4402" s="78">
        <f t="shared" si="1928"/>
        <v>100</v>
      </c>
      <c r="L4402" s="14">
        <f>L4403</f>
        <v>0</v>
      </c>
      <c r="M4402" s="50"/>
      <c r="N4402" s="50"/>
    </row>
    <row r="4403" spans="1:14" ht="46.8" x14ac:dyDescent="0.3">
      <c r="A4403" s="64" t="s">
        <v>713</v>
      </c>
      <c r="B4403" s="62" t="s">
        <v>933</v>
      </c>
      <c r="C4403" s="68" t="s">
        <v>1382</v>
      </c>
      <c r="D4403" s="68" t="s">
        <v>1372</v>
      </c>
      <c r="E4403" s="8" t="s">
        <v>1255</v>
      </c>
      <c r="F4403" s="8"/>
      <c r="G4403" s="18" t="s">
        <v>1303</v>
      </c>
      <c r="H4403" s="14">
        <f t="shared" ref="H4403:L4403" si="1949">H4404</f>
        <v>1246.2829999999999</v>
      </c>
      <c r="I4403" s="14">
        <f t="shared" si="1949"/>
        <v>1246.28271</v>
      </c>
      <c r="J4403" s="14">
        <f t="shared" si="1949"/>
        <v>1246.28271</v>
      </c>
      <c r="K4403" s="78">
        <f t="shared" si="1928"/>
        <v>100</v>
      </c>
      <c r="L4403" s="14">
        <f t="shared" si="1949"/>
        <v>0</v>
      </c>
      <c r="M4403" s="50"/>
      <c r="N4403" s="50"/>
    </row>
    <row r="4404" spans="1:14" ht="31.2" x14ac:dyDescent="0.3">
      <c r="A4404" s="64" t="s">
        <v>713</v>
      </c>
      <c r="B4404" s="62" t="s">
        <v>933</v>
      </c>
      <c r="C4404" s="68" t="s">
        <v>1382</v>
      </c>
      <c r="D4404" s="68" t="s">
        <v>1372</v>
      </c>
      <c r="E4404" s="8" t="s">
        <v>1255</v>
      </c>
      <c r="F4404" s="45" t="s">
        <v>478</v>
      </c>
      <c r="G4404" s="23" t="s">
        <v>817</v>
      </c>
      <c r="H4404" s="14">
        <f>H4405+H4406</f>
        <v>1246.2829999999999</v>
      </c>
      <c r="I4404" s="14">
        <f t="shared" ref="I4404:L4404" si="1950">I4405+I4406</f>
        <v>1246.28271</v>
      </c>
      <c r="J4404" s="14">
        <f t="shared" si="1950"/>
        <v>1246.28271</v>
      </c>
      <c r="K4404" s="78">
        <f t="shared" si="1928"/>
        <v>100</v>
      </c>
      <c r="L4404" s="14">
        <f t="shared" si="1950"/>
        <v>0</v>
      </c>
      <c r="M4404" s="50"/>
      <c r="N4404" s="50"/>
    </row>
    <row r="4405" spans="1:14" hidden="1" x14ac:dyDescent="0.3">
      <c r="A4405" s="64" t="s">
        <v>713</v>
      </c>
      <c r="B4405" s="62" t="s">
        <v>933</v>
      </c>
      <c r="C4405" s="68" t="s">
        <v>1382</v>
      </c>
      <c r="D4405" s="68" t="s">
        <v>1372</v>
      </c>
      <c r="E4405" s="8" t="s">
        <v>1255</v>
      </c>
      <c r="F4405" s="45" t="s">
        <v>1273</v>
      </c>
      <c r="G4405" s="23" t="s">
        <v>818</v>
      </c>
      <c r="H4405" s="14">
        <v>1246.2829999999999</v>
      </c>
      <c r="I4405" s="14">
        <v>0</v>
      </c>
      <c r="J4405" s="14">
        <v>0</v>
      </c>
      <c r="K4405" s="78" t="e">
        <f t="shared" si="1928"/>
        <v>#DIV/0!</v>
      </c>
      <c r="L4405" s="14"/>
      <c r="M4405" s="50">
        <v>111</v>
      </c>
      <c r="N4405" s="50"/>
    </row>
    <row r="4406" spans="1:14" ht="109.2" x14ac:dyDescent="0.3">
      <c r="A4406" s="64" t="s">
        <v>713</v>
      </c>
      <c r="B4406" s="62" t="s">
        <v>933</v>
      </c>
      <c r="C4406" s="68" t="s">
        <v>1382</v>
      </c>
      <c r="D4406" s="68" t="s">
        <v>1372</v>
      </c>
      <c r="E4406" s="8" t="s">
        <v>1255</v>
      </c>
      <c r="F4406" s="45" t="s">
        <v>725</v>
      </c>
      <c r="G4406" s="60" t="s">
        <v>828</v>
      </c>
      <c r="H4406" s="20">
        <v>0</v>
      </c>
      <c r="I4406" s="14">
        <v>1246.28271</v>
      </c>
      <c r="J4406" s="14">
        <v>1246.28271</v>
      </c>
      <c r="K4406" s="78">
        <f t="shared" si="1928"/>
        <v>100</v>
      </c>
      <c r="L4406" s="14"/>
      <c r="M4406" s="50"/>
      <c r="N4406" s="50"/>
    </row>
    <row r="4407" spans="1:14" ht="62.4" x14ac:dyDescent="0.3">
      <c r="A4407" s="64" t="s">
        <v>713</v>
      </c>
      <c r="B4407" s="62" t="s">
        <v>933</v>
      </c>
      <c r="C4407" s="68" t="s">
        <v>1382</v>
      </c>
      <c r="D4407" s="68" t="s">
        <v>1372</v>
      </c>
      <c r="E4407" s="8" t="s">
        <v>663</v>
      </c>
      <c r="F4407" s="8"/>
      <c r="G4407" s="13" t="s">
        <v>1168</v>
      </c>
      <c r="H4407" s="14">
        <f>H4408</f>
        <v>940.35300000000007</v>
      </c>
      <c r="I4407" s="14">
        <f t="shared" ref="I4407:L4407" si="1951">I4408</f>
        <v>1842.1034099999999</v>
      </c>
      <c r="J4407" s="14">
        <f t="shared" si="1951"/>
        <v>1842.1034099999999</v>
      </c>
      <c r="K4407" s="78">
        <f t="shared" si="1928"/>
        <v>100</v>
      </c>
      <c r="L4407" s="14">
        <f t="shared" si="1951"/>
        <v>0</v>
      </c>
      <c r="M4407" s="50"/>
      <c r="N4407" s="50"/>
    </row>
    <row r="4408" spans="1:14" ht="46.8" x14ac:dyDescent="0.3">
      <c r="A4408" s="64" t="s">
        <v>713</v>
      </c>
      <c r="B4408" s="62" t="s">
        <v>933</v>
      </c>
      <c r="C4408" s="68" t="s">
        <v>1382</v>
      </c>
      <c r="D4408" s="68" t="s">
        <v>1372</v>
      </c>
      <c r="E4408" s="8" t="s">
        <v>664</v>
      </c>
      <c r="F4408" s="8"/>
      <c r="G4408" s="13" t="s">
        <v>1298</v>
      </c>
      <c r="H4408" s="14">
        <f>H4411+H4409</f>
        <v>940.35300000000007</v>
      </c>
      <c r="I4408" s="14">
        <f>I4411+I4409</f>
        <v>1842.1034099999999</v>
      </c>
      <c r="J4408" s="14">
        <f t="shared" ref="J4408" si="1952">J4411+J4409</f>
        <v>1842.1034099999999</v>
      </c>
      <c r="K4408" s="78">
        <f t="shared" si="1928"/>
        <v>100</v>
      </c>
      <c r="L4408" s="14">
        <f>L4411+L4409</f>
        <v>0</v>
      </c>
      <c r="M4408" s="50"/>
      <c r="N4408" s="50"/>
    </row>
    <row r="4409" spans="1:14" ht="31.2" x14ac:dyDescent="0.3">
      <c r="A4409" s="64" t="s">
        <v>713</v>
      </c>
      <c r="B4409" s="62" t="s">
        <v>933</v>
      </c>
      <c r="C4409" s="68" t="s">
        <v>1382</v>
      </c>
      <c r="D4409" s="68" t="s">
        <v>1372</v>
      </c>
      <c r="E4409" s="8" t="s">
        <v>664</v>
      </c>
      <c r="F4409" s="38" t="s">
        <v>380</v>
      </c>
      <c r="G4409" s="23" t="s">
        <v>809</v>
      </c>
      <c r="H4409" s="14">
        <f t="shared" ref="H4409:L4409" si="1953">H4410</f>
        <v>709.44600000000003</v>
      </c>
      <c r="I4409" s="14">
        <f t="shared" si="1953"/>
        <v>528.23523999999998</v>
      </c>
      <c r="J4409" s="14">
        <f t="shared" si="1953"/>
        <v>528.23523999999998</v>
      </c>
      <c r="K4409" s="78">
        <f t="shared" si="1928"/>
        <v>100</v>
      </c>
      <c r="L4409" s="14">
        <f t="shared" si="1953"/>
        <v>0</v>
      </c>
      <c r="M4409" s="50"/>
      <c r="N4409" s="50"/>
    </row>
    <row r="4410" spans="1:14" ht="31.2" x14ac:dyDescent="0.3">
      <c r="A4410" s="64" t="s">
        <v>713</v>
      </c>
      <c r="B4410" s="62" t="s">
        <v>933</v>
      </c>
      <c r="C4410" s="68" t="s">
        <v>1382</v>
      </c>
      <c r="D4410" s="68" t="s">
        <v>1372</v>
      </c>
      <c r="E4410" s="8" t="s">
        <v>664</v>
      </c>
      <c r="F4410" s="38" t="s">
        <v>247</v>
      </c>
      <c r="G4410" s="23" t="s">
        <v>810</v>
      </c>
      <c r="H4410" s="14">
        <v>709.44600000000003</v>
      </c>
      <c r="I4410" s="14">
        <v>528.23523999999998</v>
      </c>
      <c r="J4410" s="19">
        <v>528.23523999999998</v>
      </c>
      <c r="K4410" s="75">
        <f t="shared" si="1928"/>
        <v>100</v>
      </c>
      <c r="L4410" s="14"/>
      <c r="M4410" s="50"/>
      <c r="N4410" s="50"/>
    </row>
    <row r="4411" spans="1:14" ht="31.2" x14ac:dyDescent="0.3">
      <c r="A4411" s="64" t="s">
        <v>713</v>
      </c>
      <c r="B4411" s="62" t="s">
        <v>933</v>
      </c>
      <c r="C4411" s="68" t="s">
        <v>1382</v>
      </c>
      <c r="D4411" s="68" t="s">
        <v>1372</v>
      </c>
      <c r="E4411" s="8" t="s">
        <v>664</v>
      </c>
      <c r="F4411" s="45" t="s">
        <v>402</v>
      </c>
      <c r="G4411" s="23" t="s">
        <v>819</v>
      </c>
      <c r="H4411" s="14">
        <f t="shared" ref="H4411:L4411" si="1954">H4412</f>
        <v>230.90700000000001</v>
      </c>
      <c r="I4411" s="14">
        <f t="shared" si="1954"/>
        <v>1313.86817</v>
      </c>
      <c r="J4411" s="14">
        <f t="shared" si="1954"/>
        <v>1313.86817</v>
      </c>
      <c r="K4411" s="78">
        <f t="shared" si="1928"/>
        <v>100</v>
      </c>
      <c r="L4411" s="14">
        <f t="shared" si="1954"/>
        <v>0</v>
      </c>
      <c r="M4411" s="50"/>
      <c r="N4411" s="50"/>
    </row>
    <row r="4412" spans="1:14" x14ac:dyDescent="0.3">
      <c r="A4412" s="64" t="s">
        <v>713</v>
      </c>
      <c r="B4412" s="62" t="s">
        <v>933</v>
      </c>
      <c r="C4412" s="68" t="s">
        <v>1382</v>
      </c>
      <c r="D4412" s="68" t="s">
        <v>1372</v>
      </c>
      <c r="E4412" s="8" t="s">
        <v>664</v>
      </c>
      <c r="F4412" s="64" t="s">
        <v>223</v>
      </c>
      <c r="G4412" s="18" t="s">
        <v>829</v>
      </c>
      <c r="H4412" s="14">
        <f>230.907</f>
        <v>230.90700000000001</v>
      </c>
      <c r="I4412" s="14">
        <v>1313.86817</v>
      </c>
      <c r="J4412" s="19">
        <v>1313.86817</v>
      </c>
      <c r="K4412" s="75">
        <f t="shared" si="1928"/>
        <v>100</v>
      </c>
      <c r="L4412" s="14"/>
      <c r="M4412" s="50"/>
      <c r="N4412" s="50"/>
    </row>
    <row r="4413" spans="1:14" ht="46.8" x14ac:dyDescent="0.3">
      <c r="A4413" s="64" t="s">
        <v>713</v>
      </c>
      <c r="B4413" s="62" t="s">
        <v>933</v>
      </c>
      <c r="C4413" s="68" t="s">
        <v>1382</v>
      </c>
      <c r="D4413" s="68" t="s">
        <v>1372</v>
      </c>
      <c r="E4413" s="8" t="s">
        <v>670</v>
      </c>
      <c r="F4413" s="8"/>
      <c r="G4413" s="13" t="s">
        <v>1299</v>
      </c>
      <c r="H4413" s="14">
        <f>H4414+H4417</f>
        <v>7705.3729999999987</v>
      </c>
      <c r="I4413" s="14">
        <f t="shared" ref="I4413:L4413" si="1955">I4414+I4417</f>
        <v>7705.3729999999996</v>
      </c>
      <c r="J4413" s="14">
        <f t="shared" si="1955"/>
        <v>6582.3609099999994</v>
      </c>
      <c r="K4413" s="78">
        <f t="shared" si="1928"/>
        <v>85.425597307229637</v>
      </c>
      <c r="L4413" s="14">
        <f t="shared" si="1955"/>
        <v>0</v>
      </c>
      <c r="M4413" s="50"/>
      <c r="N4413" s="50"/>
    </row>
    <row r="4414" spans="1:14" ht="78" x14ac:dyDescent="0.3">
      <c r="A4414" s="64" t="s">
        <v>713</v>
      </c>
      <c r="B4414" s="62" t="s">
        <v>933</v>
      </c>
      <c r="C4414" s="68" t="s">
        <v>1382</v>
      </c>
      <c r="D4414" s="68" t="s">
        <v>1372</v>
      </c>
      <c r="E4414" s="8" t="s">
        <v>671</v>
      </c>
      <c r="F4414" s="8"/>
      <c r="G4414" s="13" t="s">
        <v>706</v>
      </c>
      <c r="H4414" s="14">
        <f t="shared" ref="H4414:L4415" si="1956">H4415</f>
        <v>5330.6729999999989</v>
      </c>
      <c r="I4414" s="14">
        <f t="shared" si="1956"/>
        <v>5330.6729999999998</v>
      </c>
      <c r="J4414" s="14">
        <f t="shared" si="1956"/>
        <v>4226.1159699999998</v>
      </c>
      <c r="K4414" s="78">
        <f t="shared" si="1928"/>
        <v>79.279219903378049</v>
      </c>
      <c r="L4414" s="14">
        <f t="shared" si="1956"/>
        <v>0</v>
      </c>
      <c r="M4414" s="50"/>
      <c r="N4414" s="50"/>
    </row>
    <row r="4415" spans="1:14" x14ac:dyDescent="0.3">
      <c r="A4415" s="64" t="s">
        <v>713</v>
      </c>
      <c r="B4415" s="62" t="s">
        <v>933</v>
      </c>
      <c r="C4415" s="68" t="s">
        <v>1382</v>
      </c>
      <c r="D4415" s="68" t="s">
        <v>1372</v>
      </c>
      <c r="E4415" s="8" t="s">
        <v>671</v>
      </c>
      <c r="F4415" s="45" t="s">
        <v>464</v>
      </c>
      <c r="G4415" s="23" t="s">
        <v>822</v>
      </c>
      <c r="H4415" s="14">
        <f t="shared" si="1956"/>
        <v>5330.6729999999989</v>
      </c>
      <c r="I4415" s="14">
        <f t="shared" si="1956"/>
        <v>5330.6729999999998</v>
      </c>
      <c r="J4415" s="14">
        <f t="shared" si="1956"/>
        <v>4226.1159699999998</v>
      </c>
      <c r="K4415" s="78">
        <f t="shared" si="1928"/>
        <v>79.279219903378049</v>
      </c>
      <c r="L4415" s="14">
        <f t="shared" si="1956"/>
        <v>0</v>
      </c>
      <c r="M4415" s="50"/>
      <c r="N4415" s="50"/>
    </row>
    <row r="4416" spans="1:14" ht="62.4" x14ac:dyDescent="0.3">
      <c r="A4416" s="64" t="s">
        <v>713</v>
      </c>
      <c r="B4416" s="62" t="s">
        <v>933</v>
      </c>
      <c r="C4416" s="68" t="s">
        <v>1382</v>
      </c>
      <c r="D4416" s="68" t="s">
        <v>1372</v>
      </c>
      <c r="E4416" s="8" t="s">
        <v>671</v>
      </c>
      <c r="F4416" s="45" t="s">
        <v>727</v>
      </c>
      <c r="G4416" s="18" t="s">
        <v>830</v>
      </c>
      <c r="H4416" s="14">
        <f>8945.3-2615.439-999.188</f>
        <v>5330.6729999999989</v>
      </c>
      <c r="I4416" s="14">
        <v>5330.6729999999998</v>
      </c>
      <c r="J4416" s="14">
        <v>4226.1159699999998</v>
      </c>
      <c r="K4416" s="78">
        <f t="shared" si="1928"/>
        <v>79.279219903378049</v>
      </c>
      <c r="L4416" s="14"/>
      <c r="M4416" s="50"/>
      <c r="N4416" s="50"/>
    </row>
    <row r="4417" spans="1:14" ht="62.4" x14ac:dyDescent="0.3">
      <c r="A4417" s="64" t="s">
        <v>713</v>
      </c>
      <c r="B4417" s="62" t="s">
        <v>933</v>
      </c>
      <c r="C4417" s="68" t="s">
        <v>1382</v>
      </c>
      <c r="D4417" s="68" t="s">
        <v>1372</v>
      </c>
      <c r="E4417" s="8" t="s">
        <v>35</v>
      </c>
      <c r="F4417" s="45"/>
      <c r="G4417" s="18" t="s">
        <v>1466</v>
      </c>
      <c r="H4417" s="14">
        <f>H4420</f>
        <v>2374.6999999999998</v>
      </c>
      <c r="I4417" s="14">
        <f>I4420+I4418</f>
        <v>2374.6999999999998</v>
      </c>
      <c r="J4417" s="14">
        <f t="shared" ref="J4417:L4417" si="1957">J4420+J4418</f>
        <v>2356.24494</v>
      </c>
      <c r="K4417" s="78">
        <f t="shared" si="1928"/>
        <v>99.222846675369524</v>
      </c>
      <c r="L4417" s="14">
        <f t="shared" si="1957"/>
        <v>0</v>
      </c>
      <c r="M4417" s="50"/>
      <c r="N4417" s="50"/>
    </row>
    <row r="4418" spans="1:14" ht="31.2" x14ac:dyDescent="0.3">
      <c r="A4418" s="64" t="s">
        <v>713</v>
      </c>
      <c r="B4418" s="62" t="s">
        <v>933</v>
      </c>
      <c r="C4418" s="68" t="s">
        <v>1382</v>
      </c>
      <c r="D4418" s="68" t="s">
        <v>1372</v>
      </c>
      <c r="E4418" s="8" t="s">
        <v>35</v>
      </c>
      <c r="F4418" s="45" t="s">
        <v>402</v>
      </c>
      <c r="G4418" s="23" t="s">
        <v>819</v>
      </c>
      <c r="H4418" s="19">
        <v>0</v>
      </c>
      <c r="I4418" s="14">
        <f>I4419</f>
        <v>2374.6999999999998</v>
      </c>
      <c r="J4418" s="14">
        <f t="shared" ref="J4418:L4418" si="1958">J4419</f>
        <v>2356.24494</v>
      </c>
      <c r="K4418" s="78">
        <f t="shared" si="1928"/>
        <v>99.222846675369524</v>
      </c>
      <c r="L4418" s="14">
        <f t="shared" si="1958"/>
        <v>0</v>
      </c>
      <c r="M4418" s="50"/>
      <c r="N4418" s="50"/>
    </row>
    <row r="4419" spans="1:14" ht="46.8" x14ac:dyDescent="0.3">
      <c r="A4419" s="64" t="s">
        <v>713</v>
      </c>
      <c r="B4419" s="62" t="s">
        <v>933</v>
      </c>
      <c r="C4419" s="68" t="s">
        <v>1382</v>
      </c>
      <c r="D4419" s="68" t="s">
        <v>1372</v>
      </c>
      <c r="E4419" s="8" t="s">
        <v>35</v>
      </c>
      <c r="F4419" s="45" t="s">
        <v>280</v>
      </c>
      <c r="G4419" s="23" t="s">
        <v>821</v>
      </c>
      <c r="H4419" s="19">
        <v>0</v>
      </c>
      <c r="I4419" s="14">
        <v>2374.6999999999998</v>
      </c>
      <c r="J4419" s="14">
        <v>2356.24494</v>
      </c>
      <c r="K4419" s="78">
        <f t="shared" si="1928"/>
        <v>99.222846675369524</v>
      </c>
      <c r="L4419" s="14"/>
      <c r="M4419" s="50"/>
      <c r="N4419" s="50"/>
    </row>
    <row r="4420" spans="1:14" hidden="1" x14ac:dyDescent="0.3">
      <c r="A4420" s="64" t="s">
        <v>713</v>
      </c>
      <c r="B4420" s="62" t="s">
        <v>933</v>
      </c>
      <c r="C4420" s="68" t="s">
        <v>1382</v>
      </c>
      <c r="D4420" s="68" t="s">
        <v>1372</v>
      </c>
      <c r="E4420" s="8" t="s">
        <v>35</v>
      </c>
      <c r="F4420" s="45" t="s">
        <v>464</v>
      </c>
      <c r="G4420" s="23" t="s">
        <v>822</v>
      </c>
      <c r="H4420" s="14">
        <f>H4421</f>
        <v>2374.6999999999998</v>
      </c>
      <c r="I4420" s="14">
        <f t="shared" ref="I4420:L4420" si="1959">I4421</f>
        <v>0</v>
      </c>
      <c r="J4420" s="14">
        <f t="shared" si="1959"/>
        <v>0</v>
      </c>
      <c r="K4420" s="78" t="e">
        <f t="shared" si="1928"/>
        <v>#DIV/0!</v>
      </c>
      <c r="L4420" s="14">
        <f t="shared" si="1959"/>
        <v>0</v>
      </c>
      <c r="M4420" s="50">
        <v>111</v>
      </c>
      <c r="N4420" s="50"/>
    </row>
    <row r="4421" spans="1:14" ht="62.4" hidden="1" x14ac:dyDescent="0.3">
      <c r="A4421" s="64" t="s">
        <v>713</v>
      </c>
      <c r="B4421" s="62" t="s">
        <v>933</v>
      </c>
      <c r="C4421" s="68" t="s">
        <v>1382</v>
      </c>
      <c r="D4421" s="68" t="s">
        <v>1372</v>
      </c>
      <c r="E4421" s="8" t="s">
        <v>35</v>
      </c>
      <c r="F4421" s="45" t="s">
        <v>727</v>
      </c>
      <c r="G4421" s="18" t="s">
        <v>830</v>
      </c>
      <c r="H4421" s="14">
        <v>2374.6999999999998</v>
      </c>
      <c r="I4421" s="14">
        <v>0</v>
      </c>
      <c r="J4421" s="20">
        <v>0</v>
      </c>
      <c r="K4421" s="77" t="e">
        <f t="shared" si="1928"/>
        <v>#DIV/0!</v>
      </c>
      <c r="L4421" s="14"/>
      <c r="M4421" s="50">
        <v>111</v>
      </c>
      <c r="N4421" s="50"/>
    </row>
    <row r="4422" spans="1:14" ht="62.4" x14ac:dyDescent="0.3">
      <c r="A4422" s="64" t="s">
        <v>713</v>
      </c>
      <c r="B4422" s="62" t="s">
        <v>933</v>
      </c>
      <c r="C4422" s="68" t="s">
        <v>1382</v>
      </c>
      <c r="D4422" s="68" t="s">
        <v>1372</v>
      </c>
      <c r="E4422" s="8" t="s">
        <v>479</v>
      </c>
      <c r="F4422" s="45"/>
      <c r="G4422" s="18" t="s">
        <v>1206</v>
      </c>
      <c r="H4422" s="14">
        <f t="shared" ref="H4422:L4422" si="1960">H4423</f>
        <v>50982.254000000001</v>
      </c>
      <c r="I4422" s="14">
        <f t="shared" si="1960"/>
        <v>50982.254000000001</v>
      </c>
      <c r="J4422" s="14">
        <f t="shared" si="1960"/>
        <v>50982.252850000004</v>
      </c>
      <c r="K4422" s="78">
        <f t="shared" si="1928"/>
        <v>99.999997744313148</v>
      </c>
      <c r="L4422" s="14">
        <f t="shared" si="1960"/>
        <v>0</v>
      </c>
      <c r="M4422" s="50"/>
      <c r="N4422" s="50"/>
    </row>
    <row r="4423" spans="1:14" ht="62.4" x14ac:dyDescent="0.3">
      <c r="A4423" s="64" t="s">
        <v>713</v>
      </c>
      <c r="B4423" s="62" t="s">
        <v>933</v>
      </c>
      <c r="C4423" s="68" t="s">
        <v>1382</v>
      </c>
      <c r="D4423" s="68" t="s">
        <v>1372</v>
      </c>
      <c r="E4423" s="8" t="s">
        <v>480</v>
      </c>
      <c r="F4423" s="45"/>
      <c r="G4423" s="23" t="s">
        <v>1291</v>
      </c>
      <c r="H4423" s="14">
        <f t="shared" ref="H4423:L4423" si="1961">H4424</f>
        <v>50982.254000000001</v>
      </c>
      <c r="I4423" s="14">
        <f t="shared" si="1961"/>
        <v>50982.254000000001</v>
      </c>
      <c r="J4423" s="14">
        <f t="shared" si="1961"/>
        <v>50982.252850000004</v>
      </c>
      <c r="K4423" s="78">
        <f t="shared" si="1928"/>
        <v>99.999997744313148</v>
      </c>
      <c r="L4423" s="14">
        <f t="shared" si="1961"/>
        <v>0</v>
      </c>
      <c r="M4423" s="50"/>
      <c r="N4423" s="50"/>
    </row>
    <row r="4424" spans="1:14" ht="31.2" x14ac:dyDescent="0.3">
      <c r="A4424" s="64" t="s">
        <v>713</v>
      </c>
      <c r="B4424" s="62" t="s">
        <v>933</v>
      </c>
      <c r="C4424" s="68" t="s">
        <v>1382</v>
      </c>
      <c r="D4424" s="68" t="s">
        <v>1372</v>
      </c>
      <c r="E4424" s="8" t="s">
        <v>480</v>
      </c>
      <c r="F4424" s="45" t="s">
        <v>402</v>
      </c>
      <c r="G4424" s="23" t="s">
        <v>819</v>
      </c>
      <c r="H4424" s="14">
        <f>H4425+H4426</f>
        <v>50982.254000000001</v>
      </c>
      <c r="I4424" s="14">
        <f>I4425+I4426</f>
        <v>50982.254000000001</v>
      </c>
      <c r="J4424" s="14">
        <f t="shared" ref="J4424" si="1962">J4425+J4426</f>
        <v>50982.252850000004</v>
      </c>
      <c r="K4424" s="78">
        <f t="shared" ref="K4424:K4487" si="1963">J4424/I4424*100</f>
        <v>99.999997744313148</v>
      </c>
      <c r="L4424" s="14">
        <f>L4425+L4426</f>
        <v>0</v>
      </c>
      <c r="M4424" s="50"/>
      <c r="N4424" s="50"/>
    </row>
    <row r="4425" spans="1:14" x14ac:dyDescent="0.3">
      <c r="A4425" s="64" t="s">
        <v>713</v>
      </c>
      <c r="B4425" s="62" t="s">
        <v>933</v>
      </c>
      <c r="C4425" s="68" t="s">
        <v>1382</v>
      </c>
      <c r="D4425" s="68" t="s">
        <v>1372</v>
      </c>
      <c r="E4425" s="8" t="s">
        <v>480</v>
      </c>
      <c r="F4425" s="8" t="s">
        <v>726</v>
      </c>
      <c r="G4425" s="13" t="s">
        <v>820</v>
      </c>
      <c r="H4425" s="14">
        <v>22204.502</v>
      </c>
      <c r="I4425" s="14">
        <v>21976.67</v>
      </c>
      <c r="J4425" s="14">
        <v>21976.669669999999</v>
      </c>
      <c r="K4425" s="78">
        <f t="shared" si="1963"/>
        <v>99.999998498407635</v>
      </c>
      <c r="L4425" s="14"/>
      <c r="M4425" s="50"/>
      <c r="N4425" s="50"/>
    </row>
    <row r="4426" spans="1:14" x14ac:dyDescent="0.3">
      <c r="A4426" s="64" t="s">
        <v>713</v>
      </c>
      <c r="B4426" s="62" t="s">
        <v>933</v>
      </c>
      <c r="C4426" s="68" t="s">
        <v>1382</v>
      </c>
      <c r="D4426" s="68" t="s">
        <v>1372</v>
      </c>
      <c r="E4426" s="8" t="s">
        <v>480</v>
      </c>
      <c r="F4426" s="64" t="s">
        <v>223</v>
      </c>
      <c r="G4426" s="18" t="s">
        <v>829</v>
      </c>
      <c r="H4426" s="14">
        <v>28777.752</v>
      </c>
      <c r="I4426" s="14">
        <v>29005.583999999999</v>
      </c>
      <c r="J4426" s="14">
        <v>29005.583180000001</v>
      </c>
      <c r="K4426" s="78">
        <f t="shared" si="1963"/>
        <v>99.99999717295816</v>
      </c>
      <c r="L4426" s="14"/>
      <c r="M4426" s="50"/>
      <c r="N4426" s="50"/>
    </row>
    <row r="4427" spans="1:14" ht="46.8" x14ac:dyDescent="0.3">
      <c r="A4427" s="64" t="s">
        <v>713</v>
      </c>
      <c r="B4427" s="62" t="s">
        <v>933</v>
      </c>
      <c r="C4427" s="68" t="s">
        <v>1382</v>
      </c>
      <c r="D4427" s="68" t="s">
        <v>1372</v>
      </c>
      <c r="E4427" s="8" t="s">
        <v>668</v>
      </c>
      <c r="F4427" s="8"/>
      <c r="G4427" s="18" t="s">
        <v>114</v>
      </c>
      <c r="H4427" s="14">
        <f>H4428+H4431</f>
        <v>21482.166000000001</v>
      </c>
      <c r="I4427" s="14">
        <f>I4428+I4431</f>
        <v>21482.166000000001</v>
      </c>
      <c r="J4427" s="14">
        <f t="shared" ref="J4427" si="1964">J4428+J4431</f>
        <v>21481.316739999998</v>
      </c>
      <c r="K4427" s="78">
        <f t="shared" si="1963"/>
        <v>99.996046674250621</v>
      </c>
      <c r="L4427" s="14">
        <f>L4428+L4431</f>
        <v>0</v>
      </c>
      <c r="M4427" s="50"/>
      <c r="N4427" s="50"/>
    </row>
    <row r="4428" spans="1:14" ht="62.4" x14ac:dyDescent="0.3">
      <c r="A4428" s="64" t="s">
        <v>713</v>
      </c>
      <c r="B4428" s="62" t="s">
        <v>933</v>
      </c>
      <c r="C4428" s="68" t="s">
        <v>1382</v>
      </c>
      <c r="D4428" s="68" t="s">
        <v>1372</v>
      </c>
      <c r="E4428" s="8" t="s">
        <v>105</v>
      </c>
      <c r="F4428" s="8"/>
      <c r="G4428" s="23" t="s">
        <v>1291</v>
      </c>
      <c r="H4428" s="14">
        <f t="shared" ref="H4428:L4429" si="1965">H4429</f>
        <v>21429.766</v>
      </c>
      <c r="I4428" s="14">
        <f t="shared" si="1965"/>
        <v>21429.766</v>
      </c>
      <c r="J4428" s="14">
        <f t="shared" si="1965"/>
        <v>21428.962879999999</v>
      </c>
      <c r="K4428" s="78">
        <f t="shared" si="1963"/>
        <v>99.996252315587569</v>
      </c>
      <c r="L4428" s="14">
        <f t="shared" si="1965"/>
        <v>0</v>
      </c>
      <c r="M4428" s="50"/>
      <c r="N4428" s="50"/>
    </row>
    <row r="4429" spans="1:14" ht="31.2" x14ac:dyDescent="0.3">
      <c r="A4429" s="64" t="s">
        <v>713</v>
      </c>
      <c r="B4429" s="62" t="s">
        <v>933</v>
      </c>
      <c r="C4429" s="68" t="s">
        <v>1382</v>
      </c>
      <c r="D4429" s="68" t="s">
        <v>1372</v>
      </c>
      <c r="E4429" s="8" t="s">
        <v>105</v>
      </c>
      <c r="F4429" s="45" t="s">
        <v>402</v>
      </c>
      <c r="G4429" s="23" t="s">
        <v>819</v>
      </c>
      <c r="H4429" s="14">
        <f t="shared" si="1965"/>
        <v>21429.766</v>
      </c>
      <c r="I4429" s="14">
        <f t="shared" si="1965"/>
        <v>21429.766</v>
      </c>
      <c r="J4429" s="14">
        <f t="shared" si="1965"/>
        <v>21428.962879999999</v>
      </c>
      <c r="K4429" s="78">
        <f t="shared" si="1963"/>
        <v>99.996252315587569</v>
      </c>
      <c r="L4429" s="14">
        <f t="shared" si="1965"/>
        <v>0</v>
      </c>
      <c r="M4429" s="50"/>
      <c r="N4429" s="50"/>
    </row>
    <row r="4430" spans="1:14" x14ac:dyDescent="0.3">
      <c r="A4430" s="64" t="s">
        <v>713</v>
      </c>
      <c r="B4430" s="62" t="s">
        <v>933</v>
      </c>
      <c r="C4430" s="68" t="s">
        <v>1382</v>
      </c>
      <c r="D4430" s="68" t="s">
        <v>1372</v>
      </c>
      <c r="E4430" s="8" t="s">
        <v>105</v>
      </c>
      <c r="F4430" s="64" t="s">
        <v>223</v>
      </c>
      <c r="G4430" s="18" t="s">
        <v>829</v>
      </c>
      <c r="H4430" s="14">
        <f>20625.3+804.466</f>
        <v>21429.766</v>
      </c>
      <c r="I4430" s="14">
        <v>21429.766</v>
      </c>
      <c r="J4430" s="14">
        <v>21428.962879999999</v>
      </c>
      <c r="K4430" s="78">
        <f t="shared" si="1963"/>
        <v>99.996252315587569</v>
      </c>
      <c r="L4430" s="14"/>
      <c r="M4430" s="50"/>
      <c r="N4430" s="50"/>
    </row>
    <row r="4431" spans="1:14" ht="31.2" x14ac:dyDescent="0.3">
      <c r="A4431" s="64" t="s">
        <v>713</v>
      </c>
      <c r="B4431" s="62" t="s">
        <v>933</v>
      </c>
      <c r="C4431" s="68" t="s">
        <v>1382</v>
      </c>
      <c r="D4431" s="68" t="s">
        <v>1372</v>
      </c>
      <c r="E4431" s="8" t="s">
        <v>106</v>
      </c>
      <c r="F4431" s="8"/>
      <c r="G4431" s="18" t="s">
        <v>1300</v>
      </c>
      <c r="H4431" s="14">
        <f t="shared" ref="H4431:L4432" si="1966">H4432</f>
        <v>52.4</v>
      </c>
      <c r="I4431" s="14">
        <f t="shared" si="1966"/>
        <v>52.4</v>
      </c>
      <c r="J4431" s="14">
        <f t="shared" si="1966"/>
        <v>52.353859999999997</v>
      </c>
      <c r="K4431" s="78">
        <f t="shared" si="1963"/>
        <v>99.911946564885483</v>
      </c>
      <c r="L4431" s="14">
        <f t="shared" si="1966"/>
        <v>0</v>
      </c>
      <c r="M4431" s="50"/>
      <c r="N4431" s="50"/>
    </row>
    <row r="4432" spans="1:14" ht="31.2" x14ac:dyDescent="0.3">
      <c r="A4432" s="64" t="s">
        <v>713</v>
      </c>
      <c r="B4432" s="62" t="s">
        <v>933</v>
      </c>
      <c r="C4432" s="68" t="s">
        <v>1382</v>
      </c>
      <c r="D4432" s="68" t="s">
        <v>1372</v>
      </c>
      <c r="E4432" s="8" t="s">
        <v>106</v>
      </c>
      <c r="F4432" s="45" t="s">
        <v>402</v>
      </c>
      <c r="G4432" s="23" t="s">
        <v>819</v>
      </c>
      <c r="H4432" s="14">
        <f t="shared" si="1966"/>
        <v>52.4</v>
      </c>
      <c r="I4432" s="14">
        <f t="shared" si="1966"/>
        <v>52.4</v>
      </c>
      <c r="J4432" s="14">
        <f t="shared" si="1966"/>
        <v>52.353859999999997</v>
      </c>
      <c r="K4432" s="78">
        <f t="shared" si="1963"/>
        <v>99.911946564885483</v>
      </c>
      <c r="L4432" s="14">
        <f t="shared" si="1966"/>
        <v>0</v>
      </c>
      <c r="M4432" s="50"/>
      <c r="N4432" s="50"/>
    </row>
    <row r="4433" spans="1:14" x14ac:dyDescent="0.3">
      <c r="A4433" s="64" t="s">
        <v>713</v>
      </c>
      <c r="B4433" s="62" t="s">
        <v>933</v>
      </c>
      <c r="C4433" s="68" t="s">
        <v>1382</v>
      </c>
      <c r="D4433" s="68" t="s">
        <v>1372</v>
      </c>
      <c r="E4433" s="8" t="s">
        <v>106</v>
      </c>
      <c r="F4433" s="64" t="s">
        <v>223</v>
      </c>
      <c r="G4433" s="18" t="s">
        <v>829</v>
      </c>
      <c r="H4433" s="14">
        <v>52.4</v>
      </c>
      <c r="I4433" s="14">
        <v>52.4</v>
      </c>
      <c r="J4433" s="14">
        <v>52.353859999999997</v>
      </c>
      <c r="K4433" s="78">
        <f t="shared" si="1963"/>
        <v>99.911946564885483</v>
      </c>
      <c r="L4433" s="14"/>
      <c r="M4433" s="50"/>
      <c r="N4433" s="50"/>
    </row>
    <row r="4434" spans="1:14" ht="31.2" x14ac:dyDescent="0.3">
      <c r="A4434" s="64" t="s">
        <v>713</v>
      </c>
      <c r="B4434" s="62" t="s">
        <v>933</v>
      </c>
      <c r="C4434" s="68" t="s">
        <v>1382</v>
      </c>
      <c r="D4434" s="68" t="s">
        <v>1372</v>
      </c>
      <c r="E4434" s="8" t="s">
        <v>666</v>
      </c>
      <c r="F4434" s="8"/>
      <c r="G4434" s="13" t="s">
        <v>1167</v>
      </c>
      <c r="H4434" s="14">
        <f t="shared" ref="H4434:L4435" si="1967">H4435</f>
        <v>95486.872999999992</v>
      </c>
      <c r="I4434" s="14">
        <f t="shared" si="1967"/>
        <v>95638.77</v>
      </c>
      <c r="J4434" s="14">
        <f t="shared" si="1967"/>
        <v>95638.77</v>
      </c>
      <c r="K4434" s="78">
        <f t="shared" si="1963"/>
        <v>100</v>
      </c>
      <c r="L4434" s="14">
        <f t="shared" si="1967"/>
        <v>0</v>
      </c>
      <c r="M4434" s="50"/>
      <c r="N4434" s="50"/>
    </row>
    <row r="4435" spans="1:14" ht="31.2" x14ac:dyDescent="0.3">
      <c r="A4435" s="64" t="s">
        <v>713</v>
      </c>
      <c r="B4435" s="62" t="s">
        <v>933</v>
      </c>
      <c r="C4435" s="68" t="s">
        <v>1382</v>
      </c>
      <c r="D4435" s="68" t="s">
        <v>1372</v>
      </c>
      <c r="E4435" s="8" t="s">
        <v>667</v>
      </c>
      <c r="F4435" s="8"/>
      <c r="G4435" s="18" t="s">
        <v>1301</v>
      </c>
      <c r="H4435" s="14">
        <f t="shared" si="1967"/>
        <v>95486.872999999992</v>
      </c>
      <c r="I4435" s="14">
        <f t="shared" si="1967"/>
        <v>95638.77</v>
      </c>
      <c r="J4435" s="14">
        <f t="shared" si="1967"/>
        <v>95638.77</v>
      </c>
      <c r="K4435" s="78">
        <f t="shared" si="1963"/>
        <v>100</v>
      </c>
      <c r="L4435" s="14">
        <f t="shared" si="1967"/>
        <v>0</v>
      </c>
      <c r="M4435" s="50"/>
      <c r="N4435" s="50"/>
    </row>
    <row r="4436" spans="1:14" ht="62.4" x14ac:dyDescent="0.3">
      <c r="A4436" s="64" t="s">
        <v>713</v>
      </c>
      <c r="B4436" s="62" t="s">
        <v>933</v>
      </c>
      <c r="C4436" s="68" t="s">
        <v>1382</v>
      </c>
      <c r="D4436" s="68" t="s">
        <v>1372</v>
      </c>
      <c r="E4436" s="8" t="s">
        <v>107</v>
      </c>
      <c r="F4436" s="8"/>
      <c r="G4436" s="23" t="s">
        <v>1291</v>
      </c>
      <c r="H4436" s="14">
        <f>H4437+H4439+H4444+H4441</f>
        <v>95486.872999999992</v>
      </c>
      <c r="I4436" s="14">
        <f>I4437+I4439+I4444+I4441</f>
        <v>95638.77</v>
      </c>
      <c r="J4436" s="14">
        <f>J4437+J4439+J4444+J4441</f>
        <v>95638.77</v>
      </c>
      <c r="K4436" s="78">
        <f t="shared" si="1963"/>
        <v>100</v>
      </c>
      <c r="L4436" s="14">
        <f>L4437+L4439+L4444+L4441</f>
        <v>0</v>
      </c>
      <c r="M4436" s="50"/>
      <c r="N4436" s="50"/>
    </row>
    <row r="4437" spans="1:14" ht="78" x14ac:dyDescent="0.3">
      <c r="A4437" s="64" t="s">
        <v>713</v>
      </c>
      <c r="B4437" s="62" t="s">
        <v>933</v>
      </c>
      <c r="C4437" s="68" t="s">
        <v>1382</v>
      </c>
      <c r="D4437" s="68" t="s">
        <v>1372</v>
      </c>
      <c r="E4437" s="8" t="s">
        <v>107</v>
      </c>
      <c r="F4437" s="45" t="s">
        <v>431</v>
      </c>
      <c r="G4437" s="23" t="s">
        <v>806</v>
      </c>
      <c r="H4437" s="14">
        <f t="shared" ref="H4437:L4437" si="1968">H4438</f>
        <v>27543.614999999998</v>
      </c>
      <c r="I4437" s="14">
        <f t="shared" si="1968"/>
        <v>9833.8190699999996</v>
      </c>
      <c r="J4437" s="14">
        <f t="shared" si="1968"/>
        <v>9833.8190699999996</v>
      </c>
      <c r="K4437" s="78">
        <f t="shared" si="1963"/>
        <v>100</v>
      </c>
      <c r="L4437" s="14">
        <f t="shared" si="1968"/>
        <v>0</v>
      </c>
      <c r="M4437" s="50"/>
      <c r="N4437" s="50"/>
    </row>
    <row r="4438" spans="1:14" x14ac:dyDescent="0.3">
      <c r="A4438" s="64" t="s">
        <v>713</v>
      </c>
      <c r="B4438" s="62" t="s">
        <v>933</v>
      </c>
      <c r="C4438" s="68" t="s">
        <v>1382</v>
      </c>
      <c r="D4438" s="68" t="s">
        <v>1372</v>
      </c>
      <c r="E4438" s="8" t="s">
        <v>107</v>
      </c>
      <c r="F4438" s="8" t="s">
        <v>719</v>
      </c>
      <c r="G4438" s="23" t="s">
        <v>807</v>
      </c>
      <c r="H4438" s="14">
        <f>23298.6+4245.015</f>
        <v>27543.614999999998</v>
      </c>
      <c r="I4438" s="14">
        <v>9833.8190699999996</v>
      </c>
      <c r="J4438" s="14">
        <v>9833.8190699999996</v>
      </c>
      <c r="K4438" s="78">
        <f t="shared" si="1963"/>
        <v>100</v>
      </c>
      <c r="L4438" s="14"/>
      <c r="M4438" s="50"/>
      <c r="N4438" s="50"/>
    </row>
    <row r="4439" spans="1:14" ht="31.2" x14ac:dyDescent="0.3">
      <c r="A4439" s="64" t="s">
        <v>713</v>
      </c>
      <c r="B4439" s="62" t="s">
        <v>933</v>
      </c>
      <c r="C4439" s="68" t="s">
        <v>1382</v>
      </c>
      <c r="D4439" s="68" t="s">
        <v>1372</v>
      </c>
      <c r="E4439" s="8" t="s">
        <v>107</v>
      </c>
      <c r="F4439" s="45" t="s">
        <v>380</v>
      </c>
      <c r="G4439" s="23" t="s">
        <v>809</v>
      </c>
      <c r="H4439" s="14">
        <f t="shared" ref="H4439:L4439" si="1969">H4440</f>
        <v>8156.7080000000005</v>
      </c>
      <c r="I4439" s="14">
        <f t="shared" si="1969"/>
        <v>2373.1482000000001</v>
      </c>
      <c r="J4439" s="14">
        <f t="shared" si="1969"/>
        <v>2373.1482000000001</v>
      </c>
      <c r="K4439" s="78">
        <f t="shared" si="1963"/>
        <v>100</v>
      </c>
      <c r="L4439" s="14">
        <f t="shared" si="1969"/>
        <v>0</v>
      </c>
      <c r="M4439" s="50"/>
      <c r="N4439" s="50"/>
    </row>
    <row r="4440" spans="1:14" ht="31.2" x14ac:dyDescent="0.3">
      <c r="A4440" s="64" t="s">
        <v>713</v>
      </c>
      <c r="B4440" s="62" t="s">
        <v>933</v>
      </c>
      <c r="C4440" s="68" t="s">
        <v>1382</v>
      </c>
      <c r="D4440" s="68" t="s">
        <v>1372</v>
      </c>
      <c r="E4440" s="8" t="s">
        <v>107</v>
      </c>
      <c r="F4440" s="8" t="s">
        <v>247</v>
      </c>
      <c r="G4440" s="23" t="s">
        <v>810</v>
      </c>
      <c r="H4440" s="14">
        <f>6985.1+1171.608</f>
        <v>8156.7080000000005</v>
      </c>
      <c r="I4440" s="14">
        <v>2373.1482000000001</v>
      </c>
      <c r="J4440" s="14">
        <v>2373.1482000000001</v>
      </c>
      <c r="K4440" s="78">
        <f t="shared" si="1963"/>
        <v>100</v>
      </c>
      <c r="L4440" s="14"/>
      <c r="M4440" s="50"/>
      <c r="N4440" s="50"/>
    </row>
    <row r="4441" spans="1:14" ht="31.2" x14ac:dyDescent="0.3">
      <c r="A4441" s="64" t="s">
        <v>713</v>
      </c>
      <c r="B4441" s="62" t="s">
        <v>933</v>
      </c>
      <c r="C4441" s="68" t="s">
        <v>1382</v>
      </c>
      <c r="D4441" s="68" t="s">
        <v>1372</v>
      </c>
      <c r="E4441" s="8" t="s">
        <v>107</v>
      </c>
      <c r="F4441" s="45" t="s">
        <v>402</v>
      </c>
      <c r="G4441" s="23" t="s">
        <v>819</v>
      </c>
      <c r="H4441" s="14">
        <f>H4442+H4443</f>
        <v>49245.55</v>
      </c>
      <c r="I4441" s="14">
        <f>I4442+I4443</f>
        <v>77376.50344</v>
      </c>
      <c r="J4441" s="14">
        <f>J4442+J4443</f>
        <v>77376.50344</v>
      </c>
      <c r="K4441" s="78">
        <f t="shared" si="1963"/>
        <v>100</v>
      </c>
      <c r="L4441" s="14">
        <f>L4442+L4443</f>
        <v>0</v>
      </c>
      <c r="M4441" s="50"/>
      <c r="N4441" s="50"/>
    </row>
    <row r="4442" spans="1:14" x14ac:dyDescent="0.3">
      <c r="A4442" s="64" t="s">
        <v>713</v>
      </c>
      <c r="B4442" s="62" t="s">
        <v>933</v>
      </c>
      <c r="C4442" s="68" t="s">
        <v>1382</v>
      </c>
      <c r="D4442" s="68" t="s">
        <v>1372</v>
      </c>
      <c r="E4442" s="8" t="s">
        <v>107</v>
      </c>
      <c r="F4442" s="8" t="s">
        <v>726</v>
      </c>
      <c r="G4442" s="13" t="s">
        <v>820</v>
      </c>
      <c r="H4442" s="14">
        <v>34315.5</v>
      </c>
      <c r="I4442" s="14">
        <v>34478.813289999998</v>
      </c>
      <c r="J4442" s="14">
        <v>34478.813289999998</v>
      </c>
      <c r="K4442" s="78">
        <f t="shared" si="1963"/>
        <v>100</v>
      </c>
      <c r="L4442" s="14"/>
      <c r="M4442" s="50"/>
      <c r="N4442" s="50"/>
    </row>
    <row r="4443" spans="1:14" x14ac:dyDescent="0.3">
      <c r="A4443" s="64" t="s">
        <v>713</v>
      </c>
      <c r="B4443" s="62" t="s">
        <v>933</v>
      </c>
      <c r="C4443" s="68" t="s">
        <v>1382</v>
      </c>
      <c r="D4443" s="68" t="s">
        <v>1372</v>
      </c>
      <c r="E4443" s="8" t="s">
        <v>107</v>
      </c>
      <c r="F4443" s="64" t="s">
        <v>223</v>
      </c>
      <c r="G4443" s="18" t="s">
        <v>829</v>
      </c>
      <c r="H4443" s="14">
        <f>12250.7+2610.671+68.679</f>
        <v>14930.050000000001</v>
      </c>
      <c r="I4443" s="14">
        <v>42897.690150000002</v>
      </c>
      <c r="J4443" s="14">
        <v>42897.690150000002</v>
      </c>
      <c r="K4443" s="78">
        <f t="shared" si="1963"/>
        <v>100</v>
      </c>
      <c r="L4443" s="14"/>
      <c r="M4443" s="50"/>
      <c r="N4443" s="50"/>
    </row>
    <row r="4444" spans="1:14" x14ac:dyDescent="0.3">
      <c r="A4444" s="64" t="s">
        <v>713</v>
      </c>
      <c r="B4444" s="62" t="s">
        <v>933</v>
      </c>
      <c r="C4444" s="68" t="s">
        <v>1382</v>
      </c>
      <c r="D4444" s="68" t="s">
        <v>1372</v>
      </c>
      <c r="E4444" s="8" t="s">
        <v>107</v>
      </c>
      <c r="F4444" s="45" t="s">
        <v>464</v>
      </c>
      <c r="G4444" s="23" t="s">
        <v>822</v>
      </c>
      <c r="H4444" s="14">
        <f t="shared" ref="H4444:L4444" si="1970">H4445</f>
        <v>10541</v>
      </c>
      <c r="I4444" s="14">
        <f t="shared" si="1970"/>
        <v>6055.2992899999999</v>
      </c>
      <c r="J4444" s="14">
        <f t="shared" si="1970"/>
        <v>6055.2992899999999</v>
      </c>
      <c r="K4444" s="78">
        <f t="shared" si="1963"/>
        <v>100</v>
      </c>
      <c r="L4444" s="14">
        <f t="shared" si="1970"/>
        <v>0</v>
      </c>
      <c r="M4444" s="50"/>
      <c r="N4444" s="50"/>
    </row>
    <row r="4445" spans="1:14" x14ac:dyDescent="0.3">
      <c r="A4445" s="64" t="s">
        <v>713</v>
      </c>
      <c r="B4445" s="62" t="s">
        <v>933</v>
      </c>
      <c r="C4445" s="68" t="s">
        <v>1382</v>
      </c>
      <c r="D4445" s="68" t="s">
        <v>1372</v>
      </c>
      <c r="E4445" s="8" t="s">
        <v>107</v>
      </c>
      <c r="F4445" s="45" t="s">
        <v>729</v>
      </c>
      <c r="G4445" s="23" t="s">
        <v>824</v>
      </c>
      <c r="H4445" s="14">
        <v>10541</v>
      </c>
      <c r="I4445" s="14">
        <v>6055.2992899999999</v>
      </c>
      <c r="J4445" s="14">
        <v>6055.2992899999999</v>
      </c>
      <c r="K4445" s="78">
        <f t="shared" si="1963"/>
        <v>100</v>
      </c>
      <c r="L4445" s="14"/>
      <c r="M4445" s="50"/>
      <c r="N4445" s="50"/>
    </row>
    <row r="4446" spans="1:14" ht="31.2" x14ac:dyDescent="0.3">
      <c r="A4446" s="64" t="s">
        <v>713</v>
      </c>
      <c r="B4446" s="62" t="s">
        <v>933</v>
      </c>
      <c r="C4446" s="68" t="s">
        <v>1382</v>
      </c>
      <c r="D4446" s="68" t="s">
        <v>1372</v>
      </c>
      <c r="E4446" s="8" t="s">
        <v>429</v>
      </c>
      <c r="F4446" s="8"/>
      <c r="G4446" s="13" t="s">
        <v>1140</v>
      </c>
      <c r="H4446" s="20">
        <f>H4447</f>
        <v>0</v>
      </c>
      <c r="I4446" s="14">
        <f>I4447</f>
        <v>409.95</v>
      </c>
      <c r="J4446" s="14">
        <f t="shared" ref="J4446:L4448" si="1971">J4447</f>
        <v>409.95</v>
      </c>
      <c r="K4446" s="78">
        <f t="shared" si="1963"/>
        <v>100</v>
      </c>
      <c r="L4446" s="14">
        <f t="shared" si="1971"/>
        <v>0</v>
      </c>
      <c r="M4446" s="50"/>
      <c r="N4446" s="50"/>
    </row>
    <row r="4447" spans="1:14" ht="46.8" x14ac:dyDescent="0.3">
      <c r="A4447" s="64" t="s">
        <v>713</v>
      </c>
      <c r="B4447" s="62" t="s">
        <v>933</v>
      </c>
      <c r="C4447" s="68" t="s">
        <v>1382</v>
      </c>
      <c r="D4447" s="68" t="s">
        <v>1372</v>
      </c>
      <c r="E4447" s="8" t="s">
        <v>535</v>
      </c>
      <c r="F4447" s="8"/>
      <c r="G4447" s="13" t="s">
        <v>176</v>
      </c>
      <c r="H4447" s="20">
        <f>H4448+H4450</f>
        <v>0</v>
      </c>
      <c r="I4447" s="20">
        <f t="shared" ref="I4447:L4447" si="1972">I4448+I4450</f>
        <v>409.95</v>
      </c>
      <c r="J4447" s="20">
        <f t="shared" si="1972"/>
        <v>409.95</v>
      </c>
      <c r="K4447" s="77">
        <f t="shared" si="1963"/>
        <v>100</v>
      </c>
      <c r="L4447" s="20">
        <f t="shared" si="1972"/>
        <v>0</v>
      </c>
      <c r="M4447" s="50"/>
      <c r="N4447" s="50"/>
    </row>
    <row r="4448" spans="1:14" ht="31.2" x14ac:dyDescent="0.3">
      <c r="A4448" s="64" t="s">
        <v>713</v>
      </c>
      <c r="B4448" s="62" t="s">
        <v>933</v>
      </c>
      <c r="C4448" s="68" t="s">
        <v>1382</v>
      </c>
      <c r="D4448" s="68" t="s">
        <v>1372</v>
      </c>
      <c r="E4448" s="8" t="s">
        <v>535</v>
      </c>
      <c r="F4448" s="45" t="s">
        <v>380</v>
      </c>
      <c r="G4448" s="23" t="s">
        <v>809</v>
      </c>
      <c r="H4448" s="20">
        <f>H4449</f>
        <v>0</v>
      </c>
      <c r="I4448" s="14">
        <f>I4449</f>
        <v>150</v>
      </c>
      <c r="J4448" s="14">
        <f t="shared" si="1971"/>
        <v>150</v>
      </c>
      <c r="K4448" s="78">
        <f t="shared" si="1963"/>
        <v>100</v>
      </c>
      <c r="L4448" s="14">
        <f t="shared" si="1971"/>
        <v>0</v>
      </c>
      <c r="M4448" s="50"/>
      <c r="N4448" s="50"/>
    </row>
    <row r="4449" spans="1:14" ht="31.2" x14ac:dyDescent="0.3">
      <c r="A4449" s="64" t="s">
        <v>713</v>
      </c>
      <c r="B4449" s="62" t="s">
        <v>933</v>
      </c>
      <c r="C4449" s="68" t="s">
        <v>1382</v>
      </c>
      <c r="D4449" s="68" t="s">
        <v>1372</v>
      </c>
      <c r="E4449" s="8" t="s">
        <v>535</v>
      </c>
      <c r="F4449" s="8" t="s">
        <v>247</v>
      </c>
      <c r="G4449" s="23" t="s">
        <v>810</v>
      </c>
      <c r="H4449" s="20">
        <v>0</v>
      </c>
      <c r="I4449" s="14">
        <v>150</v>
      </c>
      <c r="J4449" s="14">
        <v>150</v>
      </c>
      <c r="K4449" s="78">
        <f t="shared" si="1963"/>
        <v>100</v>
      </c>
      <c r="L4449" s="14"/>
      <c r="M4449" s="50"/>
      <c r="N4449" s="50"/>
    </row>
    <row r="4450" spans="1:14" ht="31.2" x14ac:dyDescent="0.3">
      <c r="A4450" s="64" t="s">
        <v>713</v>
      </c>
      <c r="B4450" s="62" t="s">
        <v>933</v>
      </c>
      <c r="C4450" s="68" t="s">
        <v>1382</v>
      </c>
      <c r="D4450" s="68" t="s">
        <v>1372</v>
      </c>
      <c r="E4450" s="8" t="s">
        <v>535</v>
      </c>
      <c r="F4450" s="45" t="s">
        <v>402</v>
      </c>
      <c r="G4450" s="23" t="s">
        <v>819</v>
      </c>
      <c r="H4450" s="20">
        <f>H4451</f>
        <v>0</v>
      </c>
      <c r="I4450" s="20">
        <f t="shared" ref="I4450:L4450" si="1973">I4451</f>
        <v>259.95</v>
      </c>
      <c r="J4450" s="20">
        <f t="shared" si="1973"/>
        <v>259.95</v>
      </c>
      <c r="K4450" s="77">
        <f t="shared" si="1963"/>
        <v>100</v>
      </c>
      <c r="L4450" s="20">
        <f t="shared" si="1973"/>
        <v>0</v>
      </c>
      <c r="M4450" s="50"/>
      <c r="N4450" s="50"/>
    </row>
    <row r="4451" spans="1:14" x14ac:dyDescent="0.3">
      <c r="A4451" s="64" t="s">
        <v>713</v>
      </c>
      <c r="B4451" s="62" t="s">
        <v>933</v>
      </c>
      <c r="C4451" s="68" t="s">
        <v>1382</v>
      </c>
      <c r="D4451" s="68" t="s">
        <v>1372</v>
      </c>
      <c r="E4451" s="8" t="s">
        <v>535</v>
      </c>
      <c r="F4451" s="64" t="s">
        <v>223</v>
      </c>
      <c r="G4451" s="18" t="s">
        <v>829</v>
      </c>
      <c r="H4451" s="20">
        <v>0</v>
      </c>
      <c r="I4451" s="14">
        <v>259.95</v>
      </c>
      <c r="J4451" s="19">
        <v>259.95</v>
      </c>
      <c r="K4451" s="75">
        <f t="shared" si="1963"/>
        <v>100</v>
      </c>
      <c r="L4451" s="14"/>
      <c r="M4451" s="50"/>
      <c r="N4451" s="50"/>
    </row>
    <row r="4452" spans="1:14" s="9" customFormat="1" x14ac:dyDescent="0.3">
      <c r="A4452" s="6" t="s">
        <v>713</v>
      </c>
      <c r="B4452" s="48" t="s">
        <v>914</v>
      </c>
      <c r="C4452" s="48" t="s">
        <v>1382</v>
      </c>
      <c r="D4452" s="48" t="s">
        <v>1478</v>
      </c>
      <c r="E4452" s="6"/>
      <c r="F4452" s="6"/>
      <c r="G4452" s="7" t="s">
        <v>1425</v>
      </c>
      <c r="H4452" s="16">
        <f t="shared" ref="H4452:L4452" si="1974">H4453</f>
        <v>66923.270999999993</v>
      </c>
      <c r="I4452" s="16">
        <f t="shared" si="1974"/>
        <v>65821.993589999998</v>
      </c>
      <c r="J4452" s="16">
        <f t="shared" si="1974"/>
        <v>61703.213140000007</v>
      </c>
      <c r="K4452" s="82">
        <f t="shared" si="1963"/>
        <v>93.742546791190279</v>
      </c>
      <c r="L4452" s="16">
        <f t="shared" si="1974"/>
        <v>0</v>
      </c>
      <c r="M4452" s="65"/>
      <c r="N4452" s="65"/>
    </row>
    <row r="4453" spans="1:14" ht="31.2" x14ac:dyDescent="0.3">
      <c r="A4453" s="64" t="s">
        <v>713</v>
      </c>
      <c r="B4453" s="62" t="s">
        <v>914</v>
      </c>
      <c r="C4453" s="68" t="s">
        <v>1382</v>
      </c>
      <c r="D4453" s="68" t="s">
        <v>1478</v>
      </c>
      <c r="E4453" s="8" t="s">
        <v>446</v>
      </c>
      <c r="F4453" s="8"/>
      <c r="G4453" s="23" t="s">
        <v>864</v>
      </c>
      <c r="H4453" s="14">
        <f>H4472+H4454</f>
        <v>66923.270999999993</v>
      </c>
      <c r="I4453" s="14">
        <f>I4472+I4454</f>
        <v>65821.993589999998</v>
      </c>
      <c r="J4453" s="14">
        <f t="shared" ref="J4453" si="1975">J4472+J4454</f>
        <v>61703.213140000007</v>
      </c>
      <c r="K4453" s="78">
        <f t="shared" si="1963"/>
        <v>93.742546791190279</v>
      </c>
      <c r="L4453" s="14">
        <f>L4472+L4454</f>
        <v>0</v>
      </c>
      <c r="M4453" s="50"/>
      <c r="N4453" s="50"/>
    </row>
    <row r="4454" spans="1:14" ht="31.2" x14ac:dyDescent="0.3">
      <c r="A4454" s="64" t="s">
        <v>713</v>
      </c>
      <c r="B4454" s="62" t="s">
        <v>914</v>
      </c>
      <c r="C4454" s="68" t="s">
        <v>1382</v>
      </c>
      <c r="D4454" s="68" t="s">
        <v>1478</v>
      </c>
      <c r="E4454" s="8" t="s">
        <v>447</v>
      </c>
      <c r="F4454" s="8"/>
      <c r="G4454" s="23" t="s">
        <v>865</v>
      </c>
      <c r="H4454" s="14">
        <f>H4455+H4462</f>
        <v>52977.910999999993</v>
      </c>
      <c r="I4454" s="14">
        <f t="shared" ref="I4454:L4454" si="1976">I4455+I4462</f>
        <v>51882.284209999998</v>
      </c>
      <c r="J4454" s="14">
        <f t="shared" si="1976"/>
        <v>47868.512540000003</v>
      </c>
      <c r="K4454" s="78">
        <f t="shared" si="1963"/>
        <v>92.263695149284956</v>
      </c>
      <c r="L4454" s="14">
        <f t="shared" si="1976"/>
        <v>0</v>
      </c>
      <c r="M4454" s="50"/>
      <c r="N4454" s="50"/>
    </row>
    <row r="4455" spans="1:14" ht="62.4" x14ac:dyDescent="0.3">
      <c r="A4455" s="64" t="s">
        <v>713</v>
      </c>
      <c r="B4455" s="62" t="s">
        <v>914</v>
      </c>
      <c r="C4455" s="68" t="s">
        <v>1382</v>
      </c>
      <c r="D4455" s="68" t="s">
        <v>1478</v>
      </c>
      <c r="E4455" s="8" t="s">
        <v>532</v>
      </c>
      <c r="F4455" s="8"/>
      <c r="G4455" s="23" t="s">
        <v>866</v>
      </c>
      <c r="H4455" s="14">
        <f>H4456+H4459</f>
        <v>16637.810000000001</v>
      </c>
      <c r="I4455" s="14">
        <f t="shared" ref="I4455:L4455" si="1977">I4456+I4459</f>
        <v>16637.810000000001</v>
      </c>
      <c r="J4455" s="14">
        <f t="shared" si="1977"/>
        <v>16637.810000000001</v>
      </c>
      <c r="K4455" s="78">
        <f t="shared" si="1963"/>
        <v>100</v>
      </c>
      <c r="L4455" s="14">
        <f t="shared" si="1977"/>
        <v>0</v>
      </c>
      <c r="M4455" s="50"/>
      <c r="N4455" s="50"/>
    </row>
    <row r="4456" spans="1:14" ht="31.2" x14ac:dyDescent="0.3">
      <c r="A4456" s="64" t="s">
        <v>713</v>
      </c>
      <c r="B4456" s="62" t="s">
        <v>914</v>
      </c>
      <c r="C4456" s="68" t="s">
        <v>1382</v>
      </c>
      <c r="D4456" s="68" t="s">
        <v>1478</v>
      </c>
      <c r="E4456" s="8" t="s">
        <v>672</v>
      </c>
      <c r="F4456" s="8"/>
      <c r="G4456" s="18" t="s">
        <v>1204</v>
      </c>
      <c r="H4456" s="14">
        <f t="shared" ref="H4456:L4457" si="1978">H4457</f>
        <v>6801.3700000000008</v>
      </c>
      <c r="I4456" s="14">
        <f t="shared" si="1978"/>
        <v>6801.3700000000008</v>
      </c>
      <c r="J4456" s="14">
        <f t="shared" si="1978"/>
        <v>6801.37</v>
      </c>
      <c r="K4456" s="78">
        <f t="shared" si="1963"/>
        <v>99.999999999999986</v>
      </c>
      <c r="L4456" s="14">
        <f t="shared" si="1978"/>
        <v>0</v>
      </c>
      <c r="M4456" s="50"/>
      <c r="N4456" s="50"/>
    </row>
    <row r="4457" spans="1:14" ht="31.2" x14ac:dyDescent="0.3">
      <c r="A4457" s="64" t="s">
        <v>713</v>
      </c>
      <c r="B4457" s="62" t="s">
        <v>914</v>
      </c>
      <c r="C4457" s="68" t="s">
        <v>1382</v>
      </c>
      <c r="D4457" s="68" t="s">
        <v>1478</v>
      </c>
      <c r="E4457" s="8" t="s">
        <v>672</v>
      </c>
      <c r="F4457" s="45" t="s">
        <v>402</v>
      </c>
      <c r="G4457" s="23" t="s">
        <v>819</v>
      </c>
      <c r="H4457" s="14">
        <f t="shared" si="1978"/>
        <v>6801.3700000000008</v>
      </c>
      <c r="I4457" s="14">
        <f t="shared" si="1978"/>
        <v>6801.3700000000008</v>
      </c>
      <c r="J4457" s="14">
        <f t="shared" si="1978"/>
        <v>6801.37</v>
      </c>
      <c r="K4457" s="78">
        <f t="shared" si="1963"/>
        <v>99.999999999999986</v>
      </c>
      <c r="L4457" s="14">
        <f t="shared" si="1978"/>
        <v>0</v>
      </c>
      <c r="M4457" s="50"/>
      <c r="N4457" s="50"/>
    </row>
    <row r="4458" spans="1:14" x14ac:dyDescent="0.3">
      <c r="A4458" s="64" t="s">
        <v>713</v>
      </c>
      <c r="B4458" s="62" t="s">
        <v>914</v>
      </c>
      <c r="C4458" s="68" t="s">
        <v>1382</v>
      </c>
      <c r="D4458" s="68" t="s">
        <v>1478</v>
      </c>
      <c r="E4458" s="8" t="s">
        <v>672</v>
      </c>
      <c r="F4458" s="64" t="s">
        <v>223</v>
      </c>
      <c r="G4458" s="18" t="s">
        <v>829</v>
      </c>
      <c r="H4458" s="14">
        <v>6801.3700000000008</v>
      </c>
      <c r="I4458" s="14">
        <v>6801.3700000000008</v>
      </c>
      <c r="J4458" s="14">
        <v>6801.37</v>
      </c>
      <c r="K4458" s="78">
        <f t="shared" si="1963"/>
        <v>99.999999999999986</v>
      </c>
      <c r="L4458" s="14"/>
      <c r="M4458" s="50"/>
      <c r="N4458" s="50"/>
    </row>
    <row r="4459" spans="1:14" ht="31.2" x14ac:dyDescent="0.3">
      <c r="A4459" s="64" t="s">
        <v>713</v>
      </c>
      <c r="B4459" s="62" t="s">
        <v>914</v>
      </c>
      <c r="C4459" s="68" t="s">
        <v>1382</v>
      </c>
      <c r="D4459" s="68" t="s">
        <v>1478</v>
      </c>
      <c r="E4459" s="8" t="s">
        <v>218</v>
      </c>
      <c r="F4459" s="64"/>
      <c r="G4459" s="23" t="s">
        <v>1347</v>
      </c>
      <c r="H4459" s="14">
        <f>H4460</f>
        <v>9836.44</v>
      </c>
      <c r="I4459" s="14">
        <f t="shared" ref="I4459:L4460" si="1979">I4460</f>
        <v>9836.44</v>
      </c>
      <c r="J4459" s="14">
        <f t="shared" si="1979"/>
        <v>9836.44</v>
      </c>
      <c r="K4459" s="78">
        <f t="shared" si="1963"/>
        <v>100</v>
      </c>
      <c r="L4459" s="14">
        <f t="shared" si="1979"/>
        <v>0</v>
      </c>
      <c r="M4459" s="50"/>
      <c r="N4459" s="50"/>
    </row>
    <row r="4460" spans="1:14" ht="31.2" x14ac:dyDescent="0.3">
      <c r="A4460" s="64" t="s">
        <v>713</v>
      </c>
      <c r="B4460" s="62" t="s">
        <v>914</v>
      </c>
      <c r="C4460" s="68" t="s">
        <v>1382</v>
      </c>
      <c r="D4460" s="68" t="s">
        <v>1478</v>
      </c>
      <c r="E4460" s="8" t="s">
        <v>218</v>
      </c>
      <c r="F4460" s="45" t="s">
        <v>402</v>
      </c>
      <c r="G4460" s="23" t="s">
        <v>819</v>
      </c>
      <c r="H4460" s="14">
        <f>H4461</f>
        <v>9836.44</v>
      </c>
      <c r="I4460" s="14">
        <f t="shared" si="1979"/>
        <v>9836.44</v>
      </c>
      <c r="J4460" s="14">
        <f t="shared" si="1979"/>
        <v>9836.44</v>
      </c>
      <c r="K4460" s="78">
        <f t="shared" si="1963"/>
        <v>100</v>
      </c>
      <c r="L4460" s="14">
        <f t="shared" si="1979"/>
        <v>0</v>
      </c>
      <c r="M4460" s="50"/>
      <c r="N4460" s="50"/>
    </row>
    <row r="4461" spans="1:14" x14ac:dyDescent="0.3">
      <c r="A4461" s="64" t="s">
        <v>713</v>
      </c>
      <c r="B4461" s="62" t="s">
        <v>914</v>
      </c>
      <c r="C4461" s="68" t="s">
        <v>1382</v>
      </c>
      <c r="D4461" s="68" t="s">
        <v>1478</v>
      </c>
      <c r="E4461" s="8" t="s">
        <v>218</v>
      </c>
      <c r="F4461" s="64" t="s">
        <v>223</v>
      </c>
      <c r="G4461" s="18" t="s">
        <v>829</v>
      </c>
      <c r="H4461" s="14">
        <v>9836.44</v>
      </c>
      <c r="I4461" s="14">
        <v>9836.44</v>
      </c>
      <c r="J4461" s="20">
        <v>9836.44</v>
      </c>
      <c r="K4461" s="77">
        <f t="shared" si="1963"/>
        <v>100</v>
      </c>
      <c r="L4461" s="14"/>
      <c r="M4461" s="50"/>
      <c r="N4461" s="50"/>
    </row>
    <row r="4462" spans="1:14" ht="46.8" x14ac:dyDescent="0.3">
      <c r="A4462" s="64" t="s">
        <v>713</v>
      </c>
      <c r="B4462" s="62" t="s">
        <v>914</v>
      </c>
      <c r="C4462" s="68" t="s">
        <v>1382</v>
      </c>
      <c r="D4462" s="68" t="s">
        <v>1478</v>
      </c>
      <c r="E4462" s="8" t="s">
        <v>663</v>
      </c>
      <c r="F4462" s="8"/>
      <c r="G4462" s="13" t="s">
        <v>1027</v>
      </c>
      <c r="H4462" s="14">
        <f>H4469+H4466+H4463</f>
        <v>36340.100999999995</v>
      </c>
      <c r="I4462" s="14">
        <f t="shared" ref="I4462:L4462" si="1980">I4469+I4466+I4463</f>
        <v>35244.47421</v>
      </c>
      <c r="J4462" s="14">
        <f t="shared" si="1980"/>
        <v>31230.702540000002</v>
      </c>
      <c r="K4462" s="78">
        <f t="shared" si="1963"/>
        <v>88.611628461005211</v>
      </c>
      <c r="L4462" s="14">
        <f t="shared" si="1980"/>
        <v>0</v>
      </c>
      <c r="M4462" s="50"/>
      <c r="N4462" s="50"/>
    </row>
    <row r="4463" spans="1:14" ht="46.8" hidden="1" x14ac:dyDescent="0.3">
      <c r="A4463" s="64" t="s">
        <v>713</v>
      </c>
      <c r="B4463" s="62" t="s">
        <v>914</v>
      </c>
      <c r="C4463" s="68" t="s">
        <v>1382</v>
      </c>
      <c r="D4463" s="68" t="s">
        <v>1478</v>
      </c>
      <c r="E4463" s="8" t="s">
        <v>664</v>
      </c>
      <c r="F4463" s="8"/>
      <c r="G4463" s="13" t="s">
        <v>1298</v>
      </c>
      <c r="H4463" s="14">
        <f>H4464</f>
        <v>901.75099999999998</v>
      </c>
      <c r="I4463" s="14">
        <v>0</v>
      </c>
      <c r="J4463" s="20">
        <v>0</v>
      </c>
      <c r="K4463" s="77" t="e">
        <f t="shared" si="1963"/>
        <v>#DIV/0!</v>
      </c>
      <c r="L4463" s="14">
        <f>L4464</f>
        <v>0</v>
      </c>
      <c r="M4463" s="50">
        <v>111</v>
      </c>
      <c r="N4463" s="50"/>
    </row>
    <row r="4464" spans="1:14" ht="31.2" hidden="1" x14ac:dyDescent="0.3">
      <c r="A4464" s="64" t="s">
        <v>713</v>
      </c>
      <c r="B4464" s="62" t="s">
        <v>914</v>
      </c>
      <c r="C4464" s="68" t="s">
        <v>1382</v>
      </c>
      <c r="D4464" s="68" t="s">
        <v>1478</v>
      </c>
      <c r="E4464" s="8" t="s">
        <v>664</v>
      </c>
      <c r="F4464" s="45" t="s">
        <v>402</v>
      </c>
      <c r="G4464" s="23" t="s">
        <v>819</v>
      </c>
      <c r="H4464" s="14">
        <f>H4465</f>
        <v>901.75099999999998</v>
      </c>
      <c r="I4464" s="14">
        <v>0</v>
      </c>
      <c r="J4464" s="20">
        <v>0</v>
      </c>
      <c r="K4464" s="77" t="e">
        <f t="shared" si="1963"/>
        <v>#DIV/0!</v>
      </c>
      <c r="L4464" s="14">
        <f>L4465</f>
        <v>0</v>
      </c>
      <c r="M4464" s="50">
        <v>111</v>
      </c>
      <c r="N4464" s="50"/>
    </row>
    <row r="4465" spans="1:14" hidden="1" x14ac:dyDescent="0.3">
      <c r="A4465" s="64" t="s">
        <v>713</v>
      </c>
      <c r="B4465" s="62" t="s">
        <v>914</v>
      </c>
      <c r="C4465" s="68" t="s">
        <v>1382</v>
      </c>
      <c r="D4465" s="68" t="s">
        <v>1478</v>
      </c>
      <c r="E4465" s="8" t="s">
        <v>664</v>
      </c>
      <c r="F4465" s="64" t="s">
        <v>223</v>
      </c>
      <c r="G4465" s="18" t="s">
        <v>829</v>
      </c>
      <c r="H4465" s="14">
        <v>901.75099999999998</v>
      </c>
      <c r="I4465" s="14">
        <v>0</v>
      </c>
      <c r="J4465" s="20">
        <v>0</v>
      </c>
      <c r="K4465" s="77" t="e">
        <f t="shared" si="1963"/>
        <v>#DIV/0!</v>
      </c>
      <c r="L4465" s="14"/>
      <c r="M4465" s="50">
        <v>111</v>
      </c>
      <c r="N4465" s="50"/>
    </row>
    <row r="4466" spans="1:14" ht="31.2" x14ac:dyDescent="0.3">
      <c r="A4466" s="64" t="s">
        <v>713</v>
      </c>
      <c r="B4466" s="62" t="s">
        <v>914</v>
      </c>
      <c r="C4466" s="68" t="s">
        <v>1382</v>
      </c>
      <c r="D4466" s="68" t="s">
        <v>1478</v>
      </c>
      <c r="E4466" s="8" t="s">
        <v>669</v>
      </c>
      <c r="F4466" s="64"/>
      <c r="G4466" s="13" t="s">
        <v>867</v>
      </c>
      <c r="H4466" s="14">
        <f>H4467</f>
        <v>4596.951</v>
      </c>
      <c r="I4466" s="14">
        <f t="shared" ref="I4466:L4467" si="1981">I4467</f>
        <v>4596.951</v>
      </c>
      <c r="J4466" s="14">
        <f t="shared" si="1981"/>
        <v>4596.951</v>
      </c>
      <c r="K4466" s="78">
        <f t="shared" si="1963"/>
        <v>100</v>
      </c>
      <c r="L4466" s="14">
        <f t="shared" si="1981"/>
        <v>0</v>
      </c>
      <c r="M4466" s="50"/>
      <c r="N4466" s="50"/>
    </row>
    <row r="4467" spans="1:14" ht="31.2" x14ac:dyDescent="0.3">
      <c r="A4467" s="64" t="s">
        <v>713</v>
      </c>
      <c r="B4467" s="62" t="s">
        <v>914</v>
      </c>
      <c r="C4467" s="68" t="s">
        <v>1382</v>
      </c>
      <c r="D4467" s="68" t="s">
        <v>1478</v>
      </c>
      <c r="E4467" s="8" t="s">
        <v>669</v>
      </c>
      <c r="F4467" s="45" t="s">
        <v>402</v>
      </c>
      <c r="G4467" s="23" t="s">
        <v>819</v>
      </c>
      <c r="H4467" s="14">
        <f>H4468</f>
        <v>4596.951</v>
      </c>
      <c r="I4467" s="14">
        <f t="shared" si="1981"/>
        <v>4596.951</v>
      </c>
      <c r="J4467" s="14">
        <f t="shared" si="1981"/>
        <v>4596.951</v>
      </c>
      <c r="K4467" s="78">
        <f t="shared" si="1963"/>
        <v>100</v>
      </c>
      <c r="L4467" s="14">
        <f t="shared" si="1981"/>
        <v>0</v>
      </c>
      <c r="M4467" s="50"/>
      <c r="N4467" s="50"/>
    </row>
    <row r="4468" spans="1:14" x14ac:dyDescent="0.3">
      <c r="A4468" s="64" t="s">
        <v>713</v>
      </c>
      <c r="B4468" s="62" t="s">
        <v>914</v>
      </c>
      <c r="C4468" s="68" t="s">
        <v>1382</v>
      </c>
      <c r="D4468" s="68" t="s">
        <v>1478</v>
      </c>
      <c r="E4468" s="8" t="s">
        <v>669</v>
      </c>
      <c r="F4468" s="64" t="s">
        <v>223</v>
      </c>
      <c r="G4468" s="18" t="s">
        <v>829</v>
      </c>
      <c r="H4468" s="14">
        <f>5249.65-652.699</f>
        <v>4596.951</v>
      </c>
      <c r="I4468" s="14">
        <v>4596.951</v>
      </c>
      <c r="J4468" s="19">
        <v>4596.951</v>
      </c>
      <c r="K4468" s="75">
        <f t="shared" si="1963"/>
        <v>100</v>
      </c>
      <c r="L4468" s="14"/>
      <c r="M4468" s="50"/>
      <c r="N4468" s="50"/>
    </row>
    <row r="4469" spans="1:14" ht="62.4" x14ac:dyDescent="0.3">
      <c r="A4469" s="64" t="s">
        <v>713</v>
      </c>
      <c r="B4469" s="62" t="s">
        <v>914</v>
      </c>
      <c r="C4469" s="68" t="s">
        <v>1382</v>
      </c>
      <c r="D4469" s="68" t="s">
        <v>1478</v>
      </c>
      <c r="E4469" s="8" t="s">
        <v>1025</v>
      </c>
      <c r="F4469" s="8"/>
      <c r="G4469" s="13" t="s">
        <v>1026</v>
      </c>
      <c r="H4469" s="14">
        <f>H4470</f>
        <v>30841.399000000001</v>
      </c>
      <c r="I4469" s="14">
        <f t="shared" ref="I4469:L4470" si="1982">I4470</f>
        <v>30647.523209999999</v>
      </c>
      <c r="J4469" s="14">
        <f t="shared" si="1982"/>
        <v>26633.751540000001</v>
      </c>
      <c r="K4469" s="78">
        <f t="shared" si="1963"/>
        <v>86.903438680844715</v>
      </c>
      <c r="L4469" s="14">
        <f t="shared" si="1982"/>
        <v>0</v>
      </c>
      <c r="M4469" s="50"/>
      <c r="N4469" s="50"/>
    </row>
    <row r="4470" spans="1:14" ht="31.2" x14ac:dyDescent="0.3">
      <c r="A4470" s="64" t="s">
        <v>713</v>
      </c>
      <c r="B4470" s="62" t="s">
        <v>914</v>
      </c>
      <c r="C4470" s="68" t="s">
        <v>1382</v>
      </c>
      <c r="D4470" s="68" t="s">
        <v>1478</v>
      </c>
      <c r="E4470" s="8" t="s">
        <v>1025</v>
      </c>
      <c r="F4470" s="45" t="s">
        <v>402</v>
      </c>
      <c r="G4470" s="23" t="s">
        <v>819</v>
      </c>
      <c r="H4470" s="14">
        <f>H4471</f>
        <v>30841.399000000001</v>
      </c>
      <c r="I4470" s="14">
        <f t="shared" si="1982"/>
        <v>30647.523209999999</v>
      </c>
      <c r="J4470" s="14">
        <f t="shared" si="1982"/>
        <v>26633.751540000001</v>
      </c>
      <c r="K4470" s="78">
        <f t="shared" si="1963"/>
        <v>86.903438680844715</v>
      </c>
      <c r="L4470" s="14">
        <f t="shared" si="1982"/>
        <v>0</v>
      </c>
      <c r="M4470" s="50"/>
      <c r="N4470" s="50"/>
    </row>
    <row r="4471" spans="1:14" x14ac:dyDescent="0.3">
      <c r="A4471" s="64" t="s">
        <v>713</v>
      </c>
      <c r="B4471" s="62" t="s">
        <v>914</v>
      </c>
      <c r="C4471" s="68" t="s">
        <v>1382</v>
      </c>
      <c r="D4471" s="68" t="s">
        <v>1478</v>
      </c>
      <c r="E4471" s="8" t="s">
        <v>1025</v>
      </c>
      <c r="F4471" s="64" t="s">
        <v>223</v>
      </c>
      <c r="G4471" s="18" t="s">
        <v>829</v>
      </c>
      <c r="H4471" s="14">
        <f>30948.141-106.742</f>
        <v>30841.399000000001</v>
      </c>
      <c r="I4471" s="14">
        <v>30647.523209999999</v>
      </c>
      <c r="J4471" s="20">
        <v>26633.751540000001</v>
      </c>
      <c r="K4471" s="77">
        <f t="shared" si="1963"/>
        <v>86.903438680844715</v>
      </c>
      <c r="L4471" s="14"/>
      <c r="M4471" s="50"/>
      <c r="N4471" s="50"/>
    </row>
    <row r="4472" spans="1:14" ht="31.2" x14ac:dyDescent="0.3">
      <c r="A4472" s="64" t="s">
        <v>713</v>
      </c>
      <c r="B4472" s="62" t="s">
        <v>914</v>
      </c>
      <c r="C4472" s="68" t="s">
        <v>1382</v>
      </c>
      <c r="D4472" s="68" t="s">
        <v>1478</v>
      </c>
      <c r="E4472" s="8" t="s">
        <v>666</v>
      </c>
      <c r="F4472" s="8"/>
      <c r="G4472" s="13" t="s">
        <v>1167</v>
      </c>
      <c r="H4472" s="14">
        <f t="shared" ref="H4472:L4472" si="1983">H4473</f>
        <v>13945.359999999997</v>
      </c>
      <c r="I4472" s="14">
        <f t="shared" si="1983"/>
        <v>13939.70938</v>
      </c>
      <c r="J4472" s="14">
        <f>J4473</f>
        <v>13834.7006</v>
      </c>
      <c r="K4472" s="78">
        <f t="shared" si="1963"/>
        <v>99.246693190385585</v>
      </c>
      <c r="L4472" s="14">
        <f t="shared" si="1983"/>
        <v>0</v>
      </c>
      <c r="M4472" s="50"/>
      <c r="N4472" s="50"/>
    </row>
    <row r="4473" spans="1:14" ht="46.8" x14ac:dyDescent="0.3">
      <c r="A4473" s="64" t="s">
        <v>713</v>
      </c>
      <c r="B4473" s="62" t="s">
        <v>914</v>
      </c>
      <c r="C4473" s="68" t="s">
        <v>1382</v>
      </c>
      <c r="D4473" s="68" t="s">
        <v>1478</v>
      </c>
      <c r="E4473" s="8" t="s">
        <v>103</v>
      </c>
      <c r="F4473" s="8"/>
      <c r="G4473" s="13" t="s">
        <v>1302</v>
      </c>
      <c r="H4473" s="14">
        <f>H4474+H4483</f>
        <v>13945.359999999997</v>
      </c>
      <c r="I4473" s="14">
        <f>I4474+I4483</f>
        <v>13939.70938</v>
      </c>
      <c r="J4473" s="14">
        <f>J4474+J4483</f>
        <v>13834.7006</v>
      </c>
      <c r="K4473" s="78">
        <f t="shared" si="1963"/>
        <v>99.246693190385585</v>
      </c>
      <c r="L4473" s="14">
        <f>L4474+L4483</f>
        <v>0</v>
      </c>
      <c r="M4473" s="50"/>
      <c r="N4473" s="50"/>
    </row>
    <row r="4474" spans="1:14" x14ac:dyDescent="0.3">
      <c r="A4474" s="64" t="s">
        <v>713</v>
      </c>
      <c r="B4474" s="62" t="s">
        <v>914</v>
      </c>
      <c r="C4474" s="68" t="s">
        <v>1382</v>
      </c>
      <c r="D4474" s="68" t="s">
        <v>1478</v>
      </c>
      <c r="E4474" s="8" t="s">
        <v>281</v>
      </c>
      <c r="F4474" s="8"/>
      <c r="G4474" s="23" t="s">
        <v>299</v>
      </c>
      <c r="H4474" s="14">
        <f>H4475+H4479</f>
        <v>13125.399999999998</v>
      </c>
      <c r="I4474" s="14">
        <f>I4475+I4479+I4477</f>
        <v>13119.749379999999</v>
      </c>
      <c r="J4474" s="14">
        <f t="shared" ref="J4474:L4474" si="1984">J4475+J4479+J4477</f>
        <v>13083.4992</v>
      </c>
      <c r="K4474" s="78">
        <f t="shared" si="1963"/>
        <v>99.72369761837632</v>
      </c>
      <c r="L4474" s="14">
        <f t="shared" si="1984"/>
        <v>0</v>
      </c>
      <c r="M4474" s="50"/>
      <c r="N4474" s="50"/>
    </row>
    <row r="4475" spans="1:14" ht="31.2" x14ac:dyDescent="0.3">
      <c r="A4475" s="64" t="s">
        <v>713</v>
      </c>
      <c r="B4475" s="62" t="s">
        <v>914</v>
      </c>
      <c r="C4475" s="68" t="s">
        <v>1382</v>
      </c>
      <c r="D4475" s="68" t="s">
        <v>1478</v>
      </c>
      <c r="E4475" s="8" t="s">
        <v>281</v>
      </c>
      <c r="F4475" s="45" t="s">
        <v>380</v>
      </c>
      <c r="G4475" s="23" t="s">
        <v>809</v>
      </c>
      <c r="H4475" s="14">
        <f t="shared" ref="H4475:L4475" si="1985">H4476</f>
        <v>1750.6999999999998</v>
      </c>
      <c r="I4475" s="14">
        <f t="shared" si="1985"/>
        <v>561.77117999999996</v>
      </c>
      <c r="J4475" s="14">
        <f t="shared" si="1985"/>
        <v>525.52099999999996</v>
      </c>
      <c r="K4475" s="78">
        <f t="shared" si="1963"/>
        <v>93.547162743378891</v>
      </c>
      <c r="L4475" s="14">
        <f t="shared" si="1985"/>
        <v>0</v>
      </c>
      <c r="M4475" s="50"/>
      <c r="N4475" s="50"/>
    </row>
    <row r="4476" spans="1:14" ht="31.2" x14ac:dyDescent="0.3">
      <c r="A4476" s="64" t="s">
        <v>713</v>
      </c>
      <c r="B4476" s="62" t="s">
        <v>914</v>
      </c>
      <c r="C4476" s="68" t="s">
        <v>1382</v>
      </c>
      <c r="D4476" s="68" t="s">
        <v>1478</v>
      </c>
      <c r="E4476" s="8" t="s">
        <v>281</v>
      </c>
      <c r="F4476" s="8" t="s">
        <v>247</v>
      </c>
      <c r="G4476" s="23" t="s">
        <v>810</v>
      </c>
      <c r="H4476" s="14">
        <f>1881.6-130.9</f>
        <v>1750.6999999999998</v>
      </c>
      <c r="I4476" s="14">
        <v>561.77117999999996</v>
      </c>
      <c r="J4476" s="19">
        <v>525.52099999999996</v>
      </c>
      <c r="K4476" s="75">
        <f t="shared" si="1963"/>
        <v>93.547162743378891</v>
      </c>
      <c r="L4476" s="14"/>
      <c r="M4476" s="50"/>
      <c r="N4476" s="50"/>
    </row>
    <row r="4477" spans="1:14" x14ac:dyDescent="0.3">
      <c r="A4477" s="64" t="s">
        <v>713</v>
      </c>
      <c r="B4477" s="62" t="s">
        <v>914</v>
      </c>
      <c r="C4477" s="68" t="s">
        <v>1382</v>
      </c>
      <c r="D4477" s="68" t="s">
        <v>1478</v>
      </c>
      <c r="E4477" s="8" t="s">
        <v>281</v>
      </c>
      <c r="F4477" s="8" t="s">
        <v>404</v>
      </c>
      <c r="G4477" s="13" t="s">
        <v>811</v>
      </c>
      <c r="H4477" s="19">
        <v>0</v>
      </c>
      <c r="I4477" s="14">
        <f>I4478</f>
        <v>287.35500000000002</v>
      </c>
      <c r="J4477" s="14">
        <f t="shared" ref="J4477:L4477" si="1986">J4478</f>
        <v>287.35500000000002</v>
      </c>
      <c r="K4477" s="78">
        <f t="shared" si="1963"/>
        <v>100</v>
      </c>
      <c r="L4477" s="14">
        <f t="shared" si="1986"/>
        <v>0</v>
      </c>
      <c r="M4477" s="50"/>
      <c r="N4477" s="50"/>
    </row>
    <row r="4478" spans="1:14" x14ac:dyDescent="0.3">
      <c r="A4478" s="64" t="s">
        <v>713</v>
      </c>
      <c r="B4478" s="62" t="s">
        <v>914</v>
      </c>
      <c r="C4478" s="68" t="s">
        <v>1382</v>
      </c>
      <c r="D4478" s="68" t="s">
        <v>1478</v>
      </c>
      <c r="E4478" s="8" t="s">
        <v>281</v>
      </c>
      <c r="F4478" s="8" t="s">
        <v>723</v>
      </c>
      <c r="G4478" s="13" t="s">
        <v>815</v>
      </c>
      <c r="H4478" s="19">
        <v>0</v>
      </c>
      <c r="I4478" s="14">
        <v>287.35500000000002</v>
      </c>
      <c r="J4478" s="19">
        <v>287.35500000000002</v>
      </c>
      <c r="K4478" s="75">
        <f t="shared" si="1963"/>
        <v>100</v>
      </c>
      <c r="L4478" s="14"/>
      <c r="M4478" s="50"/>
      <c r="N4478" s="50"/>
    </row>
    <row r="4479" spans="1:14" ht="31.2" x14ac:dyDescent="0.3">
      <c r="A4479" s="64" t="s">
        <v>713</v>
      </c>
      <c r="B4479" s="62" t="s">
        <v>914</v>
      </c>
      <c r="C4479" s="68" t="s">
        <v>1382</v>
      </c>
      <c r="D4479" s="68" t="s">
        <v>1478</v>
      </c>
      <c r="E4479" s="8" t="s">
        <v>281</v>
      </c>
      <c r="F4479" s="45" t="s">
        <v>402</v>
      </c>
      <c r="G4479" s="23" t="s">
        <v>819</v>
      </c>
      <c r="H4479" s="14">
        <f>H4480+H4481+H4482</f>
        <v>11374.699999999999</v>
      </c>
      <c r="I4479" s="14">
        <f t="shared" ref="I4479:L4479" si="1987">I4480+I4481+I4482</f>
        <v>12270.6232</v>
      </c>
      <c r="J4479" s="14">
        <f>J4480+J4481+J4482</f>
        <v>12270.6232</v>
      </c>
      <c r="K4479" s="78">
        <f t="shared" si="1963"/>
        <v>100</v>
      </c>
      <c r="L4479" s="14">
        <f t="shared" si="1987"/>
        <v>0</v>
      </c>
      <c r="M4479" s="50"/>
      <c r="N4479" s="50"/>
    </row>
    <row r="4480" spans="1:14" x14ac:dyDescent="0.3">
      <c r="A4480" s="64" t="s">
        <v>713</v>
      </c>
      <c r="B4480" s="62" t="s">
        <v>914</v>
      </c>
      <c r="C4480" s="68" t="s">
        <v>1382</v>
      </c>
      <c r="D4480" s="68" t="s">
        <v>1478</v>
      </c>
      <c r="E4480" s="8" t="s">
        <v>281</v>
      </c>
      <c r="F4480" s="8" t="s">
        <v>726</v>
      </c>
      <c r="G4480" s="13" t="s">
        <v>820</v>
      </c>
      <c r="H4480" s="14">
        <v>220</v>
      </c>
      <c r="I4480" s="14">
        <v>220</v>
      </c>
      <c r="J4480" s="14">
        <v>220</v>
      </c>
      <c r="K4480" s="78">
        <f t="shared" si="1963"/>
        <v>100</v>
      </c>
      <c r="L4480" s="14"/>
      <c r="M4480" s="50"/>
      <c r="N4480" s="50"/>
    </row>
    <row r="4481" spans="1:14" x14ac:dyDescent="0.3">
      <c r="A4481" s="64" t="s">
        <v>713</v>
      </c>
      <c r="B4481" s="62" t="s">
        <v>914</v>
      </c>
      <c r="C4481" s="68" t="s">
        <v>1382</v>
      </c>
      <c r="D4481" s="68" t="s">
        <v>1478</v>
      </c>
      <c r="E4481" s="8" t="s">
        <v>281</v>
      </c>
      <c r="F4481" s="64" t="s">
        <v>223</v>
      </c>
      <c r="G4481" s="18" t="s">
        <v>829</v>
      </c>
      <c r="H4481" s="14">
        <f>8478.3+127.3+2549.1</f>
        <v>11154.699999999999</v>
      </c>
      <c r="I4481" s="14">
        <v>11652.7</v>
      </c>
      <c r="J4481" s="14">
        <v>11652.7</v>
      </c>
      <c r="K4481" s="78">
        <f t="shared" si="1963"/>
        <v>100</v>
      </c>
      <c r="L4481" s="14"/>
      <c r="M4481" s="50"/>
      <c r="N4481" s="50"/>
    </row>
    <row r="4482" spans="1:14" ht="46.8" x14ac:dyDescent="0.3">
      <c r="A4482" s="64" t="s">
        <v>713</v>
      </c>
      <c r="B4482" s="62" t="s">
        <v>914</v>
      </c>
      <c r="C4482" s="68" t="s">
        <v>1382</v>
      </c>
      <c r="D4482" s="68" t="s">
        <v>1478</v>
      </c>
      <c r="E4482" s="8" t="s">
        <v>281</v>
      </c>
      <c r="F4482" s="45" t="s">
        <v>280</v>
      </c>
      <c r="G4482" s="23" t="s">
        <v>821</v>
      </c>
      <c r="H4482" s="20">
        <v>0</v>
      </c>
      <c r="I4482" s="14">
        <v>397.92320000000001</v>
      </c>
      <c r="J4482" s="14">
        <v>397.92320000000001</v>
      </c>
      <c r="K4482" s="78">
        <f t="shared" si="1963"/>
        <v>100</v>
      </c>
      <c r="L4482" s="14"/>
      <c r="M4482" s="50"/>
      <c r="N4482" s="50"/>
    </row>
    <row r="4483" spans="1:14" ht="90.75" customHeight="1" x14ac:dyDescent="0.3">
      <c r="A4483" s="64" t="s">
        <v>713</v>
      </c>
      <c r="B4483" s="62" t="s">
        <v>914</v>
      </c>
      <c r="C4483" s="68" t="s">
        <v>1382</v>
      </c>
      <c r="D4483" s="68" t="s">
        <v>1478</v>
      </c>
      <c r="E4483" s="8" t="s">
        <v>282</v>
      </c>
      <c r="F4483" s="45"/>
      <c r="G4483" s="18" t="s">
        <v>300</v>
      </c>
      <c r="H4483" s="14">
        <f t="shared" ref="H4483:L4484" si="1988">H4484</f>
        <v>819.96</v>
      </c>
      <c r="I4483" s="14">
        <f t="shared" si="1988"/>
        <v>819.96</v>
      </c>
      <c r="J4483" s="14">
        <f t="shared" si="1988"/>
        <v>751.20140000000004</v>
      </c>
      <c r="K4483" s="78">
        <f t="shared" si="1963"/>
        <v>91.614395824186545</v>
      </c>
      <c r="L4483" s="14">
        <f t="shared" si="1988"/>
        <v>0</v>
      </c>
      <c r="M4483" s="50"/>
      <c r="N4483" s="50"/>
    </row>
    <row r="4484" spans="1:14" ht="31.2" x14ac:dyDescent="0.3">
      <c r="A4484" s="64" t="s">
        <v>713</v>
      </c>
      <c r="B4484" s="62" t="s">
        <v>914</v>
      </c>
      <c r="C4484" s="68" t="s">
        <v>1382</v>
      </c>
      <c r="D4484" s="68" t="s">
        <v>1478</v>
      </c>
      <c r="E4484" s="8" t="s">
        <v>282</v>
      </c>
      <c r="F4484" s="45" t="s">
        <v>402</v>
      </c>
      <c r="G4484" s="23" t="s">
        <v>819</v>
      </c>
      <c r="H4484" s="14">
        <f t="shared" si="1988"/>
        <v>819.96</v>
      </c>
      <c r="I4484" s="14">
        <f t="shared" si="1988"/>
        <v>819.96</v>
      </c>
      <c r="J4484" s="14">
        <f t="shared" si="1988"/>
        <v>751.20140000000004</v>
      </c>
      <c r="K4484" s="78">
        <f t="shared" si="1963"/>
        <v>91.614395824186545</v>
      </c>
      <c r="L4484" s="14">
        <f t="shared" si="1988"/>
        <v>0</v>
      </c>
      <c r="M4484" s="50"/>
      <c r="N4484" s="50"/>
    </row>
    <row r="4485" spans="1:14" ht="46.8" x14ac:dyDescent="0.3">
      <c r="A4485" s="64" t="s">
        <v>713</v>
      </c>
      <c r="B4485" s="62" t="s">
        <v>914</v>
      </c>
      <c r="C4485" s="68" t="s">
        <v>1382</v>
      </c>
      <c r="D4485" s="68" t="s">
        <v>1478</v>
      </c>
      <c r="E4485" s="8" t="s">
        <v>282</v>
      </c>
      <c r="F4485" s="45" t="s">
        <v>280</v>
      </c>
      <c r="G4485" s="23" t="s">
        <v>821</v>
      </c>
      <c r="H4485" s="14">
        <f>849.1-29.14</f>
        <v>819.96</v>
      </c>
      <c r="I4485" s="14">
        <v>819.96</v>
      </c>
      <c r="J4485" s="14">
        <v>751.20140000000004</v>
      </c>
      <c r="K4485" s="78">
        <f t="shared" si="1963"/>
        <v>91.614395824186545</v>
      </c>
      <c r="L4485" s="14"/>
      <c r="M4485" s="50"/>
      <c r="N4485" s="50"/>
    </row>
    <row r="4486" spans="1:14" s="9" customFormat="1" x14ac:dyDescent="0.3">
      <c r="A4486" s="6" t="s">
        <v>713</v>
      </c>
      <c r="B4486" s="48" t="s">
        <v>946</v>
      </c>
      <c r="C4486" s="48" t="s">
        <v>1382</v>
      </c>
      <c r="D4486" s="48" t="s">
        <v>1391</v>
      </c>
      <c r="E4486" s="11"/>
      <c r="F4486" s="29"/>
      <c r="G4486" s="7" t="s">
        <v>1336</v>
      </c>
      <c r="H4486" s="16">
        <f t="shared" ref="H4486:L4486" si="1989">H4487</f>
        <v>67835.399999999994</v>
      </c>
      <c r="I4486" s="16">
        <f t="shared" si="1989"/>
        <v>67835.399999999994</v>
      </c>
      <c r="J4486" s="16">
        <f t="shared" si="1989"/>
        <v>67835.399999999994</v>
      </c>
      <c r="K4486" s="82">
        <f t="shared" si="1963"/>
        <v>100</v>
      </c>
      <c r="L4486" s="16">
        <f t="shared" si="1989"/>
        <v>0</v>
      </c>
      <c r="M4486" s="65"/>
      <c r="N4486" s="65"/>
    </row>
    <row r="4487" spans="1:14" ht="31.2" x14ac:dyDescent="0.3">
      <c r="A4487" s="64" t="s">
        <v>713</v>
      </c>
      <c r="B4487" s="62" t="s">
        <v>946</v>
      </c>
      <c r="C4487" s="68" t="s">
        <v>1382</v>
      </c>
      <c r="D4487" s="68" t="s">
        <v>1391</v>
      </c>
      <c r="E4487" s="8" t="s">
        <v>446</v>
      </c>
      <c r="F4487" s="45"/>
      <c r="G4487" s="23" t="s">
        <v>864</v>
      </c>
      <c r="H4487" s="14">
        <f t="shared" ref="H4487:L4487" si="1990">H4488+H4493</f>
        <v>67835.399999999994</v>
      </c>
      <c r="I4487" s="14">
        <f t="shared" si="1990"/>
        <v>67835.399999999994</v>
      </c>
      <c r="J4487" s="14">
        <f t="shared" si="1990"/>
        <v>67835.399999999994</v>
      </c>
      <c r="K4487" s="78">
        <f t="shared" si="1963"/>
        <v>100</v>
      </c>
      <c r="L4487" s="14">
        <f t="shared" si="1990"/>
        <v>0</v>
      </c>
      <c r="M4487" s="50"/>
      <c r="N4487" s="50"/>
    </row>
    <row r="4488" spans="1:14" ht="31.2" x14ac:dyDescent="0.3">
      <c r="A4488" s="64" t="s">
        <v>713</v>
      </c>
      <c r="B4488" s="62" t="s">
        <v>946</v>
      </c>
      <c r="C4488" s="68" t="s">
        <v>1382</v>
      </c>
      <c r="D4488" s="68" t="s">
        <v>1391</v>
      </c>
      <c r="E4488" s="8" t="s">
        <v>447</v>
      </c>
      <c r="F4488" s="45"/>
      <c r="G4488" s="23" t="s">
        <v>865</v>
      </c>
      <c r="H4488" s="14">
        <f t="shared" ref="H4488:L4491" si="1991">H4489</f>
        <v>66167.399999999994</v>
      </c>
      <c r="I4488" s="14">
        <f t="shared" si="1991"/>
        <v>66167.399999999994</v>
      </c>
      <c r="J4488" s="14">
        <f t="shared" si="1991"/>
        <v>66167.399999999994</v>
      </c>
      <c r="K4488" s="78">
        <f t="shared" ref="K4488:K4551" si="1992">J4488/I4488*100</f>
        <v>100</v>
      </c>
      <c r="L4488" s="14">
        <f t="shared" si="1991"/>
        <v>0</v>
      </c>
      <c r="M4488" s="50"/>
      <c r="N4488" s="50"/>
    </row>
    <row r="4489" spans="1:14" ht="46.8" x14ac:dyDescent="0.3">
      <c r="A4489" s="64" t="s">
        <v>713</v>
      </c>
      <c r="B4489" s="62" t="s">
        <v>946</v>
      </c>
      <c r="C4489" s="68" t="s">
        <v>1382</v>
      </c>
      <c r="D4489" s="68" t="s">
        <v>1391</v>
      </c>
      <c r="E4489" s="8" t="s">
        <v>670</v>
      </c>
      <c r="F4489" s="45"/>
      <c r="G4489" s="13" t="s">
        <v>1299</v>
      </c>
      <c r="H4489" s="14">
        <f t="shared" ref="H4489:L4489" si="1993">H4490</f>
        <v>66167.399999999994</v>
      </c>
      <c r="I4489" s="14">
        <f t="shared" si="1993"/>
        <v>66167.399999999994</v>
      </c>
      <c r="J4489" s="14">
        <f t="shared" si="1993"/>
        <v>66167.399999999994</v>
      </c>
      <c r="K4489" s="78">
        <f t="shared" si="1992"/>
        <v>100</v>
      </c>
      <c r="L4489" s="14">
        <f t="shared" si="1993"/>
        <v>0</v>
      </c>
      <c r="M4489" s="50"/>
      <c r="N4489" s="50"/>
    </row>
    <row r="4490" spans="1:14" ht="46.8" x14ac:dyDescent="0.3">
      <c r="A4490" s="64" t="s">
        <v>713</v>
      </c>
      <c r="B4490" s="62" t="s">
        <v>946</v>
      </c>
      <c r="C4490" s="68" t="s">
        <v>1382</v>
      </c>
      <c r="D4490" s="68" t="s">
        <v>1391</v>
      </c>
      <c r="E4490" s="8" t="s">
        <v>673</v>
      </c>
      <c r="F4490" s="45"/>
      <c r="G4490" s="18" t="s">
        <v>707</v>
      </c>
      <c r="H4490" s="14">
        <f t="shared" si="1991"/>
        <v>66167.399999999994</v>
      </c>
      <c r="I4490" s="14">
        <f t="shared" si="1991"/>
        <v>66167.399999999994</v>
      </c>
      <c r="J4490" s="14">
        <f t="shared" si="1991"/>
        <v>66167.399999999994</v>
      </c>
      <c r="K4490" s="78">
        <f t="shared" si="1992"/>
        <v>100</v>
      </c>
      <c r="L4490" s="14">
        <f t="shared" si="1991"/>
        <v>0</v>
      </c>
      <c r="M4490" s="50"/>
      <c r="N4490" s="50"/>
    </row>
    <row r="4491" spans="1:14" ht="31.2" x14ac:dyDescent="0.3">
      <c r="A4491" s="64" t="s">
        <v>713</v>
      </c>
      <c r="B4491" s="62" t="s">
        <v>946</v>
      </c>
      <c r="C4491" s="68" t="s">
        <v>1382</v>
      </c>
      <c r="D4491" s="68" t="s">
        <v>1391</v>
      </c>
      <c r="E4491" s="8" t="s">
        <v>673</v>
      </c>
      <c r="F4491" s="45" t="s">
        <v>402</v>
      </c>
      <c r="G4491" s="23" t="s">
        <v>819</v>
      </c>
      <c r="H4491" s="14">
        <f t="shared" si="1991"/>
        <v>66167.399999999994</v>
      </c>
      <c r="I4491" s="14">
        <f t="shared" si="1991"/>
        <v>66167.399999999994</v>
      </c>
      <c r="J4491" s="14">
        <f t="shared" si="1991"/>
        <v>66167.399999999994</v>
      </c>
      <c r="K4491" s="78">
        <f t="shared" si="1992"/>
        <v>100</v>
      </c>
      <c r="L4491" s="14">
        <f t="shared" si="1991"/>
        <v>0</v>
      </c>
      <c r="M4491" s="50"/>
      <c r="N4491" s="50"/>
    </row>
    <row r="4492" spans="1:14" ht="46.8" x14ac:dyDescent="0.3">
      <c r="A4492" s="64" t="s">
        <v>713</v>
      </c>
      <c r="B4492" s="62" t="s">
        <v>946</v>
      </c>
      <c r="C4492" s="68" t="s">
        <v>1382</v>
      </c>
      <c r="D4492" s="68" t="s">
        <v>1391</v>
      </c>
      <c r="E4492" s="8" t="s">
        <v>673</v>
      </c>
      <c r="F4492" s="45" t="s">
        <v>280</v>
      </c>
      <c r="G4492" s="23" t="s">
        <v>821</v>
      </c>
      <c r="H4492" s="14">
        <f>69957.9-3790.5</f>
        <v>66167.399999999994</v>
      </c>
      <c r="I4492" s="14">
        <v>66167.399999999994</v>
      </c>
      <c r="J4492" s="14">
        <v>66167.399999999994</v>
      </c>
      <c r="K4492" s="78">
        <f t="shared" si="1992"/>
        <v>100</v>
      </c>
      <c r="L4492" s="14"/>
      <c r="M4492" s="50"/>
      <c r="N4492" s="50"/>
    </row>
    <row r="4493" spans="1:14" ht="31.2" x14ac:dyDescent="0.3">
      <c r="A4493" s="64" t="s">
        <v>713</v>
      </c>
      <c r="B4493" s="62" t="s">
        <v>946</v>
      </c>
      <c r="C4493" s="68" t="s">
        <v>1382</v>
      </c>
      <c r="D4493" s="68" t="s">
        <v>1391</v>
      </c>
      <c r="E4493" s="8" t="s">
        <v>666</v>
      </c>
      <c r="F4493" s="45"/>
      <c r="G4493" s="13" t="s">
        <v>1167</v>
      </c>
      <c r="H4493" s="14">
        <f t="shared" ref="H4493:L4495" si="1994">H4494</f>
        <v>1668</v>
      </c>
      <c r="I4493" s="14">
        <f t="shared" si="1994"/>
        <v>1668</v>
      </c>
      <c r="J4493" s="14">
        <f t="shared" si="1994"/>
        <v>1668</v>
      </c>
      <c r="K4493" s="78">
        <f t="shared" si="1992"/>
        <v>100</v>
      </c>
      <c r="L4493" s="14">
        <f t="shared" si="1994"/>
        <v>0</v>
      </c>
      <c r="M4493" s="50"/>
      <c r="N4493" s="50"/>
    </row>
    <row r="4494" spans="1:14" ht="31.2" x14ac:dyDescent="0.3">
      <c r="A4494" s="64" t="s">
        <v>713</v>
      </c>
      <c r="B4494" s="62" t="s">
        <v>946</v>
      </c>
      <c r="C4494" s="68" t="s">
        <v>1382</v>
      </c>
      <c r="D4494" s="68" t="s">
        <v>1391</v>
      </c>
      <c r="E4494" s="8" t="s">
        <v>108</v>
      </c>
      <c r="F4494" s="45"/>
      <c r="G4494" s="13" t="s">
        <v>153</v>
      </c>
      <c r="H4494" s="14">
        <f t="shared" si="1994"/>
        <v>1668</v>
      </c>
      <c r="I4494" s="14">
        <f t="shared" si="1994"/>
        <v>1668</v>
      </c>
      <c r="J4494" s="14">
        <f t="shared" si="1994"/>
        <v>1668</v>
      </c>
      <c r="K4494" s="78">
        <f t="shared" si="1992"/>
        <v>100</v>
      </c>
      <c r="L4494" s="14">
        <f t="shared" si="1994"/>
        <v>0</v>
      </c>
      <c r="M4494" s="50"/>
      <c r="N4494" s="50"/>
    </row>
    <row r="4495" spans="1:14" x14ac:dyDescent="0.3">
      <c r="A4495" s="64" t="s">
        <v>713</v>
      </c>
      <c r="B4495" s="62" t="s">
        <v>946</v>
      </c>
      <c r="C4495" s="68" t="s">
        <v>1382</v>
      </c>
      <c r="D4495" s="68" t="s">
        <v>1391</v>
      </c>
      <c r="E4495" s="8" t="s">
        <v>108</v>
      </c>
      <c r="F4495" s="8" t="s">
        <v>404</v>
      </c>
      <c r="G4495" s="13" t="s">
        <v>811</v>
      </c>
      <c r="H4495" s="14">
        <f t="shared" si="1994"/>
        <v>1668</v>
      </c>
      <c r="I4495" s="14">
        <f t="shared" si="1994"/>
        <v>1668</v>
      </c>
      <c r="J4495" s="14">
        <f t="shared" si="1994"/>
        <v>1668</v>
      </c>
      <c r="K4495" s="78">
        <f t="shared" si="1992"/>
        <v>100</v>
      </c>
      <c r="L4495" s="14">
        <f t="shared" si="1994"/>
        <v>0</v>
      </c>
      <c r="M4495" s="50"/>
      <c r="N4495" s="50"/>
    </row>
    <row r="4496" spans="1:14" ht="31.2" x14ac:dyDescent="0.3">
      <c r="A4496" s="64" t="s">
        <v>713</v>
      </c>
      <c r="B4496" s="62" t="s">
        <v>946</v>
      </c>
      <c r="C4496" s="68" t="s">
        <v>1382</v>
      </c>
      <c r="D4496" s="68" t="s">
        <v>1391</v>
      </c>
      <c r="E4496" s="8" t="s">
        <v>108</v>
      </c>
      <c r="F4496" s="8" t="s">
        <v>721</v>
      </c>
      <c r="G4496" s="13" t="s">
        <v>814</v>
      </c>
      <c r="H4496" s="14">
        <f>2586-918</f>
        <v>1668</v>
      </c>
      <c r="I4496" s="14">
        <v>1668</v>
      </c>
      <c r="J4496" s="14">
        <v>1668</v>
      </c>
      <c r="K4496" s="78">
        <f t="shared" si="1992"/>
        <v>100</v>
      </c>
      <c r="L4496" s="14"/>
      <c r="M4496" s="50"/>
      <c r="N4496" s="50"/>
    </row>
    <row r="4497" spans="1:14" s="9" customFormat="1" ht="31.2" x14ac:dyDescent="0.3">
      <c r="A4497" s="6" t="s">
        <v>713</v>
      </c>
      <c r="B4497" s="48" t="s">
        <v>947</v>
      </c>
      <c r="C4497" s="48" t="s">
        <v>1382</v>
      </c>
      <c r="D4497" s="48" t="s">
        <v>1392</v>
      </c>
      <c r="E4497" s="6"/>
      <c r="F4497" s="6"/>
      <c r="G4497" s="7" t="s">
        <v>1454</v>
      </c>
      <c r="H4497" s="16">
        <f t="shared" ref="H4497:L4497" si="1995">H4498</f>
        <v>13193.6</v>
      </c>
      <c r="I4497" s="16">
        <f t="shared" si="1995"/>
        <v>13176.3</v>
      </c>
      <c r="J4497" s="16">
        <f t="shared" si="1995"/>
        <v>13176.184090000001</v>
      </c>
      <c r="K4497" s="82">
        <f t="shared" si="1992"/>
        <v>99.999120314504083</v>
      </c>
      <c r="L4497" s="16">
        <f t="shared" si="1995"/>
        <v>0</v>
      </c>
      <c r="M4497" s="65"/>
      <c r="N4497" s="65"/>
    </row>
    <row r="4498" spans="1:14" ht="31.2" x14ac:dyDescent="0.3">
      <c r="A4498" s="64" t="s">
        <v>713</v>
      </c>
      <c r="B4498" s="62" t="s">
        <v>947</v>
      </c>
      <c r="C4498" s="68" t="s">
        <v>1382</v>
      </c>
      <c r="D4498" s="68" t="s">
        <v>1392</v>
      </c>
      <c r="E4498" s="8" t="s">
        <v>343</v>
      </c>
      <c r="F4498" s="8"/>
      <c r="G4498" s="23" t="s">
        <v>1157</v>
      </c>
      <c r="H4498" s="14">
        <f t="shared" ref="H4498:L4498" si="1996">H4499</f>
        <v>13193.6</v>
      </c>
      <c r="I4498" s="14">
        <f t="shared" si="1996"/>
        <v>13176.3</v>
      </c>
      <c r="J4498" s="14">
        <f t="shared" si="1996"/>
        <v>13176.184090000001</v>
      </c>
      <c r="K4498" s="78">
        <f t="shared" si="1992"/>
        <v>99.999120314504083</v>
      </c>
      <c r="L4498" s="14">
        <f t="shared" si="1996"/>
        <v>0</v>
      </c>
      <c r="M4498" s="50"/>
      <c r="N4498" s="50"/>
    </row>
    <row r="4499" spans="1:14" x14ac:dyDescent="0.3">
      <c r="A4499" s="64" t="s">
        <v>713</v>
      </c>
      <c r="B4499" s="62" t="s">
        <v>947</v>
      </c>
      <c r="C4499" s="68" t="s">
        <v>1382</v>
      </c>
      <c r="D4499" s="68" t="s">
        <v>1392</v>
      </c>
      <c r="E4499" s="8" t="s">
        <v>344</v>
      </c>
      <c r="F4499" s="8"/>
      <c r="G4499" s="23" t="s">
        <v>1159</v>
      </c>
      <c r="H4499" s="14">
        <f>H4500+H4503</f>
        <v>13193.6</v>
      </c>
      <c r="I4499" s="14">
        <f>I4500+I4503</f>
        <v>13176.3</v>
      </c>
      <c r="J4499" s="14">
        <f t="shared" ref="J4499" si="1997">J4500+J4503</f>
        <v>13176.184090000001</v>
      </c>
      <c r="K4499" s="78">
        <f t="shared" si="1992"/>
        <v>99.999120314504083</v>
      </c>
      <c r="L4499" s="14">
        <f>L4500+L4503</f>
        <v>0</v>
      </c>
      <c r="M4499" s="50"/>
      <c r="N4499" s="50"/>
    </row>
    <row r="4500" spans="1:14" ht="31.2" x14ac:dyDescent="0.3">
      <c r="A4500" s="64" t="s">
        <v>713</v>
      </c>
      <c r="B4500" s="62" t="s">
        <v>947</v>
      </c>
      <c r="C4500" s="83" t="s">
        <v>1382</v>
      </c>
      <c r="D4500" s="83" t="s">
        <v>1392</v>
      </c>
      <c r="E4500" s="45" t="s">
        <v>345</v>
      </c>
      <c r="F4500" s="8"/>
      <c r="G4500" s="23" t="s">
        <v>1152</v>
      </c>
      <c r="H4500" s="14">
        <f t="shared" ref="H4500:L4501" si="1998">H4501</f>
        <v>12031.9</v>
      </c>
      <c r="I4500" s="14">
        <f t="shared" si="1998"/>
        <v>12202.57129</v>
      </c>
      <c r="J4500" s="14">
        <f t="shared" si="1998"/>
        <v>12202.57129</v>
      </c>
      <c r="K4500" s="78">
        <f t="shared" si="1992"/>
        <v>100</v>
      </c>
      <c r="L4500" s="14">
        <f t="shared" si="1998"/>
        <v>0</v>
      </c>
      <c r="M4500" s="50"/>
      <c r="N4500" s="50"/>
    </row>
    <row r="4501" spans="1:14" ht="78" x14ac:dyDescent="0.3">
      <c r="A4501" s="64" t="s">
        <v>713</v>
      </c>
      <c r="B4501" s="62" t="s">
        <v>947</v>
      </c>
      <c r="C4501" s="83" t="s">
        <v>1382</v>
      </c>
      <c r="D4501" s="83" t="s">
        <v>1392</v>
      </c>
      <c r="E4501" s="45" t="s">
        <v>345</v>
      </c>
      <c r="F4501" s="45" t="s">
        <v>431</v>
      </c>
      <c r="G4501" s="23" t="s">
        <v>806</v>
      </c>
      <c r="H4501" s="14">
        <f t="shared" si="1998"/>
        <v>12031.9</v>
      </c>
      <c r="I4501" s="14">
        <f t="shared" si="1998"/>
        <v>12202.57129</v>
      </c>
      <c r="J4501" s="14">
        <f t="shared" si="1998"/>
        <v>12202.57129</v>
      </c>
      <c r="K4501" s="78">
        <f t="shared" si="1992"/>
        <v>100</v>
      </c>
      <c r="L4501" s="14">
        <f t="shared" si="1998"/>
        <v>0</v>
      </c>
      <c r="M4501" s="50"/>
      <c r="N4501" s="50"/>
    </row>
    <row r="4502" spans="1:14" ht="31.2" x14ac:dyDescent="0.3">
      <c r="A4502" s="64" t="s">
        <v>713</v>
      </c>
      <c r="B4502" s="62" t="s">
        <v>947</v>
      </c>
      <c r="C4502" s="83" t="s">
        <v>1382</v>
      </c>
      <c r="D4502" s="83" t="s">
        <v>1392</v>
      </c>
      <c r="E4502" s="45" t="s">
        <v>345</v>
      </c>
      <c r="F4502" s="45" t="s">
        <v>233</v>
      </c>
      <c r="G4502" s="23" t="s">
        <v>808</v>
      </c>
      <c r="H4502" s="14">
        <v>12031.9</v>
      </c>
      <c r="I4502" s="14">
        <v>12202.57129</v>
      </c>
      <c r="J4502" s="14">
        <v>12202.57129</v>
      </c>
      <c r="K4502" s="78">
        <f t="shared" si="1992"/>
        <v>100</v>
      </c>
      <c r="L4502" s="14"/>
      <c r="M4502" s="50"/>
      <c r="N4502" s="50"/>
    </row>
    <row r="4503" spans="1:14" ht="31.2" x14ac:dyDescent="0.3">
      <c r="A4503" s="64" t="s">
        <v>713</v>
      </c>
      <c r="B4503" s="62" t="s">
        <v>947</v>
      </c>
      <c r="C4503" s="83" t="s">
        <v>1382</v>
      </c>
      <c r="D4503" s="83" t="s">
        <v>1392</v>
      </c>
      <c r="E4503" s="45" t="s">
        <v>346</v>
      </c>
      <c r="F4503" s="8"/>
      <c r="G4503" s="23" t="s">
        <v>1154</v>
      </c>
      <c r="H4503" s="14">
        <f>H4506+H4508</f>
        <v>1161.7</v>
      </c>
      <c r="I4503" s="14">
        <f>I4506+I4508+I4504</f>
        <v>973.72871000000009</v>
      </c>
      <c r="J4503" s="14">
        <f t="shared" ref="J4503:L4503" si="1999">J4506+J4508+J4504</f>
        <v>973.61280000000011</v>
      </c>
      <c r="K4503" s="78">
        <f t="shared" si="1992"/>
        <v>99.988096273755758</v>
      </c>
      <c r="L4503" s="14">
        <f t="shared" si="1999"/>
        <v>0</v>
      </c>
      <c r="M4503" s="50"/>
      <c r="N4503" s="50"/>
    </row>
    <row r="4504" spans="1:14" ht="78" x14ac:dyDescent="0.3">
      <c r="A4504" s="64" t="s">
        <v>713</v>
      </c>
      <c r="B4504" s="62" t="s">
        <v>947</v>
      </c>
      <c r="C4504" s="83" t="s">
        <v>1382</v>
      </c>
      <c r="D4504" s="83" t="s">
        <v>1392</v>
      </c>
      <c r="E4504" s="45" t="s">
        <v>346</v>
      </c>
      <c r="F4504" s="45" t="s">
        <v>431</v>
      </c>
      <c r="G4504" s="23" t="s">
        <v>806</v>
      </c>
      <c r="H4504" s="20">
        <v>0</v>
      </c>
      <c r="I4504" s="14">
        <f>I4505</f>
        <v>1.3204499999999999</v>
      </c>
      <c r="J4504" s="14">
        <f t="shared" ref="J4504:L4504" si="2000">J4505</f>
        <v>1.3204499999999999</v>
      </c>
      <c r="K4504" s="78">
        <f t="shared" si="1992"/>
        <v>100</v>
      </c>
      <c r="L4504" s="14">
        <f t="shared" si="2000"/>
        <v>0</v>
      </c>
      <c r="M4504" s="50"/>
      <c r="N4504" s="50"/>
    </row>
    <row r="4505" spans="1:14" ht="31.2" x14ac:dyDescent="0.3">
      <c r="A4505" s="64" t="s">
        <v>713</v>
      </c>
      <c r="B4505" s="62" t="s">
        <v>947</v>
      </c>
      <c r="C4505" s="83" t="s">
        <v>1382</v>
      </c>
      <c r="D4505" s="83" t="s">
        <v>1392</v>
      </c>
      <c r="E4505" s="45" t="s">
        <v>346</v>
      </c>
      <c r="F4505" s="45" t="s">
        <v>233</v>
      </c>
      <c r="G4505" s="23" t="s">
        <v>808</v>
      </c>
      <c r="H4505" s="20">
        <v>0</v>
      </c>
      <c r="I4505" s="14">
        <v>1.3204499999999999</v>
      </c>
      <c r="J4505" s="14">
        <v>1.3204499999999999</v>
      </c>
      <c r="K4505" s="78">
        <f t="shared" si="1992"/>
        <v>100</v>
      </c>
      <c r="L4505" s="14"/>
      <c r="M4505" s="50"/>
      <c r="N4505" s="50"/>
    </row>
    <row r="4506" spans="1:14" ht="31.2" x14ac:dyDescent="0.3">
      <c r="A4506" s="64" t="s">
        <v>713</v>
      </c>
      <c r="B4506" s="62" t="s">
        <v>947</v>
      </c>
      <c r="C4506" s="83" t="s">
        <v>1382</v>
      </c>
      <c r="D4506" s="83" t="s">
        <v>1392</v>
      </c>
      <c r="E4506" s="45" t="s">
        <v>346</v>
      </c>
      <c r="F4506" s="45" t="s">
        <v>380</v>
      </c>
      <c r="G4506" s="23" t="s">
        <v>809</v>
      </c>
      <c r="H4506" s="14">
        <f t="shared" ref="H4506:L4506" si="2001">H4507</f>
        <v>1161</v>
      </c>
      <c r="I4506" s="14">
        <f t="shared" si="2001"/>
        <v>971.24990000000003</v>
      </c>
      <c r="J4506" s="14">
        <f t="shared" si="2001"/>
        <v>971.13399000000004</v>
      </c>
      <c r="K4506" s="78">
        <f t="shared" si="1992"/>
        <v>99.988065893237149</v>
      </c>
      <c r="L4506" s="14">
        <f t="shared" si="2001"/>
        <v>0</v>
      </c>
      <c r="M4506" s="50"/>
      <c r="N4506" s="50"/>
    </row>
    <row r="4507" spans="1:14" ht="31.2" x14ac:dyDescent="0.3">
      <c r="A4507" s="64" t="s">
        <v>713</v>
      </c>
      <c r="B4507" s="62" t="s">
        <v>947</v>
      </c>
      <c r="C4507" s="83" t="s">
        <v>1382</v>
      </c>
      <c r="D4507" s="83" t="s">
        <v>1392</v>
      </c>
      <c r="E4507" s="45" t="s">
        <v>346</v>
      </c>
      <c r="F4507" s="8" t="s">
        <v>247</v>
      </c>
      <c r="G4507" s="23" t="s">
        <v>810</v>
      </c>
      <c r="H4507" s="14">
        <v>1161</v>
      </c>
      <c r="I4507" s="14">
        <v>971.24990000000003</v>
      </c>
      <c r="J4507" s="14">
        <v>971.13399000000004</v>
      </c>
      <c r="K4507" s="78">
        <f t="shared" si="1992"/>
        <v>99.988065893237149</v>
      </c>
      <c r="L4507" s="14"/>
      <c r="M4507" s="50"/>
      <c r="N4507" s="50"/>
    </row>
    <row r="4508" spans="1:14" x14ac:dyDescent="0.3">
      <c r="A4508" s="64" t="s">
        <v>713</v>
      </c>
      <c r="B4508" s="62" t="s">
        <v>947</v>
      </c>
      <c r="C4508" s="83" t="s">
        <v>1382</v>
      </c>
      <c r="D4508" s="83" t="s">
        <v>1392</v>
      </c>
      <c r="E4508" s="45" t="s">
        <v>346</v>
      </c>
      <c r="F4508" s="45" t="s">
        <v>464</v>
      </c>
      <c r="G4508" s="23" t="s">
        <v>822</v>
      </c>
      <c r="H4508" s="14">
        <f t="shared" ref="H4508:L4508" si="2002">H4509</f>
        <v>0.7</v>
      </c>
      <c r="I4508" s="14">
        <f t="shared" si="2002"/>
        <v>1.1583600000000001</v>
      </c>
      <c r="J4508" s="14">
        <f t="shared" si="2002"/>
        <v>1.1583600000000001</v>
      </c>
      <c r="K4508" s="78">
        <f t="shared" si="1992"/>
        <v>100</v>
      </c>
      <c r="L4508" s="14">
        <f t="shared" si="2002"/>
        <v>0</v>
      </c>
      <c r="M4508" s="50"/>
      <c r="N4508" s="50"/>
    </row>
    <row r="4509" spans="1:14" x14ac:dyDescent="0.3">
      <c r="A4509" s="64" t="s">
        <v>713</v>
      </c>
      <c r="B4509" s="62" t="s">
        <v>947</v>
      </c>
      <c r="C4509" s="83" t="s">
        <v>1382</v>
      </c>
      <c r="D4509" s="83" t="s">
        <v>1392</v>
      </c>
      <c r="E4509" s="45" t="s">
        <v>346</v>
      </c>
      <c r="F4509" s="45" t="s">
        <v>729</v>
      </c>
      <c r="G4509" s="23" t="s">
        <v>824</v>
      </c>
      <c r="H4509" s="14">
        <v>0.7</v>
      </c>
      <c r="I4509" s="14">
        <v>1.1583600000000001</v>
      </c>
      <c r="J4509" s="14">
        <v>1.1583600000000001</v>
      </c>
      <c r="K4509" s="78">
        <f t="shared" si="1992"/>
        <v>100</v>
      </c>
      <c r="L4509" s="14"/>
      <c r="M4509" s="50"/>
      <c r="N4509" s="50"/>
    </row>
    <row r="4510" spans="1:14" s="3" customFormat="1" ht="17.25" customHeight="1" x14ac:dyDescent="0.3">
      <c r="A4510" s="4" t="s">
        <v>714</v>
      </c>
      <c r="B4510" s="43" t="s">
        <v>915</v>
      </c>
      <c r="C4510" s="43" t="s">
        <v>915</v>
      </c>
      <c r="D4510" s="43" t="s">
        <v>915</v>
      </c>
      <c r="E4510" s="4"/>
      <c r="F4510" s="4"/>
      <c r="G4510" s="5" t="s">
        <v>1442</v>
      </c>
      <c r="H4510" s="15">
        <f t="shared" ref="H4510:L4512" si="2003">H4511</f>
        <v>39997.299999999996</v>
      </c>
      <c r="I4510" s="15">
        <f t="shared" si="2003"/>
        <v>39997.299999999996</v>
      </c>
      <c r="J4510" s="15">
        <f t="shared" si="2003"/>
        <v>39990.69945</v>
      </c>
      <c r="K4510" s="81">
        <f t="shared" si="1992"/>
        <v>99.983497511082007</v>
      </c>
      <c r="L4510" s="15">
        <f t="shared" si="2003"/>
        <v>0</v>
      </c>
      <c r="M4510" s="65"/>
      <c r="N4510" s="65"/>
    </row>
    <row r="4511" spans="1:14" s="3" customFormat="1" x14ac:dyDescent="0.3">
      <c r="A4511" s="4" t="s">
        <v>714</v>
      </c>
      <c r="B4511" s="43" t="s">
        <v>1372</v>
      </c>
      <c r="C4511" s="43" t="s">
        <v>1372</v>
      </c>
      <c r="D4511" s="43" t="s">
        <v>915</v>
      </c>
      <c r="E4511" s="4"/>
      <c r="F4511" s="4"/>
      <c r="G4511" s="5" t="s">
        <v>1376</v>
      </c>
      <c r="H4511" s="15">
        <f t="shared" si="2003"/>
        <v>39997.299999999996</v>
      </c>
      <c r="I4511" s="15">
        <f t="shared" si="2003"/>
        <v>39997.299999999996</v>
      </c>
      <c r="J4511" s="15">
        <f t="shared" si="2003"/>
        <v>39990.69945</v>
      </c>
      <c r="K4511" s="81">
        <f t="shared" si="1992"/>
        <v>99.983497511082007</v>
      </c>
      <c r="L4511" s="15">
        <f t="shared" si="2003"/>
        <v>0</v>
      </c>
      <c r="M4511" s="65"/>
      <c r="N4511" s="65"/>
    </row>
    <row r="4512" spans="1:14" s="9" customFormat="1" ht="46.8" x14ac:dyDescent="0.3">
      <c r="A4512" s="6" t="s">
        <v>714</v>
      </c>
      <c r="B4512" s="48" t="s">
        <v>916</v>
      </c>
      <c r="C4512" s="48" t="s">
        <v>1372</v>
      </c>
      <c r="D4512" s="48" t="s">
        <v>1381</v>
      </c>
      <c r="E4512" s="6"/>
      <c r="F4512" s="6"/>
      <c r="G4512" s="7" t="s">
        <v>1384</v>
      </c>
      <c r="H4512" s="16">
        <f t="shared" si="2003"/>
        <v>39997.299999999996</v>
      </c>
      <c r="I4512" s="16">
        <f t="shared" si="2003"/>
        <v>39997.299999999996</v>
      </c>
      <c r="J4512" s="16">
        <f t="shared" si="2003"/>
        <v>39990.69945</v>
      </c>
      <c r="K4512" s="82">
        <f t="shared" si="1992"/>
        <v>99.983497511082007</v>
      </c>
      <c r="L4512" s="16">
        <f t="shared" si="2003"/>
        <v>0</v>
      </c>
      <c r="M4512" s="65"/>
      <c r="N4512" s="65"/>
    </row>
    <row r="4513" spans="1:14" ht="31.2" x14ac:dyDescent="0.3">
      <c r="A4513" s="64" t="s">
        <v>714</v>
      </c>
      <c r="B4513" s="62" t="s">
        <v>916</v>
      </c>
      <c r="C4513" s="68" t="s">
        <v>1372</v>
      </c>
      <c r="D4513" s="68" t="s">
        <v>1381</v>
      </c>
      <c r="E4513" s="8" t="s">
        <v>564</v>
      </c>
      <c r="F4513" s="8"/>
      <c r="G4513" s="13" t="s">
        <v>24</v>
      </c>
      <c r="H4513" s="14">
        <f>H4514+H4518</f>
        <v>39997.299999999996</v>
      </c>
      <c r="I4513" s="14">
        <f>I4514+I4518</f>
        <v>39997.299999999996</v>
      </c>
      <c r="J4513" s="14">
        <f t="shared" ref="J4513" si="2004">J4514+J4518</f>
        <v>39990.69945</v>
      </c>
      <c r="K4513" s="78">
        <f t="shared" si="1992"/>
        <v>99.983497511082007</v>
      </c>
      <c r="L4513" s="14">
        <f>L4514+L4518</f>
        <v>0</v>
      </c>
      <c r="M4513" s="50"/>
      <c r="N4513" s="50"/>
    </row>
    <row r="4514" spans="1:14" ht="31.2" x14ac:dyDescent="0.3">
      <c r="A4514" s="64" t="s">
        <v>714</v>
      </c>
      <c r="B4514" s="62" t="s">
        <v>916</v>
      </c>
      <c r="C4514" s="68" t="s">
        <v>1372</v>
      </c>
      <c r="D4514" s="68" t="s">
        <v>1381</v>
      </c>
      <c r="E4514" s="8" t="s">
        <v>565</v>
      </c>
      <c r="F4514" s="8"/>
      <c r="G4514" s="13" t="s">
        <v>215</v>
      </c>
      <c r="H4514" s="14">
        <f t="shared" ref="H4514:L4516" si="2005">H4515</f>
        <v>4187.7</v>
      </c>
      <c r="I4514" s="14">
        <f t="shared" si="2005"/>
        <v>4339.5648000000001</v>
      </c>
      <c r="J4514" s="14">
        <f t="shared" si="2005"/>
        <v>4333.0325700000003</v>
      </c>
      <c r="K4514" s="78">
        <f t="shared" si="1992"/>
        <v>99.849472693667352</v>
      </c>
      <c r="L4514" s="14">
        <f t="shared" si="2005"/>
        <v>0</v>
      </c>
      <c r="M4514" s="50"/>
      <c r="N4514" s="50"/>
    </row>
    <row r="4515" spans="1:14" ht="31.2" x14ac:dyDescent="0.3">
      <c r="A4515" s="64" t="s">
        <v>714</v>
      </c>
      <c r="B4515" s="62" t="s">
        <v>916</v>
      </c>
      <c r="C4515" s="68" t="s">
        <v>1372</v>
      </c>
      <c r="D4515" s="68" t="s">
        <v>1381</v>
      </c>
      <c r="E4515" s="8" t="s">
        <v>566</v>
      </c>
      <c r="F4515" s="8"/>
      <c r="G4515" s="13" t="s">
        <v>1152</v>
      </c>
      <c r="H4515" s="14">
        <f t="shared" si="2005"/>
        <v>4187.7</v>
      </c>
      <c r="I4515" s="14">
        <f t="shared" si="2005"/>
        <v>4339.5648000000001</v>
      </c>
      <c r="J4515" s="14">
        <f t="shared" si="2005"/>
        <v>4333.0325700000003</v>
      </c>
      <c r="K4515" s="78">
        <f t="shared" si="1992"/>
        <v>99.849472693667352</v>
      </c>
      <c r="L4515" s="14">
        <f t="shared" si="2005"/>
        <v>0</v>
      </c>
      <c r="M4515" s="50"/>
      <c r="N4515" s="50"/>
    </row>
    <row r="4516" spans="1:14" ht="78" x14ac:dyDescent="0.3">
      <c r="A4516" s="64" t="s">
        <v>714</v>
      </c>
      <c r="B4516" s="62" t="s">
        <v>916</v>
      </c>
      <c r="C4516" s="68" t="s">
        <v>1372</v>
      </c>
      <c r="D4516" s="68" t="s">
        <v>1381</v>
      </c>
      <c r="E4516" s="8" t="s">
        <v>566</v>
      </c>
      <c r="F4516" s="45" t="s">
        <v>431</v>
      </c>
      <c r="G4516" s="23" t="s">
        <v>806</v>
      </c>
      <c r="H4516" s="14">
        <f t="shared" si="2005"/>
        <v>4187.7</v>
      </c>
      <c r="I4516" s="14">
        <f t="shared" si="2005"/>
        <v>4339.5648000000001</v>
      </c>
      <c r="J4516" s="14">
        <f t="shared" si="2005"/>
        <v>4333.0325700000003</v>
      </c>
      <c r="K4516" s="78">
        <f t="shared" si="1992"/>
        <v>99.849472693667352</v>
      </c>
      <c r="L4516" s="14">
        <f t="shared" si="2005"/>
        <v>0</v>
      </c>
      <c r="M4516" s="50"/>
      <c r="N4516" s="50"/>
    </row>
    <row r="4517" spans="1:14" ht="31.2" x14ac:dyDescent="0.3">
      <c r="A4517" s="64" t="s">
        <v>714</v>
      </c>
      <c r="B4517" s="62" t="s">
        <v>916</v>
      </c>
      <c r="C4517" s="68" t="s">
        <v>1372</v>
      </c>
      <c r="D4517" s="68" t="s">
        <v>1381</v>
      </c>
      <c r="E4517" s="8" t="s">
        <v>566</v>
      </c>
      <c r="F4517" s="45" t="s">
        <v>233</v>
      </c>
      <c r="G4517" s="23" t="s">
        <v>808</v>
      </c>
      <c r="H4517" s="14">
        <v>4187.7</v>
      </c>
      <c r="I4517" s="14">
        <v>4339.5648000000001</v>
      </c>
      <c r="J4517" s="14">
        <v>4333.0325700000003</v>
      </c>
      <c r="K4517" s="78">
        <f t="shared" si="1992"/>
        <v>99.849472693667352</v>
      </c>
      <c r="L4517" s="14"/>
      <c r="M4517" s="50"/>
      <c r="N4517" s="50"/>
    </row>
    <row r="4518" spans="1:14" x14ac:dyDescent="0.3">
      <c r="A4518" s="64" t="s">
        <v>714</v>
      </c>
      <c r="B4518" s="62" t="s">
        <v>916</v>
      </c>
      <c r="C4518" s="68" t="s">
        <v>1372</v>
      </c>
      <c r="D4518" s="68" t="s">
        <v>1381</v>
      </c>
      <c r="E4518" s="8" t="s">
        <v>567</v>
      </c>
      <c r="F4518" s="8"/>
      <c r="G4518" s="13" t="s">
        <v>1155</v>
      </c>
      <c r="H4518" s="14">
        <f>H4519+H4522</f>
        <v>35809.599999999999</v>
      </c>
      <c r="I4518" s="14">
        <f>I4519+I4522</f>
        <v>35657.735199999996</v>
      </c>
      <c r="J4518" s="14">
        <f t="shared" ref="J4518" si="2006">J4519+J4522</f>
        <v>35657.666879999997</v>
      </c>
      <c r="K4518" s="78">
        <f t="shared" si="1992"/>
        <v>99.99980840061879</v>
      </c>
      <c r="L4518" s="14">
        <f>L4519+L4522</f>
        <v>0</v>
      </c>
      <c r="M4518" s="50"/>
      <c r="N4518" s="50"/>
    </row>
    <row r="4519" spans="1:14" ht="31.2" x14ac:dyDescent="0.3">
      <c r="A4519" s="64" t="s">
        <v>714</v>
      </c>
      <c r="B4519" s="62" t="s">
        <v>916</v>
      </c>
      <c r="C4519" s="68" t="s">
        <v>1372</v>
      </c>
      <c r="D4519" s="68" t="s">
        <v>1381</v>
      </c>
      <c r="E4519" s="8" t="s">
        <v>568</v>
      </c>
      <c r="F4519" s="8"/>
      <c r="G4519" s="13" t="s">
        <v>1152</v>
      </c>
      <c r="H4519" s="14">
        <f t="shared" ref="H4519:L4520" si="2007">H4520</f>
        <v>30742.6</v>
      </c>
      <c r="I4519" s="14">
        <f t="shared" si="2007"/>
        <v>32788.838089999997</v>
      </c>
      <c r="J4519" s="14">
        <f t="shared" si="2007"/>
        <v>32788.769769999999</v>
      </c>
      <c r="K4519" s="78">
        <f t="shared" si="1992"/>
        <v>99.999791636410507</v>
      </c>
      <c r="L4519" s="14">
        <f t="shared" si="2007"/>
        <v>0</v>
      </c>
      <c r="M4519" s="50"/>
      <c r="N4519" s="50"/>
    </row>
    <row r="4520" spans="1:14" ht="78" x14ac:dyDescent="0.3">
      <c r="A4520" s="64" t="s">
        <v>714</v>
      </c>
      <c r="B4520" s="62" t="s">
        <v>916</v>
      </c>
      <c r="C4520" s="68" t="s">
        <v>1372</v>
      </c>
      <c r="D4520" s="68" t="s">
        <v>1381</v>
      </c>
      <c r="E4520" s="8" t="s">
        <v>568</v>
      </c>
      <c r="F4520" s="45" t="s">
        <v>431</v>
      </c>
      <c r="G4520" s="23" t="s">
        <v>806</v>
      </c>
      <c r="H4520" s="14">
        <f t="shared" si="2007"/>
        <v>30742.6</v>
      </c>
      <c r="I4520" s="14">
        <f t="shared" si="2007"/>
        <v>32788.838089999997</v>
      </c>
      <c r="J4520" s="14">
        <f t="shared" si="2007"/>
        <v>32788.769769999999</v>
      </c>
      <c r="K4520" s="78">
        <f t="shared" si="1992"/>
        <v>99.999791636410507</v>
      </c>
      <c r="L4520" s="14">
        <f t="shared" si="2007"/>
        <v>0</v>
      </c>
      <c r="M4520" s="50"/>
      <c r="N4520" s="50"/>
    </row>
    <row r="4521" spans="1:14" ht="31.2" x14ac:dyDescent="0.3">
      <c r="A4521" s="64" t="s">
        <v>714</v>
      </c>
      <c r="B4521" s="62" t="s">
        <v>916</v>
      </c>
      <c r="C4521" s="68" t="s">
        <v>1372</v>
      </c>
      <c r="D4521" s="68" t="s">
        <v>1381</v>
      </c>
      <c r="E4521" s="8" t="s">
        <v>568</v>
      </c>
      <c r="F4521" s="45" t="s">
        <v>233</v>
      </c>
      <c r="G4521" s="23" t="s">
        <v>808</v>
      </c>
      <c r="H4521" s="14">
        <v>30742.6</v>
      </c>
      <c r="I4521" s="14">
        <v>32788.838089999997</v>
      </c>
      <c r="J4521" s="14">
        <v>32788.769769999999</v>
      </c>
      <c r="K4521" s="78">
        <f t="shared" si="1992"/>
        <v>99.999791636410507</v>
      </c>
      <c r="L4521" s="14"/>
      <c r="M4521" s="50"/>
      <c r="N4521" s="50"/>
    </row>
    <row r="4522" spans="1:14" ht="31.2" x14ac:dyDescent="0.3">
      <c r="A4522" s="64" t="s">
        <v>714</v>
      </c>
      <c r="B4522" s="62" t="s">
        <v>916</v>
      </c>
      <c r="C4522" s="68" t="s">
        <v>1372</v>
      </c>
      <c r="D4522" s="68" t="s">
        <v>1381</v>
      </c>
      <c r="E4522" s="8" t="s">
        <v>569</v>
      </c>
      <c r="F4522" s="8"/>
      <c r="G4522" s="13" t="s">
        <v>1154</v>
      </c>
      <c r="H4522" s="14">
        <f>H4523+H4525+H4527</f>
        <v>5067</v>
      </c>
      <c r="I4522" s="14">
        <f>I4523+I4525+I4527</f>
        <v>2868.8971100000003</v>
      </c>
      <c r="J4522" s="14">
        <f t="shared" ref="J4522" si="2008">J4523+J4525+J4527</f>
        <v>2868.8971100000003</v>
      </c>
      <c r="K4522" s="78">
        <f t="shared" si="1992"/>
        <v>100</v>
      </c>
      <c r="L4522" s="14">
        <f>L4523+L4525+L4527</f>
        <v>0</v>
      </c>
      <c r="M4522" s="50"/>
      <c r="N4522" s="50"/>
    </row>
    <row r="4523" spans="1:14" ht="78" x14ac:dyDescent="0.3">
      <c r="A4523" s="64" t="s">
        <v>714</v>
      </c>
      <c r="B4523" s="62" t="s">
        <v>916</v>
      </c>
      <c r="C4523" s="68" t="s">
        <v>1372</v>
      </c>
      <c r="D4523" s="68" t="s">
        <v>1381</v>
      </c>
      <c r="E4523" s="8" t="s">
        <v>569</v>
      </c>
      <c r="F4523" s="45" t="s">
        <v>431</v>
      </c>
      <c r="G4523" s="23" t="s">
        <v>806</v>
      </c>
      <c r="H4523" s="14">
        <f t="shared" ref="H4523:L4523" si="2009">H4524</f>
        <v>442.7</v>
      </c>
      <c r="I4523" s="14">
        <f t="shared" si="2009"/>
        <v>172.36449999999999</v>
      </c>
      <c r="J4523" s="14">
        <f t="shared" si="2009"/>
        <v>172.36449999999999</v>
      </c>
      <c r="K4523" s="78">
        <f t="shared" si="1992"/>
        <v>100</v>
      </c>
      <c r="L4523" s="14">
        <f t="shared" si="2009"/>
        <v>0</v>
      </c>
      <c r="M4523" s="50"/>
      <c r="N4523" s="50"/>
    </row>
    <row r="4524" spans="1:14" ht="31.2" x14ac:dyDescent="0.3">
      <c r="A4524" s="64" t="s">
        <v>714</v>
      </c>
      <c r="B4524" s="62" t="s">
        <v>916</v>
      </c>
      <c r="C4524" s="68" t="s">
        <v>1372</v>
      </c>
      <c r="D4524" s="68" t="s">
        <v>1381</v>
      </c>
      <c r="E4524" s="8" t="s">
        <v>569</v>
      </c>
      <c r="F4524" s="45" t="s">
        <v>233</v>
      </c>
      <c r="G4524" s="23" t="s">
        <v>808</v>
      </c>
      <c r="H4524" s="14">
        <v>442.7</v>
      </c>
      <c r="I4524" s="14">
        <v>172.36449999999999</v>
      </c>
      <c r="J4524" s="14">
        <v>172.36449999999999</v>
      </c>
      <c r="K4524" s="78">
        <f t="shared" si="1992"/>
        <v>100</v>
      </c>
      <c r="L4524" s="14"/>
      <c r="M4524" s="50"/>
      <c r="N4524" s="50"/>
    </row>
    <row r="4525" spans="1:14" ht="31.2" x14ac:dyDescent="0.3">
      <c r="A4525" s="64" t="s">
        <v>714</v>
      </c>
      <c r="B4525" s="62" t="s">
        <v>916</v>
      </c>
      <c r="C4525" s="68" t="s">
        <v>1372</v>
      </c>
      <c r="D4525" s="68" t="s">
        <v>1381</v>
      </c>
      <c r="E4525" s="8" t="s">
        <v>569</v>
      </c>
      <c r="F4525" s="45" t="s">
        <v>380</v>
      </c>
      <c r="G4525" s="23" t="s">
        <v>809</v>
      </c>
      <c r="H4525" s="14">
        <f t="shared" ref="H4525:L4525" si="2010">H4526</f>
        <v>4561.7</v>
      </c>
      <c r="I4525" s="14">
        <f t="shared" si="2010"/>
        <v>2649.56061</v>
      </c>
      <c r="J4525" s="14">
        <f t="shared" si="2010"/>
        <v>2649.56061</v>
      </c>
      <c r="K4525" s="78">
        <f t="shared" si="1992"/>
        <v>100</v>
      </c>
      <c r="L4525" s="14">
        <f t="shared" si="2010"/>
        <v>0</v>
      </c>
      <c r="M4525" s="50"/>
      <c r="N4525" s="50"/>
    </row>
    <row r="4526" spans="1:14" ht="31.2" x14ac:dyDescent="0.3">
      <c r="A4526" s="64" t="s">
        <v>714</v>
      </c>
      <c r="B4526" s="62" t="s">
        <v>916</v>
      </c>
      <c r="C4526" s="68" t="s">
        <v>1372</v>
      </c>
      <c r="D4526" s="68" t="s">
        <v>1381</v>
      </c>
      <c r="E4526" s="8" t="s">
        <v>569</v>
      </c>
      <c r="F4526" s="8" t="s">
        <v>247</v>
      </c>
      <c r="G4526" s="23" t="s">
        <v>810</v>
      </c>
      <c r="H4526" s="14">
        <v>4561.7</v>
      </c>
      <c r="I4526" s="14">
        <v>2649.56061</v>
      </c>
      <c r="J4526" s="14">
        <v>2649.56061</v>
      </c>
      <c r="K4526" s="78">
        <f t="shared" si="1992"/>
        <v>100</v>
      </c>
      <c r="L4526" s="14"/>
      <c r="M4526" s="50"/>
      <c r="N4526" s="50"/>
    </row>
    <row r="4527" spans="1:14" x14ac:dyDescent="0.3">
      <c r="A4527" s="64" t="s">
        <v>714</v>
      </c>
      <c r="B4527" s="62" t="s">
        <v>916</v>
      </c>
      <c r="C4527" s="68" t="s">
        <v>1372</v>
      </c>
      <c r="D4527" s="68" t="s">
        <v>1381</v>
      </c>
      <c r="E4527" s="8" t="s">
        <v>569</v>
      </c>
      <c r="F4527" s="45" t="s">
        <v>464</v>
      </c>
      <c r="G4527" s="23" t="s">
        <v>822</v>
      </c>
      <c r="H4527" s="14">
        <f t="shared" ref="H4527:L4527" si="2011">H4528</f>
        <v>62.6</v>
      </c>
      <c r="I4527" s="14">
        <f t="shared" si="2011"/>
        <v>46.972000000000001</v>
      </c>
      <c r="J4527" s="14">
        <f t="shared" si="2011"/>
        <v>46.972000000000001</v>
      </c>
      <c r="K4527" s="78">
        <f t="shared" si="1992"/>
        <v>100</v>
      </c>
      <c r="L4527" s="14">
        <f t="shared" si="2011"/>
        <v>0</v>
      </c>
      <c r="M4527" s="50"/>
      <c r="N4527" s="50"/>
    </row>
    <row r="4528" spans="1:14" x14ac:dyDescent="0.3">
      <c r="A4528" s="64" t="s">
        <v>714</v>
      </c>
      <c r="B4528" s="62" t="s">
        <v>916</v>
      </c>
      <c r="C4528" s="68" t="s">
        <v>1372</v>
      </c>
      <c r="D4528" s="68" t="s">
        <v>1381</v>
      </c>
      <c r="E4528" s="8" t="s">
        <v>569</v>
      </c>
      <c r="F4528" s="45" t="s">
        <v>729</v>
      </c>
      <c r="G4528" s="23" t="s">
        <v>824</v>
      </c>
      <c r="H4528" s="14">
        <v>62.6</v>
      </c>
      <c r="I4528" s="14">
        <v>46.972000000000001</v>
      </c>
      <c r="J4528" s="14">
        <v>46.972000000000001</v>
      </c>
      <c r="K4528" s="78">
        <f t="shared" si="1992"/>
        <v>100</v>
      </c>
      <c r="L4528" s="14"/>
      <c r="M4528" s="50"/>
      <c r="N4528" s="50"/>
    </row>
    <row r="4529" spans="1:14" s="3" customFormat="1" ht="17.25" customHeight="1" x14ac:dyDescent="0.3">
      <c r="A4529" s="4" t="s">
        <v>715</v>
      </c>
      <c r="B4529" s="43" t="s">
        <v>915</v>
      </c>
      <c r="C4529" s="43" t="s">
        <v>915</v>
      </c>
      <c r="D4529" s="43" t="s">
        <v>915</v>
      </c>
      <c r="E4529" s="4"/>
      <c r="F4529" s="4"/>
      <c r="G4529" s="5" t="s">
        <v>1443</v>
      </c>
      <c r="H4529" s="15">
        <f t="shared" ref="H4529:L4531" si="2012">H4530</f>
        <v>9394.7000000000007</v>
      </c>
      <c r="I4529" s="15">
        <f t="shared" si="2012"/>
        <v>9394.7000000000007</v>
      </c>
      <c r="J4529" s="15">
        <f t="shared" si="2012"/>
        <v>9393.9860100000005</v>
      </c>
      <c r="K4529" s="81">
        <f t="shared" si="1992"/>
        <v>99.992400076638958</v>
      </c>
      <c r="L4529" s="15">
        <f t="shared" si="2012"/>
        <v>0</v>
      </c>
      <c r="M4529" s="65"/>
      <c r="N4529" s="65"/>
    </row>
    <row r="4530" spans="1:14" s="3" customFormat="1" x14ac:dyDescent="0.3">
      <c r="A4530" s="4" t="s">
        <v>715</v>
      </c>
      <c r="B4530" s="43" t="s">
        <v>1372</v>
      </c>
      <c r="C4530" s="43" t="s">
        <v>1372</v>
      </c>
      <c r="D4530" s="43" t="s">
        <v>915</v>
      </c>
      <c r="E4530" s="4"/>
      <c r="F4530" s="4"/>
      <c r="G4530" s="5" t="s">
        <v>1376</v>
      </c>
      <c r="H4530" s="15">
        <f t="shared" si="2012"/>
        <v>9394.7000000000007</v>
      </c>
      <c r="I4530" s="15">
        <f t="shared" si="2012"/>
        <v>9394.7000000000007</v>
      </c>
      <c r="J4530" s="15">
        <f t="shared" si="2012"/>
        <v>9393.9860100000005</v>
      </c>
      <c r="K4530" s="81">
        <f t="shared" si="1992"/>
        <v>99.992400076638958</v>
      </c>
      <c r="L4530" s="15">
        <f t="shared" si="2012"/>
        <v>0</v>
      </c>
      <c r="M4530" s="65"/>
      <c r="N4530" s="65"/>
    </row>
    <row r="4531" spans="1:14" s="9" customFormat="1" x14ac:dyDescent="0.3">
      <c r="A4531" s="6" t="s">
        <v>715</v>
      </c>
      <c r="B4531" s="48" t="s">
        <v>948</v>
      </c>
      <c r="C4531" s="48" t="s">
        <v>1372</v>
      </c>
      <c r="D4531" s="48" t="s">
        <v>1374</v>
      </c>
      <c r="E4531" s="6"/>
      <c r="F4531" s="6"/>
      <c r="G4531" s="7" t="s">
        <v>1449</v>
      </c>
      <c r="H4531" s="16">
        <f t="shared" si="2012"/>
        <v>9394.7000000000007</v>
      </c>
      <c r="I4531" s="16">
        <f t="shared" si="2012"/>
        <v>9394.7000000000007</v>
      </c>
      <c r="J4531" s="16">
        <f t="shared" si="2012"/>
        <v>9393.9860100000005</v>
      </c>
      <c r="K4531" s="82">
        <f t="shared" si="1992"/>
        <v>99.992400076638958</v>
      </c>
      <c r="L4531" s="16">
        <f t="shared" si="2012"/>
        <v>0</v>
      </c>
      <c r="M4531" s="65"/>
      <c r="N4531" s="65"/>
    </row>
    <row r="4532" spans="1:14" ht="31.2" x14ac:dyDescent="0.3">
      <c r="A4532" s="64" t="s">
        <v>715</v>
      </c>
      <c r="B4532" s="62" t="s">
        <v>948</v>
      </c>
      <c r="C4532" s="68" t="s">
        <v>1372</v>
      </c>
      <c r="D4532" s="68" t="s">
        <v>1374</v>
      </c>
      <c r="E4532" s="8" t="s">
        <v>570</v>
      </c>
      <c r="F4532" s="8"/>
      <c r="G4532" s="13" t="s">
        <v>25</v>
      </c>
      <c r="H4532" s="14">
        <f>H4533+H4537</f>
        <v>9394.7000000000007</v>
      </c>
      <c r="I4532" s="14">
        <f>I4533+I4537</f>
        <v>9394.7000000000007</v>
      </c>
      <c r="J4532" s="14">
        <f t="shared" ref="J4532" si="2013">J4533+J4537</f>
        <v>9393.9860100000005</v>
      </c>
      <c r="K4532" s="78">
        <f t="shared" si="1992"/>
        <v>99.992400076638958</v>
      </c>
      <c r="L4532" s="14">
        <f>L4533+L4537</f>
        <v>0</v>
      </c>
      <c r="M4532" s="50"/>
      <c r="N4532" s="50"/>
    </row>
    <row r="4533" spans="1:14" ht="31.2" x14ac:dyDescent="0.3">
      <c r="A4533" s="64" t="s">
        <v>715</v>
      </c>
      <c r="B4533" s="62" t="s">
        <v>948</v>
      </c>
      <c r="C4533" s="68" t="s">
        <v>1372</v>
      </c>
      <c r="D4533" s="68" t="s">
        <v>1374</v>
      </c>
      <c r="E4533" s="8" t="s">
        <v>571</v>
      </c>
      <c r="F4533" s="8"/>
      <c r="G4533" s="13" t="s">
        <v>216</v>
      </c>
      <c r="H4533" s="14">
        <f t="shared" ref="H4533:L4535" si="2014">H4534</f>
        <v>8670</v>
      </c>
      <c r="I4533" s="14">
        <f t="shared" si="2014"/>
        <v>8670</v>
      </c>
      <c r="J4533" s="14">
        <f t="shared" si="2014"/>
        <v>8669.4608900000003</v>
      </c>
      <c r="K4533" s="78">
        <f t="shared" si="1992"/>
        <v>99.99378189158017</v>
      </c>
      <c r="L4533" s="14">
        <f t="shared" si="2014"/>
        <v>0</v>
      </c>
      <c r="M4533" s="50"/>
      <c r="N4533" s="50"/>
    </row>
    <row r="4534" spans="1:14" ht="31.2" x14ac:dyDescent="0.3">
      <c r="A4534" s="64" t="s">
        <v>715</v>
      </c>
      <c r="B4534" s="62" t="s">
        <v>948</v>
      </c>
      <c r="C4534" s="68" t="s">
        <v>1372</v>
      </c>
      <c r="D4534" s="68" t="s">
        <v>1374</v>
      </c>
      <c r="E4534" s="8" t="s">
        <v>572</v>
      </c>
      <c r="F4534" s="8"/>
      <c r="G4534" s="13" t="s">
        <v>1152</v>
      </c>
      <c r="H4534" s="14">
        <f t="shared" si="2014"/>
        <v>8670</v>
      </c>
      <c r="I4534" s="14">
        <f t="shared" si="2014"/>
        <v>8670</v>
      </c>
      <c r="J4534" s="14">
        <f t="shared" si="2014"/>
        <v>8669.4608900000003</v>
      </c>
      <c r="K4534" s="78">
        <f t="shared" si="1992"/>
        <v>99.99378189158017</v>
      </c>
      <c r="L4534" s="14">
        <f t="shared" si="2014"/>
        <v>0</v>
      </c>
      <c r="M4534" s="50"/>
      <c r="N4534" s="50"/>
    </row>
    <row r="4535" spans="1:14" ht="78" x14ac:dyDescent="0.3">
      <c r="A4535" s="64" t="s">
        <v>715</v>
      </c>
      <c r="B4535" s="62" t="s">
        <v>948</v>
      </c>
      <c r="C4535" s="68" t="s">
        <v>1372</v>
      </c>
      <c r="D4535" s="68" t="s">
        <v>1374</v>
      </c>
      <c r="E4535" s="8" t="s">
        <v>572</v>
      </c>
      <c r="F4535" s="45" t="s">
        <v>431</v>
      </c>
      <c r="G4535" s="23" t="s">
        <v>806</v>
      </c>
      <c r="H4535" s="14">
        <f t="shared" si="2014"/>
        <v>8670</v>
      </c>
      <c r="I4535" s="14">
        <f t="shared" si="2014"/>
        <v>8670</v>
      </c>
      <c r="J4535" s="14">
        <f t="shared" si="2014"/>
        <v>8669.4608900000003</v>
      </c>
      <c r="K4535" s="78">
        <f t="shared" si="1992"/>
        <v>99.99378189158017</v>
      </c>
      <c r="L4535" s="14">
        <f t="shared" si="2014"/>
        <v>0</v>
      </c>
      <c r="M4535" s="50"/>
      <c r="N4535" s="50"/>
    </row>
    <row r="4536" spans="1:14" ht="31.2" x14ac:dyDescent="0.3">
      <c r="A4536" s="64" t="s">
        <v>715</v>
      </c>
      <c r="B4536" s="62" t="s">
        <v>948</v>
      </c>
      <c r="C4536" s="68" t="s">
        <v>1372</v>
      </c>
      <c r="D4536" s="68" t="s">
        <v>1374</v>
      </c>
      <c r="E4536" s="8" t="s">
        <v>572</v>
      </c>
      <c r="F4536" s="45" t="s">
        <v>233</v>
      </c>
      <c r="G4536" s="23" t="s">
        <v>808</v>
      </c>
      <c r="H4536" s="14">
        <v>8670</v>
      </c>
      <c r="I4536" s="14">
        <v>8670</v>
      </c>
      <c r="J4536" s="14">
        <v>8669.4608900000003</v>
      </c>
      <c r="K4536" s="78">
        <f t="shared" si="1992"/>
        <v>99.99378189158017</v>
      </c>
      <c r="L4536" s="14"/>
      <c r="M4536" s="50"/>
      <c r="N4536" s="50"/>
    </row>
    <row r="4537" spans="1:14" x14ac:dyDescent="0.3">
      <c r="A4537" s="64" t="s">
        <v>715</v>
      </c>
      <c r="B4537" s="62" t="s">
        <v>948</v>
      </c>
      <c r="C4537" s="68" t="s">
        <v>1372</v>
      </c>
      <c r="D4537" s="68" t="s">
        <v>1374</v>
      </c>
      <c r="E4537" s="8" t="s">
        <v>573</v>
      </c>
      <c r="F4537" s="8"/>
      <c r="G4537" s="13" t="s">
        <v>1155</v>
      </c>
      <c r="H4537" s="14">
        <f>H4538+H4541</f>
        <v>724.7</v>
      </c>
      <c r="I4537" s="14">
        <f>I4538+I4541</f>
        <v>724.69999999999993</v>
      </c>
      <c r="J4537" s="14">
        <f t="shared" ref="J4537" si="2015">J4538+J4541</f>
        <v>724.52512000000002</v>
      </c>
      <c r="K4537" s="78">
        <f t="shared" si="1992"/>
        <v>99.975868635297374</v>
      </c>
      <c r="L4537" s="14">
        <f>L4538+L4541</f>
        <v>0</v>
      </c>
      <c r="M4537" s="50"/>
      <c r="N4537" s="50"/>
    </row>
    <row r="4538" spans="1:14" ht="31.2" x14ac:dyDescent="0.3">
      <c r="A4538" s="64" t="s">
        <v>715</v>
      </c>
      <c r="B4538" s="62" t="s">
        <v>948</v>
      </c>
      <c r="C4538" s="68" t="s">
        <v>1372</v>
      </c>
      <c r="D4538" s="68" t="s">
        <v>1374</v>
      </c>
      <c r="E4538" s="8" t="s">
        <v>574</v>
      </c>
      <c r="F4538" s="8"/>
      <c r="G4538" s="13" t="s">
        <v>1152</v>
      </c>
      <c r="H4538" s="14">
        <f t="shared" ref="H4538:L4539" si="2016">H4539</f>
        <v>501</v>
      </c>
      <c r="I4538" s="14">
        <f t="shared" si="2016"/>
        <v>573.88189999999997</v>
      </c>
      <c r="J4538" s="14">
        <f t="shared" si="2016"/>
        <v>573.84259999999995</v>
      </c>
      <c r="K4538" s="78">
        <f t="shared" si="1992"/>
        <v>99.993151901114146</v>
      </c>
      <c r="L4538" s="14">
        <f t="shared" si="2016"/>
        <v>0</v>
      </c>
      <c r="M4538" s="50"/>
      <c r="N4538" s="50"/>
    </row>
    <row r="4539" spans="1:14" ht="78" x14ac:dyDescent="0.3">
      <c r="A4539" s="64" t="s">
        <v>715</v>
      </c>
      <c r="B4539" s="62" t="s">
        <v>948</v>
      </c>
      <c r="C4539" s="68" t="s">
        <v>1372</v>
      </c>
      <c r="D4539" s="68" t="s">
        <v>1374</v>
      </c>
      <c r="E4539" s="8" t="s">
        <v>574</v>
      </c>
      <c r="F4539" s="45" t="s">
        <v>431</v>
      </c>
      <c r="G4539" s="23" t="s">
        <v>806</v>
      </c>
      <c r="H4539" s="14">
        <f t="shared" si="2016"/>
        <v>501</v>
      </c>
      <c r="I4539" s="14">
        <f t="shared" si="2016"/>
        <v>573.88189999999997</v>
      </c>
      <c r="J4539" s="14">
        <f t="shared" si="2016"/>
        <v>573.84259999999995</v>
      </c>
      <c r="K4539" s="78">
        <f t="shared" si="1992"/>
        <v>99.993151901114146</v>
      </c>
      <c r="L4539" s="14">
        <f t="shared" si="2016"/>
        <v>0</v>
      </c>
      <c r="M4539" s="50"/>
      <c r="N4539" s="50"/>
    </row>
    <row r="4540" spans="1:14" ht="31.2" x14ac:dyDescent="0.3">
      <c r="A4540" s="64" t="s">
        <v>715</v>
      </c>
      <c r="B4540" s="62" t="s">
        <v>948</v>
      </c>
      <c r="C4540" s="68" t="s">
        <v>1372</v>
      </c>
      <c r="D4540" s="68" t="s">
        <v>1374</v>
      </c>
      <c r="E4540" s="8" t="s">
        <v>574</v>
      </c>
      <c r="F4540" s="45" t="s">
        <v>233</v>
      </c>
      <c r="G4540" s="23" t="s">
        <v>808</v>
      </c>
      <c r="H4540" s="14">
        <v>501</v>
      </c>
      <c r="I4540" s="14">
        <v>573.88189999999997</v>
      </c>
      <c r="J4540" s="14">
        <v>573.84259999999995</v>
      </c>
      <c r="K4540" s="78">
        <f t="shared" si="1992"/>
        <v>99.993151901114146</v>
      </c>
      <c r="L4540" s="14"/>
      <c r="M4540" s="50"/>
      <c r="N4540" s="50"/>
    </row>
    <row r="4541" spans="1:14" ht="31.2" x14ac:dyDescent="0.3">
      <c r="A4541" s="64" t="s">
        <v>715</v>
      </c>
      <c r="B4541" s="62" t="s">
        <v>948</v>
      </c>
      <c r="C4541" s="68" t="s">
        <v>1372</v>
      </c>
      <c r="D4541" s="68" t="s">
        <v>1374</v>
      </c>
      <c r="E4541" s="8" t="s">
        <v>575</v>
      </c>
      <c r="F4541" s="8"/>
      <c r="G4541" s="13" t="s">
        <v>1154</v>
      </c>
      <c r="H4541" s="14">
        <f>H4542+H4544+H4546</f>
        <v>223.7</v>
      </c>
      <c r="I4541" s="14">
        <f>I4542+I4544+I4546</f>
        <v>150.81809999999999</v>
      </c>
      <c r="J4541" s="14">
        <f t="shared" ref="J4541" si="2017">J4542+J4544+J4546</f>
        <v>150.68252000000001</v>
      </c>
      <c r="K4541" s="78">
        <f t="shared" si="1992"/>
        <v>99.910103628145436</v>
      </c>
      <c r="L4541" s="14">
        <f>L4542+L4544+L4546</f>
        <v>0</v>
      </c>
      <c r="M4541" s="50"/>
      <c r="N4541" s="50"/>
    </row>
    <row r="4542" spans="1:14" ht="78" hidden="1" x14ac:dyDescent="0.3">
      <c r="A4542" s="64" t="s">
        <v>715</v>
      </c>
      <c r="B4542" s="62" t="s">
        <v>948</v>
      </c>
      <c r="C4542" s="68" t="s">
        <v>1372</v>
      </c>
      <c r="D4542" s="68" t="s">
        <v>1374</v>
      </c>
      <c r="E4542" s="8" t="s">
        <v>575</v>
      </c>
      <c r="F4542" s="45" t="s">
        <v>431</v>
      </c>
      <c r="G4542" s="23" t="s">
        <v>806</v>
      </c>
      <c r="H4542" s="14">
        <f t="shared" ref="H4542:L4542" si="2018">H4543</f>
        <v>2</v>
      </c>
      <c r="I4542" s="14">
        <f t="shared" si="2018"/>
        <v>0</v>
      </c>
      <c r="J4542" s="14">
        <f t="shared" si="2018"/>
        <v>0</v>
      </c>
      <c r="K4542" s="78" t="e">
        <f t="shared" si="1992"/>
        <v>#DIV/0!</v>
      </c>
      <c r="L4542" s="14">
        <f t="shared" si="2018"/>
        <v>0</v>
      </c>
      <c r="M4542" s="50">
        <v>111</v>
      </c>
      <c r="N4542" s="50"/>
    </row>
    <row r="4543" spans="1:14" ht="31.2" hidden="1" x14ac:dyDescent="0.3">
      <c r="A4543" s="64" t="s">
        <v>715</v>
      </c>
      <c r="B4543" s="62" t="s">
        <v>948</v>
      </c>
      <c r="C4543" s="68" t="s">
        <v>1372</v>
      </c>
      <c r="D4543" s="68" t="s">
        <v>1374</v>
      </c>
      <c r="E4543" s="8" t="s">
        <v>575</v>
      </c>
      <c r="F4543" s="45" t="s">
        <v>233</v>
      </c>
      <c r="G4543" s="23" t="s">
        <v>808</v>
      </c>
      <c r="H4543" s="14">
        <v>2</v>
      </c>
      <c r="I4543" s="14">
        <v>0</v>
      </c>
      <c r="J4543" s="14">
        <v>0</v>
      </c>
      <c r="K4543" s="78" t="e">
        <f t="shared" si="1992"/>
        <v>#DIV/0!</v>
      </c>
      <c r="L4543" s="14"/>
      <c r="M4543" s="50">
        <v>111</v>
      </c>
      <c r="N4543" s="50"/>
    </row>
    <row r="4544" spans="1:14" ht="31.2" x14ac:dyDescent="0.3">
      <c r="A4544" s="64" t="s">
        <v>715</v>
      </c>
      <c r="B4544" s="62" t="s">
        <v>948</v>
      </c>
      <c r="C4544" s="68" t="s">
        <v>1372</v>
      </c>
      <c r="D4544" s="68" t="s">
        <v>1374</v>
      </c>
      <c r="E4544" s="8" t="s">
        <v>575</v>
      </c>
      <c r="F4544" s="45" t="s">
        <v>380</v>
      </c>
      <c r="G4544" s="23" t="s">
        <v>809</v>
      </c>
      <c r="H4544" s="14">
        <f t="shared" ref="H4544:L4544" si="2019">H4545</f>
        <v>220.7</v>
      </c>
      <c r="I4544" s="14">
        <f t="shared" si="2019"/>
        <v>150.81809999999999</v>
      </c>
      <c r="J4544" s="14">
        <f t="shared" si="2019"/>
        <v>150.68252000000001</v>
      </c>
      <c r="K4544" s="78">
        <f t="shared" si="1992"/>
        <v>99.910103628145436</v>
      </c>
      <c r="L4544" s="14">
        <f t="shared" si="2019"/>
        <v>0</v>
      </c>
      <c r="M4544" s="50"/>
      <c r="N4544" s="50"/>
    </row>
    <row r="4545" spans="1:14" ht="31.2" x14ac:dyDescent="0.3">
      <c r="A4545" s="64" t="s">
        <v>715</v>
      </c>
      <c r="B4545" s="62" t="s">
        <v>948</v>
      </c>
      <c r="C4545" s="68" t="s">
        <v>1372</v>
      </c>
      <c r="D4545" s="68" t="s">
        <v>1374</v>
      </c>
      <c r="E4545" s="8" t="s">
        <v>575</v>
      </c>
      <c r="F4545" s="8" t="s">
        <v>247</v>
      </c>
      <c r="G4545" s="23" t="s">
        <v>810</v>
      </c>
      <c r="H4545" s="14">
        <v>220.7</v>
      </c>
      <c r="I4545" s="14">
        <v>150.81809999999999</v>
      </c>
      <c r="J4545" s="14">
        <v>150.68252000000001</v>
      </c>
      <c r="K4545" s="78">
        <f t="shared" si="1992"/>
        <v>99.910103628145436</v>
      </c>
      <c r="L4545" s="14"/>
      <c r="M4545" s="50"/>
      <c r="N4545" s="50"/>
    </row>
    <row r="4546" spans="1:14" hidden="1" x14ac:dyDescent="0.3">
      <c r="A4546" s="64" t="s">
        <v>715</v>
      </c>
      <c r="B4546" s="62" t="s">
        <v>948</v>
      </c>
      <c r="C4546" s="68" t="s">
        <v>1372</v>
      </c>
      <c r="D4546" s="68" t="s">
        <v>1374</v>
      </c>
      <c r="E4546" s="8" t="s">
        <v>575</v>
      </c>
      <c r="F4546" s="45" t="s">
        <v>464</v>
      </c>
      <c r="G4546" s="23" t="s">
        <v>822</v>
      </c>
      <c r="H4546" s="14">
        <f t="shared" ref="H4546:L4546" si="2020">H4547</f>
        <v>1</v>
      </c>
      <c r="I4546" s="14">
        <f t="shared" si="2020"/>
        <v>0</v>
      </c>
      <c r="J4546" s="14">
        <f t="shared" si="2020"/>
        <v>0</v>
      </c>
      <c r="K4546" s="78" t="e">
        <f t="shared" si="1992"/>
        <v>#DIV/0!</v>
      </c>
      <c r="L4546" s="14">
        <f t="shared" si="2020"/>
        <v>0</v>
      </c>
      <c r="M4546" s="50">
        <v>111</v>
      </c>
      <c r="N4546" s="50"/>
    </row>
    <row r="4547" spans="1:14" hidden="1" x14ac:dyDescent="0.3">
      <c r="A4547" s="64" t="s">
        <v>715</v>
      </c>
      <c r="B4547" s="62" t="s">
        <v>948</v>
      </c>
      <c r="C4547" s="68" t="s">
        <v>1372</v>
      </c>
      <c r="D4547" s="68" t="s">
        <v>1374</v>
      </c>
      <c r="E4547" s="8" t="s">
        <v>575</v>
      </c>
      <c r="F4547" s="45" t="s">
        <v>729</v>
      </c>
      <c r="G4547" s="23" t="s">
        <v>824</v>
      </c>
      <c r="H4547" s="14">
        <v>1</v>
      </c>
      <c r="I4547" s="14">
        <v>0</v>
      </c>
      <c r="J4547" s="14">
        <v>0</v>
      </c>
      <c r="K4547" s="78" t="e">
        <f t="shared" si="1992"/>
        <v>#DIV/0!</v>
      </c>
      <c r="L4547" s="14"/>
      <c r="M4547" s="50">
        <v>111</v>
      </c>
      <c r="N4547" s="50"/>
    </row>
    <row r="4548" spans="1:14" s="3" customFormat="1" ht="17.25" customHeight="1" x14ac:dyDescent="0.3">
      <c r="A4548" s="4" t="s">
        <v>716</v>
      </c>
      <c r="B4548" s="43" t="s">
        <v>915</v>
      </c>
      <c r="C4548" s="43" t="s">
        <v>915</v>
      </c>
      <c r="D4548" s="43" t="s">
        <v>915</v>
      </c>
      <c r="E4548" s="4"/>
      <c r="F4548" s="4"/>
      <c r="G4548" s="5" t="s">
        <v>1444</v>
      </c>
      <c r="H4548" s="15">
        <f t="shared" ref="H4548:L4548" si="2021">H4549</f>
        <v>181946</v>
      </c>
      <c r="I4548" s="15">
        <f t="shared" si="2021"/>
        <v>181992.5</v>
      </c>
      <c r="J4548" s="15">
        <f t="shared" si="2021"/>
        <v>176649.44543000002</v>
      </c>
      <c r="K4548" s="81">
        <f t="shared" si="1992"/>
        <v>97.06413474731103</v>
      </c>
      <c r="L4548" s="15">
        <f t="shared" si="2021"/>
        <v>0</v>
      </c>
      <c r="M4548" s="65"/>
      <c r="N4548" s="65"/>
    </row>
    <row r="4549" spans="1:14" s="3" customFormat="1" x14ac:dyDescent="0.3">
      <c r="A4549" s="4" t="s">
        <v>716</v>
      </c>
      <c r="B4549" s="43" t="s">
        <v>1372</v>
      </c>
      <c r="C4549" s="43" t="s">
        <v>1372</v>
      </c>
      <c r="D4549" s="43" t="s">
        <v>915</v>
      </c>
      <c r="E4549" s="4"/>
      <c r="F4549" s="4"/>
      <c r="G4549" s="5" t="s">
        <v>1376</v>
      </c>
      <c r="H4549" s="15">
        <f>H4550+H4570</f>
        <v>181946</v>
      </c>
      <c r="I4549" s="15">
        <f>I4550+I4570</f>
        <v>181992.5</v>
      </c>
      <c r="J4549" s="15">
        <f t="shared" ref="J4549" si="2022">J4550+J4570</f>
        <v>176649.44543000002</v>
      </c>
      <c r="K4549" s="81">
        <f t="shared" si="1992"/>
        <v>97.06413474731103</v>
      </c>
      <c r="L4549" s="15">
        <f>L4550+L4570</f>
        <v>0</v>
      </c>
      <c r="M4549" s="65"/>
      <c r="N4549" s="65"/>
    </row>
    <row r="4550" spans="1:14" s="9" customFormat="1" ht="46.8" x14ac:dyDescent="0.3">
      <c r="A4550" s="6" t="s">
        <v>716</v>
      </c>
      <c r="B4550" s="48" t="s">
        <v>949</v>
      </c>
      <c r="C4550" s="48" t="s">
        <v>1372</v>
      </c>
      <c r="D4550" s="48" t="s">
        <v>1391</v>
      </c>
      <c r="E4550" s="6"/>
      <c r="F4550" s="6"/>
      <c r="G4550" s="7" t="s">
        <v>1448</v>
      </c>
      <c r="H4550" s="16">
        <f t="shared" ref="H4550:L4550" si="2023">H4551</f>
        <v>147112</v>
      </c>
      <c r="I4550" s="16">
        <f t="shared" si="2023"/>
        <v>147112</v>
      </c>
      <c r="J4550" s="16">
        <f t="shared" si="2023"/>
        <v>141769.65104000003</v>
      </c>
      <c r="K4550" s="82">
        <f t="shared" si="1992"/>
        <v>96.368515851867983</v>
      </c>
      <c r="L4550" s="16">
        <f t="shared" si="2023"/>
        <v>0</v>
      </c>
      <c r="M4550" s="65"/>
      <c r="N4550" s="65"/>
    </row>
    <row r="4551" spans="1:14" ht="31.2" x14ac:dyDescent="0.3">
      <c r="A4551" s="64" t="s">
        <v>716</v>
      </c>
      <c r="B4551" s="62" t="s">
        <v>949</v>
      </c>
      <c r="C4551" s="68" t="s">
        <v>1372</v>
      </c>
      <c r="D4551" s="68" t="s">
        <v>1391</v>
      </c>
      <c r="E4551" s="8" t="s">
        <v>576</v>
      </c>
      <c r="F4551" s="8"/>
      <c r="G4551" s="13" t="s">
        <v>1151</v>
      </c>
      <c r="H4551" s="14">
        <f>H4552+H4559</f>
        <v>147112</v>
      </c>
      <c r="I4551" s="14">
        <f>I4552+I4559</f>
        <v>147112</v>
      </c>
      <c r="J4551" s="14">
        <f t="shared" ref="J4551" si="2024">J4552+J4559</f>
        <v>141769.65104000003</v>
      </c>
      <c r="K4551" s="78">
        <f t="shared" si="1992"/>
        <v>96.368515851867983</v>
      </c>
      <c r="L4551" s="14">
        <f>L4552+L4559</f>
        <v>0</v>
      </c>
      <c r="M4551" s="50"/>
      <c r="N4551" s="50"/>
    </row>
    <row r="4552" spans="1:14" x14ac:dyDescent="0.3">
      <c r="A4552" s="64" t="s">
        <v>716</v>
      </c>
      <c r="B4552" s="62" t="s">
        <v>949</v>
      </c>
      <c r="C4552" s="68" t="s">
        <v>1372</v>
      </c>
      <c r="D4552" s="68" t="s">
        <v>1391</v>
      </c>
      <c r="E4552" s="8" t="s">
        <v>577</v>
      </c>
      <c r="F4552" s="8"/>
      <c r="G4552" s="13" t="s">
        <v>1153</v>
      </c>
      <c r="H4552" s="14">
        <f>H4553+H4556</f>
        <v>49508.4</v>
      </c>
      <c r="I4552" s="14">
        <f>I4553+I4556</f>
        <v>50052.4</v>
      </c>
      <c r="J4552" s="14">
        <f t="shared" ref="J4552" si="2025">J4553+J4556</f>
        <v>50041.739730000001</v>
      </c>
      <c r="K4552" s="78">
        <f t="shared" ref="K4552:K4615" si="2026">J4552/I4552*100</f>
        <v>99.978701780533996</v>
      </c>
      <c r="L4552" s="14">
        <f>L4553+L4556</f>
        <v>0</v>
      </c>
      <c r="M4552" s="50"/>
      <c r="N4552" s="50"/>
    </row>
    <row r="4553" spans="1:14" ht="31.2" x14ac:dyDescent="0.3">
      <c r="A4553" s="64" t="s">
        <v>716</v>
      </c>
      <c r="B4553" s="62" t="s">
        <v>949</v>
      </c>
      <c r="C4553" s="68" t="s">
        <v>1372</v>
      </c>
      <c r="D4553" s="68" t="s">
        <v>1391</v>
      </c>
      <c r="E4553" s="8" t="s">
        <v>578</v>
      </c>
      <c r="F4553" s="8"/>
      <c r="G4553" s="13" t="s">
        <v>1152</v>
      </c>
      <c r="H4553" s="14">
        <f t="shared" ref="H4553:L4554" si="2027">H4554</f>
        <v>45482.8</v>
      </c>
      <c r="I4553" s="14">
        <f t="shared" si="2027"/>
        <v>46026.8</v>
      </c>
      <c r="J4553" s="14">
        <f t="shared" si="2027"/>
        <v>46019.567730000002</v>
      </c>
      <c r="K4553" s="78">
        <f t="shared" si="2026"/>
        <v>99.984286828543361</v>
      </c>
      <c r="L4553" s="14">
        <f t="shared" si="2027"/>
        <v>0</v>
      </c>
      <c r="M4553" s="50"/>
      <c r="N4553" s="50"/>
    </row>
    <row r="4554" spans="1:14" ht="78" x14ac:dyDescent="0.3">
      <c r="A4554" s="64" t="s">
        <v>716</v>
      </c>
      <c r="B4554" s="62" t="s">
        <v>949</v>
      </c>
      <c r="C4554" s="68" t="s">
        <v>1372</v>
      </c>
      <c r="D4554" s="68" t="s">
        <v>1391</v>
      </c>
      <c r="E4554" s="8" t="s">
        <v>578</v>
      </c>
      <c r="F4554" s="45" t="s">
        <v>431</v>
      </c>
      <c r="G4554" s="23" t="s">
        <v>806</v>
      </c>
      <c r="H4554" s="14">
        <f t="shared" si="2027"/>
        <v>45482.8</v>
      </c>
      <c r="I4554" s="14">
        <f t="shared" si="2027"/>
        <v>46026.8</v>
      </c>
      <c r="J4554" s="14">
        <f t="shared" si="2027"/>
        <v>46019.567730000002</v>
      </c>
      <c r="K4554" s="78">
        <f t="shared" si="2026"/>
        <v>99.984286828543361</v>
      </c>
      <c r="L4554" s="14">
        <f t="shared" si="2027"/>
        <v>0</v>
      </c>
      <c r="M4554" s="50"/>
      <c r="N4554" s="50"/>
    </row>
    <row r="4555" spans="1:14" ht="31.2" x14ac:dyDescent="0.3">
      <c r="A4555" s="64" t="s">
        <v>716</v>
      </c>
      <c r="B4555" s="62" t="s">
        <v>949</v>
      </c>
      <c r="C4555" s="68" t="s">
        <v>1372</v>
      </c>
      <c r="D4555" s="68" t="s">
        <v>1391</v>
      </c>
      <c r="E4555" s="8" t="s">
        <v>578</v>
      </c>
      <c r="F4555" s="45" t="s">
        <v>233</v>
      </c>
      <c r="G4555" s="23" t="s">
        <v>808</v>
      </c>
      <c r="H4555" s="14">
        <v>45482.8</v>
      </c>
      <c r="I4555" s="14">
        <v>46026.8</v>
      </c>
      <c r="J4555" s="14">
        <v>46019.567730000002</v>
      </c>
      <c r="K4555" s="78">
        <f t="shared" si="2026"/>
        <v>99.984286828543361</v>
      </c>
      <c r="L4555" s="14"/>
      <c r="M4555" s="50"/>
      <c r="N4555" s="50"/>
    </row>
    <row r="4556" spans="1:14" ht="31.2" x14ac:dyDescent="0.3">
      <c r="A4556" s="64" t="s">
        <v>716</v>
      </c>
      <c r="B4556" s="62" t="s">
        <v>949</v>
      </c>
      <c r="C4556" s="68" t="s">
        <v>1372</v>
      </c>
      <c r="D4556" s="68" t="s">
        <v>1391</v>
      </c>
      <c r="E4556" s="8" t="s">
        <v>579</v>
      </c>
      <c r="F4556" s="8"/>
      <c r="G4556" s="13" t="s">
        <v>1154</v>
      </c>
      <c r="H4556" s="14">
        <f t="shared" ref="H4556:L4556" si="2028">H4557</f>
        <v>4025.6</v>
      </c>
      <c r="I4556" s="14">
        <f t="shared" si="2028"/>
        <v>4025.6</v>
      </c>
      <c r="J4556" s="14">
        <f t="shared" si="2028"/>
        <v>4022.172</v>
      </c>
      <c r="K4556" s="78">
        <f t="shared" si="2026"/>
        <v>99.914844992050874</v>
      </c>
      <c r="L4556" s="14">
        <f t="shared" si="2028"/>
        <v>0</v>
      </c>
      <c r="M4556" s="50"/>
      <c r="N4556" s="50"/>
    </row>
    <row r="4557" spans="1:14" ht="78" x14ac:dyDescent="0.3">
      <c r="A4557" s="64" t="s">
        <v>716</v>
      </c>
      <c r="B4557" s="62" t="s">
        <v>949</v>
      </c>
      <c r="C4557" s="68" t="s">
        <v>1372</v>
      </c>
      <c r="D4557" s="68" t="s">
        <v>1391</v>
      </c>
      <c r="E4557" s="8" t="s">
        <v>579</v>
      </c>
      <c r="F4557" s="45" t="s">
        <v>431</v>
      </c>
      <c r="G4557" s="23" t="s">
        <v>806</v>
      </c>
      <c r="H4557" s="14">
        <f t="shared" ref="H4557:L4557" si="2029">H4558</f>
        <v>4025.6</v>
      </c>
      <c r="I4557" s="14">
        <f t="shared" si="2029"/>
        <v>4025.6</v>
      </c>
      <c r="J4557" s="14">
        <f t="shared" si="2029"/>
        <v>4022.172</v>
      </c>
      <c r="K4557" s="78">
        <f t="shared" si="2026"/>
        <v>99.914844992050874</v>
      </c>
      <c r="L4557" s="14">
        <f t="shared" si="2029"/>
        <v>0</v>
      </c>
      <c r="M4557" s="50"/>
      <c r="N4557" s="50"/>
    </row>
    <row r="4558" spans="1:14" ht="31.2" x14ac:dyDescent="0.3">
      <c r="A4558" s="64" t="s">
        <v>716</v>
      </c>
      <c r="B4558" s="62" t="s">
        <v>949</v>
      </c>
      <c r="C4558" s="68" t="s">
        <v>1372</v>
      </c>
      <c r="D4558" s="68" t="s">
        <v>1391</v>
      </c>
      <c r="E4558" s="8" t="s">
        <v>579</v>
      </c>
      <c r="F4558" s="45" t="s">
        <v>233</v>
      </c>
      <c r="G4558" s="23" t="s">
        <v>808</v>
      </c>
      <c r="H4558" s="14">
        <v>4025.6</v>
      </c>
      <c r="I4558" s="14">
        <v>4025.6</v>
      </c>
      <c r="J4558" s="14">
        <v>4022.172</v>
      </c>
      <c r="K4558" s="78">
        <f t="shared" si="2026"/>
        <v>99.914844992050874</v>
      </c>
      <c r="L4558" s="14"/>
      <c r="M4558" s="50"/>
      <c r="N4558" s="50"/>
    </row>
    <row r="4559" spans="1:14" x14ac:dyDescent="0.3">
      <c r="A4559" s="64" t="s">
        <v>716</v>
      </c>
      <c r="B4559" s="62" t="s">
        <v>949</v>
      </c>
      <c r="C4559" s="68" t="s">
        <v>1372</v>
      </c>
      <c r="D4559" s="68" t="s">
        <v>1391</v>
      </c>
      <c r="E4559" s="8" t="s">
        <v>580</v>
      </c>
      <c r="F4559" s="8"/>
      <c r="G4559" s="13" t="s">
        <v>1155</v>
      </c>
      <c r="H4559" s="14">
        <f>H4560+H4563</f>
        <v>97603.599999999991</v>
      </c>
      <c r="I4559" s="14">
        <f>I4560+I4563</f>
        <v>97059.599999999991</v>
      </c>
      <c r="J4559" s="14">
        <f t="shared" ref="J4559" si="2030">J4560+J4563</f>
        <v>91727.91131000001</v>
      </c>
      <c r="K4559" s="78">
        <f t="shared" si="2026"/>
        <v>94.506788931749171</v>
      </c>
      <c r="L4559" s="14">
        <f>L4560+L4563</f>
        <v>0</v>
      </c>
      <c r="M4559" s="50"/>
      <c r="N4559" s="50"/>
    </row>
    <row r="4560" spans="1:14" ht="31.2" x14ac:dyDescent="0.3">
      <c r="A4560" s="64" t="s">
        <v>716</v>
      </c>
      <c r="B4560" s="62" t="s">
        <v>949</v>
      </c>
      <c r="C4560" s="68" t="s">
        <v>1372</v>
      </c>
      <c r="D4560" s="68" t="s">
        <v>1391</v>
      </c>
      <c r="E4560" s="8" t="s">
        <v>581</v>
      </c>
      <c r="F4560" s="8"/>
      <c r="G4560" s="13" t="s">
        <v>1152</v>
      </c>
      <c r="H4560" s="14">
        <f t="shared" ref="H4560:L4561" si="2031">H4561</f>
        <v>67510.7</v>
      </c>
      <c r="I4560" s="14">
        <f t="shared" si="2031"/>
        <v>71375.7</v>
      </c>
      <c r="J4560" s="14">
        <f t="shared" si="2031"/>
        <v>71367.344330000007</v>
      </c>
      <c r="K4560" s="78">
        <f t="shared" si="2026"/>
        <v>99.988293396772306</v>
      </c>
      <c r="L4560" s="14">
        <f t="shared" si="2031"/>
        <v>0</v>
      </c>
      <c r="M4560" s="50"/>
      <c r="N4560" s="50"/>
    </row>
    <row r="4561" spans="1:14" ht="78" x14ac:dyDescent="0.3">
      <c r="A4561" s="64" t="s">
        <v>716</v>
      </c>
      <c r="B4561" s="62" t="s">
        <v>949</v>
      </c>
      <c r="C4561" s="68" t="s">
        <v>1372</v>
      </c>
      <c r="D4561" s="68" t="s">
        <v>1391</v>
      </c>
      <c r="E4561" s="8" t="s">
        <v>581</v>
      </c>
      <c r="F4561" s="45" t="s">
        <v>431</v>
      </c>
      <c r="G4561" s="23" t="s">
        <v>806</v>
      </c>
      <c r="H4561" s="14">
        <f t="shared" si="2031"/>
        <v>67510.7</v>
      </c>
      <c r="I4561" s="14">
        <f t="shared" si="2031"/>
        <v>71375.7</v>
      </c>
      <c r="J4561" s="14">
        <f t="shared" si="2031"/>
        <v>71367.344330000007</v>
      </c>
      <c r="K4561" s="78">
        <f t="shared" si="2026"/>
        <v>99.988293396772306</v>
      </c>
      <c r="L4561" s="14">
        <f t="shared" si="2031"/>
        <v>0</v>
      </c>
      <c r="M4561" s="50"/>
      <c r="N4561" s="50"/>
    </row>
    <row r="4562" spans="1:14" ht="31.2" x14ac:dyDescent="0.3">
      <c r="A4562" s="64" t="s">
        <v>716</v>
      </c>
      <c r="B4562" s="62" t="s">
        <v>949</v>
      </c>
      <c r="C4562" s="68" t="s">
        <v>1372</v>
      </c>
      <c r="D4562" s="68" t="s">
        <v>1391</v>
      </c>
      <c r="E4562" s="8" t="s">
        <v>581</v>
      </c>
      <c r="F4562" s="45" t="s">
        <v>233</v>
      </c>
      <c r="G4562" s="23" t="s">
        <v>808</v>
      </c>
      <c r="H4562" s="14">
        <v>67510.7</v>
      </c>
      <c r="I4562" s="14">
        <v>71375.7</v>
      </c>
      <c r="J4562" s="14">
        <v>71367.344330000007</v>
      </c>
      <c r="K4562" s="78">
        <f t="shared" si="2026"/>
        <v>99.988293396772306</v>
      </c>
      <c r="L4562" s="14"/>
      <c r="M4562" s="50"/>
      <c r="N4562" s="50"/>
    </row>
    <row r="4563" spans="1:14" ht="31.2" x14ac:dyDescent="0.3">
      <c r="A4563" s="64" t="s">
        <v>716</v>
      </c>
      <c r="B4563" s="62" t="s">
        <v>949</v>
      </c>
      <c r="C4563" s="68" t="s">
        <v>1372</v>
      </c>
      <c r="D4563" s="68" t="s">
        <v>1391</v>
      </c>
      <c r="E4563" s="8" t="s">
        <v>582</v>
      </c>
      <c r="F4563" s="8"/>
      <c r="G4563" s="13" t="s">
        <v>1154</v>
      </c>
      <c r="H4563" s="14">
        <f>H4564+H4566+H4568</f>
        <v>30092.899999999998</v>
      </c>
      <c r="I4563" s="14">
        <f>I4564+I4566+I4568</f>
        <v>25683.899999999998</v>
      </c>
      <c r="J4563" s="14">
        <f t="shared" ref="J4563" si="2032">J4564+J4566+J4568</f>
        <v>20360.56698</v>
      </c>
      <c r="K4563" s="78">
        <f t="shared" si="2026"/>
        <v>79.273657738894798</v>
      </c>
      <c r="L4563" s="14">
        <f>L4564+L4566+L4568</f>
        <v>0</v>
      </c>
      <c r="M4563" s="50"/>
      <c r="N4563" s="50"/>
    </row>
    <row r="4564" spans="1:14" ht="78" x14ac:dyDescent="0.3">
      <c r="A4564" s="64" t="s">
        <v>716</v>
      </c>
      <c r="B4564" s="62" t="s">
        <v>949</v>
      </c>
      <c r="C4564" s="68" t="s">
        <v>1372</v>
      </c>
      <c r="D4564" s="68" t="s">
        <v>1391</v>
      </c>
      <c r="E4564" s="8" t="s">
        <v>582</v>
      </c>
      <c r="F4564" s="45" t="s">
        <v>431</v>
      </c>
      <c r="G4564" s="23" t="s">
        <v>806</v>
      </c>
      <c r="H4564" s="14">
        <f t="shared" ref="H4564:L4564" si="2033">H4565</f>
        <v>750</v>
      </c>
      <c r="I4564" s="14">
        <f t="shared" si="2033"/>
        <v>586.92499999999995</v>
      </c>
      <c r="J4564" s="14">
        <f t="shared" si="2033"/>
        <v>478.46600999999998</v>
      </c>
      <c r="K4564" s="78">
        <f t="shared" si="2026"/>
        <v>81.520809302721815</v>
      </c>
      <c r="L4564" s="14">
        <f t="shared" si="2033"/>
        <v>0</v>
      </c>
      <c r="M4564" s="50"/>
      <c r="N4564" s="50"/>
    </row>
    <row r="4565" spans="1:14" ht="31.2" x14ac:dyDescent="0.3">
      <c r="A4565" s="64" t="s">
        <v>716</v>
      </c>
      <c r="B4565" s="62" t="s">
        <v>949</v>
      </c>
      <c r="C4565" s="68" t="s">
        <v>1372</v>
      </c>
      <c r="D4565" s="68" t="s">
        <v>1391</v>
      </c>
      <c r="E4565" s="8" t="s">
        <v>582</v>
      </c>
      <c r="F4565" s="45" t="s">
        <v>233</v>
      </c>
      <c r="G4565" s="23" t="s">
        <v>808</v>
      </c>
      <c r="H4565" s="14">
        <v>750</v>
      </c>
      <c r="I4565" s="14">
        <v>586.92499999999995</v>
      </c>
      <c r="J4565" s="14">
        <v>478.46600999999998</v>
      </c>
      <c r="K4565" s="78">
        <f t="shared" si="2026"/>
        <v>81.520809302721815</v>
      </c>
      <c r="L4565" s="14"/>
      <c r="M4565" s="50"/>
      <c r="N4565" s="50"/>
    </row>
    <row r="4566" spans="1:14" ht="31.2" x14ac:dyDescent="0.3">
      <c r="A4566" s="64" t="s">
        <v>716</v>
      </c>
      <c r="B4566" s="62" t="s">
        <v>949</v>
      </c>
      <c r="C4566" s="68" t="s">
        <v>1372</v>
      </c>
      <c r="D4566" s="68" t="s">
        <v>1391</v>
      </c>
      <c r="E4566" s="8" t="s">
        <v>582</v>
      </c>
      <c r="F4566" s="45" t="s">
        <v>380</v>
      </c>
      <c r="G4566" s="23" t="s">
        <v>809</v>
      </c>
      <c r="H4566" s="14">
        <f t="shared" ref="H4566:L4566" si="2034">H4567</f>
        <v>29248.3</v>
      </c>
      <c r="I4566" s="14">
        <f t="shared" si="2034"/>
        <v>24952.375</v>
      </c>
      <c r="J4566" s="14">
        <f t="shared" si="2034"/>
        <v>19816.785970000001</v>
      </c>
      <c r="K4566" s="78">
        <f t="shared" si="2026"/>
        <v>79.41843600058111</v>
      </c>
      <c r="L4566" s="14">
        <f t="shared" si="2034"/>
        <v>0</v>
      </c>
      <c r="M4566" s="50"/>
      <c r="N4566" s="50"/>
    </row>
    <row r="4567" spans="1:14" ht="31.2" x14ac:dyDescent="0.3">
      <c r="A4567" s="64" t="s">
        <v>716</v>
      </c>
      <c r="B4567" s="62" t="s">
        <v>949</v>
      </c>
      <c r="C4567" s="68" t="s">
        <v>1372</v>
      </c>
      <c r="D4567" s="68" t="s">
        <v>1391</v>
      </c>
      <c r="E4567" s="8" t="s">
        <v>582</v>
      </c>
      <c r="F4567" s="8" t="s">
        <v>247</v>
      </c>
      <c r="G4567" s="23" t="s">
        <v>810</v>
      </c>
      <c r="H4567" s="14">
        <f>29748.3-500</f>
        <v>29248.3</v>
      </c>
      <c r="I4567" s="14">
        <v>24952.375</v>
      </c>
      <c r="J4567" s="14">
        <v>19816.785970000001</v>
      </c>
      <c r="K4567" s="78">
        <f t="shared" si="2026"/>
        <v>79.41843600058111</v>
      </c>
      <c r="L4567" s="14"/>
      <c r="M4567" s="50"/>
      <c r="N4567" s="50"/>
    </row>
    <row r="4568" spans="1:14" x14ac:dyDescent="0.3">
      <c r="A4568" s="64" t="s">
        <v>716</v>
      </c>
      <c r="B4568" s="62" t="s">
        <v>949</v>
      </c>
      <c r="C4568" s="68" t="s">
        <v>1372</v>
      </c>
      <c r="D4568" s="68" t="s">
        <v>1391</v>
      </c>
      <c r="E4568" s="8" t="s">
        <v>582</v>
      </c>
      <c r="F4568" s="45" t="s">
        <v>464</v>
      </c>
      <c r="G4568" s="23" t="s">
        <v>822</v>
      </c>
      <c r="H4568" s="14">
        <f t="shared" ref="H4568:L4568" si="2035">H4569</f>
        <v>94.6</v>
      </c>
      <c r="I4568" s="14">
        <f t="shared" si="2035"/>
        <v>144.6</v>
      </c>
      <c r="J4568" s="14">
        <f t="shared" si="2035"/>
        <v>65.314999999999998</v>
      </c>
      <c r="K4568" s="78">
        <f t="shared" si="2026"/>
        <v>45.169432918395572</v>
      </c>
      <c r="L4568" s="14">
        <f t="shared" si="2035"/>
        <v>0</v>
      </c>
      <c r="M4568" s="50"/>
      <c r="N4568" s="50"/>
    </row>
    <row r="4569" spans="1:14" x14ac:dyDescent="0.3">
      <c r="A4569" s="64" t="s">
        <v>716</v>
      </c>
      <c r="B4569" s="62" t="s">
        <v>949</v>
      </c>
      <c r="C4569" s="68" t="s">
        <v>1372</v>
      </c>
      <c r="D4569" s="68" t="s">
        <v>1391</v>
      </c>
      <c r="E4569" s="8" t="s">
        <v>582</v>
      </c>
      <c r="F4569" s="45" t="s">
        <v>729</v>
      </c>
      <c r="G4569" s="23" t="s">
        <v>824</v>
      </c>
      <c r="H4569" s="14">
        <v>94.6</v>
      </c>
      <c r="I4569" s="14">
        <v>144.6</v>
      </c>
      <c r="J4569" s="14">
        <v>65.314999999999998</v>
      </c>
      <c r="K4569" s="78">
        <f t="shared" si="2026"/>
        <v>45.169432918395572</v>
      </c>
      <c r="L4569" s="14"/>
      <c r="M4569" s="50"/>
      <c r="N4569" s="50"/>
    </row>
    <row r="4570" spans="1:14" s="9" customFormat="1" x14ac:dyDescent="0.3">
      <c r="A4570" s="6" t="s">
        <v>716</v>
      </c>
      <c r="B4570" s="48" t="s">
        <v>912</v>
      </c>
      <c r="C4570" s="48" t="s">
        <v>1372</v>
      </c>
      <c r="D4570" s="48" t="s">
        <v>1477</v>
      </c>
      <c r="E4570" s="6"/>
      <c r="F4570" s="6"/>
      <c r="G4570" s="7" t="s">
        <v>1377</v>
      </c>
      <c r="H4570" s="16">
        <f>H4571+H4576</f>
        <v>34834</v>
      </c>
      <c r="I4570" s="16">
        <f t="shared" ref="I4570:L4570" si="2036">I4571+I4576</f>
        <v>34880.5</v>
      </c>
      <c r="J4570" s="16">
        <f t="shared" si="2036"/>
        <v>34879.794390000003</v>
      </c>
      <c r="K4570" s="82">
        <f t="shared" si="2026"/>
        <v>99.997977064548977</v>
      </c>
      <c r="L4570" s="16">
        <f t="shared" si="2036"/>
        <v>0</v>
      </c>
      <c r="M4570" s="65"/>
      <c r="N4570" s="65"/>
    </row>
    <row r="4571" spans="1:14" ht="31.2" x14ac:dyDescent="0.3">
      <c r="A4571" s="64" t="s">
        <v>716</v>
      </c>
      <c r="B4571" s="62" t="s">
        <v>912</v>
      </c>
      <c r="C4571" s="68" t="s">
        <v>1372</v>
      </c>
      <c r="D4571" s="68" t="s">
        <v>1477</v>
      </c>
      <c r="E4571" s="8" t="s">
        <v>429</v>
      </c>
      <c r="F4571" s="8"/>
      <c r="G4571" s="23" t="s">
        <v>1140</v>
      </c>
      <c r="H4571" s="14">
        <f t="shared" ref="H4571:L4572" si="2037">H4572</f>
        <v>34834</v>
      </c>
      <c r="I4571" s="14">
        <f t="shared" si="2037"/>
        <v>34834</v>
      </c>
      <c r="J4571" s="14">
        <f t="shared" si="2037"/>
        <v>34833.294390000003</v>
      </c>
      <c r="K4571" s="78">
        <f t="shared" si="2026"/>
        <v>99.997974364127003</v>
      </c>
      <c r="L4571" s="14">
        <f t="shared" si="2037"/>
        <v>0</v>
      </c>
      <c r="M4571" s="50"/>
      <c r="N4571" s="50"/>
    </row>
    <row r="4572" spans="1:14" x14ac:dyDescent="0.3">
      <c r="A4572" s="64" t="s">
        <v>716</v>
      </c>
      <c r="B4572" s="62" t="s">
        <v>912</v>
      </c>
      <c r="C4572" s="68" t="s">
        <v>1372</v>
      </c>
      <c r="D4572" s="68" t="s">
        <v>1477</v>
      </c>
      <c r="E4572" s="8" t="s">
        <v>430</v>
      </c>
      <c r="F4572" s="8"/>
      <c r="G4572" s="23" t="s">
        <v>1141</v>
      </c>
      <c r="H4572" s="14">
        <f t="shared" si="2037"/>
        <v>34834</v>
      </c>
      <c r="I4572" s="14">
        <f t="shared" si="2037"/>
        <v>34834</v>
      </c>
      <c r="J4572" s="14">
        <f t="shared" si="2037"/>
        <v>34833.294390000003</v>
      </c>
      <c r="K4572" s="78">
        <f t="shared" si="2026"/>
        <v>99.997974364127003</v>
      </c>
      <c r="L4572" s="14">
        <f t="shared" si="2037"/>
        <v>0</v>
      </c>
      <c r="M4572" s="50"/>
      <c r="N4572" s="50"/>
    </row>
    <row r="4573" spans="1:14" ht="31.2" x14ac:dyDescent="0.3">
      <c r="A4573" s="64" t="s">
        <v>716</v>
      </c>
      <c r="B4573" s="62" t="s">
        <v>912</v>
      </c>
      <c r="C4573" s="68" t="s">
        <v>1372</v>
      </c>
      <c r="D4573" s="68" t="s">
        <v>1477</v>
      </c>
      <c r="E4573" s="8" t="s">
        <v>583</v>
      </c>
      <c r="F4573" s="8"/>
      <c r="G4573" s="13" t="s">
        <v>1142</v>
      </c>
      <c r="H4573" s="14">
        <f t="shared" ref="H4573:L4574" si="2038">H4574</f>
        <v>34834</v>
      </c>
      <c r="I4573" s="14">
        <f t="shared" si="2038"/>
        <v>34834</v>
      </c>
      <c r="J4573" s="14">
        <f t="shared" si="2038"/>
        <v>34833.294390000003</v>
      </c>
      <c r="K4573" s="78">
        <f t="shared" si="2026"/>
        <v>99.997974364127003</v>
      </c>
      <c r="L4573" s="14">
        <f t="shared" si="2038"/>
        <v>0</v>
      </c>
      <c r="M4573" s="50"/>
      <c r="N4573" s="50"/>
    </row>
    <row r="4574" spans="1:14" ht="31.2" x14ac:dyDescent="0.3">
      <c r="A4574" s="64" t="s">
        <v>716</v>
      </c>
      <c r="B4574" s="62" t="s">
        <v>912</v>
      </c>
      <c r="C4574" s="68" t="s">
        <v>1372</v>
      </c>
      <c r="D4574" s="68" t="s">
        <v>1477</v>
      </c>
      <c r="E4574" s="8" t="s">
        <v>583</v>
      </c>
      <c r="F4574" s="45" t="s">
        <v>380</v>
      </c>
      <c r="G4574" s="23" t="s">
        <v>809</v>
      </c>
      <c r="H4574" s="14">
        <f t="shared" si="2038"/>
        <v>34834</v>
      </c>
      <c r="I4574" s="14">
        <f t="shared" si="2038"/>
        <v>34834</v>
      </c>
      <c r="J4574" s="14">
        <f t="shared" si="2038"/>
        <v>34833.294390000003</v>
      </c>
      <c r="K4574" s="78">
        <f t="shared" si="2026"/>
        <v>99.997974364127003</v>
      </c>
      <c r="L4574" s="14">
        <f t="shared" si="2038"/>
        <v>0</v>
      </c>
      <c r="M4574" s="50"/>
      <c r="N4574" s="50"/>
    </row>
    <row r="4575" spans="1:14" ht="31.2" x14ac:dyDescent="0.3">
      <c r="A4575" s="64" t="s">
        <v>716</v>
      </c>
      <c r="B4575" s="62" t="s">
        <v>912</v>
      </c>
      <c r="C4575" s="68" t="s">
        <v>1372</v>
      </c>
      <c r="D4575" s="68" t="s">
        <v>1477</v>
      </c>
      <c r="E4575" s="8" t="s">
        <v>583</v>
      </c>
      <c r="F4575" s="8" t="s">
        <v>247</v>
      </c>
      <c r="G4575" s="23" t="s">
        <v>810</v>
      </c>
      <c r="H4575" s="14">
        <v>34834</v>
      </c>
      <c r="I4575" s="14">
        <v>34834</v>
      </c>
      <c r="J4575" s="14">
        <v>34833.294390000003</v>
      </c>
      <c r="K4575" s="78">
        <f t="shared" si="2026"/>
        <v>99.997974364127003</v>
      </c>
      <c r="L4575" s="14"/>
      <c r="M4575" s="50"/>
      <c r="N4575" s="50"/>
    </row>
    <row r="4576" spans="1:14" ht="46.8" x14ac:dyDescent="0.3">
      <c r="A4576" s="64" t="s">
        <v>716</v>
      </c>
      <c r="B4576" s="62" t="s">
        <v>912</v>
      </c>
      <c r="C4576" s="83" t="s">
        <v>1372</v>
      </c>
      <c r="D4576" s="83" t="s">
        <v>1477</v>
      </c>
      <c r="E4576" s="45" t="s">
        <v>493</v>
      </c>
      <c r="F4576" s="45"/>
      <c r="G4576" s="23" t="s">
        <v>1160</v>
      </c>
      <c r="H4576" s="14">
        <f>H4577</f>
        <v>0</v>
      </c>
      <c r="I4576" s="14">
        <f t="shared" ref="I4576:L4579" si="2039">I4577</f>
        <v>46.5</v>
      </c>
      <c r="J4576" s="14">
        <f t="shared" si="2039"/>
        <v>46.5</v>
      </c>
      <c r="K4576" s="78">
        <f t="shared" si="2026"/>
        <v>100</v>
      </c>
      <c r="L4576" s="14">
        <f t="shared" si="2039"/>
        <v>0</v>
      </c>
      <c r="M4576" s="50"/>
      <c r="N4576" s="50"/>
    </row>
    <row r="4577" spans="1:14" ht="31.2" x14ac:dyDescent="0.3">
      <c r="A4577" s="64" t="s">
        <v>716</v>
      </c>
      <c r="B4577" s="62" t="s">
        <v>912</v>
      </c>
      <c r="C4577" s="83" t="s">
        <v>1372</v>
      </c>
      <c r="D4577" s="83" t="s">
        <v>1477</v>
      </c>
      <c r="E4577" s="45" t="s">
        <v>494</v>
      </c>
      <c r="F4577" s="45"/>
      <c r="G4577" s="23" t="s">
        <v>1161</v>
      </c>
      <c r="H4577" s="14">
        <f>H4578</f>
        <v>0</v>
      </c>
      <c r="I4577" s="14">
        <f t="shared" si="2039"/>
        <v>46.5</v>
      </c>
      <c r="J4577" s="14">
        <f t="shared" si="2039"/>
        <v>46.5</v>
      </c>
      <c r="K4577" s="78">
        <f t="shared" si="2026"/>
        <v>100</v>
      </c>
      <c r="L4577" s="14">
        <f t="shared" si="2039"/>
        <v>0</v>
      </c>
      <c r="M4577" s="50"/>
      <c r="N4577" s="50"/>
    </row>
    <row r="4578" spans="1:14" ht="31.2" x14ac:dyDescent="0.3">
      <c r="A4578" s="64" t="s">
        <v>716</v>
      </c>
      <c r="B4578" s="62" t="s">
        <v>912</v>
      </c>
      <c r="C4578" s="83" t="s">
        <v>1372</v>
      </c>
      <c r="D4578" s="83" t="s">
        <v>1477</v>
      </c>
      <c r="E4578" s="45" t="s">
        <v>495</v>
      </c>
      <c r="F4578" s="45"/>
      <c r="G4578" s="23" t="s">
        <v>687</v>
      </c>
      <c r="H4578" s="14">
        <f>H4579</f>
        <v>0</v>
      </c>
      <c r="I4578" s="14">
        <f t="shared" si="2039"/>
        <v>46.5</v>
      </c>
      <c r="J4578" s="14">
        <f t="shared" si="2039"/>
        <v>46.5</v>
      </c>
      <c r="K4578" s="78">
        <f t="shared" si="2026"/>
        <v>100</v>
      </c>
      <c r="L4578" s="14">
        <f t="shared" si="2039"/>
        <v>0</v>
      </c>
      <c r="M4578" s="50"/>
      <c r="N4578" s="50"/>
    </row>
    <row r="4579" spans="1:14" x14ac:dyDescent="0.3">
      <c r="A4579" s="64" t="s">
        <v>716</v>
      </c>
      <c r="B4579" s="62" t="s">
        <v>912</v>
      </c>
      <c r="C4579" s="83" t="s">
        <v>1372</v>
      </c>
      <c r="D4579" s="83" t="s">
        <v>1477</v>
      </c>
      <c r="E4579" s="45" t="s">
        <v>495</v>
      </c>
      <c r="F4579" s="45" t="s">
        <v>464</v>
      </c>
      <c r="G4579" s="23" t="s">
        <v>822</v>
      </c>
      <c r="H4579" s="14">
        <f>H4580</f>
        <v>0</v>
      </c>
      <c r="I4579" s="14">
        <f t="shared" si="2039"/>
        <v>46.5</v>
      </c>
      <c r="J4579" s="14">
        <f t="shared" si="2039"/>
        <v>46.5</v>
      </c>
      <c r="K4579" s="78">
        <f t="shared" si="2026"/>
        <v>100</v>
      </c>
      <c r="L4579" s="14">
        <f t="shared" si="2039"/>
        <v>0</v>
      </c>
      <c r="M4579" s="50"/>
      <c r="N4579" s="50"/>
    </row>
    <row r="4580" spans="1:14" x14ac:dyDescent="0.3">
      <c r="A4580" s="64" t="s">
        <v>716</v>
      </c>
      <c r="B4580" s="62" t="s">
        <v>912</v>
      </c>
      <c r="C4580" s="83" t="s">
        <v>1372</v>
      </c>
      <c r="D4580" s="83" t="s">
        <v>1477</v>
      </c>
      <c r="E4580" s="45" t="s">
        <v>495</v>
      </c>
      <c r="F4580" s="45" t="s">
        <v>728</v>
      </c>
      <c r="G4580" s="23" t="s">
        <v>823</v>
      </c>
      <c r="H4580" s="20">
        <v>0</v>
      </c>
      <c r="I4580" s="14">
        <v>46.5</v>
      </c>
      <c r="J4580" s="14">
        <v>46.5</v>
      </c>
      <c r="K4580" s="78">
        <f t="shared" si="2026"/>
        <v>100</v>
      </c>
      <c r="L4580" s="14"/>
      <c r="M4580" s="50"/>
      <c r="N4580" s="50"/>
    </row>
    <row r="4581" spans="1:14" s="3" customFormat="1" ht="31.2" x14ac:dyDescent="0.3">
      <c r="A4581" s="4" t="s">
        <v>717</v>
      </c>
      <c r="B4581" s="43" t="s">
        <v>915</v>
      </c>
      <c r="C4581" s="43" t="s">
        <v>915</v>
      </c>
      <c r="D4581" s="43" t="s">
        <v>915</v>
      </c>
      <c r="E4581" s="4"/>
      <c r="F4581" s="4"/>
      <c r="G4581" s="5" t="s">
        <v>336</v>
      </c>
      <c r="H4581" s="15">
        <f t="shared" ref="H4581:L4581" si="2040">H4582+H4606+H4671</f>
        <v>1090491.4569999999</v>
      </c>
      <c r="I4581" s="15">
        <f t="shared" si="2040"/>
        <v>1388361.0605199998</v>
      </c>
      <c r="J4581" s="15">
        <f t="shared" si="2040"/>
        <v>1295117.5767699999</v>
      </c>
      <c r="K4581" s="81">
        <f t="shared" si="2026"/>
        <v>93.283916813751873</v>
      </c>
      <c r="L4581" s="15">
        <f t="shared" si="2040"/>
        <v>0</v>
      </c>
      <c r="M4581" s="65"/>
      <c r="N4581" s="65"/>
    </row>
    <row r="4582" spans="1:14" s="3" customFormat="1" x14ac:dyDescent="0.3">
      <c r="A4582" s="4" t="s">
        <v>717</v>
      </c>
      <c r="B4582" s="43" t="s">
        <v>1372</v>
      </c>
      <c r="C4582" s="43" t="s">
        <v>1372</v>
      </c>
      <c r="D4582" s="43" t="s">
        <v>915</v>
      </c>
      <c r="E4582" s="4"/>
      <c r="F4582" s="4"/>
      <c r="G4582" s="5" t="s">
        <v>1376</v>
      </c>
      <c r="H4582" s="15">
        <f t="shared" ref="H4582:L4582" si="2041">H4583</f>
        <v>30791.5</v>
      </c>
      <c r="I4582" s="15">
        <f t="shared" si="2041"/>
        <v>46029.170329999994</v>
      </c>
      <c r="J4582" s="15">
        <f t="shared" si="2041"/>
        <v>46029.162209999995</v>
      </c>
      <c r="K4582" s="81">
        <f t="shared" si="2026"/>
        <v>99.999982359012904</v>
      </c>
      <c r="L4582" s="15">
        <f t="shared" si="2041"/>
        <v>0</v>
      </c>
      <c r="M4582" s="65"/>
      <c r="N4582" s="65"/>
    </row>
    <row r="4583" spans="1:14" s="9" customFormat="1" x14ac:dyDescent="0.3">
      <c r="A4583" s="6" t="s">
        <v>717</v>
      </c>
      <c r="B4583" s="48" t="s">
        <v>912</v>
      </c>
      <c r="C4583" s="48" t="s">
        <v>1372</v>
      </c>
      <c r="D4583" s="48" t="s">
        <v>1477</v>
      </c>
      <c r="E4583" s="6"/>
      <c r="F4583" s="6"/>
      <c r="G4583" s="7" t="s">
        <v>1377</v>
      </c>
      <c r="H4583" s="16">
        <f>H4584+H4589</f>
        <v>30791.5</v>
      </c>
      <c r="I4583" s="16">
        <f>I4584+I4589+I4601</f>
        <v>46029.170329999994</v>
      </c>
      <c r="J4583" s="16">
        <f t="shared" ref="J4583:L4583" si="2042">J4584+J4589+J4601</f>
        <v>46029.162209999995</v>
      </c>
      <c r="K4583" s="82">
        <f t="shared" si="2026"/>
        <v>99.999982359012904</v>
      </c>
      <c r="L4583" s="16">
        <f t="shared" si="2042"/>
        <v>0</v>
      </c>
      <c r="M4583" s="65"/>
      <c r="N4583" s="65"/>
    </row>
    <row r="4584" spans="1:14" ht="31.2" x14ac:dyDescent="0.3">
      <c r="A4584" s="64" t="s">
        <v>717</v>
      </c>
      <c r="B4584" s="62" t="s">
        <v>912</v>
      </c>
      <c r="C4584" s="68" t="s">
        <v>1372</v>
      </c>
      <c r="D4584" s="68" t="s">
        <v>1477</v>
      </c>
      <c r="E4584" s="8" t="s">
        <v>429</v>
      </c>
      <c r="F4584" s="8"/>
      <c r="G4584" s="23" t="s">
        <v>1140</v>
      </c>
      <c r="H4584" s="14">
        <f t="shared" ref="H4584:L4587" si="2043">H4585</f>
        <v>12.6</v>
      </c>
      <c r="I4584" s="14">
        <f t="shared" si="2043"/>
        <v>12.6</v>
      </c>
      <c r="J4584" s="14">
        <f t="shared" si="2043"/>
        <v>12.6</v>
      </c>
      <c r="K4584" s="78">
        <f t="shared" si="2026"/>
        <v>100</v>
      </c>
      <c r="L4584" s="14">
        <f t="shared" si="2043"/>
        <v>0</v>
      </c>
      <c r="M4584" s="50"/>
      <c r="N4584" s="50"/>
    </row>
    <row r="4585" spans="1:14" x14ac:dyDescent="0.3">
      <c r="A4585" s="64" t="s">
        <v>717</v>
      </c>
      <c r="B4585" s="62" t="s">
        <v>912</v>
      </c>
      <c r="C4585" s="68" t="s">
        <v>1372</v>
      </c>
      <c r="D4585" s="68" t="s">
        <v>1477</v>
      </c>
      <c r="E4585" s="8" t="s">
        <v>430</v>
      </c>
      <c r="F4585" s="8"/>
      <c r="G4585" s="23" t="s">
        <v>1141</v>
      </c>
      <c r="H4585" s="14">
        <f t="shared" si="2043"/>
        <v>12.6</v>
      </c>
      <c r="I4585" s="14">
        <f t="shared" si="2043"/>
        <v>12.6</v>
      </c>
      <c r="J4585" s="14">
        <f t="shared" si="2043"/>
        <v>12.6</v>
      </c>
      <c r="K4585" s="78">
        <f t="shared" si="2026"/>
        <v>100</v>
      </c>
      <c r="L4585" s="14">
        <f t="shared" si="2043"/>
        <v>0</v>
      </c>
      <c r="M4585" s="50"/>
      <c r="N4585" s="50"/>
    </row>
    <row r="4586" spans="1:14" ht="78" x14ac:dyDescent="0.3">
      <c r="A4586" s="64" t="s">
        <v>717</v>
      </c>
      <c r="B4586" s="62" t="s">
        <v>912</v>
      </c>
      <c r="C4586" s="68" t="s">
        <v>1372</v>
      </c>
      <c r="D4586" s="68" t="s">
        <v>1477</v>
      </c>
      <c r="E4586" s="8" t="s">
        <v>212</v>
      </c>
      <c r="F4586" s="8"/>
      <c r="G4586" s="13" t="s">
        <v>1240</v>
      </c>
      <c r="H4586" s="14">
        <f t="shared" si="2043"/>
        <v>12.6</v>
      </c>
      <c r="I4586" s="14">
        <f t="shared" si="2043"/>
        <v>12.6</v>
      </c>
      <c r="J4586" s="14">
        <f t="shared" si="2043"/>
        <v>12.6</v>
      </c>
      <c r="K4586" s="78">
        <f t="shared" si="2026"/>
        <v>100</v>
      </c>
      <c r="L4586" s="14">
        <f t="shared" si="2043"/>
        <v>0</v>
      </c>
      <c r="M4586" s="50"/>
      <c r="N4586" s="50"/>
    </row>
    <row r="4587" spans="1:14" ht="31.2" x14ac:dyDescent="0.3">
      <c r="A4587" s="64" t="s">
        <v>717</v>
      </c>
      <c r="B4587" s="62" t="s">
        <v>912</v>
      </c>
      <c r="C4587" s="68" t="s">
        <v>1372</v>
      </c>
      <c r="D4587" s="68" t="s">
        <v>1477</v>
      </c>
      <c r="E4587" s="8" t="s">
        <v>212</v>
      </c>
      <c r="F4587" s="45" t="s">
        <v>380</v>
      </c>
      <c r="G4587" s="23" t="s">
        <v>809</v>
      </c>
      <c r="H4587" s="14">
        <f t="shared" si="2043"/>
        <v>12.6</v>
      </c>
      <c r="I4587" s="14">
        <f t="shared" si="2043"/>
        <v>12.6</v>
      </c>
      <c r="J4587" s="14">
        <f t="shared" si="2043"/>
        <v>12.6</v>
      </c>
      <c r="K4587" s="78">
        <f t="shared" si="2026"/>
        <v>100</v>
      </c>
      <c r="L4587" s="14">
        <f t="shared" si="2043"/>
        <v>0</v>
      </c>
      <c r="M4587" s="50"/>
      <c r="N4587" s="50"/>
    </row>
    <row r="4588" spans="1:14" ht="31.2" x14ac:dyDescent="0.3">
      <c r="A4588" s="64" t="s">
        <v>717</v>
      </c>
      <c r="B4588" s="62" t="s">
        <v>912</v>
      </c>
      <c r="C4588" s="68" t="s">
        <v>1372</v>
      </c>
      <c r="D4588" s="68" t="s">
        <v>1477</v>
      </c>
      <c r="E4588" s="8" t="s">
        <v>212</v>
      </c>
      <c r="F4588" s="8" t="s">
        <v>247</v>
      </c>
      <c r="G4588" s="23" t="s">
        <v>810</v>
      </c>
      <c r="H4588" s="14">
        <v>12.6</v>
      </c>
      <c r="I4588" s="14">
        <v>12.6</v>
      </c>
      <c r="J4588" s="14">
        <v>12.6</v>
      </c>
      <c r="K4588" s="78">
        <f t="shared" si="2026"/>
        <v>100</v>
      </c>
      <c r="L4588" s="14"/>
      <c r="M4588" s="50"/>
      <c r="N4588" s="50"/>
    </row>
    <row r="4589" spans="1:14" ht="31.2" x14ac:dyDescent="0.3">
      <c r="A4589" s="64" t="s">
        <v>717</v>
      </c>
      <c r="B4589" s="62" t="s">
        <v>912</v>
      </c>
      <c r="C4589" s="68" t="s">
        <v>1372</v>
      </c>
      <c r="D4589" s="68" t="s">
        <v>1477</v>
      </c>
      <c r="E4589" s="8" t="s">
        <v>343</v>
      </c>
      <c r="F4589" s="8"/>
      <c r="G4589" s="23" t="s">
        <v>1157</v>
      </c>
      <c r="H4589" s="14">
        <f t="shared" ref="H4589:L4589" si="2044">H4590</f>
        <v>30778.9</v>
      </c>
      <c r="I4589" s="14">
        <f t="shared" si="2044"/>
        <v>31332.1</v>
      </c>
      <c r="J4589" s="14">
        <f t="shared" si="2044"/>
        <v>31332.09188</v>
      </c>
      <c r="K4589" s="78">
        <f t="shared" si="2026"/>
        <v>99.99997408408629</v>
      </c>
      <c r="L4589" s="14">
        <f t="shared" si="2044"/>
        <v>0</v>
      </c>
      <c r="M4589" s="50"/>
      <c r="N4589" s="50"/>
    </row>
    <row r="4590" spans="1:14" x14ac:dyDescent="0.3">
      <c r="A4590" s="64" t="s">
        <v>717</v>
      </c>
      <c r="B4590" s="62" t="s">
        <v>912</v>
      </c>
      <c r="C4590" s="68" t="s">
        <v>1372</v>
      </c>
      <c r="D4590" s="68" t="s">
        <v>1477</v>
      </c>
      <c r="E4590" s="8" t="s">
        <v>344</v>
      </c>
      <c r="F4590" s="8"/>
      <c r="G4590" s="23" t="s">
        <v>1159</v>
      </c>
      <c r="H4590" s="14">
        <f>H4591+H4594</f>
        <v>30778.9</v>
      </c>
      <c r="I4590" s="14">
        <f>I4591+I4594</f>
        <v>31332.1</v>
      </c>
      <c r="J4590" s="14">
        <f t="shared" ref="J4590" si="2045">J4591+J4594</f>
        <v>31332.09188</v>
      </c>
      <c r="K4590" s="78">
        <f t="shared" si="2026"/>
        <v>99.99997408408629</v>
      </c>
      <c r="L4590" s="14">
        <f>L4591+L4594</f>
        <v>0</v>
      </c>
      <c r="M4590" s="50"/>
      <c r="N4590" s="50"/>
    </row>
    <row r="4591" spans="1:14" ht="31.2" x14ac:dyDescent="0.3">
      <c r="A4591" s="64" t="s">
        <v>717</v>
      </c>
      <c r="B4591" s="62" t="s">
        <v>912</v>
      </c>
      <c r="C4591" s="83" t="s">
        <v>1372</v>
      </c>
      <c r="D4591" s="83" t="s">
        <v>1477</v>
      </c>
      <c r="E4591" s="45" t="s">
        <v>345</v>
      </c>
      <c r="F4591" s="8"/>
      <c r="G4591" s="23" t="s">
        <v>1152</v>
      </c>
      <c r="H4591" s="14">
        <f t="shared" ref="H4591:L4592" si="2046">H4592</f>
        <v>27936.5</v>
      </c>
      <c r="I4591" s="14">
        <f t="shared" si="2046"/>
        <v>28492.55442</v>
      </c>
      <c r="J4591" s="14">
        <f t="shared" si="2046"/>
        <v>28492.546300000002</v>
      </c>
      <c r="K4591" s="78">
        <f t="shared" si="2026"/>
        <v>99.999971501326698</v>
      </c>
      <c r="L4591" s="14">
        <f t="shared" si="2046"/>
        <v>0</v>
      </c>
      <c r="M4591" s="50"/>
      <c r="N4591" s="50"/>
    </row>
    <row r="4592" spans="1:14" ht="78" x14ac:dyDescent="0.3">
      <c r="A4592" s="64" t="s">
        <v>717</v>
      </c>
      <c r="B4592" s="62" t="s">
        <v>912</v>
      </c>
      <c r="C4592" s="83" t="s">
        <v>1372</v>
      </c>
      <c r="D4592" s="83" t="s">
        <v>1477</v>
      </c>
      <c r="E4592" s="45" t="s">
        <v>345</v>
      </c>
      <c r="F4592" s="45" t="s">
        <v>431</v>
      </c>
      <c r="G4592" s="23" t="s">
        <v>806</v>
      </c>
      <c r="H4592" s="14">
        <f t="shared" si="2046"/>
        <v>27936.5</v>
      </c>
      <c r="I4592" s="14">
        <f t="shared" si="2046"/>
        <v>28492.55442</v>
      </c>
      <c r="J4592" s="14">
        <f t="shared" si="2046"/>
        <v>28492.546300000002</v>
      </c>
      <c r="K4592" s="78">
        <f t="shared" si="2026"/>
        <v>99.999971501326698</v>
      </c>
      <c r="L4592" s="14">
        <f t="shared" si="2046"/>
        <v>0</v>
      </c>
      <c r="M4592" s="50"/>
      <c r="N4592" s="50"/>
    </row>
    <row r="4593" spans="1:14" ht="31.2" x14ac:dyDescent="0.3">
      <c r="A4593" s="64" t="s">
        <v>717</v>
      </c>
      <c r="B4593" s="62" t="s">
        <v>912</v>
      </c>
      <c r="C4593" s="83" t="s">
        <v>1372</v>
      </c>
      <c r="D4593" s="83" t="s">
        <v>1477</v>
      </c>
      <c r="E4593" s="45" t="s">
        <v>345</v>
      </c>
      <c r="F4593" s="45" t="s">
        <v>233</v>
      </c>
      <c r="G4593" s="23" t="s">
        <v>808</v>
      </c>
      <c r="H4593" s="14">
        <v>27936.5</v>
      </c>
      <c r="I4593" s="14">
        <v>28492.55442</v>
      </c>
      <c r="J4593" s="14">
        <v>28492.546300000002</v>
      </c>
      <c r="K4593" s="78">
        <f t="shared" si="2026"/>
        <v>99.999971501326698</v>
      </c>
      <c r="L4593" s="14"/>
      <c r="M4593" s="50"/>
      <c r="N4593" s="50"/>
    </row>
    <row r="4594" spans="1:14" ht="31.2" x14ac:dyDescent="0.3">
      <c r="A4594" s="64" t="s">
        <v>717</v>
      </c>
      <c r="B4594" s="62" t="s">
        <v>912</v>
      </c>
      <c r="C4594" s="83" t="s">
        <v>1372</v>
      </c>
      <c r="D4594" s="83" t="s">
        <v>1477</v>
      </c>
      <c r="E4594" s="45" t="s">
        <v>346</v>
      </c>
      <c r="F4594" s="8"/>
      <c r="G4594" s="23" t="s">
        <v>1154</v>
      </c>
      <c r="H4594" s="14">
        <f>H4595+H4597+H4599</f>
        <v>2842.3999999999996</v>
      </c>
      <c r="I4594" s="14">
        <f>I4595+I4597+I4599</f>
        <v>2839.54558</v>
      </c>
      <c r="J4594" s="14">
        <f t="shared" ref="J4594" si="2047">J4595+J4597+J4599</f>
        <v>2839.54558</v>
      </c>
      <c r="K4594" s="78">
        <f t="shared" si="2026"/>
        <v>100</v>
      </c>
      <c r="L4594" s="14">
        <f>L4595+L4597+L4599</f>
        <v>0</v>
      </c>
      <c r="M4594" s="50"/>
      <c r="N4594" s="50"/>
    </row>
    <row r="4595" spans="1:14" ht="78" x14ac:dyDescent="0.3">
      <c r="A4595" s="64" t="s">
        <v>717</v>
      </c>
      <c r="B4595" s="62" t="s">
        <v>912</v>
      </c>
      <c r="C4595" s="83" t="s">
        <v>1372</v>
      </c>
      <c r="D4595" s="83" t="s">
        <v>1477</v>
      </c>
      <c r="E4595" s="45" t="s">
        <v>346</v>
      </c>
      <c r="F4595" s="45" t="s">
        <v>431</v>
      </c>
      <c r="G4595" s="23" t="s">
        <v>806</v>
      </c>
      <c r="H4595" s="14">
        <f t="shared" ref="H4595:L4595" si="2048">H4596</f>
        <v>4.0999999999999996</v>
      </c>
      <c r="I4595" s="14">
        <f t="shared" si="2048"/>
        <v>2.5845799999999999</v>
      </c>
      <c r="J4595" s="14">
        <f t="shared" si="2048"/>
        <v>2.5845799999999999</v>
      </c>
      <c r="K4595" s="78">
        <f t="shared" si="2026"/>
        <v>100</v>
      </c>
      <c r="L4595" s="14">
        <f t="shared" si="2048"/>
        <v>0</v>
      </c>
      <c r="M4595" s="50"/>
      <c r="N4595" s="50"/>
    </row>
    <row r="4596" spans="1:14" ht="31.2" x14ac:dyDescent="0.3">
      <c r="A4596" s="64" t="s">
        <v>717</v>
      </c>
      <c r="B4596" s="62" t="s">
        <v>912</v>
      </c>
      <c r="C4596" s="83" t="s">
        <v>1372</v>
      </c>
      <c r="D4596" s="83" t="s">
        <v>1477</v>
      </c>
      <c r="E4596" s="45" t="s">
        <v>346</v>
      </c>
      <c r="F4596" s="45" t="s">
        <v>233</v>
      </c>
      <c r="G4596" s="23" t="s">
        <v>808</v>
      </c>
      <c r="H4596" s="14">
        <v>4.0999999999999996</v>
      </c>
      <c r="I4596" s="14">
        <v>2.5845799999999999</v>
      </c>
      <c r="J4596" s="14">
        <v>2.5845799999999999</v>
      </c>
      <c r="K4596" s="78">
        <f t="shared" si="2026"/>
        <v>100</v>
      </c>
      <c r="L4596" s="14"/>
      <c r="M4596" s="50"/>
      <c r="N4596" s="50"/>
    </row>
    <row r="4597" spans="1:14" ht="31.2" x14ac:dyDescent="0.3">
      <c r="A4597" s="64" t="s">
        <v>717</v>
      </c>
      <c r="B4597" s="62" t="s">
        <v>912</v>
      </c>
      <c r="C4597" s="83" t="s">
        <v>1372</v>
      </c>
      <c r="D4597" s="83" t="s">
        <v>1477</v>
      </c>
      <c r="E4597" s="45" t="s">
        <v>346</v>
      </c>
      <c r="F4597" s="45" t="s">
        <v>380</v>
      </c>
      <c r="G4597" s="23" t="s">
        <v>809</v>
      </c>
      <c r="H4597" s="14">
        <f t="shared" ref="H4597:L4597" si="2049">H4598</f>
        <v>2836.1</v>
      </c>
      <c r="I4597" s="14">
        <f t="shared" si="2049"/>
        <v>2836.1</v>
      </c>
      <c r="J4597" s="14">
        <f t="shared" si="2049"/>
        <v>2836.1</v>
      </c>
      <c r="K4597" s="78">
        <f t="shared" si="2026"/>
        <v>100</v>
      </c>
      <c r="L4597" s="14">
        <f t="shared" si="2049"/>
        <v>0</v>
      </c>
      <c r="M4597" s="50"/>
      <c r="N4597" s="50"/>
    </row>
    <row r="4598" spans="1:14" ht="31.2" x14ac:dyDescent="0.3">
      <c r="A4598" s="64" t="s">
        <v>717</v>
      </c>
      <c r="B4598" s="62" t="s">
        <v>912</v>
      </c>
      <c r="C4598" s="83" t="s">
        <v>1372</v>
      </c>
      <c r="D4598" s="83" t="s">
        <v>1477</v>
      </c>
      <c r="E4598" s="45" t="s">
        <v>346</v>
      </c>
      <c r="F4598" s="8" t="s">
        <v>247</v>
      </c>
      <c r="G4598" s="23" t="s">
        <v>810</v>
      </c>
      <c r="H4598" s="14">
        <v>2836.1</v>
      </c>
      <c r="I4598" s="14">
        <v>2836.1</v>
      </c>
      <c r="J4598" s="14">
        <v>2836.1</v>
      </c>
      <c r="K4598" s="78">
        <f t="shared" si="2026"/>
        <v>100</v>
      </c>
      <c r="L4598" s="14"/>
      <c r="M4598" s="50"/>
      <c r="N4598" s="50"/>
    </row>
    <row r="4599" spans="1:14" x14ac:dyDescent="0.3">
      <c r="A4599" s="64" t="s">
        <v>717</v>
      </c>
      <c r="B4599" s="62" t="s">
        <v>912</v>
      </c>
      <c r="C4599" s="83" t="s">
        <v>1372</v>
      </c>
      <c r="D4599" s="83" t="s">
        <v>1477</v>
      </c>
      <c r="E4599" s="45" t="s">
        <v>346</v>
      </c>
      <c r="F4599" s="45" t="s">
        <v>464</v>
      </c>
      <c r="G4599" s="23" t="s">
        <v>822</v>
      </c>
      <c r="H4599" s="14">
        <f t="shared" ref="H4599:L4599" si="2050">H4600</f>
        <v>2.2000000000000002</v>
      </c>
      <c r="I4599" s="14">
        <f t="shared" si="2050"/>
        <v>0.86099999999999999</v>
      </c>
      <c r="J4599" s="14">
        <f t="shared" si="2050"/>
        <v>0.86099999999999999</v>
      </c>
      <c r="K4599" s="78">
        <f t="shared" si="2026"/>
        <v>100</v>
      </c>
      <c r="L4599" s="14">
        <f t="shared" si="2050"/>
        <v>0</v>
      </c>
      <c r="M4599" s="50"/>
      <c r="N4599" s="50"/>
    </row>
    <row r="4600" spans="1:14" x14ac:dyDescent="0.3">
      <c r="A4600" s="64" t="s">
        <v>717</v>
      </c>
      <c r="B4600" s="62" t="s">
        <v>912</v>
      </c>
      <c r="C4600" s="83" t="s">
        <v>1372</v>
      </c>
      <c r="D4600" s="83" t="s">
        <v>1477</v>
      </c>
      <c r="E4600" s="45" t="s">
        <v>346</v>
      </c>
      <c r="F4600" s="45" t="s">
        <v>729</v>
      </c>
      <c r="G4600" s="23" t="s">
        <v>824</v>
      </c>
      <c r="H4600" s="14">
        <v>2.2000000000000002</v>
      </c>
      <c r="I4600" s="14">
        <v>0.86099999999999999</v>
      </c>
      <c r="J4600" s="14">
        <v>0.86099999999999999</v>
      </c>
      <c r="K4600" s="78">
        <f t="shared" si="2026"/>
        <v>100</v>
      </c>
      <c r="L4600" s="14"/>
      <c r="M4600" s="50"/>
      <c r="N4600" s="50"/>
    </row>
    <row r="4601" spans="1:14" ht="46.8" x14ac:dyDescent="0.3">
      <c r="A4601" s="64" t="s">
        <v>717</v>
      </c>
      <c r="B4601" s="62" t="s">
        <v>912</v>
      </c>
      <c r="C4601" s="68" t="s">
        <v>1372</v>
      </c>
      <c r="D4601" s="68" t="s">
        <v>1477</v>
      </c>
      <c r="E4601" s="8" t="s">
        <v>493</v>
      </c>
      <c r="F4601" s="8"/>
      <c r="G4601" s="13" t="s">
        <v>1160</v>
      </c>
      <c r="H4601" s="20">
        <v>0</v>
      </c>
      <c r="I4601" s="14">
        <f>I4602</f>
        <v>14684.47033</v>
      </c>
      <c r="J4601" s="14">
        <f t="shared" ref="J4601:L4604" si="2051">J4602</f>
        <v>14684.47033</v>
      </c>
      <c r="K4601" s="78">
        <f t="shared" si="2026"/>
        <v>100</v>
      </c>
      <c r="L4601" s="14">
        <f t="shared" si="2051"/>
        <v>0</v>
      </c>
      <c r="M4601" s="50"/>
      <c r="N4601" s="50"/>
    </row>
    <row r="4602" spans="1:14" ht="31.2" x14ac:dyDescent="0.3">
      <c r="A4602" s="64" t="s">
        <v>717</v>
      </c>
      <c r="B4602" s="62" t="s">
        <v>912</v>
      </c>
      <c r="C4602" s="68" t="s">
        <v>1372</v>
      </c>
      <c r="D4602" s="68" t="s">
        <v>1477</v>
      </c>
      <c r="E4602" s="8" t="s">
        <v>494</v>
      </c>
      <c r="F4602" s="8"/>
      <c r="G4602" s="13" t="s">
        <v>1161</v>
      </c>
      <c r="H4602" s="20">
        <v>0</v>
      </c>
      <c r="I4602" s="14">
        <f>I4603</f>
        <v>14684.47033</v>
      </c>
      <c r="J4602" s="14">
        <f t="shared" si="2051"/>
        <v>14684.47033</v>
      </c>
      <c r="K4602" s="78">
        <f t="shared" si="2026"/>
        <v>100</v>
      </c>
      <c r="L4602" s="14">
        <f t="shared" si="2051"/>
        <v>0</v>
      </c>
      <c r="M4602" s="50"/>
      <c r="N4602" s="50"/>
    </row>
    <row r="4603" spans="1:14" ht="31.2" x14ac:dyDescent="0.3">
      <c r="A4603" s="64" t="s">
        <v>717</v>
      </c>
      <c r="B4603" s="62" t="s">
        <v>912</v>
      </c>
      <c r="C4603" s="68" t="s">
        <v>1372</v>
      </c>
      <c r="D4603" s="68" t="s">
        <v>1477</v>
      </c>
      <c r="E4603" s="8" t="s">
        <v>495</v>
      </c>
      <c r="F4603" s="8"/>
      <c r="G4603" s="13" t="s">
        <v>687</v>
      </c>
      <c r="H4603" s="20">
        <v>0</v>
      </c>
      <c r="I4603" s="14">
        <f>I4604</f>
        <v>14684.47033</v>
      </c>
      <c r="J4603" s="14">
        <f t="shared" si="2051"/>
        <v>14684.47033</v>
      </c>
      <c r="K4603" s="78">
        <f t="shared" si="2026"/>
        <v>100</v>
      </c>
      <c r="L4603" s="14">
        <f t="shared" si="2051"/>
        <v>0</v>
      </c>
      <c r="M4603" s="50"/>
      <c r="N4603" s="50"/>
    </row>
    <row r="4604" spans="1:14" x14ac:dyDescent="0.3">
      <c r="A4604" s="64" t="s">
        <v>717</v>
      </c>
      <c r="B4604" s="62" t="s">
        <v>912</v>
      </c>
      <c r="C4604" s="68" t="s">
        <v>1372</v>
      </c>
      <c r="D4604" s="68" t="s">
        <v>1477</v>
      </c>
      <c r="E4604" s="8" t="s">
        <v>495</v>
      </c>
      <c r="F4604" s="45" t="s">
        <v>464</v>
      </c>
      <c r="G4604" s="23" t="s">
        <v>822</v>
      </c>
      <c r="H4604" s="20">
        <v>0</v>
      </c>
      <c r="I4604" s="14">
        <f>I4605</f>
        <v>14684.47033</v>
      </c>
      <c r="J4604" s="14">
        <f t="shared" si="2051"/>
        <v>14684.47033</v>
      </c>
      <c r="K4604" s="78">
        <f t="shared" si="2026"/>
        <v>100</v>
      </c>
      <c r="L4604" s="14">
        <f t="shared" si="2051"/>
        <v>0</v>
      </c>
      <c r="M4604" s="50"/>
      <c r="N4604" s="50"/>
    </row>
    <row r="4605" spans="1:14" x14ac:dyDescent="0.3">
      <c r="A4605" s="64" t="s">
        <v>717</v>
      </c>
      <c r="B4605" s="62" t="s">
        <v>912</v>
      </c>
      <c r="C4605" s="68" t="s">
        <v>1372</v>
      </c>
      <c r="D4605" s="68" t="s">
        <v>1477</v>
      </c>
      <c r="E4605" s="8" t="s">
        <v>495</v>
      </c>
      <c r="F4605" s="8" t="s">
        <v>728</v>
      </c>
      <c r="G4605" s="23" t="s">
        <v>823</v>
      </c>
      <c r="H4605" s="20">
        <v>0</v>
      </c>
      <c r="I4605" s="14">
        <v>14684.47033</v>
      </c>
      <c r="J4605" s="14">
        <v>14684.47033</v>
      </c>
      <c r="K4605" s="78">
        <f t="shared" si="2026"/>
        <v>100</v>
      </c>
      <c r="L4605" s="14"/>
      <c r="M4605" s="50"/>
      <c r="N4605" s="50"/>
    </row>
    <row r="4606" spans="1:14" s="3" customFormat="1" x14ac:dyDescent="0.3">
      <c r="A4606" s="4" t="s">
        <v>717</v>
      </c>
      <c r="B4606" s="43" t="s">
        <v>1392</v>
      </c>
      <c r="C4606" s="43" t="s">
        <v>1392</v>
      </c>
      <c r="D4606" s="43" t="s">
        <v>915</v>
      </c>
      <c r="E4606" s="4"/>
      <c r="F4606" s="4"/>
      <c r="G4606" s="5" t="s">
        <v>1416</v>
      </c>
      <c r="H4606" s="15">
        <f t="shared" ref="H4606:L4606" si="2052">H4607+H4660</f>
        <v>771227.18799999997</v>
      </c>
      <c r="I4606" s="15">
        <f t="shared" si="2052"/>
        <v>885278.97219999996</v>
      </c>
      <c r="J4606" s="15">
        <f t="shared" si="2052"/>
        <v>845453.32673999993</v>
      </c>
      <c r="K4606" s="81">
        <f t="shared" si="2026"/>
        <v>95.501345145358002</v>
      </c>
      <c r="L4606" s="15">
        <f t="shared" si="2052"/>
        <v>0</v>
      </c>
      <c r="M4606" s="65"/>
      <c r="N4606" s="65"/>
    </row>
    <row r="4607" spans="1:14" s="9" customFormat="1" x14ac:dyDescent="0.3">
      <c r="A4607" s="6" t="s">
        <v>717</v>
      </c>
      <c r="B4607" s="48" t="s">
        <v>941</v>
      </c>
      <c r="C4607" s="48" t="s">
        <v>1392</v>
      </c>
      <c r="D4607" s="48" t="s">
        <v>1372</v>
      </c>
      <c r="E4607" s="6"/>
      <c r="F4607" s="6"/>
      <c r="G4607" s="7" t="s">
        <v>1422</v>
      </c>
      <c r="H4607" s="16">
        <f t="shared" ref="H4607:L4607" si="2053">H4608+H4655</f>
        <v>748992.48800000001</v>
      </c>
      <c r="I4607" s="16">
        <f t="shared" si="2053"/>
        <v>863044.27220000001</v>
      </c>
      <c r="J4607" s="16">
        <f t="shared" si="2053"/>
        <v>823274.28411999997</v>
      </c>
      <c r="K4607" s="82">
        <f t="shared" si="2026"/>
        <v>95.391894789056224</v>
      </c>
      <c r="L4607" s="16">
        <f t="shared" si="2053"/>
        <v>0</v>
      </c>
      <c r="M4607" s="65"/>
      <c r="N4607" s="65"/>
    </row>
    <row r="4608" spans="1:14" ht="31.2" x14ac:dyDescent="0.3">
      <c r="A4608" s="64" t="s">
        <v>717</v>
      </c>
      <c r="B4608" s="62" t="s">
        <v>941</v>
      </c>
      <c r="C4608" s="68" t="s">
        <v>1392</v>
      </c>
      <c r="D4608" s="68" t="s">
        <v>1372</v>
      </c>
      <c r="E4608" s="8" t="s">
        <v>659</v>
      </c>
      <c r="F4608" s="8"/>
      <c r="G4608" s="13" t="s">
        <v>1067</v>
      </c>
      <c r="H4608" s="14">
        <f t="shared" ref="H4608:L4608" si="2054">H4609+H4641+H4649</f>
        <v>733698.88800000004</v>
      </c>
      <c r="I4608" s="14">
        <f t="shared" si="2054"/>
        <v>857621.02220000001</v>
      </c>
      <c r="J4608" s="14">
        <f t="shared" si="2054"/>
        <v>823274.28411999997</v>
      </c>
      <c r="K4608" s="78">
        <f t="shared" si="2026"/>
        <v>95.99511471956545</v>
      </c>
      <c r="L4608" s="14">
        <f t="shared" si="2054"/>
        <v>0</v>
      </c>
      <c r="M4608" s="50"/>
      <c r="N4608" s="50"/>
    </row>
    <row r="4609" spans="1:14" ht="31.2" x14ac:dyDescent="0.3">
      <c r="A4609" s="64" t="s">
        <v>717</v>
      </c>
      <c r="B4609" s="62" t="s">
        <v>941</v>
      </c>
      <c r="C4609" s="68" t="s">
        <v>1392</v>
      </c>
      <c r="D4609" s="68" t="s">
        <v>1372</v>
      </c>
      <c r="E4609" s="8" t="s">
        <v>660</v>
      </c>
      <c r="F4609" s="8"/>
      <c r="G4609" s="13" t="s">
        <v>1068</v>
      </c>
      <c r="H4609" s="14">
        <f>H4610+H4629+H4634</f>
        <v>536697.98300000001</v>
      </c>
      <c r="I4609" s="14">
        <f>I4610+I4629+I4634</f>
        <v>660620.11719999998</v>
      </c>
      <c r="J4609" s="14">
        <f t="shared" ref="J4609" si="2055">J4610+J4629+J4634</f>
        <v>626457.52874999994</v>
      </c>
      <c r="K4609" s="78">
        <f t="shared" si="2026"/>
        <v>94.828709032538057</v>
      </c>
      <c r="L4609" s="14">
        <f>L4610+L4629+L4634</f>
        <v>0</v>
      </c>
      <c r="M4609" s="50"/>
      <c r="N4609" s="50"/>
    </row>
    <row r="4610" spans="1:14" ht="46.8" x14ac:dyDescent="0.3">
      <c r="A4610" s="64" t="s">
        <v>717</v>
      </c>
      <c r="B4610" s="62" t="s">
        <v>941</v>
      </c>
      <c r="C4610" s="68" t="s">
        <v>1392</v>
      </c>
      <c r="D4610" s="68" t="s">
        <v>1372</v>
      </c>
      <c r="E4610" s="8" t="s">
        <v>677</v>
      </c>
      <c r="F4610" s="8"/>
      <c r="G4610" s="13" t="s">
        <v>1069</v>
      </c>
      <c r="H4610" s="14">
        <f>H4614+H4617+H4611+H4623+H4620+H4626</f>
        <v>522224.32</v>
      </c>
      <c r="I4610" s="14">
        <f t="shared" ref="I4610:L4610" si="2056">I4614+I4617+I4611+I4623+I4620+I4626</f>
        <v>646326.26202999998</v>
      </c>
      <c r="J4610" s="14">
        <f t="shared" si="2056"/>
        <v>612212.96907999995</v>
      </c>
      <c r="K4610" s="78">
        <f t="shared" si="2026"/>
        <v>94.721970163666867</v>
      </c>
      <c r="L4610" s="14">
        <f t="shared" si="2056"/>
        <v>0</v>
      </c>
      <c r="M4610" s="50"/>
      <c r="N4610" s="50"/>
    </row>
    <row r="4611" spans="1:14" ht="46.8" x14ac:dyDescent="0.3">
      <c r="A4611" s="64" t="s">
        <v>717</v>
      </c>
      <c r="B4611" s="62" t="s">
        <v>941</v>
      </c>
      <c r="C4611" s="68" t="s">
        <v>1392</v>
      </c>
      <c r="D4611" s="68" t="s">
        <v>1372</v>
      </c>
      <c r="E4611" s="8" t="s">
        <v>895</v>
      </c>
      <c r="F4611" s="8"/>
      <c r="G4611" s="13" t="s">
        <v>904</v>
      </c>
      <c r="H4611" s="14">
        <f t="shared" ref="H4611:L4612" si="2057">H4612</f>
        <v>3315.6</v>
      </c>
      <c r="I4611" s="14">
        <f t="shared" si="2057"/>
        <v>3315.5958999999998</v>
      </c>
      <c r="J4611" s="14">
        <f t="shared" si="2057"/>
        <v>3315.5958999999998</v>
      </c>
      <c r="K4611" s="78">
        <f t="shared" si="2026"/>
        <v>100</v>
      </c>
      <c r="L4611" s="14">
        <f t="shared" si="2057"/>
        <v>0</v>
      </c>
      <c r="M4611" s="50"/>
      <c r="N4611" s="50"/>
    </row>
    <row r="4612" spans="1:14" ht="31.2" x14ac:dyDescent="0.3">
      <c r="A4612" s="64" t="s">
        <v>717</v>
      </c>
      <c r="B4612" s="62" t="s">
        <v>941</v>
      </c>
      <c r="C4612" s="68" t="s">
        <v>1392</v>
      </c>
      <c r="D4612" s="68" t="s">
        <v>1372</v>
      </c>
      <c r="E4612" s="8" t="s">
        <v>895</v>
      </c>
      <c r="F4612" s="45" t="s">
        <v>478</v>
      </c>
      <c r="G4612" s="23" t="s">
        <v>817</v>
      </c>
      <c r="H4612" s="14">
        <f t="shared" si="2057"/>
        <v>3315.6</v>
      </c>
      <c r="I4612" s="14">
        <f t="shared" si="2057"/>
        <v>3315.5958999999998</v>
      </c>
      <c r="J4612" s="14">
        <f t="shared" si="2057"/>
        <v>3315.5958999999998</v>
      </c>
      <c r="K4612" s="78">
        <f t="shared" si="2026"/>
        <v>100</v>
      </c>
      <c r="L4612" s="14">
        <f t="shared" si="2057"/>
        <v>0</v>
      </c>
      <c r="M4612" s="50"/>
      <c r="N4612" s="50"/>
    </row>
    <row r="4613" spans="1:14" x14ac:dyDescent="0.3">
      <c r="A4613" s="64" t="s">
        <v>717</v>
      </c>
      <c r="B4613" s="62" t="s">
        <v>941</v>
      </c>
      <c r="C4613" s="68" t="s">
        <v>1392</v>
      </c>
      <c r="D4613" s="68" t="s">
        <v>1372</v>
      </c>
      <c r="E4613" s="8" t="s">
        <v>895</v>
      </c>
      <c r="F4613" s="45" t="s">
        <v>1273</v>
      </c>
      <c r="G4613" s="23" t="s">
        <v>818</v>
      </c>
      <c r="H4613" s="14">
        <v>3315.6</v>
      </c>
      <c r="I4613" s="14">
        <v>3315.5958999999998</v>
      </c>
      <c r="J4613" s="14">
        <v>3315.5958999999998</v>
      </c>
      <c r="K4613" s="78">
        <f t="shared" si="2026"/>
        <v>100</v>
      </c>
      <c r="L4613" s="14"/>
      <c r="M4613" s="50"/>
      <c r="N4613" s="50"/>
    </row>
    <row r="4614" spans="1:14" ht="31.2" x14ac:dyDescent="0.3">
      <c r="A4614" s="64" t="s">
        <v>717</v>
      </c>
      <c r="B4614" s="62" t="s">
        <v>941</v>
      </c>
      <c r="C4614" s="68" t="s">
        <v>1392</v>
      </c>
      <c r="D4614" s="68" t="s">
        <v>1372</v>
      </c>
      <c r="E4614" s="8" t="s">
        <v>678</v>
      </c>
      <c r="F4614" s="8"/>
      <c r="G4614" s="13" t="s">
        <v>1070</v>
      </c>
      <c r="H4614" s="14">
        <f t="shared" ref="H4614:L4615" si="2058">H4615</f>
        <v>31210.091</v>
      </c>
      <c r="I4614" s="14">
        <f t="shared" si="2058"/>
        <v>31210.091</v>
      </c>
      <c r="J4614" s="14">
        <f t="shared" si="2058"/>
        <v>16153.77988</v>
      </c>
      <c r="K4614" s="78">
        <f t="shared" si="2026"/>
        <v>51.75819538622941</v>
      </c>
      <c r="L4614" s="14">
        <f t="shared" si="2058"/>
        <v>0</v>
      </c>
      <c r="M4614" s="50"/>
      <c r="N4614" s="50"/>
    </row>
    <row r="4615" spans="1:14" ht="31.2" x14ac:dyDescent="0.3">
      <c r="A4615" s="64" t="s">
        <v>717</v>
      </c>
      <c r="B4615" s="62" t="s">
        <v>941</v>
      </c>
      <c r="C4615" s="68" t="s">
        <v>1392</v>
      </c>
      <c r="D4615" s="68" t="s">
        <v>1372</v>
      </c>
      <c r="E4615" s="8" t="s">
        <v>678</v>
      </c>
      <c r="F4615" s="45" t="s">
        <v>380</v>
      </c>
      <c r="G4615" s="23" t="s">
        <v>809</v>
      </c>
      <c r="H4615" s="14">
        <f t="shared" si="2058"/>
        <v>31210.091</v>
      </c>
      <c r="I4615" s="14">
        <f t="shared" si="2058"/>
        <v>31210.091</v>
      </c>
      <c r="J4615" s="14">
        <f t="shared" si="2058"/>
        <v>16153.77988</v>
      </c>
      <c r="K4615" s="78">
        <f t="shared" si="2026"/>
        <v>51.75819538622941</v>
      </c>
      <c r="L4615" s="14">
        <f t="shared" si="2058"/>
        <v>0</v>
      </c>
      <c r="M4615" s="50"/>
      <c r="N4615" s="50"/>
    </row>
    <row r="4616" spans="1:14" ht="31.2" x14ac:dyDescent="0.3">
      <c r="A4616" s="64" t="s">
        <v>717</v>
      </c>
      <c r="B4616" s="62" t="s">
        <v>941</v>
      </c>
      <c r="C4616" s="68" t="s">
        <v>1392</v>
      </c>
      <c r="D4616" s="68" t="s">
        <v>1372</v>
      </c>
      <c r="E4616" s="8" t="s">
        <v>678</v>
      </c>
      <c r="F4616" s="8" t="s">
        <v>247</v>
      </c>
      <c r="G4616" s="23" t="s">
        <v>810</v>
      </c>
      <c r="H4616" s="14">
        <f>23792.7-161.805+8007.896-428.7</f>
        <v>31210.091</v>
      </c>
      <c r="I4616" s="14">
        <v>31210.091</v>
      </c>
      <c r="J4616" s="14">
        <v>16153.77988</v>
      </c>
      <c r="K4616" s="78">
        <f t="shared" ref="K4616:K4679" si="2059">J4616/I4616*100</f>
        <v>51.75819538622941</v>
      </c>
      <c r="L4616" s="14"/>
      <c r="M4616" s="50"/>
      <c r="N4616" s="50"/>
    </row>
    <row r="4617" spans="1:14" ht="62.4" x14ac:dyDescent="0.3">
      <c r="A4617" s="64" t="s">
        <v>717</v>
      </c>
      <c r="B4617" s="62" t="s">
        <v>941</v>
      </c>
      <c r="C4617" s="68" t="s">
        <v>1392</v>
      </c>
      <c r="D4617" s="68" t="s">
        <v>1372</v>
      </c>
      <c r="E4617" s="8" t="s">
        <v>679</v>
      </c>
      <c r="F4617" s="8"/>
      <c r="G4617" s="13" t="s">
        <v>1071</v>
      </c>
      <c r="H4617" s="14">
        <f t="shared" ref="H4617:L4618" si="2060">H4618</f>
        <v>155215.22199999995</v>
      </c>
      <c r="I4617" s="14">
        <f t="shared" si="2060"/>
        <v>155215.22200000001</v>
      </c>
      <c r="J4617" s="14">
        <f t="shared" si="2060"/>
        <v>147148.13209</v>
      </c>
      <c r="K4617" s="78">
        <f t="shared" si="2059"/>
        <v>94.802642546231709</v>
      </c>
      <c r="L4617" s="14">
        <f t="shared" si="2060"/>
        <v>0</v>
      </c>
      <c r="M4617" s="50"/>
      <c r="N4617" s="50"/>
    </row>
    <row r="4618" spans="1:14" ht="31.2" x14ac:dyDescent="0.3">
      <c r="A4618" s="64" t="s">
        <v>717</v>
      </c>
      <c r="B4618" s="62" t="s">
        <v>941</v>
      </c>
      <c r="C4618" s="68" t="s">
        <v>1392</v>
      </c>
      <c r="D4618" s="68" t="s">
        <v>1372</v>
      </c>
      <c r="E4618" s="8" t="s">
        <v>679</v>
      </c>
      <c r="F4618" s="45" t="s">
        <v>478</v>
      </c>
      <c r="G4618" s="23" t="s">
        <v>817</v>
      </c>
      <c r="H4618" s="14">
        <f t="shared" si="2060"/>
        <v>155215.22199999995</v>
      </c>
      <c r="I4618" s="14">
        <f t="shared" si="2060"/>
        <v>155215.22200000001</v>
      </c>
      <c r="J4618" s="14">
        <f t="shared" si="2060"/>
        <v>147148.13209</v>
      </c>
      <c r="K4618" s="78">
        <f t="shared" si="2059"/>
        <v>94.802642546231709</v>
      </c>
      <c r="L4618" s="14">
        <f t="shared" si="2060"/>
        <v>0</v>
      </c>
      <c r="M4618" s="50"/>
      <c r="N4618" s="50"/>
    </row>
    <row r="4619" spans="1:14" x14ac:dyDescent="0.3">
      <c r="A4619" s="64" t="s">
        <v>717</v>
      </c>
      <c r="B4619" s="62" t="s">
        <v>941</v>
      </c>
      <c r="C4619" s="68" t="s">
        <v>1392</v>
      </c>
      <c r="D4619" s="68" t="s">
        <v>1372</v>
      </c>
      <c r="E4619" s="8" t="s">
        <v>679</v>
      </c>
      <c r="F4619" s="45" t="s">
        <v>1273</v>
      </c>
      <c r="G4619" s="23" t="s">
        <v>818</v>
      </c>
      <c r="H4619" s="14">
        <f>446531.361-332796.139+41480</f>
        <v>155215.22199999995</v>
      </c>
      <c r="I4619" s="14">
        <v>155215.22200000001</v>
      </c>
      <c r="J4619" s="14">
        <v>147148.13209</v>
      </c>
      <c r="K4619" s="78">
        <f t="shared" si="2059"/>
        <v>94.802642546231709</v>
      </c>
      <c r="L4619" s="14"/>
      <c r="M4619" s="50"/>
      <c r="N4619" s="50"/>
    </row>
    <row r="4620" spans="1:14" ht="46.8" x14ac:dyDescent="0.3">
      <c r="A4620" s="64" t="s">
        <v>717</v>
      </c>
      <c r="B4620" s="62" t="s">
        <v>941</v>
      </c>
      <c r="C4620" s="68" t="s">
        <v>1392</v>
      </c>
      <c r="D4620" s="68" t="s">
        <v>1372</v>
      </c>
      <c r="E4620" s="8" t="s">
        <v>988</v>
      </c>
      <c r="F4620" s="45"/>
      <c r="G4620" s="23" t="s">
        <v>989</v>
      </c>
      <c r="H4620" s="14">
        <f>H4621</f>
        <v>58756.053</v>
      </c>
      <c r="I4620" s="14">
        <f t="shared" ref="I4620:L4621" si="2061">I4621</f>
        <v>58756.053</v>
      </c>
      <c r="J4620" s="14">
        <f t="shared" si="2061"/>
        <v>47766.161079999998</v>
      </c>
      <c r="K4620" s="78">
        <f t="shared" si="2059"/>
        <v>81.295728084389879</v>
      </c>
      <c r="L4620" s="14">
        <f t="shared" si="2061"/>
        <v>0</v>
      </c>
      <c r="M4620" s="50"/>
      <c r="N4620" s="50"/>
    </row>
    <row r="4621" spans="1:14" ht="31.2" x14ac:dyDescent="0.3">
      <c r="A4621" s="64" t="s">
        <v>717</v>
      </c>
      <c r="B4621" s="62" t="s">
        <v>941</v>
      </c>
      <c r="C4621" s="68" t="s">
        <v>1392</v>
      </c>
      <c r="D4621" s="68" t="s">
        <v>1372</v>
      </c>
      <c r="E4621" s="8" t="s">
        <v>988</v>
      </c>
      <c r="F4621" s="45" t="s">
        <v>478</v>
      </c>
      <c r="G4621" s="23" t="s">
        <v>817</v>
      </c>
      <c r="H4621" s="14">
        <f>H4622</f>
        <v>58756.053</v>
      </c>
      <c r="I4621" s="14">
        <f t="shared" si="2061"/>
        <v>58756.053</v>
      </c>
      <c r="J4621" s="14">
        <f t="shared" si="2061"/>
        <v>47766.161079999998</v>
      </c>
      <c r="K4621" s="78">
        <f t="shared" si="2059"/>
        <v>81.295728084389879</v>
      </c>
      <c r="L4621" s="14">
        <f t="shared" si="2061"/>
        <v>0</v>
      </c>
      <c r="M4621" s="50"/>
      <c r="N4621" s="50"/>
    </row>
    <row r="4622" spans="1:14" x14ac:dyDescent="0.3">
      <c r="A4622" s="64" t="s">
        <v>717</v>
      </c>
      <c r="B4622" s="62" t="s">
        <v>941</v>
      </c>
      <c r="C4622" s="68" t="s">
        <v>1392</v>
      </c>
      <c r="D4622" s="68" t="s">
        <v>1372</v>
      </c>
      <c r="E4622" s="8" t="s">
        <v>988</v>
      </c>
      <c r="F4622" s="45" t="s">
        <v>1273</v>
      </c>
      <c r="G4622" s="23" t="s">
        <v>818</v>
      </c>
      <c r="H4622" s="14">
        <f>80046.962-21290.909</f>
        <v>58756.053</v>
      </c>
      <c r="I4622" s="14">
        <v>58756.053</v>
      </c>
      <c r="J4622" s="20">
        <v>47766.161079999998</v>
      </c>
      <c r="K4622" s="77">
        <f t="shared" si="2059"/>
        <v>81.295728084389879</v>
      </c>
      <c r="L4622" s="14"/>
      <c r="M4622" s="50"/>
      <c r="N4622" s="50"/>
    </row>
    <row r="4623" spans="1:14" ht="31.2" x14ac:dyDescent="0.3">
      <c r="A4623" s="64" t="s">
        <v>717</v>
      </c>
      <c r="B4623" s="62" t="s">
        <v>941</v>
      </c>
      <c r="C4623" s="68" t="s">
        <v>1392</v>
      </c>
      <c r="D4623" s="68" t="s">
        <v>1372</v>
      </c>
      <c r="E4623" s="8" t="s">
        <v>897</v>
      </c>
      <c r="F4623" s="45"/>
      <c r="G4623" s="23" t="s">
        <v>896</v>
      </c>
      <c r="H4623" s="14">
        <f t="shared" ref="H4623:L4624" si="2062">H4624</f>
        <v>5513.1369999999997</v>
      </c>
      <c r="I4623" s="14">
        <f t="shared" si="2062"/>
        <v>5513.1361299999999</v>
      </c>
      <c r="J4623" s="14">
        <f t="shared" si="2062"/>
        <v>5513.1361299999999</v>
      </c>
      <c r="K4623" s="78">
        <f t="shared" si="2059"/>
        <v>100</v>
      </c>
      <c r="L4623" s="14">
        <f t="shared" si="2062"/>
        <v>0</v>
      </c>
      <c r="M4623" s="50"/>
      <c r="N4623" s="50"/>
    </row>
    <row r="4624" spans="1:14" ht="31.2" x14ac:dyDescent="0.3">
      <c r="A4624" s="64" t="s">
        <v>717</v>
      </c>
      <c r="B4624" s="62" t="s">
        <v>941</v>
      </c>
      <c r="C4624" s="68" t="s">
        <v>1392</v>
      </c>
      <c r="D4624" s="68" t="s">
        <v>1372</v>
      </c>
      <c r="E4624" s="8" t="s">
        <v>897</v>
      </c>
      <c r="F4624" s="45" t="s">
        <v>478</v>
      </c>
      <c r="G4624" s="23" t="s">
        <v>817</v>
      </c>
      <c r="H4624" s="14">
        <f t="shared" si="2062"/>
        <v>5513.1369999999997</v>
      </c>
      <c r="I4624" s="14">
        <f t="shared" si="2062"/>
        <v>5513.1361299999999</v>
      </c>
      <c r="J4624" s="14">
        <f t="shared" si="2062"/>
        <v>5513.1361299999999</v>
      </c>
      <c r="K4624" s="78">
        <f t="shared" si="2059"/>
        <v>100</v>
      </c>
      <c r="L4624" s="14">
        <f t="shared" si="2062"/>
        <v>0</v>
      </c>
      <c r="M4624" s="50"/>
      <c r="N4624" s="50"/>
    </row>
    <row r="4625" spans="1:14" x14ac:dyDescent="0.3">
      <c r="A4625" s="64" t="s">
        <v>717</v>
      </c>
      <c r="B4625" s="62" t="s">
        <v>941</v>
      </c>
      <c r="C4625" s="68" t="s">
        <v>1392</v>
      </c>
      <c r="D4625" s="68" t="s">
        <v>1372</v>
      </c>
      <c r="E4625" s="8" t="s">
        <v>897</v>
      </c>
      <c r="F4625" s="45" t="s">
        <v>1273</v>
      </c>
      <c r="G4625" s="23" t="s">
        <v>818</v>
      </c>
      <c r="H4625" s="14">
        <v>5513.1369999999997</v>
      </c>
      <c r="I4625" s="14">
        <v>5513.1361299999999</v>
      </c>
      <c r="J4625" s="14">
        <v>5513.1361299999999</v>
      </c>
      <c r="K4625" s="78">
        <f t="shared" si="2059"/>
        <v>100</v>
      </c>
      <c r="L4625" s="14"/>
      <c r="M4625" s="50"/>
      <c r="N4625" s="50"/>
    </row>
    <row r="4626" spans="1:14" ht="46.8" x14ac:dyDescent="0.3">
      <c r="A4626" s="64" t="s">
        <v>717</v>
      </c>
      <c r="B4626" s="62" t="s">
        <v>941</v>
      </c>
      <c r="C4626" s="68" t="s">
        <v>1392</v>
      </c>
      <c r="D4626" s="68" t="s">
        <v>1372</v>
      </c>
      <c r="E4626" s="8" t="s">
        <v>990</v>
      </c>
      <c r="F4626" s="45"/>
      <c r="G4626" s="23" t="s">
        <v>991</v>
      </c>
      <c r="H4626" s="14">
        <f>H4627</f>
        <v>268214.21700000006</v>
      </c>
      <c r="I4626" s="14">
        <f t="shared" ref="I4626:L4627" si="2063">I4627</f>
        <v>392316.16399999999</v>
      </c>
      <c r="J4626" s="14">
        <f t="shared" si="2063"/>
        <v>392316.16399999999</v>
      </c>
      <c r="K4626" s="78">
        <f t="shared" si="2059"/>
        <v>100</v>
      </c>
      <c r="L4626" s="14">
        <f t="shared" si="2063"/>
        <v>0</v>
      </c>
      <c r="M4626" s="50"/>
      <c r="N4626" s="50"/>
    </row>
    <row r="4627" spans="1:14" ht="31.2" x14ac:dyDescent="0.3">
      <c r="A4627" s="64" t="s">
        <v>717</v>
      </c>
      <c r="B4627" s="62" t="s">
        <v>941</v>
      </c>
      <c r="C4627" s="68" t="s">
        <v>1392</v>
      </c>
      <c r="D4627" s="68" t="s">
        <v>1372</v>
      </c>
      <c r="E4627" s="8" t="s">
        <v>990</v>
      </c>
      <c r="F4627" s="45" t="s">
        <v>478</v>
      </c>
      <c r="G4627" s="23" t="s">
        <v>817</v>
      </c>
      <c r="H4627" s="14">
        <f>H4628</f>
        <v>268214.21700000006</v>
      </c>
      <c r="I4627" s="14">
        <f t="shared" si="2063"/>
        <v>392316.16399999999</v>
      </c>
      <c r="J4627" s="14">
        <f t="shared" si="2063"/>
        <v>392316.16399999999</v>
      </c>
      <c r="K4627" s="78">
        <f t="shared" si="2059"/>
        <v>100</v>
      </c>
      <c r="L4627" s="14">
        <f t="shared" si="2063"/>
        <v>0</v>
      </c>
      <c r="M4627" s="50"/>
      <c r="N4627" s="50"/>
    </row>
    <row r="4628" spans="1:14" x14ac:dyDescent="0.3">
      <c r="A4628" s="64" t="s">
        <v>717</v>
      </c>
      <c r="B4628" s="62" t="s">
        <v>941</v>
      </c>
      <c r="C4628" s="68" t="s">
        <v>1392</v>
      </c>
      <c r="D4628" s="68" t="s">
        <v>1372</v>
      </c>
      <c r="E4628" s="8" t="s">
        <v>990</v>
      </c>
      <c r="F4628" s="45" t="s">
        <v>1273</v>
      </c>
      <c r="G4628" s="23" t="s">
        <v>818</v>
      </c>
      <c r="H4628" s="14">
        <f>302749.177-29670.491-4864.469</f>
        <v>268214.21700000006</v>
      </c>
      <c r="I4628" s="14">
        <v>392316.16399999999</v>
      </c>
      <c r="J4628" s="14">
        <v>392316.16399999999</v>
      </c>
      <c r="K4628" s="78">
        <f t="shared" si="2059"/>
        <v>100</v>
      </c>
      <c r="L4628" s="14"/>
      <c r="M4628" s="50"/>
      <c r="N4628" s="50"/>
    </row>
    <row r="4629" spans="1:14" ht="31.2" x14ac:dyDescent="0.3">
      <c r="A4629" s="64" t="s">
        <v>717</v>
      </c>
      <c r="B4629" s="62" t="s">
        <v>941</v>
      </c>
      <c r="C4629" s="68" t="s">
        <v>1392</v>
      </c>
      <c r="D4629" s="68" t="s">
        <v>1372</v>
      </c>
      <c r="E4629" s="8" t="s">
        <v>661</v>
      </c>
      <c r="F4629" s="8"/>
      <c r="G4629" s="18" t="s">
        <v>135</v>
      </c>
      <c r="H4629" s="14">
        <f>H4630+H4632</f>
        <v>2483.663</v>
      </c>
      <c r="I4629" s="14">
        <f>I4630+I4632</f>
        <v>2483.663</v>
      </c>
      <c r="J4629" s="14">
        <f t="shared" ref="J4629" si="2064">J4630+J4632</f>
        <v>2435.02322</v>
      </c>
      <c r="K4629" s="78">
        <f t="shared" si="2059"/>
        <v>98.041611120349259</v>
      </c>
      <c r="L4629" s="14">
        <f>L4630+L4632</f>
        <v>0</v>
      </c>
      <c r="M4629" s="50"/>
      <c r="N4629" s="50"/>
    </row>
    <row r="4630" spans="1:14" ht="31.2" x14ac:dyDescent="0.3">
      <c r="A4630" s="64" t="s">
        <v>717</v>
      </c>
      <c r="B4630" s="62" t="s">
        <v>941</v>
      </c>
      <c r="C4630" s="68" t="s">
        <v>1392</v>
      </c>
      <c r="D4630" s="68" t="s">
        <v>1372</v>
      </c>
      <c r="E4630" s="8" t="s">
        <v>661</v>
      </c>
      <c r="F4630" s="45" t="s">
        <v>380</v>
      </c>
      <c r="G4630" s="23" t="s">
        <v>809</v>
      </c>
      <c r="H4630" s="14">
        <f t="shared" ref="H4630:L4630" si="2065">H4631</f>
        <v>1108.0630000000001</v>
      </c>
      <c r="I4630" s="14">
        <f t="shared" si="2065"/>
        <v>1108.0630000000001</v>
      </c>
      <c r="J4630" s="14">
        <f t="shared" si="2065"/>
        <v>1083.4516699999999</v>
      </c>
      <c r="K4630" s="78">
        <f t="shared" si="2059"/>
        <v>97.778887121039133</v>
      </c>
      <c r="L4630" s="14">
        <f t="shared" si="2065"/>
        <v>0</v>
      </c>
      <c r="M4630" s="50"/>
      <c r="N4630" s="50"/>
    </row>
    <row r="4631" spans="1:14" ht="31.2" x14ac:dyDescent="0.3">
      <c r="A4631" s="64" t="s">
        <v>717</v>
      </c>
      <c r="B4631" s="62" t="s">
        <v>941</v>
      </c>
      <c r="C4631" s="68" t="s">
        <v>1392</v>
      </c>
      <c r="D4631" s="68" t="s">
        <v>1372</v>
      </c>
      <c r="E4631" s="8" t="s">
        <v>661</v>
      </c>
      <c r="F4631" s="8" t="s">
        <v>247</v>
      </c>
      <c r="G4631" s="23" t="s">
        <v>810</v>
      </c>
      <c r="H4631" s="14">
        <f>1191.5-83.437</f>
        <v>1108.0630000000001</v>
      </c>
      <c r="I4631" s="14">
        <v>1108.0630000000001</v>
      </c>
      <c r="J4631" s="14">
        <v>1083.4516699999999</v>
      </c>
      <c r="K4631" s="78">
        <f t="shared" si="2059"/>
        <v>97.778887121039133</v>
      </c>
      <c r="L4631" s="14"/>
      <c r="M4631" s="50"/>
      <c r="N4631" s="50"/>
    </row>
    <row r="4632" spans="1:14" x14ac:dyDescent="0.3">
      <c r="A4632" s="64" t="s">
        <v>717</v>
      </c>
      <c r="B4632" s="62" t="s">
        <v>941</v>
      </c>
      <c r="C4632" s="68" t="s">
        <v>1392</v>
      </c>
      <c r="D4632" s="68" t="s">
        <v>1372</v>
      </c>
      <c r="E4632" s="8" t="s">
        <v>661</v>
      </c>
      <c r="F4632" s="45" t="s">
        <v>464</v>
      </c>
      <c r="G4632" s="23" t="s">
        <v>822</v>
      </c>
      <c r="H4632" s="14">
        <f t="shared" ref="H4632:L4632" si="2066">H4633</f>
        <v>1375.6</v>
      </c>
      <c r="I4632" s="14">
        <f t="shared" si="2066"/>
        <v>1375.6</v>
      </c>
      <c r="J4632" s="14">
        <f t="shared" si="2066"/>
        <v>1351.5715499999999</v>
      </c>
      <c r="K4632" s="78">
        <f t="shared" si="2059"/>
        <v>98.253238586798489</v>
      </c>
      <c r="L4632" s="14">
        <f t="shared" si="2066"/>
        <v>0</v>
      </c>
      <c r="M4632" s="50"/>
      <c r="N4632" s="50"/>
    </row>
    <row r="4633" spans="1:14" x14ac:dyDescent="0.3">
      <c r="A4633" s="64" t="s">
        <v>717</v>
      </c>
      <c r="B4633" s="62" t="s">
        <v>941</v>
      </c>
      <c r="C4633" s="68" t="s">
        <v>1392</v>
      </c>
      <c r="D4633" s="68" t="s">
        <v>1372</v>
      </c>
      <c r="E4633" s="8" t="s">
        <v>661</v>
      </c>
      <c r="F4633" s="45" t="s">
        <v>729</v>
      </c>
      <c r="G4633" s="23" t="s">
        <v>824</v>
      </c>
      <c r="H4633" s="14">
        <v>1375.6</v>
      </c>
      <c r="I4633" s="14">
        <v>1375.6</v>
      </c>
      <c r="J4633" s="14">
        <v>1351.5715499999999</v>
      </c>
      <c r="K4633" s="78">
        <f t="shared" si="2059"/>
        <v>98.253238586798489</v>
      </c>
      <c r="L4633" s="14"/>
      <c r="M4633" s="50"/>
      <c r="N4633" s="50"/>
    </row>
    <row r="4634" spans="1:14" ht="46.8" x14ac:dyDescent="0.3">
      <c r="A4634" s="64" t="s">
        <v>717</v>
      </c>
      <c r="B4634" s="62" t="s">
        <v>941</v>
      </c>
      <c r="C4634" s="68" t="s">
        <v>1392</v>
      </c>
      <c r="D4634" s="68" t="s">
        <v>1372</v>
      </c>
      <c r="E4634" s="8" t="s">
        <v>283</v>
      </c>
      <c r="F4634" s="8"/>
      <c r="G4634" s="13" t="s">
        <v>978</v>
      </c>
      <c r="H4634" s="14">
        <f>H4635+H4638</f>
        <v>11990</v>
      </c>
      <c r="I4634" s="14">
        <f t="shared" ref="I4634:L4634" si="2067">I4635+I4638</f>
        <v>11810.19217</v>
      </c>
      <c r="J4634" s="14">
        <f t="shared" si="2067"/>
        <v>11809.53645</v>
      </c>
      <c r="K4634" s="78">
        <f t="shared" si="2059"/>
        <v>99.994447846482416</v>
      </c>
      <c r="L4634" s="14">
        <f t="shared" si="2067"/>
        <v>0</v>
      </c>
      <c r="M4634" s="50"/>
      <c r="N4634" s="50"/>
    </row>
    <row r="4635" spans="1:14" ht="62.4" x14ac:dyDescent="0.3">
      <c r="A4635" s="64" t="s">
        <v>717</v>
      </c>
      <c r="B4635" s="62" t="s">
        <v>941</v>
      </c>
      <c r="C4635" s="68" t="s">
        <v>1392</v>
      </c>
      <c r="D4635" s="68" t="s">
        <v>1372</v>
      </c>
      <c r="E4635" s="8" t="s">
        <v>898</v>
      </c>
      <c r="F4635" s="8"/>
      <c r="G4635" s="23" t="s">
        <v>1045</v>
      </c>
      <c r="H4635" s="14">
        <f t="shared" ref="H4635:L4636" si="2068">H4636</f>
        <v>8992</v>
      </c>
      <c r="I4635" s="14">
        <f t="shared" si="2068"/>
        <v>8812.1921700000003</v>
      </c>
      <c r="J4635" s="14">
        <f t="shared" si="2068"/>
        <v>8812.1921700000003</v>
      </c>
      <c r="K4635" s="78">
        <f t="shared" si="2059"/>
        <v>100</v>
      </c>
      <c r="L4635" s="14">
        <f t="shared" si="2068"/>
        <v>0</v>
      </c>
      <c r="M4635" s="50"/>
      <c r="N4635" s="50"/>
    </row>
    <row r="4636" spans="1:14" ht="31.2" x14ac:dyDescent="0.3">
      <c r="A4636" s="64" t="s">
        <v>717</v>
      </c>
      <c r="B4636" s="62" t="s">
        <v>941</v>
      </c>
      <c r="C4636" s="68" t="s">
        <v>1392</v>
      </c>
      <c r="D4636" s="68" t="s">
        <v>1372</v>
      </c>
      <c r="E4636" s="8" t="s">
        <v>898</v>
      </c>
      <c r="F4636" s="45" t="s">
        <v>478</v>
      </c>
      <c r="G4636" s="23" t="s">
        <v>817</v>
      </c>
      <c r="H4636" s="14">
        <f t="shared" si="2068"/>
        <v>8992</v>
      </c>
      <c r="I4636" s="14">
        <f t="shared" si="2068"/>
        <v>8812.1921700000003</v>
      </c>
      <c r="J4636" s="14">
        <f t="shared" si="2068"/>
        <v>8812.1921700000003</v>
      </c>
      <c r="K4636" s="78">
        <f t="shared" si="2059"/>
        <v>100</v>
      </c>
      <c r="L4636" s="14">
        <f t="shared" si="2068"/>
        <v>0</v>
      </c>
      <c r="M4636" s="50"/>
      <c r="N4636" s="50"/>
    </row>
    <row r="4637" spans="1:14" x14ac:dyDescent="0.3">
      <c r="A4637" s="64" t="s">
        <v>717</v>
      </c>
      <c r="B4637" s="62" t="s">
        <v>941</v>
      </c>
      <c r="C4637" s="68" t="s">
        <v>1392</v>
      </c>
      <c r="D4637" s="68" t="s">
        <v>1372</v>
      </c>
      <c r="E4637" s="8" t="s">
        <v>898</v>
      </c>
      <c r="F4637" s="45" t="s">
        <v>1273</v>
      </c>
      <c r="G4637" s="23" t="s">
        <v>818</v>
      </c>
      <c r="H4637" s="14">
        <v>8992</v>
      </c>
      <c r="I4637" s="14">
        <v>8812.1921700000003</v>
      </c>
      <c r="J4637" s="14">
        <v>8812.1921700000003</v>
      </c>
      <c r="K4637" s="78">
        <f t="shared" si="2059"/>
        <v>100</v>
      </c>
      <c r="L4637" s="14"/>
      <c r="M4637" s="50"/>
      <c r="N4637" s="50"/>
    </row>
    <row r="4638" spans="1:14" ht="93.6" x14ac:dyDescent="0.3">
      <c r="A4638" s="64" t="s">
        <v>717</v>
      </c>
      <c r="B4638" s="62" t="s">
        <v>941</v>
      </c>
      <c r="C4638" s="68" t="s">
        <v>1392</v>
      </c>
      <c r="D4638" s="68" t="s">
        <v>1372</v>
      </c>
      <c r="E4638" s="8" t="s">
        <v>899</v>
      </c>
      <c r="F4638" s="8"/>
      <c r="G4638" s="23" t="s">
        <v>900</v>
      </c>
      <c r="H4638" s="14">
        <f t="shared" ref="H4638:L4639" si="2069">H4639</f>
        <v>2998</v>
      </c>
      <c r="I4638" s="14">
        <f t="shared" si="2069"/>
        <v>2998</v>
      </c>
      <c r="J4638" s="14">
        <f t="shared" si="2069"/>
        <v>2997.3442799999998</v>
      </c>
      <c r="K4638" s="78">
        <f t="shared" si="2059"/>
        <v>99.978128085390253</v>
      </c>
      <c r="L4638" s="14">
        <f t="shared" si="2069"/>
        <v>0</v>
      </c>
      <c r="M4638" s="50"/>
      <c r="N4638" s="50"/>
    </row>
    <row r="4639" spans="1:14" ht="31.2" x14ac:dyDescent="0.3">
      <c r="A4639" s="64" t="s">
        <v>717</v>
      </c>
      <c r="B4639" s="62" t="s">
        <v>941</v>
      </c>
      <c r="C4639" s="68" t="s">
        <v>1392</v>
      </c>
      <c r="D4639" s="68" t="s">
        <v>1372</v>
      </c>
      <c r="E4639" s="8" t="s">
        <v>899</v>
      </c>
      <c r="F4639" s="45" t="s">
        <v>478</v>
      </c>
      <c r="G4639" s="23" t="s">
        <v>817</v>
      </c>
      <c r="H4639" s="14">
        <f t="shared" si="2069"/>
        <v>2998</v>
      </c>
      <c r="I4639" s="14">
        <f t="shared" si="2069"/>
        <v>2998</v>
      </c>
      <c r="J4639" s="14">
        <f t="shared" si="2069"/>
        <v>2997.3442799999998</v>
      </c>
      <c r="K4639" s="78">
        <f t="shared" si="2059"/>
        <v>99.978128085390253</v>
      </c>
      <c r="L4639" s="14">
        <f t="shared" si="2069"/>
        <v>0</v>
      </c>
      <c r="M4639" s="50"/>
      <c r="N4639" s="50"/>
    </row>
    <row r="4640" spans="1:14" x14ac:dyDescent="0.3">
      <c r="A4640" s="64" t="s">
        <v>717</v>
      </c>
      <c r="B4640" s="62" t="s">
        <v>941</v>
      </c>
      <c r="C4640" s="68" t="s">
        <v>1392</v>
      </c>
      <c r="D4640" s="68" t="s">
        <v>1372</v>
      </c>
      <c r="E4640" s="8" t="s">
        <v>899</v>
      </c>
      <c r="F4640" s="45" t="s">
        <v>1273</v>
      </c>
      <c r="G4640" s="23" t="s">
        <v>818</v>
      </c>
      <c r="H4640" s="14">
        <v>2998</v>
      </c>
      <c r="I4640" s="14">
        <v>2998</v>
      </c>
      <c r="J4640" s="14">
        <v>2997.3442799999998</v>
      </c>
      <c r="K4640" s="78">
        <f t="shared" si="2059"/>
        <v>99.978128085390253</v>
      </c>
      <c r="L4640" s="14"/>
      <c r="M4640" s="50"/>
      <c r="N4640" s="50"/>
    </row>
    <row r="4641" spans="1:14" ht="31.2" x14ac:dyDescent="0.3">
      <c r="A4641" s="64" t="s">
        <v>717</v>
      </c>
      <c r="B4641" s="62" t="s">
        <v>941</v>
      </c>
      <c r="C4641" s="68" t="s">
        <v>1392</v>
      </c>
      <c r="D4641" s="68" t="s">
        <v>1372</v>
      </c>
      <c r="E4641" s="8" t="s">
        <v>681</v>
      </c>
      <c r="F4641" s="8"/>
      <c r="G4641" s="13" t="s">
        <v>1072</v>
      </c>
      <c r="H4641" s="14">
        <f t="shared" ref="H4641:L4642" si="2070">H4642</f>
        <v>10083.711000000001</v>
      </c>
      <c r="I4641" s="14">
        <f t="shared" si="2070"/>
        <v>10083.710999999999</v>
      </c>
      <c r="J4641" s="14">
        <f t="shared" si="2070"/>
        <v>10080.44628</v>
      </c>
      <c r="K4641" s="78">
        <f t="shared" si="2059"/>
        <v>99.967623824205205</v>
      </c>
      <c r="L4641" s="14">
        <f t="shared" si="2070"/>
        <v>0</v>
      </c>
      <c r="M4641" s="50"/>
      <c r="N4641" s="50"/>
    </row>
    <row r="4642" spans="1:14" ht="46.8" x14ac:dyDescent="0.3">
      <c r="A4642" s="64" t="s">
        <v>717</v>
      </c>
      <c r="B4642" s="62" t="s">
        <v>941</v>
      </c>
      <c r="C4642" s="68" t="s">
        <v>1392</v>
      </c>
      <c r="D4642" s="68" t="s">
        <v>1372</v>
      </c>
      <c r="E4642" s="8" t="s">
        <v>682</v>
      </c>
      <c r="F4642" s="8"/>
      <c r="G4642" s="13" t="s">
        <v>1073</v>
      </c>
      <c r="H4642" s="14">
        <f t="shared" si="2070"/>
        <v>10083.711000000001</v>
      </c>
      <c r="I4642" s="14">
        <f t="shared" si="2070"/>
        <v>10083.710999999999</v>
      </c>
      <c r="J4642" s="14">
        <f t="shared" si="2070"/>
        <v>10080.44628</v>
      </c>
      <c r="K4642" s="78">
        <f t="shared" si="2059"/>
        <v>99.967623824205205</v>
      </c>
      <c r="L4642" s="14">
        <f t="shared" si="2070"/>
        <v>0</v>
      </c>
      <c r="M4642" s="50"/>
      <c r="N4642" s="50"/>
    </row>
    <row r="4643" spans="1:14" ht="31.2" x14ac:dyDescent="0.3">
      <c r="A4643" s="64" t="s">
        <v>717</v>
      </c>
      <c r="B4643" s="62" t="s">
        <v>941</v>
      </c>
      <c r="C4643" s="68" t="s">
        <v>1392</v>
      </c>
      <c r="D4643" s="68" t="s">
        <v>1372</v>
      </c>
      <c r="E4643" s="8" t="s">
        <v>683</v>
      </c>
      <c r="F4643" s="8"/>
      <c r="G4643" s="13" t="s">
        <v>1074</v>
      </c>
      <c r="H4643" s="14">
        <f>H4644+H4646</f>
        <v>10083.711000000001</v>
      </c>
      <c r="I4643" s="14">
        <f>I4644+I4646</f>
        <v>10083.710999999999</v>
      </c>
      <c r="J4643" s="14">
        <f t="shared" ref="J4643" si="2071">J4644+J4646</f>
        <v>10080.44628</v>
      </c>
      <c r="K4643" s="78">
        <f t="shared" si="2059"/>
        <v>99.967623824205205</v>
      </c>
      <c r="L4643" s="14">
        <f>L4644+L4646</f>
        <v>0</v>
      </c>
      <c r="M4643" s="50"/>
      <c r="N4643" s="50"/>
    </row>
    <row r="4644" spans="1:14" ht="31.2" x14ac:dyDescent="0.3">
      <c r="A4644" s="64" t="s">
        <v>717</v>
      </c>
      <c r="B4644" s="62" t="s">
        <v>941</v>
      </c>
      <c r="C4644" s="68" t="s">
        <v>1392</v>
      </c>
      <c r="D4644" s="68" t="s">
        <v>1372</v>
      </c>
      <c r="E4644" s="8" t="s">
        <v>683</v>
      </c>
      <c r="F4644" s="45" t="s">
        <v>380</v>
      </c>
      <c r="G4644" s="23" t="s">
        <v>809</v>
      </c>
      <c r="H4644" s="14">
        <f t="shared" ref="H4644:L4644" si="2072">H4645</f>
        <v>9817.3110000000015</v>
      </c>
      <c r="I4644" s="14">
        <f t="shared" si="2072"/>
        <v>9723.0215200000002</v>
      </c>
      <c r="J4644" s="14">
        <f t="shared" si="2072"/>
        <v>9719.9411999999993</v>
      </c>
      <c r="K4644" s="78">
        <f t="shared" si="2059"/>
        <v>99.968319313151113</v>
      </c>
      <c r="L4644" s="14">
        <f t="shared" si="2072"/>
        <v>0</v>
      </c>
      <c r="M4644" s="50"/>
      <c r="N4644" s="50"/>
    </row>
    <row r="4645" spans="1:14" ht="31.2" x14ac:dyDescent="0.3">
      <c r="A4645" s="64" t="s">
        <v>717</v>
      </c>
      <c r="B4645" s="62" t="s">
        <v>941</v>
      </c>
      <c r="C4645" s="68" t="s">
        <v>1392</v>
      </c>
      <c r="D4645" s="68" t="s">
        <v>1372</v>
      </c>
      <c r="E4645" s="8" t="s">
        <v>683</v>
      </c>
      <c r="F4645" s="8" t="s">
        <v>247</v>
      </c>
      <c r="G4645" s="23" t="s">
        <v>810</v>
      </c>
      <c r="H4645" s="14">
        <f>9522.2-133.589+428.7</f>
        <v>9817.3110000000015</v>
      </c>
      <c r="I4645" s="14">
        <v>9723.0215200000002</v>
      </c>
      <c r="J4645" s="14">
        <v>9719.9411999999993</v>
      </c>
      <c r="K4645" s="78">
        <f t="shared" si="2059"/>
        <v>99.968319313151113</v>
      </c>
      <c r="L4645" s="14"/>
      <c r="M4645" s="50"/>
      <c r="N4645" s="50"/>
    </row>
    <row r="4646" spans="1:14" x14ac:dyDescent="0.3">
      <c r="A4646" s="64" t="s">
        <v>717</v>
      </c>
      <c r="B4646" s="62" t="s">
        <v>941</v>
      </c>
      <c r="C4646" s="68" t="s">
        <v>1392</v>
      </c>
      <c r="D4646" s="68" t="s">
        <v>1372</v>
      </c>
      <c r="E4646" s="8" t="s">
        <v>683</v>
      </c>
      <c r="F4646" s="45" t="s">
        <v>464</v>
      </c>
      <c r="G4646" s="23" t="s">
        <v>822</v>
      </c>
      <c r="H4646" s="14">
        <f>H4648</f>
        <v>266.39999999999998</v>
      </c>
      <c r="I4646" s="14">
        <f>I4648+I4647</f>
        <v>360.68948</v>
      </c>
      <c r="J4646" s="14">
        <f t="shared" ref="J4646:L4646" si="2073">J4648+J4647</f>
        <v>360.50508000000002</v>
      </c>
      <c r="K4646" s="78">
        <f t="shared" si="2059"/>
        <v>99.948875692188196</v>
      </c>
      <c r="L4646" s="14">
        <f t="shared" si="2073"/>
        <v>0</v>
      </c>
      <c r="M4646" s="50"/>
      <c r="N4646" s="50"/>
    </row>
    <row r="4647" spans="1:14" x14ac:dyDescent="0.3">
      <c r="A4647" s="64" t="s">
        <v>717</v>
      </c>
      <c r="B4647" s="62" t="s">
        <v>941</v>
      </c>
      <c r="C4647" s="68" t="s">
        <v>1392</v>
      </c>
      <c r="D4647" s="68" t="s">
        <v>1372</v>
      </c>
      <c r="E4647" s="8" t="s">
        <v>683</v>
      </c>
      <c r="F4647" s="8" t="s">
        <v>728</v>
      </c>
      <c r="G4647" s="23" t="s">
        <v>823</v>
      </c>
      <c r="H4647" s="20">
        <v>0</v>
      </c>
      <c r="I4647" s="14">
        <v>110.92452</v>
      </c>
      <c r="J4647" s="14">
        <v>110.75452</v>
      </c>
      <c r="K4647" s="78">
        <f t="shared" si="2059"/>
        <v>99.846742631836491</v>
      </c>
      <c r="L4647" s="14"/>
      <c r="M4647" s="50"/>
      <c r="N4647" s="50"/>
    </row>
    <row r="4648" spans="1:14" x14ac:dyDescent="0.3">
      <c r="A4648" s="64" t="s">
        <v>717</v>
      </c>
      <c r="B4648" s="62" t="s">
        <v>941</v>
      </c>
      <c r="C4648" s="68" t="s">
        <v>1392</v>
      </c>
      <c r="D4648" s="68" t="s">
        <v>1372</v>
      </c>
      <c r="E4648" s="8" t="s">
        <v>683</v>
      </c>
      <c r="F4648" s="45" t="s">
        <v>729</v>
      </c>
      <c r="G4648" s="23" t="s">
        <v>824</v>
      </c>
      <c r="H4648" s="14">
        <v>266.39999999999998</v>
      </c>
      <c r="I4648" s="14">
        <v>249.76496</v>
      </c>
      <c r="J4648" s="14">
        <v>249.75056000000001</v>
      </c>
      <c r="K4648" s="78">
        <f t="shared" si="2059"/>
        <v>99.99423457958234</v>
      </c>
      <c r="L4648" s="14"/>
      <c r="M4648" s="50"/>
      <c r="N4648" s="50"/>
    </row>
    <row r="4649" spans="1:14" x14ac:dyDescent="0.3">
      <c r="A4649" s="64" t="s">
        <v>717</v>
      </c>
      <c r="B4649" s="62" t="s">
        <v>941</v>
      </c>
      <c r="C4649" s="68" t="s">
        <v>1392</v>
      </c>
      <c r="D4649" s="68" t="s">
        <v>1372</v>
      </c>
      <c r="E4649" s="8" t="s">
        <v>675</v>
      </c>
      <c r="F4649" s="8"/>
      <c r="G4649" s="13" t="s">
        <v>1075</v>
      </c>
      <c r="H4649" s="14">
        <f t="shared" ref="H4649:L4649" si="2074">H4650</f>
        <v>186917.19400000002</v>
      </c>
      <c r="I4649" s="14">
        <f t="shared" si="2074"/>
        <v>186917.19399999999</v>
      </c>
      <c r="J4649" s="14">
        <f t="shared" si="2074"/>
        <v>186736.30909</v>
      </c>
      <c r="K4649" s="78">
        <f t="shared" si="2059"/>
        <v>99.903227249388308</v>
      </c>
      <c r="L4649" s="14">
        <f t="shared" si="2074"/>
        <v>0</v>
      </c>
      <c r="M4649" s="50"/>
      <c r="N4649" s="50"/>
    </row>
    <row r="4650" spans="1:14" ht="31.2" x14ac:dyDescent="0.3">
      <c r="A4650" s="64" t="s">
        <v>717</v>
      </c>
      <c r="B4650" s="62" t="s">
        <v>941</v>
      </c>
      <c r="C4650" s="68" t="s">
        <v>1392</v>
      </c>
      <c r="D4650" s="68" t="s">
        <v>1372</v>
      </c>
      <c r="E4650" s="8" t="s">
        <v>676</v>
      </c>
      <c r="F4650" s="8"/>
      <c r="G4650" s="13" t="s">
        <v>1076</v>
      </c>
      <c r="H4650" s="14">
        <f>H4651+H4653</f>
        <v>186917.19400000002</v>
      </c>
      <c r="I4650" s="14">
        <f>I4651+I4653</f>
        <v>186917.19399999999</v>
      </c>
      <c r="J4650" s="14">
        <f t="shared" ref="J4650:L4650" si="2075">J4651+J4653</f>
        <v>186736.30909</v>
      </c>
      <c r="K4650" s="78">
        <f t="shared" si="2059"/>
        <v>99.903227249388308</v>
      </c>
      <c r="L4650" s="14">
        <f t="shared" si="2075"/>
        <v>0</v>
      </c>
      <c r="M4650" s="50"/>
      <c r="N4650" s="50"/>
    </row>
    <row r="4651" spans="1:14" ht="31.2" x14ac:dyDescent="0.3">
      <c r="A4651" s="64" t="s">
        <v>717</v>
      </c>
      <c r="B4651" s="62" t="s">
        <v>941</v>
      </c>
      <c r="C4651" s="68" t="s">
        <v>1392</v>
      </c>
      <c r="D4651" s="68" t="s">
        <v>1372</v>
      </c>
      <c r="E4651" s="8" t="s">
        <v>676</v>
      </c>
      <c r="F4651" s="45" t="s">
        <v>478</v>
      </c>
      <c r="G4651" s="23" t="s">
        <v>817</v>
      </c>
      <c r="H4651" s="14">
        <f t="shared" ref="H4651:L4651" si="2076">H4652</f>
        <v>186117.19400000002</v>
      </c>
      <c r="I4651" s="14">
        <f t="shared" si="2076"/>
        <v>186117.19399999999</v>
      </c>
      <c r="J4651" s="14">
        <f t="shared" si="2076"/>
        <v>185968.53789000001</v>
      </c>
      <c r="K4651" s="78">
        <f t="shared" si="2059"/>
        <v>99.920127685784905</v>
      </c>
      <c r="L4651" s="14">
        <f t="shared" si="2076"/>
        <v>0</v>
      </c>
      <c r="M4651" s="50"/>
      <c r="N4651" s="50"/>
    </row>
    <row r="4652" spans="1:14" x14ac:dyDescent="0.3">
      <c r="A4652" s="64" t="s">
        <v>717</v>
      </c>
      <c r="B4652" s="62" t="s">
        <v>941</v>
      </c>
      <c r="C4652" s="68" t="s">
        <v>1392</v>
      </c>
      <c r="D4652" s="68" t="s">
        <v>1372</v>
      </c>
      <c r="E4652" s="8" t="s">
        <v>676</v>
      </c>
      <c r="F4652" s="45" t="s">
        <v>1273</v>
      </c>
      <c r="G4652" s="23" t="s">
        <v>818</v>
      </c>
      <c r="H4652" s="14">
        <f>229550.6-300-42633.406-500</f>
        <v>186117.19400000002</v>
      </c>
      <c r="I4652" s="14">
        <v>186117.19399999999</v>
      </c>
      <c r="J4652" s="14">
        <v>185968.53789000001</v>
      </c>
      <c r="K4652" s="78">
        <f t="shared" si="2059"/>
        <v>99.920127685784905</v>
      </c>
      <c r="L4652" s="14"/>
      <c r="M4652" s="50"/>
      <c r="N4652" s="50"/>
    </row>
    <row r="4653" spans="1:14" x14ac:dyDescent="0.3">
      <c r="A4653" s="64" t="s">
        <v>717</v>
      </c>
      <c r="B4653" s="62" t="s">
        <v>941</v>
      </c>
      <c r="C4653" s="68" t="s">
        <v>1392</v>
      </c>
      <c r="D4653" s="68" t="s">
        <v>1372</v>
      </c>
      <c r="E4653" s="8" t="s">
        <v>676</v>
      </c>
      <c r="F4653" s="45" t="s">
        <v>464</v>
      </c>
      <c r="G4653" s="23" t="s">
        <v>822</v>
      </c>
      <c r="H4653" s="20">
        <f>H4654</f>
        <v>800</v>
      </c>
      <c r="I4653" s="14">
        <f>I4654</f>
        <v>800</v>
      </c>
      <c r="J4653" s="14">
        <f t="shared" ref="J4653:L4653" si="2077">J4654</f>
        <v>767.77120000000002</v>
      </c>
      <c r="K4653" s="78">
        <f t="shared" si="2059"/>
        <v>95.971400000000003</v>
      </c>
      <c r="L4653" s="14">
        <f t="shared" si="2077"/>
        <v>0</v>
      </c>
      <c r="M4653" s="50"/>
      <c r="N4653" s="50"/>
    </row>
    <row r="4654" spans="1:14" x14ac:dyDescent="0.3">
      <c r="A4654" s="64" t="s">
        <v>717</v>
      </c>
      <c r="B4654" s="62" t="s">
        <v>941</v>
      </c>
      <c r="C4654" s="68" t="s">
        <v>1392</v>
      </c>
      <c r="D4654" s="68" t="s">
        <v>1372</v>
      </c>
      <c r="E4654" s="8" t="s">
        <v>676</v>
      </c>
      <c r="F4654" s="8" t="s">
        <v>728</v>
      </c>
      <c r="G4654" s="23" t="s">
        <v>823</v>
      </c>
      <c r="H4654" s="20">
        <f>300+500</f>
        <v>800</v>
      </c>
      <c r="I4654" s="14">
        <v>800</v>
      </c>
      <c r="J4654" s="14">
        <v>767.77120000000002</v>
      </c>
      <c r="K4654" s="78">
        <f t="shared" si="2059"/>
        <v>95.971400000000003</v>
      </c>
      <c r="L4654" s="14"/>
      <c r="M4654" s="50"/>
      <c r="N4654" s="50"/>
    </row>
    <row r="4655" spans="1:14" ht="31.2" x14ac:dyDescent="0.3">
      <c r="A4655" s="64" t="s">
        <v>717</v>
      </c>
      <c r="B4655" s="62" t="s">
        <v>941</v>
      </c>
      <c r="C4655" s="68" t="s">
        <v>1392</v>
      </c>
      <c r="D4655" s="68" t="s">
        <v>1372</v>
      </c>
      <c r="E4655" s="8" t="s">
        <v>429</v>
      </c>
      <c r="F4655" s="8"/>
      <c r="G4655" s="23" t="s">
        <v>1140</v>
      </c>
      <c r="H4655" s="14">
        <f t="shared" ref="H4655:L4658" si="2078">H4656</f>
        <v>15293.6</v>
      </c>
      <c r="I4655" s="14">
        <f t="shared" si="2078"/>
        <v>5423.25</v>
      </c>
      <c r="J4655" s="14">
        <f t="shared" si="2078"/>
        <v>0</v>
      </c>
      <c r="K4655" s="78">
        <f t="shared" si="2059"/>
        <v>0</v>
      </c>
      <c r="L4655" s="14">
        <f t="shared" si="2078"/>
        <v>0</v>
      </c>
      <c r="M4655" s="50"/>
      <c r="N4655" s="50"/>
    </row>
    <row r="4656" spans="1:14" x14ac:dyDescent="0.3">
      <c r="A4656" s="64" t="s">
        <v>717</v>
      </c>
      <c r="B4656" s="62" t="s">
        <v>941</v>
      </c>
      <c r="C4656" s="68" t="s">
        <v>1392</v>
      </c>
      <c r="D4656" s="68" t="s">
        <v>1372</v>
      </c>
      <c r="E4656" s="8" t="s">
        <v>430</v>
      </c>
      <c r="F4656" s="8"/>
      <c r="G4656" s="23" t="s">
        <v>1141</v>
      </c>
      <c r="H4656" s="14">
        <f t="shared" si="2078"/>
        <v>15293.6</v>
      </c>
      <c r="I4656" s="14">
        <f t="shared" si="2078"/>
        <v>5423.25</v>
      </c>
      <c r="J4656" s="14">
        <f t="shared" si="2078"/>
        <v>0</v>
      </c>
      <c r="K4656" s="78">
        <f t="shared" si="2059"/>
        <v>0</v>
      </c>
      <c r="L4656" s="14">
        <f t="shared" si="2078"/>
        <v>0</v>
      </c>
      <c r="M4656" s="50"/>
      <c r="N4656" s="50"/>
    </row>
    <row r="4657" spans="1:14" ht="31.2" x14ac:dyDescent="0.3">
      <c r="A4657" s="64" t="s">
        <v>717</v>
      </c>
      <c r="B4657" s="62" t="s">
        <v>941</v>
      </c>
      <c r="C4657" s="68" t="s">
        <v>1392</v>
      </c>
      <c r="D4657" s="68" t="s">
        <v>1372</v>
      </c>
      <c r="E4657" s="8" t="s">
        <v>1241</v>
      </c>
      <c r="F4657" s="8"/>
      <c r="G4657" s="23" t="s">
        <v>1250</v>
      </c>
      <c r="H4657" s="14">
        <f t="shared" si="2078"/>
        <v>15293.6</v>
      </c>
      <c r="I4657" s="14">
        <f t="shared" si="2078"/>
        <v>5423.25</v>
      </c>
      <c r="J4657" s="14">
        <f t="shared" si="2078"/>
        <v>0</v>
      </c>
      <c r="K4657" s="78">
        <f t="shared" si="2059"/>
        <v>0</v>
      </c>
      <c r="L4657" s="14">
        <f t="shared" si="2078"/>
        <v>0</v>
      </c>
      <c r="M4657" s="50"/>
      <c r="N4657" s="50"/>
    </row>
    <row r="4658" spans="1:14" ht="31.2" x14ac:dyDescent="0.3">
      <c r="A4658" s="64" t="s">
        <v>717</v>
      </c>
      <c r="B4658" s="62" t="s">
        <v>941</v>
      </c>
      <c r="C4658" s="68" t="s">
        <v>1392</v>
      </c>
      <c r="D4658" s="68" t="s">
        <v>1372</v>
      </c>
      <c r="E4658" s="8" t="s">
        <v>1241</v>
      </c>
      <c r="F4658" s="45" t="s">
        <v>478</v>
      </c>
      <c r="G4658" s="23" t="s">
        <v>817</v>
      </c>
      <c r="H4658" s="14">
        <f t="shared" si="2078"/>
        <v>15293.6</v>
      </c>
      <c r="I4658" s="14">
        <f t="shared" si="2078"/>
        <v>5423.25</v>
      </c>
      <c r="J4658" s="14">
        <f t="shared" si="2078"/>
        <v>0</v>
      </c>
      <c r="K4658" s="78">
        <f t="shared" si="2059"/>
        <v>0</v>
      </c>
      <c r="L4658" s="14">
        <f t="shared" si="2078"/>
        <v>0</v>
      </c>
      <c r="M4658" s="50"/>
      <c r="N4658" s="50"/>
    </row>
    <row r="4659" spans="1:14" x14ac:dyDescent="0.3">
      <c r="A4659" s="64" t="s">
        <v>717</v>
      </c>
      <c r="B4659" s="62" t="s">
        <v>941</v>
      </c>
      <c r="C4659" s="68" t="s">
        <v>1392</v>
      </c>
      <c r="D4659" s="68" t="s">
        <v>1372</v>
      </c>
      <c r="E4659" s="8" t="s">
        <v>1241</v>
      </c>
      <c r="F4659" s="45" t="s">
        <v>1273</v>
      </c>
      <c r="G4659" s="23" t="s">
        <v>818</v>
      </c>
      <c r="H4659" s="14">
        <v>15293.6</v>
      </c>
      <c r="I4659" s="14">
        <v>5423.25</v>
      </c>
      <c r="J4659" s="14">
        <v>0</v>
      </c>
      <c r="K4659" s="78">
        <f t="shared" si="2059"/>
        <v>0</v>
      </c>
      <c r="L4659" s="14"/>
      <c r="M4659" s="50"/>
      <c r="N4659" s="50"/>
    </row>
    <row r="4660" spans="1:14" s="9" customFormat="1" ht="31.2" x14ac:dyDescent="0.3">
      <c r="A4660" s="6" t="s">
        <v>717</v>
      </c>
      <c r="B4660" s="48" t="s">
        <v>940</v>
      </c>
      <c r="C4660" s="48" t="s">
        <v>1392</v>
      </c>
      <c r="D4660" s="48" t="s">
        <v>1392</v>
      </c>
      <c r="E4660" s="6"/>
      <c r="F4660" s="6"/>
      <c r="G4660" s="7" t="s">
        <v>1424</v>
      </c>
      <c r="H4660" s="16">
        <f t="shared" ref="H4660:L4663" si="2079">H4661</f>
        <v>22234.699999999997</v>
      </c>
      <c r="I4660" s="16">
        <f t="shared" si="2079"/>
        <v>22234.7</v>
      </c>
      <c r="J4660" s="16">
        <f t="shared" si="2079"/>
        <v>22179.04262</v>
      </c>
      <c r="K4660" s="82">
        <f t="shared" si="2059"/>
        <v>99.749682343364199</v>
      </c>
      <c r="L4660" s="16">
        <f t="shared" si="2079"/>
        <v>0</v>
      </c>
      <c r="M4660" s="65"/>
      <c r="N4660" s="65"/>
    </row>
    <row r="4661" spans="1:14" ht="31.2" x14ac:dyDescent="0.3">
      <c r="A4661" s="64" t="s">
        <v>717</v>
      </c>
      <c r="B4661" s="62" t="s">
        <v>940</v>
      </c>
      <c r="C4661" s="68" t="s">
        <v>1392</v>
      </c>
      <c r="D4661" s="68" t="s">
        <v>1392</v>
      </c>
      <c r="E4661" s="8" t="s">
        <v>659</v>
      </c>
      <c r="F4661" s="8"/>
      <c r="G4661" s="13" t="s">
        <v>1067</v>
      </c>
      <c r="H4661" s="14">
        <f t="shared" si="2079"/>
        <v>22234.699999999997</v>
      </c>
      <c r="I4661" s="14">
        <f t="shared" si="2079"/>
        <v>22234.7</v>
      </c>
      <c r="J4661" s="14">
        <f t="shared" si="2079"/>
        <v>22179.04262</v>
      </c>
      <c r="K4661" s="78">
        <f t="shared" si="2059"/>
        <v>99.749682343364199</v>
      </c>
      <c r="L4661" s="14">
        <f t="shared" si="2079"/>
        <v>0</v>
      </c>
      <c r="M4661" s="50"/>
      <c r="N4661" s="50"/>
    </row>
    <row r="4662" spans="1:14" ht="31.2" x14ac:dyDescent="0.3">
      <c r="A4662" s="64" t="s">
        <v>717</v>
      </c>
      <c r="B4662" s="62" t="s">
        <v>940</v>
      </c>
      <c r="C4662" s="68" t="s">
        <v>1392</v>
      </c>
      <c r="D4662" s="68" t="s">
        <v>1392</v>
      </c>
      <c r="E4662" s="8" t="s">
        <v>681</v>
      </c>
      <c r="F4662" s="8"/>
      <c r="G4662" s="13" t="s">
        <v>1072</v>
      </c>
      <c r="H4662" s="14">
        <f t="shared" si="2079"/>
        <v>22234.699999999997</v>
      </c>
      <c r="I4662" s="14">
        <f t="shared" si="2079"/>
        <v>22234.7</v>
      </c>
      <c r="J4662" s="14">
        <f t="shared" si="2079"/>
        <v>22179.04262</v>
      </c>
      <c r="K4662" s="78">
        <f t="shared" si="2059"/>
        <v>99.749682343364199</v>
      </c>
      <c r="L4662" s="14">
        <f t="shared" si="2079"/>
        <v>0</v>
      </c>
      <c r="M4662" s="50"/>
      <c r="N4662" s="50"/>
    </row>
    <row r="4663" spans="1:14" ht="46.8" x14ac:dyDescent="0.3">
      <c r="A4663" s="64" t="s">
        <v>717</v>
      </c>
      <c r="B4663" s="62" t="s">
        <v>940</v>
      </c>
      <c r="C4663" s="68" t="s">
        <v>1392</v>
      </c>
      <c r="D4663" s="68" t="s">
        <v>1392</v>
      </c>
      <c r="E4663" s="8" t="s">
        <v>682</v>
      </c>
      <c r="F4663" s="8"/>
      <c r="G4663" s="13" t="s">
        <v>1073</v>
      </c>
      <c r="H4663" s="14">
        <f t="shared" si="2079"/>
        <v>22234.699999999997</v>
      </c>
      <c r="I4663" s="14">
        <f t="shared" si="2079"/>
        <v>22234.7</v>
      </c>
      <c r="J4663" s="14">
        <f t="shared" si="2079"/>
        <v>22179.04262</v>
      </c>
      <c r="K4663" s="78">
        <f t="shared" si="2059"/>
        <v>99.749682343364199</v>
      </c>
      <c r="L4663" s="14">
        <f t="shared" si="2079"/>
        <v>0</v>
      </c>
      <c r="M4663" s="50"/>
      <c r="N4663" s="50"/>
    </row>
    <row r="4664" spans="1:14" ht="62.4" x14ac:dyDescent="0.3">
      <c r="A4664" s="64" t="s">
        <v>717</v>
      </c>
      <c r="B4664" s="62" t="s">
        <v>940</v>
      </c>
      <c r="C4664" s="68" t="s">
        <v>1392</v>
      </c>
      <c r="D4664" s="68" t="s">
        <v>1392</v>
      </c>
      <c r="E4664" s="8" t="s">
        <v>685</v>
      </c>
      <c r="F4664" s="8"/>
      <c r="G4664" s="23" t="s">
        <v>1291</v>
      </c>
      <c r="H4664" s="14">
        <f>H4665+H4667+H4669</f>
        <v>22234.699999999997</v>
      </c>
      <c r="I4664" s="14">
        <f>I4665+I4667+I4669</f>
        <v>22234.7</v>
      </c>
      <c r="J4664" s="14">
        <f t="shared" ref="J4664" si="2080">J4665+J4667+J4669</f>
        <v>22179.04262</v>
      </c>
      <c r="K4664" s="78">
        <f t="shared" si="2059"/>
        <v>99.749682343364199</v>
      </c>
      <c r="L4664" s="14">
        <f>L4665+L4667+L4669</f>
        <v>0</v>
      </c>
      <c r="M4664" s="50"/>
      <c r="N4664" s="50"/>
    </row>
    <row r="4665" spans="1:14" ht="78" x14ac:dyDescent="0.3">
      <c r="A4665" s="64" t="s">
        <v>717</v>
      </c>
      <c r="B4665" s="62" t="s">
        <v>940</v>
      </c>
      <c r="C4665" s="68" t="s">
        <v>1392</v>
      </c>
      <c r="D4665" s="68" t="s">
        <v>1392</v>
      </c>
      <c r="E4665" s="8" t="s">
        <v>685</v>
      </c>
      <c r="F4665" s="45" t="s">
        <v>431</v>
      </c>
      <c r="G4665" s="23" t="s">
        <v>806</v>
      </c>
      <c r="H4665" s="14">
        <f t="shared" ref="H4665:L4665" si="2081">H4666</f>
        <v>19787.599999999999</v>
      </c>
      <c r="I4665" s="14">
        <f t="shared" si="2081"/>
        <v>19789.04162</v>
      </c>
      <c r="J4665" s="14">
        <f t="shared" si="2081"/>
        <v>19789.04162</v>
      </c>
      <c r="K4665" s="78">
        <f t="shared" si="2059"/>
        <v>100</v>
      </c>
      <c r="L4665" s="14">
        <f t="shared" si="2081"/>
        <v>0</v>
      </c>
      <c r="M4665" s="50"/>
      <c r="N4665" s="50"/>
    </row>
    <row r="4666" spans="1:14" x14ac:dyDescent="0.3">
      <c r="A4666" s="64" t="s">
        <v>717</v>
      </c>
      <c r="B4666" s="62" t="s">
        <v>940</v>
      </c>
      <c r="C4666" s="68" t="s">
        <v>1392</v>
      </c>
      <c r="D4666" s="68" t="s">
        <v>1392</v>
      </c>
      <c r="E4666" s="8" t="s">
        <v>685</v>
      </c>
      <c r="F4666" s="8" t="s">
        <v>719</v>
      </c>
      <c r="G4666" s="23" t="s">
        <v>807</v>
      </c>
      <c r="H4666" s="14">
        <v>19787.599999999999</v>
      </c>
      <c r="I4666" s="14">
        <v>19789.04162</v>
      </c>
      <c r="J4666" s="14">
        <v>19789.04162</v>
      </c>
      <c r="K4666" s="78">
        <f t="shared" si="2059"/>
        <v>100</v>
      </c>
      <c r="L4666" s="14"/>
      <c r="M4666" s="50"/>
      <c r="N4666" s="50"/>
    </row>
    <row r="4667" spans="1:14" ht="31.2" x14ac:dyDescent="0.3">
      <c r="A4667" s="64" t="s">
        <v>717</v>
      </c>
      <c r="B4667" s="62" t="s">
        <v>940</v>
      </c>
      <c r="C4667" s="68" t="s">
        <v>1392</v>
      </c>
      <c r="D4667" s="68" t="s">
        <v>1392</v>
      </c>
      <c r="E4667" s="8" t="s">
        <v>685</v>
      </c>
      <c r="F4667" s="45" t="s">
        <v>380</v>
      </c>
      <c r="G4667" s="23" t="s">
        <v>809</v>
      </c>
      <c r="H4667" s="14">
        <f t="shared" ref="H4667:L4667" si="2082">H4668</f>
        <v>2383.1</v>
      </c>
      <c r="I4667" s="14">
        <f t="shared" si="2082"/>
        <v>2384.99638</v>
      </c>
      <c r="J4667" s="14">
        <f t="shared" si="2082"/>
        <v>2329.3389999999999</v>
      </c>
      <c r="K4667" s="78">
        <f t="shared" si="2059"/>
        <v>97.666353690650041</v>
      </c>
      <c r="L4667" s="14">
        <f t="shared" si="2082"/>
        <v>0</v>
      </c>
      <c r="M4667" s="50"/>
      <c r="N4667" s="50"/>
    </row>
    <row r="4668" spans="1:14" ht="31.2" x14ac:dyDescent="0.3">
      <c r="A4668" s="64" t="s">
        <v>717</v>
      </c>
      <c r="B4668" s="62" t="s">
        <v>940</v>
      </c>
      <c r="C4668" s="68" t="s">
        <v>1392</v>
      </c>
      <c r="D4668" s="68" t="s">
        <v>1392</v>
      </c>
      <c r="E4668" s="8" t="s">
        <v>685</v>
      </c>
      <c r="F4668" s="8" t="s">
        <v>247</v>
      </c>
      <c r="G4668" s="23" t="s">
        <v>810</v>
      </c>
      <c r="H4668" s="14">
        <v>2383.1</v>
      </c>
      <c r="I4668" s="14">
        <v>2384.99638</v>
      </c>
      <c r="J4668" s="14">
        <v>2329.3389999999999</v>
      </c>
      <c r="K4668" s="78">
        <f t="shared" si="2059"/>
        <v>97.666353690650041</v>
      </c>
      <c r="L4668" s="14"/>
      <c r="M4668" s="50"/>
      <c r="N4668" s="50"/>
    </row>
    <row r="4669" spans="1:14" x14ac:dyDescent="0.3">
      <c r="A4669" s="64" t="s">
        <v>717</v>
      </c>
      <c r="B4669" s="62" t="s">
        <v>940</v>
      </c>
      <c r="C4669" s="68" t="s">
        <v>1392</v>
      </c>
      <c r="D4669" s="68" t="s">
        <v>1392</v>
      </c>
      <c r="E4669" s="8" t="s">
        <v>685</v>
      </c>
      <c r="F4669" s="45" t="s">
        <v>464</v>
      </c>
      <c r="G4669" s="23" t="s">
        <v>822</v>
      </c>
      <c r="H4669" s="14">
        <f t="shared" ref="H4669:L4669" si="2083">H4670</f>
        <v>64</v>
      </c>
      <c r="I4669" s="14">
        <f t="shared" si="2083"/>
        <v>60.661999999999999</v>
      </c>
      <c r="J4669" s="14">
        <f t="shared" si="2083"/>
        <v>60.661999999999999</v>
      </c>
      <c r="K4669" s="78">
        <f t="shared" si="2059"/>
        <v>100</v>
      </c>
      <c r="L4669" s="14">
        <f t="shared" si="2083"/>
        <v>0</v>
      </c>
      <c r="M4669" s="50"/>
      <c r="N4669" s="50"/>
    </row>
    <row r="4670" spans="1:14" x14ac:dyDescent="0.3">
      <c r="A4670" s="64" t="s">
        <v>717</v>
      </c>
      <c r="B4670" s="62" t="s">
        <v>940</v>
      </c>
      <c r="C4670" s="68" t="s">
        <v>1392</v>
      </c>
      <c r="D4670" s="68" t="s">
        <v>1392</v>
      </c>
      <c r="E4670" s="8" t="s">
        <v>685</v>
      </c>
      <c r="F4670" s="45" t="s">
        <v>729</v>
      </c>
      <c r="G4670" s="23" t="s">
        <v>824</v>
      </c>
      <c r="H4670" s="14">
        <v>64</v>
      </c>
      <c r="I4670" s="14">
        <v>60.661999999999999</v>
      </c>
      <c r="J4670" s="14">
        <v>60.661999999999999</v>
      </c>
      <c r="K4670" s="78">
        <f t="shared" si="2059"/>
        <v>100</v>
      </c>
      <c r="L4670" s="14"/>
      <c r="M4670" s="50"/>
      <c r="N4670" s="50"/>
    </row>
    <row r="4671" spans="1:14" s="3" customFormat="1" x14ac:dyDescent="0.3">
      <c r="A4671" s="4" t="s">
        <v>717</v>
      </c>
      <c r="B4671" s="43" t="s">
        <v>1399</v>
      </c>
      <c r="C4671" s="43" t="s">
        <v>1399</v>
      </c>
      <c r="D4671" s="43" t="s">
        <v>915</v>
      </c>
      <c r="E4671" s="4"/>
      <c r="F4671" s="4"/>
      <c r="G4671" s="5" t="s">
        <v>1400</v>
      </c>
      <c r="H4671" s="15">
        <f t="shared" ref="H4671:L4671" si="2084">H4672+H4717+H4710</f>
        <v>288472.76900000003</v>
      </c>
      <c r="I4671" s="15">
        <f t="shared" si="2084"/>
        <v>457052.91798999999</v>
      </c>
      <c r="J4671" s="15">
        <f t="shared" si="2084"/>
        <v>403635.08782000002</v>
      </c>
      <c r="K4671" s="81">
        <f t="shared" si="2059"/>
        <v>88.312550239276959</v>
      </c>
      <c r="L4671" s="15">
        <f t="shared" si="2084"/>
        <v>0</v>
      </c>
      <c r="M4671" s="65"/>
      <c r="N4671" s="65"/>
    </row>
    <row r="4672" spans="1:14" s="9" customFormat="1" x14ac:dyDescent="0.3">
      <c r="A4672" s="6" t="s">
        <v>717</v>
      </c>
      <c r="B4672" s="48" t="s">
        <v>928</v>
      </c>
      <c r="C4672" s="48" t="s">
        <v>1399</v>
      </c>
      <c r="D4672" s="48" t="s">
        <v>1391</v>
      </c>
      <c r="E4672" s="6"/>
      <c r="F4672" s="6"/>
      <c r="G4672" s="7" t="s">
        <v>1401</v>
      </c>
      <c r="H4672" s="16">
        <f t="shared" ref="H4672:L4672" si="2085">H4673+H4702</f>
        <v>127936.769</v>
      </c>
      <c r="I4672" s="16">
        <f t="shared" si="2085"/>
        <v>296516.88853</v>
      </c>
      <c r="J4672" s="16">
        <f t="shared" si="2085"/>
        <v>274676.01032</v>
      </c>
      <c r="K4672" s="82">
        <f t="shared" si="2059"/>
        <v>92.634187442652106</v>
      </c>
      <c r="L4672" s="16">
        <f t="shared" si="2085"/>
        <v>0</v>
      </c>
      <c r="M4672" s="65"/>
      <c r="N4672" s="65"/>
    </row>
    <row r="4673" spans="1:14" ht="31.2" x14ac:dyDescent="0.3">
      <c r="A4673" s="64" t="s">
        <v>717</v>
      </c>
      <c r="B4673" s="62" t="s">
        <v>928</v>
      </c>
      <c r="C4673" s="68" t="s">
        <v>1399</v>
      </c>
      <c r="D4673" s="68" t="s">
        <v>1391</v>
      </c>
      <c r="E4673" s="8" t="s">
        <v>659</v>
      </c>
      <c r="F4673" s="8"/>
      <c r="G4673" s="13" t="s">
        <v>1067</v>
      </c>
      <c r="H4673" s="14">
        <f>H4679+H4674</f>
        <v>127936.769</v>
      </c>
      <c r="I4673" s="14">
        <f t="shared" ref="I4673:L4673" si="2086">I4679+I4674</f>
        <v>283960.87043999997</v>
      </c>
      <c r="J4673" s="14">
        <f t="shared" si="2086"/>
        <v>263871.41823000001</v>
      </c>
      <c r="K4673" s="78">
        <f t="shared" si="2059"/>
        <v>92.925274465150366</v>
      </c>
      <c r="L4673" s="14">
        <f t="shared" si="2086"/>
        <v>0</v>
      </c>
      <c r="M4673" s="50"/>
      <c r="N4673" s="50"/>
    </row>
    <row r="4674" spans="1:14" ht="31.2" x14ac:dyDescent="0.3">
      <c r="A4674" s="64" t="s">
        <v>717</v>
      </c>
      <c r="B4674" s="62" t="s">
        <v>928</v>
      </c>
      <c r="C4674" s="68" t="s">
        <v>1399</v>
      </c>
      <c r="D4674" s="68" t="s">
        <v>1391</v>
      </c>
      <c r="E4674" s="8" t="s">
        <v>660</v>
      </c>
      <c r="F4674" s="8"/>
      <c r="G4674" s="13" t="s">
        <v>1068</v>
      </c>
      <c r="H4674" s="14">
        <f>H4675</f>
        <v>55825.868999999999</v>
      </c>
      <c r="I4674" s="14">
        <f t="shared" ref="I4674:L4677" si="2087">I4675</f>
        <v>153547.19873999999</v>
      </c>
      <c r="J4674" s="14">
        <f t="shared" si="2087"/>
        <v>153503.42418</v>
      </c>
      <c r="K4674" s="78">
        <f t="shared" si="2059"/>
        <v>99.9714911373446</v>
      </c>
      <c r="L4674" s="14">
        <f t="shared" si="2087"/>
        <v>0</v>
      </c>
      <c r="M4674" s="50"/>
      <c r="N4674" s="50"/>
    </row>
    <row r="4675" spans="1:14" ht="46.8" x14ac:dyDescent="0.3">
      <c r="A4675" s="64" t="s">
        <v>717</v>
      </c>
      <c r="B4675" s="62" t="s">
        <v>928</v>
      </c>
      <c r="C4675" s="68" t="s">
        <v>1399</v>
      </c>
      <c r="D4675" s="68" t="s">
        <v>1391</v>
      </c>
      <c r="E4675" s="8" t="s">
        <v>677</v>
      </c>
      <c r="F4675" s="8"/>
      <c r="G4675" s="13" t="s">
        <v>1069</v>
      </c>
      <c r="H4675" s="14">
        <f>H4676</f>
        <v>55825.868999999999</v>
      </c>
      <c r="I4675" s="14">
        <f t="shared" si="2087"/>
        <v>153547.19873999999</v>
      </c>
      <c r="J4675" s="14">
        <f t="shared" si="2087"/>
        <v>153503.42418</v>
      </c>
      <c r="K4675" s="78">
        <f t="shared" si="2059"/>
        <v>99.9714911373446</v>
      </c>
      <c r="L4675" s="14">
        <f t="shared" si="2087"/>
        <v>0</v>
      </c>
      <c r="M4675" s="50"/>
      <c r="N4675" s="50"/>
    </row>
    <row r="4676" spans="1:14" ht="46.8" x14ac:dyDescent="0.3">
      <c r="A4676" s="64" t="s">
        <v>717</v>
      </c>
      <c r="B4676" s="62" t="s">
        <v>928</v>
      </c>
      <c r="C4676" s="68" t="s">
        <v>1399</v>
      </c>
      <c r="D4676" s="68" t="s">
        <v>1391</v>
      </c>
      <c r="E4676" s="8" t="s">
        <v>990</v>
      </c>
      <c r="F4676" s="8"/>
      <c r="G4676" s="23" t="s">
        <v>991</v>
      </c>
      <c r="H4676" s="14">
        <f>H4677</f>
        <v>55825.868999999999</v>
      </c>
      <c r="I4676" s="14">
        <f t="shared" si="2087"/>
        <v>153547.19873999999</v>
      </c>
      <c r="J4676" s="14">
        <f t="shared" si="2087"/>
        <v>153503.42418</v>
      </c>
      <c r="K4676" s="78">
        <f t="shared" si="2059"/>
        <v>99.9714911373446</v>
      </c>
      <c r="L4676" s="14">
        <f t="shared" si="2087"/>
        <v>0</v>
      </c>
      <c r="M4676" s="50"/>
      <c r="N4676" s="50"/>
    </row>
    <row r="4677" spans="1:14" x14ac:dyDescent="0.3">
      <c r="A4677" s="64" t="s">
        <v>717</v>
      </c>
      <c r="B4677" s="62" t="s">
        <v>928</v>
      </c>
      <c r="C4677" s="68" t="s">
        <v>1399</v>
      </c>
      <c r="D4677" s="68" t="s">
        <v>1391</v>
      </c>
      <c r="E4677" s="8" t="s">
        <v>990</v>
      </c>
      <c r="F4677" s="8" t="s">
        <v>404</v>
      </c>
      <c r="G4677" s="13" t="s">
        <v>811</v>
      </c>
      <c r="H4677" s="14">
        <f>H4678</f>
        <v>55825.868999999999</v>
      </c>
      <c r="I4677" s="14">
        <f t="shared" si="2087"/>
        <v>153547.19873999999</v>
      </c>
      <c r="J4677" s="14">
        <f t="shared" si="2087"/>
        <v>153503.42418</v>
      </c>
      <c r="K4677" s="78">
        <f t="shared" si="2059"/>
        <v>99.9714911373446</v>
      </c>
      <c r="L4677" s="14">
        <f t="shared" si="2087"/>
        <v>0</v>
      </c>
      <c r="M4677" s="50"/>
      <c r="N4677" s="50"/>
    </row>
    <row r="4678" spans="1:14" ht="31.2" x14ac:dyDescent="0.3">
      <c r="A4678" s="64" t="s">
        <v>717</v>
      </c>
      <c r="B4678" s="62" t="s">
        <v>928</v>
      </c>
      <c r="C4678" s="68" t="s">
        <v>1399</v>
      </c>
      <c r="D4678" s="68" t="s">
        <v>1391</v>
      </c>
      <c r="E4678" s="8" t="s">
        <v>990</v>
      </c>
      <c r="F4678" s="64" t="s">
        <v>234</v>
      </c>
      <c r="G4678" s="13" t="s">
        <v>813</v>
      </c>
      <c r="H4678" s="14">
        <f>50961.4+4864.469</f>
        <v>55825.868999999999</v>
      </c>
      <c r="I4678" s="14">
        <v>153547.19873999999</v>
      </c>
      <c r="J4678" s="14">
        <v>153503.42418</v>
      </c>
      <c r="K4678" s="78">
        <f t="shared" si="2059"/>
        <v>99.9714911373446</v>
      </c>
      <c r="L4678" s="14"/>
      <c r="M4678" s="50"/>
      <c r="N4678" s="50"/>
    </row>
    <row r="4679" spans="1:14" x14ac:dyDescent="0.3">
      <c r="A4679" s="64" t="s">
        <v>717</v>
      </c>
      <c r="B4679" s="62" t="s">
        <v>928</v>
      </c>
      <c r="C4679" s="68" t="s">
        <v>1399</v>
      </c>
      <c r="D4679" s="68" t="s">
        <v>1391</v>
      </c>
      <c r="E4679" s="8" t="s">
        <v>675</v>
      </c>
      <c r="F4679" s="8"/>
      <c r="G4679" s="13" t="s">
        <v>1075</v>
      </c>
      <c r="H4679" s="14">
        <f t="shared" ref="H4679:L4679" si="2088">H4680</f>
        <v>72110.899999999994</v>
      </c>
      <c r="I4679" s="14">
        <f t="shared" si="2088"/>
        <v>130413.67169999999</v>
      </c>
      <c r="J4679" s="14">
        <f t="shared" si="2088"/>
        <v>110367.99405000001</v>
      </c>
      <c r="K4679" s="78">
        <f t="shared" si="2059"/>
        <v>84.629159359831149</v>
      </c>
      <c r="L4679" s="14">
        <f t="shared" si="2088"/>
        <v>0</v>
      </c>
      <c r="M4679" s="50"/>
      <c r="N4679" s="50"/>
    </row>
    <row r="4680" spans="1:14" ht="46.8" x14ac:dyDescent="0.3">
      <c r="A4680" s="64" t="s">
        <v>717</v>
      </c>
      <c r="B4680" s="62" t="s">
        <v>928</v>
      </c>
      <c r="C4680" s="68" t="s">
        <v>1399</v>
      </c>
      <c r="D4680" s="68" t="s">
        <v>1391</v>
      </c>
      <c r="E4680" s="8" t="s">
        <v>284</v>
      </c>
      <c r="F4680" s="8"/>
      <c r="G4680" s="18" t="s">
        <v>1195</v>
      </c>
      <c r="H4680" s="14">
        <f>H4681+H4684+H4687+H4690+H4693+H4696+H4699</f>
        <v>72110.899999999994</v>
      </c>
      <c r="I4680" s="14">
        <f t="shared" ref="I4680:L4680" si="2089">I4681+I4684+I4687+I4690+I4693+I4696+I4699</f>
        <v>130413.67169999999</v>
      </c>
      <c r="J4680" s="14">
        <f t="shared" si="2089"/>
        <v>110367.99405000001</v>
      </c>
      <c r="K4680" s="78">
        <f t="shared" ref="K4680:K4743" si="2090">J4680/I4680*100</f>
        <v>84.629159359831149</v>
      </c>
      <c r="L4680" s="14">
        <f t="shared" si="2089"/>
        <v>0</v>
      </c>
      <c r="M4680" s="50"/>
      <c r="N4680" s="50"/>
    </row>
    <row r="4681" spans="1:14" x14ac:dyDescent="0.3">
      <c r="A4681" s="64" t="s">
        <v>717</v>
      </c>
      <c r="B4681" s="62" t="s">
        <v>928</v>
      </c>
      <c r="C4681" s="68" t="s">
        <v>1399</v>
      </c>
      <c r="D4681" s="68" t="s">
        <v>1391</v>
      </c>
      <c r="E4681" s="8" t="s">
        <v>970</v>
      </c>
      <c r="F4681" s="8"/>
      <c r="G4681" s="18" t="s">
        <v>971</v>
      </c>
      <c r="H4681" s="14">
        <f>H4682</f>
        <v>0</v>
      </c>
      <c r="I4681" s="14">
        <f t="shared" ref="I4681:L4682" si="2091">I4682</f>
        <v>45708.365700000002</v>
      </c>
      <c r="J4681" s="14">
        <f t="shared" si="2091"/>
        <v>32046.670050000001</v>
      </c>
      <c r="K4681" s="78">
        <f t="shared" si="2090"/>
        <v>70.111170152819525</v>
      </c>
      <c r="L4681" s="14">
        <f t="shared" si="2091"/>
        <v>0</v>
      </c>
      <c r="M4681" s="50"/>
      <c r="N4681" s="50"/>
    </row>
    <row r="4682" spans="1:14" x14ac:dyDescent="0.3">
      <c r="A4682" s="64" t="s">
        <v>717</v>
      </c>
      <c r="B4682" s="62" t="s">
        <v>928</v>
      </c>
      <c r="C4682" s="68" t="s">
        <v>1399</v>
      </c>
      <c r="D4682" s="68" t="s">
        <v>1391</v>
      </c>
      <c r="E4682" s="8" t="s">
        <v>970</v>
      </c>
      <c r="F4682" s="8" t="s">
        <v>404</v>
      </c>
      <c r="G4682" s="13" t="s">
        <v>811</v>
      </c>
      <c r="H4682" s="14">
        <f>H4683</f>
        <v>0</v>
      </c>
      <c r="I4682" s="14">
        <f t="shared" si="2091"/>
        <v>45708.365700000002</v>
      </c>
      <c r="J4682" s="14">
        <f t="shared" si="2091"/>
        <v>32046.670050000001</v>
      </c>
      <c r="K4682" s="78">
        <f t="shared" si="2090"/>
        <v>70.111170152819525</v>
      </c>
      <c r="L4682" s="14">
        <f t="shared" si="2091"/>
        <v>0</v>
      </c>
      <c r="M4682" s="50"/>
      <c r="N4682" s="50"/>
    </row>
    <row r="4683" spans="1:14" ht="31.2" x14ac:dyDescent="0.3">
      <c r="A4683" s="64" t="s">
        <v>717</v>
      </c>
      <c r="B4683" s="62" t="s">
        <v>928</v>
      </c>
      <c r="C4683" s="68" t="s">
        <v>1399</v>
      </c>
      <c r="D4683" s="68" t="s">
        <v>1391</v>
      </c>
      <c r="E4683" s="8" t="s">
        <v>970</v>
      </c>
      <c r="F4683" s="64" t="s">
        <v>234</v>
      </c>
      <c r="G4683" s="13" t="s">
        <v>813</v>
      </c>
      <c r="H4683" s="19">
        <v>0</v>
      </c>
      <c r="I4683" s="14">
        <v>45708.365700000002</v>
      </c>
      <c r="J4683" s="14">
        <v>32046.670050000001</v>
      </c>
      <c r="K4683" s="78">
        <f t="shared" si="2090"/>
        <v>70.111170152819525</v>
      </c>
      <c r="L4683" s="14"/>
      <c r="M4683" s="50"/>
      <c r="N4683" s="50"/>
    </row>
    <row r="4684" spans="1:14" ht="62.4" x14ac:dyDescent="0.3">
      <c r="A4684" s="64" t="s">
        <v>717</v>
      </c>
      <c r="B4684" s="62" t="s">
        <v>928</v>
      </c>
      <c r="C4684" s="68" t="s">
        <v>1399</v>
      </c>
      <c r="D4684" s="68" t="s">
        <v>1391</v>
      </c>
      <c r="E4684" s="8" t="s">
        <v>793</v>
      </c>
      <c r="F4684" s="64"/>
      <c r="G4684" s="13" t="s">
        <v>1078</v>
      </c>
      <c r="H4684" s="14">
        <f t="shared" ref="H4684:L4685" si="2092">H4685</f>
        <v>0</v>
      </c>
      <c r="I4684" s="14">
        <f t="shared" si="2092"/>
        <v>4781.28</v>
      </c>
      <c r="J4684" s="14">
        <f t="shared" si="2092"/>
        <v>4341.2520000000004</v>
      </c>
      <c r="K4684" s="78">
        <f t="shared" si="2090"/>
        <v>90.79685774520631</v>
      </c>
      <c r="L4684" s="14">
        <f t="shared" si="2092"/>
        <v>0</v>
      </c>
      <c r="M4684" s="50"/>
      <c r="N4684" s="50"/>
    </row>
    <row r="4685" spans="1:14" x14ac:dyDescent="0.3">
      <c r="A4685" s="64" t="s">
        <v>717</v>
      </c>
      <c r="B4685" s="62" t="s">
        <v>928</v>
      </c>
      <c r="C4685" s="68" t="s">
        <v>1399</v>
      </c>
      <c r="D4685" s="68" t="s">
        <v>1391</v>
      </c>
      <c r="E4685" s="8" t="s">
        <v>793</v>
      </c>
      <c r="F4685" s="8" t="s">
        <v>404</v>
      </c>
      <c r="G4685" s="13" t="s">
        <v>811</v>
      </c>
      <c r="H4685" s="14">
        <f t="shared" si="2092"/>
        <v>0</v>
      </c>
      <c r="I4685" s="14">
        <f t="shared" si="2092"/>
        <v>4781.28</v>
      </c>
      <c r="J4685" s="14">
        <f t="shared" si="2092"/>
        <v>4341.2520000000004</v>
      </c>
      <c r="K4685" s="78">
        <f t="shared" si="2090"/>
        <v>90.79685774520631</v>
      </c>
      <c r="L4685" s="14">
        <f t="shared" si="2092"/>
        <v>0</v>
      </c>
      <c r="M4685" s="50"/>
      <c r="N4685" s="50"/>
    </row>
    <row r="4686" spans="1:14" ht="31.2" x14ac:dyDescent="0.3">
      <c r="A4686" s="64" t="s">
        <v>717</v>
      </c>
      <c r="B4686" s="62" t="s">
        <v>928</v>
      </c>
      <c r="C4686" s="68" t="s">
        <v>1399</v>
      </c>
      <c r="D4686" s="68" t="s">
        <v>1391</v>
      </c>
      <c r="E4686" s="8" t="s">
        <v>793</v>
      </c>
      <c r="F4686" s="64" t="s">
        <v>234</v>
      </c>
      <c r="G4686" s="13" t="s">
        <v>813</v>
      </c>
      <c r="H4686" s="14">
        <v>0</v>
      </c>
      <c r="I4686" s="14">
        <v>4781.28</v>
      </c>
      <c r="J4686" s="19">
        <v>4341.2520000000004</v>
      </c>
      <c r="K4686" s="75">
        <f t="shared" si="2090"/>
        <v>90.79685774520631</v>
      </c>
      <c r="L4686" s="14"/>
      <c r="M4686" s="50"/>
      <c r="N4686" s="50"/>
    </row>
    <row r="4687" spans="1:14" ht="93.6" x14ac:dyDescent="0.3">
      <c r="A4687" s="64" t="s">
        <v>717</v>
      </c>
      <c r="B4687" s="62" t="s">
        <v>928</v>
      </c>
      <c r="C4687" s="68" t="s">
        <v>1399</v>
      </c>
      <c r="D4687" s="68" t="s">
        <v>1391</v>
      </c>
      <c r="E4687" s="8" t="s">
        <v>285</v>
      </c>
      <c r="F4687" s="8"/>
      <c r="G4687" s="23" t="s">
        <v>329</v>
      </c>
      <c r="H4687" s="14">
        <f t="shared" ref="H4687:L4688" si="2093">H4688</f>
        <v>2603.1999999999971</v>
      </c>
      <c r="I4687" s="14">
        <f t="shared" si="2093"/>
        <v>2847.348</v>
      </c>
      <c r="J4687" s="14">
        <f t="shared" si="2093"/>
        <v>2759.8679999999999</v>
      </c>
      <c r="K4687" s="78">
        <f t="shared" si="2090"/>
        <v>96.927667429481744</v>
      </c>
      <c r="L4687" s="14">
        <f t="shared" si="2093"/>
        <v>0</v>
      </c>
      <c r="M4687" s="50"/>
      <c r="N4687" s="50"/>
    </row>
    <row r="4688" spans="1:14" x14ac:dyDescent="0.3">
      <c r="A4688" s="64" t="s">
        <v>717</v>
      </c>
      <c r="B4688" s="62" t="s">
        <v>928</v>
      </c>
      <c r="C4688" s="68" t="s">
        <v>1399</v>
      </c>
      <c r="D4688" s="68" t="s">
        <v>1391</v>
      </c>
      <c r="E4688" s="8" t="s">
        <v>285</v>
      </c>
      <c r="F4688" s="8" t="s">
        <v>404</v>
      </c>
      <c r="G4688" s="13" t="s">
        <v>811</v>
      </c>
      <c r="H4688" s="14">
        <f t="shared" si="2093"/>
        <v>2603.1999999999971</v>
      </c>
      <c r="I4688" s="14">
        <f t="shared" si="2093"/>
        <v>2847.348</v>
      </c>
      <c r="J4688" s="14">
        <f t="shared" si="2093"/>
        <v>2759.8679999999999</v>
      </c>
      <c r="K4688" s="78">
        <f t="shared" si="2090"/>
        <v>96.927667429481744</v>
      </c>
      <c r="L4688" s="14">
        <f t="shared" si="2093"/>
        <v>0</v>
      </c>
      <c r="M4688" s="50"/>
      <c r="N4688" s="50"/>
    </row>
    <row r="4689" spans="1:14" ht="31.2" x14ac:dyDescent="0.3">
      <c r="A4689" s="64" t="s">
        <v>717</v>
      </c>
      <c r="B4689" s="62" t="s">
        <v>928</v>
      </c>
      <c r="C4689" s="68" t="s">
        <v>1399</v>
      </c>
      <c r="D4689" s="68" t="s">
        <v>1391</v>
      </c>
      <c r="E4689" s="8" t="s">
        <v>285</v>
      </c>
      <c r="F4689" s="64" t="s">
        <v>234</v>
      </c>
      <c r="G4689" s="13" t="s">
        <v>813</v>
      </c>
      <c r="H4689" s="14">
        <v>2603.1999999999971</v>
      </c>
      <c r="I4689" s="14">
        <v>2847.348</v>
      </c>
      <c r="J4689" s="14">
        <v>2759.8679999999999</v>
      </c>
      <c r="K4689" s="78">
        <f t="shared" si="2090"/>
        <v>96.927667429481744</v>
      </c>
      <c r="L4689" s="14"/>
      <c r="M4689" s="50"/>
      <c r="N4689" s="50"/>
    </row>
    <row r="4690" spans="1:14" ht="46.8" x14ac:dyDescent="0.3">
      <c r="A4690" s="64" t="s">
        <v>717</v>
      </c>
      <c r="B4690" s="62" t="s">
        <v>928</v>
      </c>
      <c r="C4690" s="68" t="s">
        <v>1399</v>
      </c>
      <c r="D4690" s="68" t="s">
        <v>1391</v>
      </c>
      <c r="E4690" s="8" t="s">
        <v>286</v>
      </c>
      <c r="F4690" s="8"/>
      <c r="G4690" s="23" t="s">
        <v>979</v>
      </c>
      <c r="H4690" s="14">
        <f t="shared" ref="H4690:L4691" si="2094">H4691</f>
        <v>47507.7</v>
      </c>
      <c r="I4690" s="14">
        <f t="shared" si="2094"/>
        <v>11042.55</v>
      </c>
      <c r="J4690" s="14">
        <f t="shared" si="2094"/>
        <v>8200.17</v>
      </c>
      <c r="K4690" s="78">
        <f t="shared" si="2090"/>
        <v>74.259749786054854</v>
      </c>
      <c r="L4690" s="14">
        <f t="shared" si="2094"/>
        <v>0</v>
      </c>
      <c r="M4690" s="50"/>
      <c r="N4690" s="50"/>
    </row>
    <row r="4691" spans="1:14" x14ac:dyDescent="0.3">
      <c r="A4691" s="64" t="s">
        <v>717</v>
      </c>
      <c r="B4691" s="62" t="s">
        <v>928</v>
      </c>
      <c r="C4691" s="68" t="s">
        <v>1399</v>
      </c>
      <c r="D4691" s="68" t="s">
        <v>1391</v>
      </c>
      <c r="E4691" s="8" t="s">
        <v>286</v>
      </c>
      <c r="F4691" s="8" t="s">
        <v>404</v>
      </c>
      <c r="G4691" s="13" t="s">
        <v>811</v>
      </c>
      <c r="H4691" s="14">
        <f t="shared" si="2094"/>
        <v>47507.7</v>
      </c>
      <c r="I4691" s="14">
        <f t="shared" si="2094"/>
        <v>11042.55</v>
      </c>
      <c r="J4691" s="14">
        <f t="shared" si="2094"/>
        <v>8200.17</v>
      </c>
      <c r="K4691" s="78">
        <f t="shared" si="2090"/>
        <v>74.259749786054854</v>
      </c>
      <c r="L4691" s="14">
        <f t="shared" si="2094"/>
        <v>0</v>
      </c>
      <c r="M4691" s="50"/>
      <c r="N4691" s="50"/>
    </row>
    <row r="4692" spans="1:14" ht="31.2" x14ac:dyDescent="0.3">
      <c r="A4692" s="64" t="s">
        <v>717</v>
      </c>
      <c r="B4692" s="62" t="s">
        <v>928</v>
      </c>
      <c r="C4692" s="68" t="s">
        <v>1399</v>
      </c>
      <c r="D4692" s="68" t="s">
        <v>1391</v>
      </c>
      <c r="E4692" s="8" t="s">
        <v>286</v>
      </c>
      <c r="F4692" s="64" t="s">
        <v>234</v>
      </c>
      <c r="G4692" s="13" t="s">
        <v>813</v>
      </c>
      <c r="H4692" s="14">
        <v>47507.7</v>
      </c>
      <c r="I4692" s="14">
        <v>11042.55</v>
      </c>
      <c r="J4692" s="14">
        <v>8200.17</v>
      </c>
      <c r="K4692" s="78">
        <f t="shared" si="2090"/>
        <v>74.259749786054854</v>
      </c>
      <c r="L4692" s="14"/>
      <c r="M4692" s="50"/>
      <c r="N4692" s="50"/>
    </row>
    <row r="4693" spans="1:14" ht="62.4" x14ac:dyDescent="0.3">
      <c r="A4693" s="64" t="s">
        <v>717</v>
      </c>
      <c r="B4693" s="62" t="s">
        <v>928</v>
      </c>
      <c r="C4693" s="68" t="s">
        <v>1399</v>
      </c>
      <c r="D4693" s="68" t="s">
        <v>1391</v>
      </c>
      <c r="E4693" s="8" t="s">
        <v>972</v>
      </c>
      <c r="F4693" s="8"/>
      <c r="G4693" s="13" t="s">
        <v>973</v>
      </c>
      <c r="H4693" s="20">
        <v>0</v>
      </c>
      <c r="I4693" s="14">
        <f>I4694</f>
        <v>14997.078</v>
      </c>
      <c r="J4693" s="14">
        <f t="shared" ref="J4693:L4694" si="2095">J4694</f>
        <v>12678.425999999999</v>
      </c>
      <c r="K4693" s="78">
        <f t="shared" si="2090"/>
        <v>84.539308257248507</v>
      </c>
      <c r="L4693" s="14">
        <f t="shared" si="2095"/>
        <v>0</v>
      </c>
      <c r="M4693" s="50"/>
      <c r="N4693" s="50"/>
    </row>
    <row r="4694" spans="1:14" x14ac:dyDescent="0.3">
      <c r="A4694" s="64" t="s">
        <v>717</v>
      </c>
      <c r="B4694" s="62" t="s">
        <v>928</v>
      </c>
      <c r="C4694" s="68" t="s">
        <v>1399</v>
      </c>
      <c r="D4694" s="68" t="s">
        <v>1391</v>
      </c>
      <c r="E4694" s="8" t="s">
        <v>972</v>
      </c>
      <c r="F4694" s="8" t="s">
        <v>404</v>
      </c>
      <c r="G4694" s="13" t="s">
        <v>811</v>
      </c>
      <c r="H4694" s="20">
        <v>0</v>
      </c>
      <c r="I4694" s="14">
        <f>I4695</f>
        <v>14997.078</v>
      </c>
      <c r="J4694" s="14">
        <f t="shared" si="2095"/>
        <v>12678.425999999999</v>
      </c>
      <c r="K4694" s="78">
        <f t="shared" si="2090"/>
        <v>84.539308257248507</v>
      </c>
      <c r="L4694" s="14">
        <f t="shared" si="2095"/>
        <v>0</v>
      </c>
      <c r="M4694" s="50"/>
      <c r="N4694" s="50"/>
    </row>
    <row r="4695" spans="1:14" ht="31.2" x14ac:dyDescent="0.3">
      <c r="A4695" s="64" t="s">
        <v>717</v>
      </c>
      <c r="B4695" s="62" t="s">
        <v>928</v>
      </c>
      <c r="C4695" s="68" t="s">
        <v>1399</v>
      </c>
      <c r="D4695" s="68" t="s">
        <v>1391</v>
      </c>
      <c r="E4695" s="8" t="s">
        <v>972</v>
      </c>
      <c r="F4695" s="64" t="s">
        <v>234</v>
      </c>
      <c r="G4695" s="13" t="s">
        <v>813</v>
      </c>
      <c r="H4695" s="20">
        <v>0</v>
      </c>
      <c r="I4695" s="14">
        <v>14997.078</v>
      </c>
      <c r="J4695" s="14">
        <v>12678.425999999999</v>
      </c>
      <c r="K4695" s="78">
        <f t="shared" si="2090"/>
        <v>84.539308257248507</v>
      </c>
      <c r="L4695" s="14"/>
      <c r="M4695" s="50"/>
      <c r="N4695" s="50"/>
    </row>
    <row r="4696" spans="1:14" ht="78" x14ac:dyDescent="0.3">
      <c r="A4696" s="64" t="s">
        <v>717</v>
      </c>
      <c r="B4696" s="62" t="s">
        <v>928</v>
      </c>
      <c r="C4696" s="68" t="s">
        <v>1399</v>
      </c>
      <c r="D4696" s="68" t="s">
        <v>1391</v>
      </c>
      <c r="E4696" s="8" t="s">
        <v>1018</v>
      </c>
      <c r="F4696" s="64"/>
      <c r="G4696" s="13" t="s">
        <v>974</v>
      </c>
      <c r="H4696" s="20">
        <f>H4697</f>
        <v>0</v>
      </c>
      <c r="I4696" s="20">
        <f t="shared" ref="I4696:L4697" si="2096">I4697</f>
        <v>51037.05</v>
      </c>
      <c r="J4696" s="20">
        <f t="shared" si="2096"/>
        <v>50341.608</v>
      </c>
      <c r="K4696" s="77">
        <f t="shared" si="2090"/>
        <v>98.63737813999829</v>
      </c>
      <c r="L4696" s="20">
        <f t="shared" si="2096"/>
        <v>0</v>
      </c>
      <c r="M4696" s="50"/>
      <c r="N4696" s="50"/>
    </row>
    <row r="4697" spans="1:14" x14ac:dyDescent="0.3">
      <c r="A4697" s="64" t="s">
        <v>717</v>
      </c>
      <c r="B4697" s="62" t="s">
        <v>928</v>
      </c>
      <c r="C4697" s="68" t="s">
        <v>1399</v>
      </c>
      <c r="D4697" s="68" t="s">
        <v>1391</v>
      </c>
      <c r="E4697" s="8" t="s">
        <v>1018</v>
      </c>
      <c r="F4697" s="8" t="s">
        <v>404</v>
      </c>
      <c r="G4697" s="13" t="s">
        <v>811</v>
      </c>
      <c r="H4697" s="20">
        <f>H4698</f>
        <v>0</v>
      </c>
      <c r="I4697" s="20">
        <f t="shared" si="2096"/>
        <v>51037.05</v>
      </c>
      <c r="J4697" s="20">
        <f t="shared" si="2096"/>
        <v>50341.608</v>
      </c>
      <c r="K4697" s="77">
        <f t="shared" si="2090"/>
        <v>98.63737813999829</v>
      </c>
      <c r="L4697" s="20">
        <f t="shared" si="2096"/>
        <v>0</v>
      </c>
      <c r="M4697" s="50"/>
      <c r="N4697" s="50"/>
    </row>
    <row r="4698" spans="1:14" ht="31.2" x14ac:dyDescent="0.3">
      <c r="A4698" s="64" t="s">
        <v>717</v>
      </c>
      <c r="B4698" s="62" t="s">
        <v>928</v>
      </c>
      <c r="C4698" s="68" t="s">
        <v>1399</v>
      </c>
      <c r="D4698" s="68" t="s">
        <v>1391</v>
      </c>
      <c r="E4698" s="8" t="s">
        <v>1018</v>
      </c>
      <c r="F4698" s="64" t="s">
        <v>234</v>
      </c>
      <c r="G4698" s="13" t="s">
        <v>813</v>
      </c>
      <c r="H4698" s="19">
        <v>0</v>
      </c>
      <c r="I4698" s="14">
        <v>51037.05</v>
      </c>
      <c r="J4698" s="14">
        <v>50341.608</v>
      </c>
      <c r="K4698" s="78">
        <f t="shared" si="2090"/>
        <v>98.63737813999829</v>
      </c>
      <c r="L4698" s="14"/>
      <c r="M4698" s="50"/>
      <c r="N4698" s="50"/>
    </row>
    <row r="4699" spans="1:14" ht="46.8" hidden="1" x14ac:dyDescent="0.3">
      <c r="A4699" s="64" t="s">
        <v>717</v>
      </c>
      <c r="B4699" s="62" t="s">
        <v>928</v>
      </c>
      <c r="C4699" s="68" t="s">
        <v>1399</v>
      </c>
      <c r="D4699" s="68" t="s">
        <v>1391</v>
      </c>
      <c r="E4699" s="8" t="s">
        <v>287</v>
      </c>
      <c r="F4699" s="8"/>
      <c r="G4699" s="23" t="s">
        <v>162</v>
      </c>
      <c r="H4699" s="14">
        <f t="shared" ref="H4699:L4700" si="2097">H4700</f>
        <v>22000</v>
      </c>
      <c r="I4699" s="14">
        <f t="shared" si="2097"/>
        <v>0</v>
      </c>
      <c r="J4699" s="14">
        <f t="shared" si="2097"/>
        <v>0</v>
      </c>
      <c r="K4699" s="78" t="e">
        <f t="shared" si="2090"/>
        <v>#DIV/0!</v>
      </c>
      <c r="L4699" s="14">
        <f t="shared" si="2097"/>
        <v>0</v>
      </c>
      <c r="M4699" s="50">
        <v>111</v>
      </c>
      <c r="N4699" s="50"/>
    </row>
    <row r="4700" spans="1:14" hidden="1" x14ac:dyDescent="0.3">
      <c r="A4700" s="64" t="s">
        <v>717</v>
      </c>
      <c r="B4700" s="62" t="s">
        <v>928</v>
      </c>
      <c r="C4700" s="68" t="s">
        <v>1399</v>
      </c>
      <c r="D4700" s="68" t="s">
        <v>1391</v>
      </c>
      <c r="E4700" s="8" t="s">
        <v>287</v>
      </c>
      <c r="F4700" s="8" t="s">
        <v>404</v>
      </c>
      <c r="G4700" s="13" t="s">
        <v>811</v>
      </c>
      <c r="H4700" s="14">
        <f t="shared" si="2097"/>
        <v>22000</v>
      </c>
      <c r="I4700" s="14">
        <f t="shared" si="2097"/>
        <v>0</v>
      </c>
      <c r="J4700" s="14">
        <f t="shared" si="2097"/>
        <v>0</v>
      </c>
      <c r="K4700" s="78" t="e">
        <f t="shared" si="2090"/>
        <v>#DIV/0!</v>
      </c>
      <c r="L4700" s="14">
        <f t="shared" si="2097"/>
        <v>0</v>
      </c>
      <c r="M4700" s="50">
        <v>111</v>
      </c>
      <c r="N4700" s="50"/>
    </row>
    <row r="4701" spans="1:14" ht="31.2" hidden="1" x14ac:dyDescent="0.3">
      <c r="A4701" s="64" t="s">
        <v>717</v>
      </c>
      <c r="B4701" s="62" t="s">
        <v>928</v>
      </c>
      <c r="C4701" s="68" t="s">
        <v>1399</v>
      </c>
      <c r="D4701" s="68" t="s">
        <v>1391</v>
      </c>
      <c r="E4701" s="8" t="s">
        <v>287</v>
      </c>
      <c r="F4701" s="64" t="s">
        <v>234</v>
      </c>
      <c r="G4701" s="13" t="s">
        <v>813</v>
      </c>
      <c r="H4701" s="14">
        <v>22000</v>
      </c>
      <c r="I4701" s="14">
        <v>0</v>
      </c>
      <c r="J4701" s="14">
        <v>0</v>
      </c>
      <c r="K4701" s="78" t="e">
        <f t="shared" si="2090"/>
        <v>#DIV/0!</v>
      </c>
      <c r="L4701" s="14"/>
      <c r="M4701" s="50">
        <v>111</v>
      </c>
      <c r="N4701" s="50"/>
    </row>
    <row r="4702" spans="1:14" ht="31.2" x14ac:dyDescent="0.3">
      <c r="A4702" s="64" t="s">
        <v>717</v>
      </c>
      <c r="B4702" s="62" t="s">
        <v>928</v>
      </c>
      <c r="C4702" s="68" t="s">
        <v>1399</v>
      </c>
      <c r="D4702" s="68" t="s">
        <v>1391</v>
      </c>
      <c r="E4702" s="8" t="s">
        <v>429</v>
      </c>
      <c r="F4702" s="8"/>
      <c r="G4702" s="23" t="s">
        <v>1140</v>
      </c>
      <c r="H4702" s="14">
        <f t="shared" ref="H4702:L4705" si="2098">H4703</f>
        <v>0</v>
      </c>
      <c r="I4702" s="14">
        <f t="shared" si="2098"/>
        <v>12556.01809</v>
      </c>
      <c r="J4702" s="14">
        <f t="shared" si="2098"/>
        <v>10804.59209</v>
      </c>
      <c r="K4702" s="78">
        <f t="shared" si="2090"/>
        <v>86.051103244308877</v>
      </c>
      <c r="L4702" s="14">
        <f t="shared" si="2098"/>
        <v>0</v>
      </c>
      <c r="M4702" s="50"/>
      <c r="N4702" s="50"/>
    </row>
    <row r="4703" spans="1:14" x14ac:dyDescent="0.3">
      <c r="A4703" s="64" t="s">
        <v>717</v>
      </c>
      <c r="B4703" s="62" t="s">
        <v>928</v>
      </c>
      <c r="C4703" s="68" t="s">
        <v>1399</v>
      </c>
      <c r="D4703" s="68" t="s">
        <v>1391</v>
      </c>
      <c r="E4703" s="8" t="s">
        <v>430</v>
      </c>
      <c r="F4703" s="8"/>
      <c r="G4703" s="23" t="s">
        <v>1141</v>
      </c>
      <c r="H4703" s="14">
        <f t="shared" si="2098"/>
        <v>0</v>
      </c>
      <c r="I4703" s="14">
        <f>I4704+I4707</f>
        <v>12556.01809</v>
      </c>
      <c r="J4703" s="14">
        <f t="shared" ref="J4703:L4703" si="2099">J4704+J4707</f>
        <v>10804.59209</v>
      </c>
      <c r="K4703" s="78">
        <f t="shared" si="2090"/>
        <v>86.051103244308877</v>
      </c>
      <c r="L4703" s="14">
        <f t="shared" si="2099"/>
        <v>0</v>
      </c>
      <c r="M4703" s="50"/>
      <c r="N4703" s="50"/>
    </row>
    <row r="4704" spans="1:14" ht="62.4" x14ac:dyDescent="0.3">
      <c r="A4704" s="64" t="s">
        <v>717</v>
      </c>
      <c r="B4704" s="62" t="s">
        <v>928</v>
      </c>
      <c r="C4704" s="68" t="s">
        <v>1399</v>
      </c>
      <c r="D4704" s="68" t="s">
        <v>1391</v>
      </c>
      <c r="E4704" s="8" t="s">
        <v>211</v>
      </c>
      <c r="F4704" s="8"/>
      <c r="G4704" s="13" t="s">
        <v>1078</v>
      </c>
      <c r="H4704" s="14">
        <f t="shared" si="2098"/>
        <v>0</v>
      </c>
      <c r="I4704" s="14">
        <f t="shared" si="2098"/>
        <v>47.8</v>
      </c>
      <c r="J4704" s="14">
        <f t="shared" si="2098"/>
        <v>26.8</v>
      </c>
      <c r="K4704" s="78">
        <f t="shared" si="2090"/>
        <v>56.06694560669456</v>
      </c>
      <c r="L4704" s="14">
        <f t="shared" si="2098"/>
        <v>0</v>
      </c>
      <c r="M4704" s="50"/>
      <c r="N4704" s="50"/>
    </row>
    <row r="4705" spans="1:14" ht="31.2" x14ac:dyDescent="0.3">
      <c r="A4705" s="64" t="s">
        <v>717</v>
      </c>
      <c r="B4705" s="62" t="s">
        <v>928</v>
      </c>
      <c r="C4705" s="68" t="s">
        <v>1399</v>
      </c>
      <c r="D4705" s="68" t="s">
        <v>1391</v>
      </c>
      <c r="E4705" s="8" t="s">
        <v>211</v>
      </c>
      <c r="F4705" s="45" t="s">
        <v>380</v>
      </c>
      <c r="G4705" s="23" t="s">
        <v>809</v>
      </c>
      <c r="H4705" s="14">
        <f t="shared" si="2098"/>
        <v>0</v>
      </c>
      <c r="I4705" s="14">
        <f t="shared" si="2098"/>
        <v>47.8</v>
      </c>
      <c r="J4705" s="14">
        <f t="shared" si="2098"/>
        <v>26.8</v>
      </c>
      <c r="K4705" s="78">
        <f t="shared" si="2090"/>
        <v>56.06694560669456</v>
      </c>
      <c r="L4705" s="14">
        <f t="shared" si="2098"/>
        <v>0</v>
      </c>
      <c r="M4705" s="50"/>
      <c r="N4705" s="50"/>
    </row>
    <row r="4706" spans="1:14" ht="31.2" x14ac:dyDescent="0.3">
      <c r="A4706" s="64" t="s">
        <v>717</v>
      </c>
      <c r="B4706" s="62" t="s">
        <v>928</v>
      </c>
      <c r="C4706" s="68" t="s">
        <v>1399</v>
      </c>
      <c r="D4706" s="68" t="s">
        <v>1391</v>
      </c>
      <c r="E4706" s="8" t="s">
        <v>211</v>
      </c>
      <c r="F4706" s="8" t="s">
        <v>247</v>
      </c>
      <c r="G4706" s="23" t="s">
        <v>810</v>
      </c>
      <c r="H4706" s="14">
        <v>0</v>
      </c>
      <c r="I4706" s="14">
        <v>47.8</v>
      </c>
      <c r="J4706" s="19">
        <v>26.8</v>
      </c>
      <c r="K4706" s="75">
        <f t="shared" si="2090"/>
        <v>56.06694560669456</v>
      </c>
      <c r="L4706" s="14"/>
      <c r="M4706" s="50"/>
      <c r="N4706" s="50"/>
    </row>
    <row r="4707" spans="1:14" ht="31.2" x14ac:dyDescent="0.3">
      <c r="A4707" s="64" t="s">
        <v>717</v>
      </c>
      <c r="B4707" s="62" t="s">
        <v>928</v>
      </c>
      <c r="C4707" s="68" t="s">
        <v>1399</v>
      </c>
      <c r="D4707" s="68" t="s">
        <v>1391</v>
      </c>
      <c r="E4707" s="8" t="s">
        <v>1241</v>
      </c>
      <c r="F4707" s="8"/>
      <c r="G4707" s="13" t="s">
        <v>1250</v>
      </c>
      <c r="H4707" s="20">
        <v>0</v>
      </c>
      <c r="I4707" s="14">
        <f>I4708</f>
        <v>12508.21809</v>
      </c>
      <c r="J4707" s="14">
        <f t="shared" ref="J4707:L4708" si="2100">J4708</f>
        <v>10777.792090000001</v>
      </c>
      <c r="K4707" s="78">
        <f t="shared" si="2090"/>
        <v>86.165687330128733</v>
      </c>
      <c r="L4707" s="14">
        <f t="shared" si="2100"/>
        <v>0</v>
      </c>
      <c r="M4707" s="50"/>
      <c r="N4707" s="50"/>
    </row>
    <row r="4708" spans="1:14" x14ac:dyDescent="0.3">
      <c r="A4708" s="64" t="s">
        <v>717</v>
      </c>
      <c r="B4708" s="62" t="s">
        <v>928</v>
      </c>
      <c r="C4708" s="68" t="s">
        <v>1399</v>
      </c>
      <c r="D4708" s="68" t="s">
        <v>1391</v>
      </c>
      <c r="E4708" s="8" t="s">
        <v>1241</v>
      </c>
      <c r="F4708" s="8" t="s">
        <v>404</v>
      </c>
      <c r="G4708" s="13" t="s">
        <v>811</v>
      </c>
      <c r="H4708" s="20">
        <v>0</v>
      </c>
      <c r="I4708" s="14">
        <f>I4709</f>
        <v>12508.21809</v>
      </c>
      <c r="J4708" s="14">
        <f t="shared" si="2100"/>
        <v>10777.792090000001</v>
      </c>
      <c r="K4708" s="78">
        <f t="shared" si="2090"/>
        <v>86.165687330128733</v>
      </c>
      <c r="L4708" s="14">
        <f t="shared" si="2100"/>
        <v>0</v>
      </c>
      <c r="M4708" s="50"/>
      <c r="N4708" s="50"/>
    </row>
    <row r="4709" spans="1:14" ht="31.2" x14ac:dyDescent="0.3">
      <c r="A4709" s="64" t="s">
        <v>717</v>
      </c>
      <c r="B4709" s="62" t="s">
        <v>928</v>
      </c>
      <c r="C4709" s="68" t="s">
        <v>1399</v>
      </c>
      <c r="D4709" s="68" t="s">
        <v>1391</v>
      </c>
      <c r="E4709" s="8" t="s">
        <v>1241</v>
      </c>
      <c r="F4709" s="64" t="s">
        <v>234</v>
      </c>
      <c r="G4709" s="13" t="s">
        <v>813</v>
      </c>
      <c r="H4709" s="20">
        <v>0</v>
      </c>
      <c r="I4709" s="14">
        <v>12508.21809</v>
      </c>
      <c r="J4709" s="14">
        <v>10777.792090000001</v>
      </c>
      <c r="K4709" s="78">
        <f t="shared" si="2090"/>
        <v>86.165687330128733</v>
      </c>
      <c r="L4709" s="14"/>
      <c r="M4709" s="50"/>
      <c r="N4709" s="50"/>
    </row>
    <row r="4710" spans="1:14" s="9" customFormat="1" x14ac:dyDescent="0.3">
      <c r="A4710" s="6" t="s">
        <v>717</v>
      </c>
      <c r="B4710" s="48" t="s">
        <v>931</v>
      </c>
      <c r="C4710" s="48" t="s">
        <v>1399</v>
      </c>
      <c r="D4710" s="48" t="s">
        <v>1386</v>
      </c>
      <c r="E4710" s="11"/>
      <c r="F4710" s="11"/>
      <c r="G4710" s="7" t="s">
        <v>1409</v>
      </c>
      <c r="H4710" s="16">
        <f t="shared" ref="H4710:L4713" si="2101">H4711</f>
        <v>158794.20000000001</v>
      </c>
      <c r="I4710" s="16">
        <f t="shared" si="2101"/>
        <v>158794.24770000001</v>
      </c>
      <c r="J4710" s="16">
        <f t="shared" si="2101"/>
        <v>127673.66701</v>
      </c>
      <c r="K4710" s="82">
        <f t="shared" si="2090"/>
        <v>80.401947085139909</v>
      </c>
      <c r="L4710" s="16">
        <f t="shared" si="2101"/>
        <v>0</v>
      </c>
      <c r="M4710" s="65"/>
      <c r="N4710" s="65"/>
    </row>
    <row r="4711" spans="1:14" ht="31.2" x14ac:dyDescent="0.3">
      <c r="A4711" s="64" t="s">
        <v>717</v>
      </c>
      <c r="B4711" s="62" t="s">
        <v>931</v>
      </c>
      <c r="C4711" s="68" t="s">
        <v>1399</v>
      </c>
      <c r="D4711" s="68" t="s">
        <v>1386</v>
      </c>
      <c r="E4711" s="8" t="s">
        <v>659</v>
      </c>
      <c r="F4711" s="8"/>
      <c r="G4711" s="13" t="s">
        <v>1067</v>
      </c>
      <c r="H4711" s="14">
        <f t="shared" si="2101"/>
        <v>158794.20000000001</v>
      </c>
      <c r="I4711" s="14">
        <f t="shared" si="2101"/>
        <v>158794.24770000001</v>
      </c>
      <c r="J4711" s="14">
        <f t="shared" si="2101"/>
        <v>127673.66701</v>
      </c>
      <c r="K4711" s="78">
        <f t="shared" si="2090"/>
        <v>80.401947085139909</v>
      </c>
      <c r="L4711" s="14">
        <f t="shared" si="2101"/>
        <v>0</v>
      </c>
      <c r="M4711" s="50"/>
      <c r="N4711" s="50"/>
    </row>
    <row r="4712" spans="1:14" x14ac:dyDescent="0.3">
      <c r="A4712" s="64" t="s">
        <v>717</v>
      </c>
      <c r="B4712" s="62" t="s">
        <v>931</v>
      </c>
      <c r="C4712" s="68" t="s">
        <v>1399</v>
      </c>
      <c r="D4712" s="68" t="s">
        <v>1386</v>
      </c>
      <c r="E4712" s="8" t="s">
        <v>675</v>
      </c>
      <c r="F4712" s="8"/>
      <c r="G4712" s="13" t="s">
        <v>1075</v>
      </c>
      <c r="H4712" s="14">
        <f t="shared" si="2101"/>
        <v>158794.20000000001</v>
      </c>
      <c r="I4712" s="14">
        <f t="shared" si="2101"/>
        <v>158794.24770000001</v>
      </c>
      <c r="J4712" s="14">
        <f t="shared" si="2101"/>
        <v>127673.66701</v>
      </c>
      <c r="K4712" s="78">
        <f t="shared" si="2090"/>
        <v>80.401947085139909</v>
      </c>
      <c r="L4712" s="14">
        <f t="shared" si="2101"/>
        <v>0</v>
      </c>
      <c r="M4712" s="50"/>
      <c r="N4712" s="50"/>
    </row>
    <row r="4713" spans="1:14" ht="62.4" x14ac:dyDescent="0.3">
      <c r="A4713" s="64" t="s">
        <v>717</v>
      </c>
      <c r="B4713" s="62" t="s">
        <v>931</v>
      </c>
      <c r="C4713" s="68" t="s">
        <v>1399</v>
      </c>
      <c r="D4713" s="68" t="s">
        <v>1386</v>
      </c>
      <c r="E4713" s="8" t="s">
        <v>684</v>
      </c>
      <c r="F4713" s="8"/>
      <c r="G4713" s="23" t="s">
        <v>326</v>
      </c>
      <c r="H4713" s="14">
        <f>H4714</f>
        <v>158794.20000000001</v>
      </c>
      <c r="I4713" s="14">
        <f t="shared" si="2101"/>
        <v>158794.24770000001</v>
      </c>
      <c r="J4713" s="14">
        <f t="shared" si="2101"/>
        <v>127673.66701</v>
      </c>
      <c r="K4713" s="78">
        <f t="shared" si="2090"/>
        <v>80.401947085139909</v>
      </c>
      <c r="L4713" s="14">
        <f t="shared" si="2101"/>
        <v>0</v>
      </c>
      <c r="M4713" s="50"/>
      <c r="N4713" s="50"/>
    </row>
    <row r="4714" spans="1:14" ht="109.2" x14ac:dyDescent="0.3">
      <c r="A4714" s="64" t="s">
        <v>717</v>
      </c>
      <c r="B4714" s="62" t="s">
        <v>931</v>
      </c>
      <c r="C4714" s="68" t="s">
        <v>1399</v>
      </c>
      <c r="D4714" s="68" t="s">
        <v>1386</v>
      </c>
      <c r="E4714" s="8" t="s">
        <v>288</v>
      </c>
      <c r="F4714" s="8"/>
      <c r="G4714" s="13" t="s">
        <v>328</v>
      </c>
      <c r="H4714" s="14">
        <f t="shared" ref="H4714:L4715" si="2102">H4715</f>
        <v>158794.20000000001</v>
      </c>
      <c r="I4714" s="14">
        <f t="shared" si="2102"/>
        <v>158794.24770000001</v>
      </c>
      <c r="J4714" s="14">
        <f t="shared" si="2102"/>
        <v>127673.66701</v>
      </c>
      <c r="K4714" s="78">
        <f t="shared" si="2090"/>
        <v>80.401947085139909</v>
      </c>
      <c r="L4714" s="14">
        <f t="shared" si="2102"/>
        <v>0</v>
      </c>
      <c r="M4714" s="50"/>
      <c r="N4714" s="50"/>
    </row>
    <row r="4715" spans="1:14" ht="31.2" x14ac:dyDescent="0.3">
      <c r="A4715" s="64" t="s">
        <v>717</v>
      </c>
      <c r="B4715" s="62" t="s">
        <v>931</v>
      </c>
      <c r="C4715" s="68" t="s">
        <v>1399</v>
      </c>
      <c r="D4715" s="68" t="s">
        <v>1386</v>
      </c>
      <c r="E4715" s="8" t="s">
        <v>288</v>
      </c>
      <c r="F4715" s="45" t="s">
        <v>478</v>
      </c>
      <c r="G4715" s="23" t="s">
        <v>817</v>
      </c>
      <c r="H4715" s="14">
        <f t="shared" si="2102"/>
        <v>158794.20000000001</v>
      </c>
      <c r="I4715" s="14">
        <f t="shared" si="2102"/>
        <v>158794.24770000001</v>
      </c>
      <c r="J4715" s="14">
        <f t="shared" si="2102"/>
        <v>127673.66701</v>
      </c>
      <c r="K4715" s="78">
        <f t="shared" si="2090"/>
        <v>80.401947085139909</v>
      </c>
      <c r="L4715" s="14">
        <f t="shared" si="2102"/>
        <v>0</v>
      </c>
      <c r="M4715" s="50"/>
      <c r="N4715" s="50"/>
    </row>
    <row r="4716" spans="1:14" x14ac:dyDescent="0.3">
      <c r="A4716" s="64" t="s">
        <v>717</v>
      </c>
      <c r="B4716" s="62" t="s">
        <v>931</v>
      </c>
      <c r="C4716" s="68" t="s">
        <v>1399</v>
      </c>
      <c r="D4716" s="68" t="s">
        <v>1386</v>
      </c>
      <c r="E4716" s="8" t="s">
        <v>288</v>
      </c>
      <c r="F4716" s="45" t="s">
        <v>1273</v>
      </c>
      <c r="G4716" s="23" t="s">
        <v>818</v>
      </c>
      <c r="H4716" s="14">
        <v>158794.20000000001</v>
      </c>
      <c r="I4716" s="14">
        <v>158794.24770000001</v>
      </c>
      <c r="J4716" s="14">
        <v>127673.66701</v>
      </c>
      <c r="K4716" s="78">
        <f t="shared" si="2090"/>
        <v>80.401947085139909</v>
      </c>
      <c r="L4716" s="14"/>
      <c r="M4716" s="50"/>
      <c r="N4716" s="50"/>
    </row>
    <row r="4717" spans="1:14" s="9" customFormat="1" x14ac:dyDescent="0.3">
      <c r="A4717" s="6" t="s">
        <v>717</v>
      </c>
      <c r="B4717" s="48" t="s">
        <v>932</v>
      </c>
      <c r="C4717" s="48" t="s">
        <v>1399</v>
      </c>
      <c r="D4717" s="48" t="s">
        <v>1381</v>
      </c>
      <c r="E4717" s="11"/>
      <c r="F4717" s="11"/>
      <c r="G4717" s="7" t="s">
        <v>1408</v>
      </c>
      <c r="H4717" s="16">
        <f>H4718+H4724</f>
        <v>1741.8</v>
      </c>
      <c r="I4717" s="16">
        <f>I4718+I4724</f>
        <v>1741.7817600000001</v>
      </c>
      <c r="J4717" s="16">
        <f t="shared" ref="J4717" si="2103">J4718+J4724</f>
        <v>1285.41049</v>
      </c>
      <c r="K4717" s="82">
        <f t="shared" si="2090"/>
        <v>73.798596329312801</v>
      </c>
      <c r="L4717" s="16">
        <f>L4718+L4724</f>
        <v>0</v>
      </c>
      <c r="M4717" s="65"/>
      <c r="N4717" s="65"/>
    </row>
    <row r="4718" spans="1:14" ht="31.2" x14ac:dyDescent="0.3">
      <c r="A4718" s="64" t="s">
        <v>717</v>
      </c>
      <c r="B4718" s="62" t="s">
        <v>932</v>
      </c>
      <c r="C4718" s="68" t="s">
        <v>1399</v>
      </c>
      <c r="D4718" s="68" t="s">
        <v>1381</v>
      </c>
      <c r="E4718" s="8" t="s">
        <v>659</v>
      </c>
      <c r="F4718" s="8"/>
      <c r="G4718" s="13" t="s">
        <v>1067</v>
      </c>
      <c r="H4718" s="14">
        <f t="shared" ref="H4718:L4722" si="2104">H4719</f>
        <v>159.30000000000001</v>
      </c>
      <c r="I4718" s="14">
        <f t="shared" si="2104"/>
        <v>159.28175999999999</v>
      </c>
      <c r="J4718" s="14">
        <f t="shared" si="2104"/>
        <v>0</v>
      </c>
      <c r="K4718" s="78">
        <f t="shared" si="2090"/>
        <v>0</v>
      </c>
      <c r="L4718" s="14">
        <f t="shared" si="2104"/>
        <v>0</v>
      </c>
      <c r="M4718" s="50"/>
      <c r="N4718" s="50"/>
    </row>
    <row r="4719" spans="1:14" x14ac:dyDescent="0.3">
      <c r="A4719" s="64" t="s">
        <v>717</v>
      </c>
      <c r="B4719" s="62" t="s">
        <v>932</v>
      </c>
      <c r="C4719" s="68" t="s">
        <v>1399</v>
      </c>
      <c r="D4719" s="68" t="s">
        <v>1381</v>
      </c>
      <c r="E4719" s="8" t="s">
        <v>675</v>
      </c>
      <c r="F4719" s="8"/>
      <c r="G4719" s="13" t="s">
        <v>1075</v>
      </c>
      <c r="H4719" s="14">
        <f t="shared" si="2104"/>
        <v>159.30000000000001</v>
      </c>
      <c r="I4719" s="14">
        <f t="shared" si="2104"/>
        <v>159.28175999999999</v>
      </c>
      <c r="J4719" s="14">
        <f t="shared" si="2104"/>
        <v>0</v>
      </c>
      <c r="K4719" s="78">
        <f t="shared" si="2090"/>
        <v>0</v>
      </c>
      <c r="L4719" s="14">
        <f t="shared" si="2104"/>
        <v>0</v>
      </c>
      <c r="M4719" s="50"/>
      <c r="N4719" s="50"/>
    </row>
    <row r="4720" spans="1:14" ht="62.4" x14ac:dyDescent="0.3">
      <c r="A4720" s="64" t="s">
        <v>717</v>
      </c>
      <c r="B4720" s="62" t="s">
        <v>932</v>
      </c>
      <c r="C4720" s="68" t="s">
        <v>1399</v>
      </c>
      <c r="D4720" s="68" t="s">
        <v>1381</v>
      </c>
      <c r="E4720" s="8" t="s">
        <v>684</v>
      </c>
      <c r="F4720" s="8"/>
      <c r="G4720" s="23" t="s">
        <v>326</v>
      </c>
      <c r="H4720" s="14">
        <f t="shared" si="2104"/>
        <v>159.30000000000001</v>
      </c>
      <c r="I4720" s="14">
        <f t="shared" si="2104"/>
        <v>159.28175999999999</v>
      </c>
      <c r="J4720" s="14">
        <f t="shared" si="2104"/>
        <v>0</v>
      </c>
      <c r="K4720" s="78">
        <f t="shared" si="2090"/>
        <v>0</v>
      </c>
      <c r="L4720" s="14">
        <f t="shared" si="2104"/>
        <v>0</v>
      </c>
      <c r="M4720" s="50"/>
      <c r="N4720" s="50"/>
    </row>
    <row r="4721" spans="1:14" ht="46.8" x14ac:dyDescent="0.3">
      <c r="A4721" s="64" t="s">
        <v>717</v>
      </c>
      <c r="B4721" s="62" t="s">
        <v>932</v>
      </c>
      <c r="C4721" s="68" t="s">
        <v>1399</v>
      </c>
      <c r="D4721" s="68" t="s">
        <v>1381</v>
      </c>
      <c r="E4721" s="8" t="s">
        <v>251</v>
      </c>
      <c r="F4721" s="8"/>
      <c r="G4721" s="23" t="s">
        <v>327</v>
      </c>
      <c r="H4721" s="14">
        <f t="shared" si="2104"/>
        <v>159.30000000000001</v>
      </c>
      <c r="I4721" s="14">
        <f t="shared" si="2104"/>
        <v>159.28175999999999</v>
      </c>
      <c r="J4721" s="14">
        <f t="shared" si="2104"/>
        <v>0</v>
      </c>
      <c r="K4721" s="78">
        <f t="shared" si="2090"/>
        <v>0</v>
      </c>
      <c r="L4721" s="14">
        <f t="shared" si="2104"/>
        <v>0</v>
      </c>
      <c r="M4721" s="50"/>
      <c r="N4721" s="50"/>
    </row>
    <row r="4722" spans="1:14" ht="31.2" x14ac:dyDescent="0.3">
      <c r="A4722" s="64" t="s">
        <v>717</v>
      </c>
      <c r="B4722" s="62" t="s">
        <v>932</v>
      </c>
      <c r="C4722" s="68" t="s">
        <v>1399</v>
      </c>
      <c r="D4722" s="68" t="s">
        <v>1381</v>
      </c>
      <c r="E4722" s="8" t="s">
        <v>251</v>
      </c>
      <c r="F4722" s="45" t="s">
        <v>380</v>
      </c>
      <c r="G4722" s="23" t="s">
        <v>809</v>
      </c>
      <c r="H4722" s="14">
        <f t="shared" si="2104"/>
        <v>159.30000000000001</v>
      </c>
      <c r="I4722" s="14">
        <f t="shared" si="2104"/>
        <v>159.28175999999999</v>
      </c>
      <c r="J4722" s="14">
        <f t="shared" si="2104"/>
        <v>0</v>
      </c>
      <c r="K4722" s="78">
        <f t="shared" si="2090"/>
        <v>0</v>
      </c>
      <c r="L4722" s="14">
        <f t="shared" si="2104"/>
        <v>0</v>
      </c>
      <c r="M4722" s="50"/>
      <c r="N4722" s="50"/>
    </row>
    <row r="4723" spans="1:14" ht="31.2" x14ac:dyDescent="0.3">
      <c r="A4723" s="64" t="s">
        <v>717</v>
      </c>
      <c r="B4723" s="62" t="s">
        <v>932</v>
      </c>
      <c r="C4723" s="68" t="s">
        <v>1399</v>
      </c>
      <c r="D4723" s="68" t="s">
        <v>1381</v>
      </c>
      <c r="E4723" s="8" t="s">
        <v>251</v>
      </c>
      <c r="F4723" s="8" t="s">
        <v>247</v>
      </c>
      <c r="G4723" s="23" t="s">
        <v>810</v>
      </c>
      <c r="H4723" s="14">
        <v>159.30000000000001</v>
      </c>
      <c r="I4723" s="14">
        <v>159.28175999999999</v>
      </c>
      <c r="J4723" s="14">
        <v>0</v>
      </c>
      <c r="K4723" s="78">
        <f t="shared" si="2090"/>
        <v>0</v>
      </c>
      <c r="L4723" s="14"/>
      <c r="M4723" s="50"/>
      <c r="N4723" s="50"/>
    </row>
    <row r="4724" spans="1:14" ht="31.2" x14ac:dyDescent="0.3">
      <c r="A4724" s="64" t="s">
        <v>717</v>
      </c>
      <c r="B4724" s="62" t="s">
        <v>932</v>
      </c>
      <c r="C4724" s="68" t="s">
        <v>1399</v>
      </c>
      <c r="D4724" s="68" t="s">
        <v>1381</v>
      </c>
      <c r="E4724" s="8" t="s">
        <v>429</v>
      </c>
      <c r="F4724" s="8"/>
      <c r="G4724" s="23" t="s">
        <v>1140</v>
      </c>
      <c r="H4724" s="14">
        <f t="shared" ref="H4724:L4725" si="2105">H4725</f>
        <v>1582.5</v>
      </c>
      <c r="I4724" s="14">
        <f t="shared" si="2105"/>
        <v>1582.5</v>
      </c>
      <c r="J4724" s="14">
        <f t="shared" si="2105"/>
        <v>1285.41049</v>
      </c>
      <c r="K4724" s="78">
        <f t="shared" si="2090"/>
        <v>81.226571248025266</v>
      </c>
      <c r="L4724" s="14">
        <f t="shared" si="2105"/>
        <v>0</v>
      </c>
      <c r="M4724" s="50"/>
      <c r="N4724" s="50"/>
    </row>
    <row r="4725" spans="1:14" x14ac:dyDescent="0.3">
      <c r="A4725" s="64" t="s">
        <v>717</v>
      </c>
      <c r="B4725" s="62" t="s">
        <v>932</v>
      </c>
      <c r="C4725" s="68" t="s">
        <v>1399</v>
      </c>
      <c r="D4725" s="68" t="s">
        <v>1381</v>
      </c>
      <c r="E4725" s="8" t="s">
        <v>430</v>
      </c>
      <c r="F4725" s="8"/>
      <c r="G4725" s="23" t="s">
        <v>1141</v>
      </c>
      <c r="H4725" s="14">
        <f t="shared" si="2105"/>
        <v>1582.5</v>
      </c>
      <c r="I4725" s="14">
        <f t="shared" si="2105"/>
        <v>1582.5</v>
      </c>
      <c r="J4725" s="14">
        <f t="shared" si="2105"/>
        <v>1285.41049</v>
      </c>
      <c r="K4725" s="78">
        <f t="shared" si="2090"/>
        <v>81.226571248025266</v>
      </c>
      <c r="L4725" s="14">
        <f t="shared" si="2105"/>
        <v>0</v>
      </c>
      <c r="M4725" s="50"/>
      <c r="N4725" s="50"/>
    </row>
    <row r="4726" spans="1:14" ht="78" x14ac:dyDescent="0.3">
      <c r="A4726" s="64" t="s">
        <v>717</v>
      </c>
      <c r="B4726" s="62" t="s">
        <v>932</v>
      </c>
      <c r="C4726" s="68" t="s">
        <v>1399</v>
      </c>
      <c r="D4726" s="68" t="s">
        <v>1381</v>
      </c>
      <c r="E4726" s="8" t="s">
        <v>289</v>
      </c>
      <c r="F4726" s="8"/>
      <c r="G4726" s="13" t="s">
        <v>1333</v>
      </c>
      <c r="H4726" s="14">
        <f>H4727+H4729</f>
        <v>1582.5</v>
      </c>
      <c r="I4726" s="14">
        <f>I4727+I4729</f>
        <v>1582.5</v>
      </c>
      <c r="J4726" s="14">
        <f t="shared" ref="J4726" si="2106">J4727+J4729</f>
        <v>1285.41049</v>
      </c>
      <c r="K4726" s="78">
        <f t="shared" si="2090"/>
        <v>81.226571248025266</v>
      </c>
      <c r="L4726" s="14">
        <f>L4727+L4729</f>
        <v>0</v>
      </c>
      <c r="M4726" s="50"/>
      <c r="N4726" s="50"/>
    </row>
    <row r="4727" spans="1:14" ht="78" x14ac:dyDescent="0.3">
      <c r="A4727" s="64" t="s">
        <v>717</v>
      </c>
      <c r="B4727" s="62" t="s">
        <v>932</v>
      </c>
      <c r="C4727" s="68" t="s">
        <v>1399</v>
      </c>
      <c r="D4727" s="68" t="s">
        <v>1381</v>
      </c>
      <c r="E4727" s="8" t="s">
        <v>289</v>
      </c>
      <c r="F4727" s="45" t="s">
        <v>431</v>
      </c>
      <c r="G4727" s="23" t="s">
        <v>806</v>
      </c>
      <c r="H4727" s="14">
        <f t="shared" ref="H4727:L4727" si="2107">H4728</f>
        <v>1482.5</v>
      </c>
      <c r="I4727" s="14">
        <f t="shared" si="2107"/>
        <v>1482.5</v>
      </c>
      <c r="J4727" s="14">
        <f t="shared" si="2107"/>
        <v>1185.41049</v>
      </c>
      <c r="K4727" s="78">
        <f t="shared" si="2090"/>
        <v>79.960235413153455</v>
      </c>
      <c r="L4727" s="14">
        <f t="shared" si="2107"/>
        <v>0</v>
      </c>
      <c r="M4727" s="50"/>
      <c r="N4727" s="50"/>
    </row>
    <row r="4728" spans="1:14" ht="31.2" x14ac:dyDescent="0.3">
      <c r="A4728" s="64" t="s">
        <v>717</v>
      </c>
      <c r="B4728" s="62" t="s">
        <v>932</v>
      </c>
      <c r="C4728" s="68" t="s">
        <v>1399</v>
      </c>
      <c r="D4728" s="68" t="s">
        <v>1381</v>
      </c>
      <c r="E4728" s="8" t="s">
        <v>289</v>
      </c>
      <c r="F4728" s="45" t="s">
        <v>233</v>
      </c>
      <c r="G4728" s="23" t="s">
        <v>808</v>
      </c>
      <c r="H4728" s="14">
        <v>1482.5</v>
      </c>
      <c r="I4728" s="14">
        <v>1482.5</v>
      </c>
      <c r="J4728" s="14">
        <v>1185.41049</v>
      </c>
      <c r="K4728" s="78">
        <f t="shared" si="2090"/>
        <v>79.960235413153455</v>
      </c>
      <c r="L4728" s="14"/>
      <c r="M4728" s="50"/>
      <c r="N4728" s="50"/>
    </row>
    <row r="4729" spans="1:14" ht="31.2" x14ac:dyDescent="0.3">
      <c r="A4729" s="64" t="s">
        <v>717</v>
      </c>
      <c r="B4729" s="62" t="s">
        <v>932</v>
      </c>
      <c r="C4729" s="68" t="s">
        <v>1399</v>
      </c>
      <c r="D4729" s="68" t="s">
        <v>1381</v>
      </c>
      <c r="E4729" s="8" t="s">
        <v>289</v>
      </c>
      <c r="F4729" s="45" t="s">
        <v>380</v>
      </c>
      <c r="G4729" s="23" t="s">
        <v>809</v>
      </c>
      <c r="H4729" s="14">
        <f t="shared" ref="H4729:L4729" si="2108">H4730</f>
        <v>100</v>
      </c>
      <c r="I4729" s="14">
        <f t="shared" si="2108"/>
        <v>100</v>
      </c>
      <c r="J4729" s="14">
        <f t="shared" si="2108"/>
        <v>100</v>
      </c>
      <c r="K4729" s="78">
        <f t="shared" si="2090"/>
        <v>100</v>
      </c>
      <c r="L4729" s="14">
        <f t="shared" si="2108"/>
        <v>0</v>
      </c>
      <c r="M4729" s="50"/>
      <c r="N4729" s="50"/>
    </row>
    <row r="4730" spans="1:14" ht="31.2" x14ac:dyDescent="0.3">
      <c r="A4730" s="64" t="s">
        <v>717</v>
      </c>
      <c r="B4730" s="62" t="s">
        <v>932</v>
      </c>
      <c r="C4730" s="68" t="s">
        <v>1399</v>
      </c>
      <c r="D4730" s="68" t="s">
        <v>1381</v>
      </c>
      <c r="E4730" s="8" t="s">
        <v>289</v>
      </c>
      <c r="F4730" s="8" t="s">
        <v>247</v>
      </c>
      <c r="G4730" s="23" t="s">
        <v>810</v>
      </c>
      <c r="H4730" s="14">
        <v>100</v>
      </c>
      <c r="I4730" s="14">
        <v>100</v>
      </c>
      <c r="J4730" s="14">
        <v>100</v>
      </c>
      <c r="K4730" s="78">
        <f t="shared" si="2090"/>
        <v>100</v>
      </c>
      <c r="L4730" s="14"/>
      <c r="M4730" s="50"/>
      <c r="N4730" s="50"/>
    </row>
    <row r="4731" spans="1:14" s="3" customFormat="1" ht="31.2" x14ac:dyDescent="0.3">
      <c r="A4731" s="4" t="s">
        <v>718</v>
      </c>
      <c r="B4731" s="43" t="s">
        <v>915</v>
      </c>
      <c r="C4731" s="43" t="s">
        <v>915</v>
      </c>
      <c r="D4731" s="43" t="s">
        <v>915</v>
      </c>
      <c r="E4731" s="4"/>
      <c r="F4731" s="4"/>
      <c r="G4731" s="5" t="s">
        <v>1445</v>
      </c>
      <c r="H4731" s="15">
        <f>H4732+H4751</f>
        <v>86983.638999999996</v>
      </c>
      <c r="I4731" s="15">
        <f>I4732+I4751</f>
        <v>91062.997130000003</v>
      </c>
      <c r="J4731" s="15">
        <f t="shared" ref="J4731" si="2109">J4732+J4751</f>
        <v>91062.994940000004</v>
      </c>
      <c r="K4731" s="81">
        <f t="shared" si="2090"/>
        <v>99.999997595071463</v>
      </c>
      <c r="L4731" s="15">
        <f>L4732+L4751</f>
        <v>0</v>
      </c>
      <c r="M4731" s="65"/>
      <c r="N4731" s="65"/>
    </row>
    <row r="4732" spans="1:14" s="3" customFormat="1" x14ac:dyDescent="0.3">
      <c r="A4732" s="4" t="s">
        <v>718</v>
      </c>
      <c r="B4732" s="43" t="s">
        <v>1372</v>
      </c>
      <c r="C4732" s="43" t="s">
        <v>1372</v>
      </c>
      <c r="D4732" s="43" t="s">
        <v>915</v>
      </c>
      <c r="E4732" s="4"/>
      <c r="F4732" s="4"/>
      <c r="G4732" s="5" t="s">
        <v>1376</v>
      </c>
      <c r="H4732" s="15">
        <f t="shared" ref="H4732:L4734" si="2110">H4733</f>
        <v>69949</v>
      </c>
      <c r="I4732" s="15">
        <f t="shared" si="2110"/>
        <v>74028.358130000008</v>
      </c>
      <c r="J4732" s="15">
        <f t="shared" si="2110"/>
        <v>74028.358130000008</v>
      </c>
      <c r="K4732" s="81">
        <f t="shared" si="2090"/>
        <v>100</v>
      </c>
      <c r="L4732" s="15">
        <f t="shared" si="2110"/>
        <v>0</v>
      </c>
      <c r="M4732" s="65"/>
      <c r="N4732" s="65"/>
    </row>
    <row r="4733" spans="1:14" s="9" customFormat="1" x14ac:dyDescent="0.3">
      <c r="A4733" s="6" t="s">
        <v>718</v>
      </c>
      <c r="B4733" s="48" t="s">
        <v>912</v>
      </c>
      <c r="C4733" s="48" t="s">
        <v>1372</v>
      </c>
      <c r="D4733" s="48" t="s">
        <v>1477</v>
      </c>
      <c r="E4733" s="6"/>
      <c r="F4733" s="6"/>
      <c r="G4733" s="7" t="s">
        <v>1377</v>
      </c>
      <c r="H4733" s="16">
        <f t="shared" si="2110"/>
        <v>69949</v>
      </c>
      <c r="I4733" s="16">
        <f>I4734+I4746</f>
        <v>74028.358130000008</v>
      </c>
      <c r="J4733" s="16">
        <f t="shared" ref="J4733:L4733" si="2111">J4734+J4746</f>
        <v>74028.358130000008</v>
      </c>
      <c r="K4733" s="82">
        <f t="shared" si="2090"/>
        <v>100</v>
      </c>
      <c r="L4733" s="16">
        <f t="shared" si="2111"/>
        <v>0</v>
      </c>
      <c r="M4733" s="65"/>
      <c r="N4733" s="65"/>
    </row>
    <row r="4734" spans="1:14" ht="31.2" x14ac:dyDescent="0.3">
      <c r="A4734" s="64" t="s">
        <v>718</v>
      </c>
      <c r="B4734" s="62" t="s">
        <v>912</v>
      </c>
      <c r="C4734" s="68" t="s">
        <v>1372</v>
      </c>
      <c r="D4734" s="68" t="s">
        <v>1477</v>
      </c>
      <c r="E4734" s="8" t="s">
        <v>343</v>
      </c>
      <c r="F4734" s="8"/>
      <c r="G4734" s="23" t="s">
        <v>1157</v>
      </c>
      <c r="H4734" s="14">
        <f t="shared" si="2110"/>
        <v>69949</v>
      </c>
      <c r="I4734" s="14">
        <f t="shared" si="2110"/>
        <v>69754.3</v>
      </c>
      <c r="J4734" s="14">
        <f t="shared" si="2110"/>
        <v>69754.3</v>
      </c>
      <c r="K4734" s="78">
        <f t="shared" si="2090"/>
        <v>100</v>
      </c>
      <c r="L4734" s="14">
        <f t="shared" si="2110"/>
        <v>0</v>
      </c>
      <c r="M4734" s="50"/>
      <c r="N4734" s="50"/>
    </row>
    <row r="4735" spans="1:14" x14ac:dyDescent="0.3">
      <c r="A4735" s="64" t="s">
        <v>718</v>
      </c>
      <c r="B4735" s="62" t="s">
        <v>912</v>
      </c>
      <c r="C4735" s="68" t="s">
        <v>1372</v>
      </c>
      <c r="D4735" s="68" t="s">
        <v>1477</v>
      </c>
      <c r="E4735" s="8" t="s">
        <v>344</v>
      </c>
      <c r="F4735" s="8"/>
      <c r="G4735" s="23" t="s">
        <v>1159</v>
      </c>
      <c r="H4735" s="14">
        <f>H4736+H4739</f>
        <v>69949</v>
      </c>
      <c r="I4735" s="14">
        <f>I4736+I4739</f>
        <v>69754.3</v>
      </c>
      <c r="J4735" s="14">
        <f t="shared" ref="J4735" si="2112">J4736+J4739</f>
        <v>69754.3</v>
      </c>
      <c r="K4735" s="78">
        <f t="shared" si="2090"/>
        <v>100</v>
      </c>
      <c r="L4735" s="14">
        <f>L4736+L4739</f>
        <v>0</v>
      </c>
      <c r="M4735" s="50"/>
      <c r="N4735" s="50"/>
    </row>
    <row r="4736" spans="1:14" ht="31.2" x14ac:dyDescent="0.3">
      <c r="A4736" s="64" t="s">
        <v>718</v>
      </c>
      <c r="B4736" s="62" t="s">
        <v>912</v>
      </c>
      <c r="C4736" s="83" t="s">
        <v>1372</v>
      </c>
      <c r="D4736" s="83" t="s">
        <v>1477</v>
      </c>
      <c r="E4736" s="45" t="s">
        <v>345</v>
      </c>
      <c r="F4736" s="8"/>
      <c r="G4736" s="23" t="s">
        <v>1152</v>
      </c>
      <c r="H4736" s="14">
        <f t="shared" ref="H4736:L4737" si="2113">H4737</f>
        <v>64131</v>
      </c>
      <c r="I4736" s="14">
        <f t="shared" si="2113"/>
        <v>64117.672039999998</v>
      </c>
      <c r="J4736" s="14">
        <f t="shared" si="2113"/>
        <v>64117.672039999998</v>
      </c>
      <c r="K4736" s="78">
        <f t="shared" si="2090"/>
        <v>100</v>
      </c>
      <c r="L4736" s="14">
        <f t="shared" si="2113"/>
        <v>0</v>
      </c>
      <c r="M4736" s="50"/>
      <c r="N4736" s="50"/>
    </row>
    <row r="4737" spans="1:14" ht="78" x14ac:dyDescent="0.3">
      <c r="A4737" s="64" t="s">
        <v>718</v>
      </c>
      <c r="B4737" s="62" t="s">
        <v>912</v>
      </c>
      <c r="C4737" s="83" t="s">
        <v>1372</v>
      </c>
      <c r="D4737" s="83" t="s">
        <v>1477</v>
      </c>
      <c r="E4737" s="45" t="s">
        <v>345</v>
      </c>
      <c r="F4737" s="45" t="s">
        <v>431</v>
      </c>
      <c r="G4737" s="23" t="s">
        <v>806</v>
      </c>
      <c r="H4737" s="14">
        <f t="shared" si="2113"/>
        <v>64131</v>
      </c>
      <c r="I4737" s="14">
        <f t="shared" si="2113"/>
        <v>64117.672039999998</v>
      </c>
      <c r="J4737" s="14">
        <f t="shared" si="2113"/>
        <v>64117.672039999998</v>
      </c>
      <c r="K4737" s="78">
        <f t="shared" si="2090"/>
        <v>100</v>
      </c>
      <c r="L4737" s="14">
        <f t="shared" si="2113"/>
        <v>0</v>
      </c>
      <c r="M4737" s="50"/>
      <c r="N4737" s="50"/>
    </row>
    <row r="4738" spans="1:14" ht="31.2" x14ac:dyDescent="0.3">
      <c r="A4738" s="64" t="s">
        <v>718</v>
      </c>
      <c r="B4738" s="62" t="s">
        <v>912</v>
      </c>
      <c r="C4738" s="83" t="s">
        <v>1372</v>
      </c>
      <c r="D4738" s="83" t="s">
        <v>1477</v>
      </c>
      <c r="E4738" s="45" t="s">
        <v>345</v>
      </c>
      <c r="F4738" s="45" t="s">
        <v>233</v>
      </c>
      <c r="G4738" s="23" t="s">
        <v>808</v>
      </c>
      <c r="H4738" s="14">
        <v>64131</v>
      </c>
      <c r="I4738" s="14">
        <v>64117.672039999998</v>
      </c>
      <c r="J4738" s="14">
        <v>64117.672039999998</v>
      </c>
      <c r="K4738" s="78">
        <f t="shared" si="2090"/>
        <v>100</v>
      </c>
      <c r="L4738" s="14"/>
      <c r="M4738" s="50"/>
      <c r="N4738" s="50"/>
    </row>
    <row r="4739" spans="1:14" ht="31.2" x14ac:dyDescent="0.3">
      <c r="A4739" s="64" t="s">
        <v>718</v>
      </c>
      <c r="B4739" s="62" t="s">
        <v>912</v>
      </c>
      <c r="C4739" s="83" t="s">
        <v>1372</v>
      </c>
      <c r="D4739" s="83" t="s">
        <v>1477</v>
      </c>
      <c r="E4739" s="45" t="s">
        <v>346</v>
      </c>
      <c r="F4739" s="8"/>
      <c r="G4739" s="23" t="s">
        <v>1154</v>
      </c>
      <c r="H4739" s="14">
        <f>H4740+H4742+H4744</f>
        <v>5818</v>
      </c>
      <c r="I4739" s="14">
        <f>I4740+I4742+I4744</f>
        <v>5636.6279599999998</v>
      </c>
      <c r="J4739" s="14">
        <f t="shared" ref="J4739" si="2114">J4740+J4742+J4744</f>
        <v>5636.6279599999998</v>
      </c>
      <c r="K4739" s="78">
        <f t="shared" si="2090"/>
        <v>100</v>
      </c>
      <c r="L4739" s="14">
        <f>L4740+L4742+L4744</f>
        <v>0</v>
      </c>
      <c r="M4739" s="50"/>
      <c r="N4739" s="50"/>
    </row>
    <row r="4740" spans="1:14" ht="78" x14ac:dyDescent="0.3">
      <c r="A4740" s="64" t="s">
        <v>718</v>
      </c>
      <c r="B4740" s="62" t="s">
        <v>912</v>
      </c>
      <c r="C4740" s="83" t="s">
        <v>1372</v>
      </c>
      <c r="D4740" s="83" t="s">
        <v>1477</v>
      </c>
      <c r="E4740" s="45" t="s">
        <v>346</v>
      </c>
      <c r="F4740" s="45" t="s">
        <v>431</v>
      </c>
      <c r="G4740" s="23" t="s">
        <v>806</v>
      </c>
      <c r="H4740" s="14">
        <f t="shared" ref="H4740:L4740" si="2115">H4741</f>
        <v>115.4</v>
      </c>
      <c r="I4740" s="14">
        <f t="shared" si="2115"/>
        <v>53.577710000000003</v>
      </c>
      <c r="J4740" s="14">
        <f t="shared" si="2115"/>
        <v>53.577710000000003</v>
      </c>
      <c r="K4740" s="78">
        <f t="shared" si="2090"/>
        <v>100</v>
      </c>
      <c r="L4740" s="14">
        <f t="shared" si="2115"/>
        <v>0</v>
      </c>
      <c r="M4740" s="50"/>
      <c r="N4740" s="50"/>
    </row>
    <row r="4741" spans="1:14" ht="31.2" x14ac:dyDescent="0.3">
      <c r="A4741" s="64" t="s">
        <v>718</v>
      </c>
      <c r="B4741" s="62" t="s">
        <v>912</v>
      </c>
      <c r="C4741" s="83" t="s">
        <v>1372</v>
      </c>
      <c r="D4741" s="83" t="s">
        <v>1477</v>
      </c>
      <c r="E4741" s="45" t="s">
        <v>346</v>
      </c>
      <c r="F4741" s="45" t="s">
        <v>233</v>
      </c>
      <c r="G4741" s="23" t="s">
        <v>808</v>
      </c>
      <c r="H4741" s="14">
        <v>115.4</v>
      </c>
      <c r="I4741" s="14">
        <v>53.577710000000003</v>
      </c>
      <c r="J4741" s="14">
        <v>53.577710000000003</v>
      </c>
      <c r="K4741" s="78">
        <f t="shared" si="2090"/>
        <v>100</v>
      </c>
      <c r="L4741" s="14"/>
      <c r="M4741" s="50"/>
      <c r="N4741" s="50"/>
    </row>
    <row r="4742" spans="1:14" ht="31.2" x14ac:dyDescent="0.3">
      <c r="A4742" s="64" t="s">
        <v>718</v>
      </c>
      <c r="B4742" s="62" t="s">
        <v>912</v>
      </c>
      <c r="C4742" s="83" t="s">
        <v>1372</v>
      </c>
      <c r="D4742" s="83" t="s">
        <v>1477</v>
      </c>
      <c r="E4742" s="45" t="s">
        <v>346</v>
      </c>
      <c r="F4742" s="45" t="s">
        <v>380</v>
      </c>
      <c r="G4742" s="23" t="s">
        <v>809</v>
      </c>
      <c r="H4742" s="14">
        <f t="shared" ref="H4742:L4742" si="2116">H4743</f>
        <v>5694.6</v>
      </c>
      <c r="I4742" s="14">
        <f t="shared" si="2116"/>
        <v>5582.1782499999999</v>
      </c>
      <c r="J4742" s="14">
        <f t="shared" si="2116"/>
        <v>5582.1782499999999</v>
      </c>
      <c r="K4742" s="78">
        <f t="shared" si="2090"/>
        <v>100</v>
      </c>
      <c r="L4742" s="14">
        <f t="shared" si="2116"/>
        <v>0</v>
      </c>
      <c r="M4742" s="50"/>
      <c r="N4742" s="50"/>
    </row>
    <row r="4743" spans="1:14" ht="31.2" x14ac:dyDescent="0.3">
      <c r="A4743" s="64" t="s">
        <v>718</v>
      </c>
      <c r="B4743" s="62" t="s">
        <v>912</v>
      </c>
      <c r="C4743" s="83" t="s">
        <v>1372</v>
      </c>
      <c r="D4743" s="83" t="s">
        <v>1477</v>
      </c>
      <c r="E4743" s="45" t="s">
        <v>346</v>
      </c>
      <c r="F4743" s="8" t="s">
        <v>247</v>
      </c>
      <c r="G4743" s="23" t="s">
        <v>810</v>
      </c>
      <c r="H4743" s="14">
        <v>5694.6</v>
      </c>
      <c r="I4743" s="14">
        <v>5582.1782499999999</v>
      </c>
      <c r="J4743" s="14">
        <v>5582.1782499999999</v>
      </c>
      <c r="K4743" s="78">
        <f t="shared" si="2090"/>
        <v>100</v>
      </c>
      <c r="L4743" s="14"/>
      <c r="M4743" s="50"/>
      <c r="N4743" s="50"/>
    </row>
    <row r="4744" spans="1:14" x14ac:dyDescent="0.3">
      <c r="A4744" s="64" t="s">
        <v>718</v>
      </c>
      <c r="B4744" s="62" t="s">
        <v>912</v>
      </c>
      <c r="C4744" s="83" t="s">
        <v>1372</v>
      </c>
      <c r="D4744" s="83" t="s">
        <v>1477</v>
      </c>
      <c r="E4744" s="45" t="s">
        <v>346</v>
      </c>
      <c r="F4744" s="45" t="s">
        <v>464</v>
      </c>
      <c r="G4744" s="23" t="s">
        <v>822</v>
      </c>
      <c r="H4744" s="14">
        <f t="shared" ref="H4744:L4744" si="2117">H4745</f>
        <v>8</v>
      </c>
      <c r="I4744" s="14">
        <f t="shared" si="2117"/>
        <v>0.872</v>
      </c>
      <c r="J4744" s="14">
        <f t="shared" si="2117"/>
        <v>0.872</v>
      </c>
      <c r="K4744" s="78">
        <f t="shared" ref="K4744:K4770" si="2118">J4744/I4744*100</f>
        <v>100</v>
      </c>
      <c r="L4744" s="14">
        <f t="shared" si="2117"/>
        <v>0</v>
      </c>
      <c r="M4744" s="50"/>
      <c r="N4744" s="50"/>
    </row>
    <row r="4745" spans="1:14" x14ac:dyDescent="0.3">
      <c r="A4745" s="64" t="s">
        <v>718</v>
      </c>
      <c r="B4745" s="62" t="s">
        <v>912</v>
      </c>
      <c r="C4745" s="83" t="s">
        <v>1372</v>
      </c>
      <c r="D4745" s="83" t="s">
        <v>1477</v>
      </c>
      <c r="E4745" s="45" t="s">
        <v>346</v>
      </c>
      <c r="F4745" s="45" t="s">
        <v>729</v>
      </c>
      <c r="G4745" s="23" t="s">
        <v>824</v>
      </c>
      <c r="H4745" s="14">
        <v>8</v>
      </c>
      <c r="I4745" s="14">
        <v>0.872</v>
      </c>
      <c r="J4745" s="14">
        <v>0.872</v>
      </c>
      <c r="K4745" s="78">
        <f t="shared" si="2118"/>
        <v>100</v>
      </c>
      <c r="L4745" s="14"/>
      <c r="M4745" s="50"/>
      <c r="N4745" s="50"/>
    </row>
    <row r="4746" spans="1:14" ht="46.8" x14ac:dyDescent="0.3">
      <c r="A4746" s="64" t="s">
        <v>718</v>
      </c>
      <c r="B4746" s="62" t="s">
        <v>912</v>
      </c>
      <c r="C4746" s="68" t="s">
        <v>1372</v>
      </c>
      <c r="D4746" s="68" t="s">
        <v>1477</v>
      </c>
      <c r="E4746" s="8" t="s">
        <v>493</v>
      </c>
      <c r="F4746" s="8"/>
      <c r="G4746" s="13" t="s">
        <v>1160</v>
      </c>
      <c r="H4746" s="20">
        <v>0</v>
      </c>
      <c r="I4746" s="14">
        <f>I4747</f>
        <v>4274.0581300000003</v>
      </c>
      <c r="J4746" s="14">
        <f t="shared" ref="J4746:L4749" si="2119">J4747</f>
        <v>4274.0581300000003</v>
      </c>
      <c r="K4746" s="78">
        <f t="shared" si="2118"/>
        <v>100</v>
      </c>
      <c r="L4746" s="14">
        <f t="shared" si="2119"/>
        <v>0</v>
      </c>
      <c r="M4746" s="50"/>
      <c r="N4746" s="50"/>
    </row>
    <row r="4747" spans="1:14" ht="31.2" x14ac:dyDescent="0.3">
      <c r="A4747" s="64" t="s">
        <v>718</v>
      </c>
      <c r="B4747" s="62" t="s">
        <v>912</v>
      </c>
      <c r="C4747" s="68" t="s">
        <v>1372</v>
      </c>
      <c r="D4747" s="68" t="s">
        <v>1477</v>
      </c>
      <c r="E4747" s="8" t="s">
        <v>494</v>
      </c>
      <c r="F4747" s="8"/>
      <c r="G4747" s="13" t="s">
        <v>1161</v>
      </c>
      <c r="H4747" s="20">
        <v>0</v>
      </c>
      <c r="I4747" s="14">
        <f>I4748</f>
        <v>4274.0581300000003</v>
      </c>
      <c r="J4747" s="14">
        <f t="shared" si="2119"/>
        <v>4274.0581300000003</v>
      </c>
      <c r="K4747" s="78">
        <f t="shared" si="2118"/>
        <v>100</v>
      </c>
      <c r="L4747" s="14">
        <f t="shared" si="2119"/>
        <v>0</v>
      </c>
      <c r="M4747" s="50"/>
      <c r="N4747" s="50"/>
    </row>
    <row r="4748" spans="1:14" ht="31.2" x14ac:dyDescent="0.3">
      <c r="A4748" s="64" t="s">
        <v>718</v>
      </c>
      <c r="B4748" s="62" t="s">
        <v>912</v>
      </c>
      <c r="C4748" s="68" t="s">
        <v>1372</v>
      </c>
      <c r="D4748" s="68" t="s">
        <v>1477</v>
      </c>
      <c r="E4748" s="8" t="s">
        <v>495</v>
      </c>
      <c r="F4748" s="8"/>
      <c r="G4748" s="13" t="s">
        <v>687</v>
      </c>
      <c r="H4748" s="20">
        <v>0</v>
      </c>
      <c r="I4748" s="14">
        <f>I4749</f>
        <v>4274.0581300000003</v>
      </c>
      <c r="J4748" s="14">
        <f t="shared" si="2119"/>
        <v>4274.0581300000003</v>
      </c>
      <c r="K4748" s="78">
        <f t="shared" si="2118"/>
        <v>100</v>
      </c>
      <c r="L4748" s="14">
        <f t="shared" si="2119"/>
        <v>0</v>
      </c>
      <c r="M4748" s="50"/>
      <c r="N4748" s="50"/>
    </row>
    <row r="4749" spans="1:14" x14ac:dyDescent="0.3">
      <c r="A4749" s="64" t="s">
        <v>718</v>
      </c>
      <c r="B4749" s="62" t="s">
        <v>912</v>
      </c>
      <c r="C4749" s="68" t="s">
        <v>1372</v>
      </c>
      <c r="D4749" s="68" t="s">
        <v>1477</v>
      </c>
      <c r="E4749" s="8" t="s">
        <v>495</v>
      </c>
      <c r="F4749" s="45" t="s">
        <v>464</v>
      </c>
      <c r="G4749" s="23" t="s">
        <v>822</v>
      </c>
      <c r="H4749" s="20">
        <v>0</v>
      </c>
      <c r="I4749" s="14">
        <f>I4750</f>
        <v>4274.0581300000003</v>
      </c>
      <c r="J4749" s="14">
        <f t="shared" si="2119"/>
        <v>4274.0581300000003</v>
      </c>
      <c r="K4749" s="78">
        <f t="shared" si="2118"/>
        <v>100</v>
      </c>
      <c r="L4749" s="14">
        <f t="shared" si="2119"/>
        <v>0</v>
      </c>
      <c r="M4749" s="50"/>
      <c r="N4749" s="50"/>
    </row>
    <row r="4750" spans="1:14" x14ac:dyDescent="0.3">
      <c r="A4750" s="64" t="s">
        <v>718</v>
      </c>
      <c r="B4750" s="62" t="s">
        <v>912</v>
      </c>
      <c r="C4750" s="68" t="s">
        <v>1372</v>
      </c>
      <c r="D4750" s="68" t="s">
        <v>1477</v>
      </c>
      <c r="E4750" s="8" t="s">
        <v>495</v>
      </c>
      <c r="F4750" s="8" t="s">
        <v>728</v>
      </c>
      <c r="G4750" s="23" t="s">
        <v>823</v>
      </c>
      <c r="H4750" s="20">
        <v>0</v>
      </c>
      <c r="I4750" s="14">
        <v>4274.0581300000003</v>
      </c>
      <c r="J4750" s="14">
        <v>4274.0581300000003</v>
      </c>
      <c r="K4750" s="78">
        <f t="shared" si="2118"/>
        <v>100</v>
      </c>
      <c r="L4750" s="14"/>
      <c r="M4750" s="50"/>
      <c r="N4750" s="50"/>
    </row>
    <row r="4751" spans="1:14" s="3" customFormat="1" x14ac:dyDescent="0.3">
      <c r="A4751" s="4" t="s">
        <v>718</v>
      </c>
      <c r="B4751" s="43" t="s">
        <v>1386</v>
      </c>
      <c r="C4751" s="43" t="s">
        <v>1386</v>
      </c>
      <c r="D4751" s="43" t="s">
        <v>915</v>
      </c>
      <c r="E4751" s="4"/>
      <c r="F4751" s="4"/>
      <c r="G4751" s="5" t="s">
        <v>1388</v>
      </c>
      <c r="H4751" s="15">
        <f t="shared" ref="H4751:L4752" si="2120">H4752</f>
        <v>17034.638999999999</v>
      </c>
      <c r="I4751" s="15">
        <f t="shared" si="2120"/>
        <v>17034.638999999999</v>
      </c>
      <c r="J4751" s="15">
        <f t="shared" si="2120"/>
        <v>17034.63681</v>
      </c>
      <c r="K4751" s="81">
        <f t="shared" si="2118"/>
        <v>99.999987143842617</v>
      </c>
      <c r="L4751" s="15">
        <f t="shared" si="2120"/>
        <v>0</v>
      </c>
      <c r="M4751" s="65"/>
      <c r="N4751" s="65"/>
    </row>
    <row r="4752" spans="1:14" s="9" customFormat="1" x14ac:dyDescent="0.3">
      <c r="A4752" s="6" t="s">
        <v>718</v>
      </c>
      <c r="B4752" s="48" t="s">
        <v>918</v>
      </c>
      <c r="C4752" s="48" t="s">
        <v>1386</v>
      </c>
      <c r="D4752" s="48" t="s">
        <v>1479</v>
      </c>
      <c r="E4752" s="6"/>
      <c r="F4752" s="6"/>
      <c r="G4752" s="7" t="s">
        <v>1389</v>
      </c>
      <c r="H4752" s="16">
        <f t="shared" si="2120"/>
        <v>17034.638999999999</v>
      </c>
      <c r="I4752" s="16">
        <f t="shared" si="2120"/>
        <v>17034.638999999999</v>
      </c>
      <c r="J4752" s="16">
        <f t="shared" si="2120"/>
        <v>17034.63681</v>
      </c>
      <c r="K4752" s="82">
        <f t="shared" si="2118"/>
        <v>99.999987143842617</v>
      </c>
      <c r="L4752" s="16">
        <f t="shared" si="2120"/>
        <v>0</v>
      </c>
      <c r="M4752" s="65"/>
      <c r="N4752" s="65"/>
    </row>
    <row r="4753" spans="1:14" ht="31.2" x14ac:dyDescent="0.3">
      <c r="A4753" s="64" t="s">
        <v>718</v>
      </c>
      <c r="B4753" s="62" t="s">
        <v>918</v>
      </c>
      <c r="C4753" s="68" t="s">
        <v>1386</v>
      </c>
      <c r="D4753" s="68" t="s">
        <v>1479</v>
      </c>
      <c r="E4753" s="8" t="s">
        <v>585</v>
      </c>
      <c r="F4753" s="8"/>
      <c r="G4753" s="13" t="s">
        <v>196</v>
      </c>
      <c r="H4753" s="14">
        <f>H4754+H4762</f>
        <v>17034.638999999999</v>
      </c>
      <c r="I4753" s="14">
        <f>I4754+I4762</f>
        <v>17034.638999999999</v>
      </c>
      <c r="J4753" s="14">
        <f t="shared" ref="J4753" si="2121">J4754+J4762</f>
        <v>17034.63681</v>
      </c>
      <c r="K4753" s="78">
        <f t="shared" si="2118"/>
        <v>99.999987143842617</v>
      </c>
      <c r="L4753" s="14">
        <f>L4754+L4762</f>
        <v>0</v>
      </c>
      <c r="M4753" s="50"/>
      <c r="N4753" s="50"/>
    </row>
    <row r="4754" spans="1:14" ht="46.8" x14ac:dyDescent="0.3">
      <c r="A4754" s="64" t="s">
        <v>718</v>
      </c>
      <c r="B4754" s="62" t="s">
        <v>918</v>
      </c>
      <c r="C4754" s="68" t="s">
        <v>1386</v>
      </c>
      <c r="D4754" s="68" t="s">
        <v>1479</v>
      </c>
      <c r="E4754" s="8" t="s">
        <v>586</v>
      </c>
      <c r="F4754" s="8"/>
      <c r="G4754" s="13" t="s">
        <v>197</v>
      </c>
      <c r="H4754" s="14">
        <f t="shared" ref="H4754:L4755" si="2122">H4755</f>
        <v>1934.7170000000001</v>
      </c>
      <c r="I4754" s="14">
        <f t="shared" si="2122"/>
        <v>1934.7170000000001</v>
      </c>
      <c r="J4754" s="14">
        <f t="shared" si="2122"/>
        <v>1934.7164500000001</v>
      </c>
      <c r="K4754" s="78">
        <f t="shared" si="2118"/>
        <v>99.999971572069711</v>
      </c>
      <c r="L4754" s="14">
        <f t="shared" si="2122"/>
        <v>0</v>
      </c>
      <c r="M4754" s="50"/>
      <c r="N4754" s="50"/>
    </row>
    <row r="4755" spans="1:14" ht="31.2" x14ac:dyDescent="0.3">
      <c r="A4755" s="64" t="s">
        <v>718</v>
      </c>
      <c r="B4755" s="62" t="s">
        <v>918</v>
      </c>
      <c r="C4755" s="68" t="s">
        <v>1386</v>
      </c>
      <c r="D4755" s="68" t="s">
        <v>1479</v>
      </c>
      <c r="E4755" s="8" t="s">
        <v>587</v>
      </c>
      <c r="F4755" s="8"/>
      <c r="G4755" s="13" t="s">
        <v>198</v>
      </c>
      <c r="H4755" s="14">
        <f t="shared" si="2122"/>
        <v>1934.7170000000001</v>
      </c>
      <c r="I4755" s="14">
        <f t="shared" si="2122"/>
        <v>1934.7170000000001</v>
      </c>
      <c r="J4755" s="14">
        <f t="shared" si="2122"/>
        <v>1934.7164500000001</v>
      </c>
      <c r="K4755" s="78">
        <f t="shared" si="2118"/>
        <v>99.999971572069711</v>
      </c>
      <c r="L4755" s="14">
        <f t="shared" si="2122"/>
        <v>0</v>
      </c>
      <c r="M4755" s="50"/>
      <c r="N4755" s="50"/>
    </row>
    <row r="4756" spans="1:14" x14ac:dyDescent="0.3">
      <c r="A4756" s="64" t="s">
        <v>718</v>
      </c>
      <c r="B4756" s="62" t="s">
        <v>918</v>
      </c>
      <c r="C4756" s="68" t="s">
        <v>1386</v>
      </c>
      <c r="D4756" s="68" t="s">
        <v>1479</v>
      </c>
      <c r="E4756" s="8" t="s">
        <v>588</v>
      </c>
      <c r="F4756" s="8"/>
      <c r="G4756" s="13" t="s">
        <v>199</v>
      </c>
      <c r="H4756" s="14">
        <f>H4757+H4759</f>
        <v>1934.7170000000001</v>
      </c>
      <c r="I4756" s="14">
        <f>I4757+I4759</f>
        <v>1934.7170000000001</v>
      </c>
      <c r="J4756" s="14">
        <f t="shared" ref="J4756" si="2123">J4757+J4759</f>
        <v>1934.7164500000001</v>
      </c>
      <c r="K4756" s="78">
        <f t="shared" si="2118"/>
        <v>99.999971572069711</v>
      </c>
      <c r="L4756" s="14">
        <f>L4757+L4759</f>
        <v>0</v>
      </c>
      <c r="M4756" s="50"/>
      <c r="N4756" s="50"/>
    </row>
    <row r="4757" spans="1:14" ht="31.2" x14ac:dyDescent="0.3">
      <c r="A4757" s="64" t="s">
        <v>718</v>
      </c>
      <c r="B4757" s="62" t="s">
        <v>918</v>
      </c>
      <c r="C4757" s="68" t="s">
        <v>1386</v>
      </c>
      <c r="D4757" s="68" t="s">
        <v>1479</v>
      </c>
      <c r="E4757" s="8" t="s">
        <v>588</v>
      </c>
      <c r="F4757" s="45" t="s">
        <v>380</v>
      </c>
      <c r="G4757" s="23" t="s">
        <v>809</v>
      </c>
      <c r="H4757" s="14">
        <f t="shared" ref="H4757:L4757" si="2124">H4758</f>
        <v>265.06700000000001</v>
      </c>
      <c r="I4757" s="14">
        <f t="shared" si="2124"/>
        <v>265.06700000000001</v>
      </c>
      <c r="J4757" s="14">
        <f t="shared" si="2124"/>
        <v>265.06644999999997</v>
      </c>
      <c r="K4757" s="78">
        <f t="shared" si="2118"/>
        <v>99.999792505291111</v>
      </c>
      <c r="L4757" s="14">
        <f t="shared" si="2124"/>
        <v>0</v>
      </c>
      <c r="M4757" s="50"/>
      <c r="N4757" s="50"/>
    </row>
    <row r="4758" spans="1:14" ht="31.2" x14ac:dyDescent="0.3">
      <c r="A4758" s="64" t="s">
        <v>718</v>
      </c>
      <c r="B4758" s="62" t="s">
        <v>918</v>
      </c>
      <c r="C4758" s="68" t="s">
        <v>1386</v>
      </c>
      <c r="D4758" s="68" t="s">
        <v>1479</v>
      </c>
      <c r="E4758" s="8" t="s">
        <v>588</v>
      </c>
      <c r="F4758" s="8" t="s">
        <v>247</v>
      </c>
      <c r="G4758" s="23" t="s">
        <v>810</v>
      </c>
      <c r="H4758" s="14">
        <f>360+30.067-125</f>
        <v>265.06700000000001</v>
      </c>
      <c r="I4758" s="14">
        <v>265.06700000000001</v>
      </c>
      <c r="J4758" s="14">
        <v>265.06644999999997</v>
      </c>
      <c r="K4758" s="78">
        <f t="shared" si="2118"/>
        <v>99.999792505291111</v>
      </c>
      <c r="L4758" s="14"/>
      <c r="M4758" s="50"/>
      <c r="N4758" s="50"/>
    </row>
    <row r="4759" spans="1:14" x14ac:dyDescent="0.3">
      <c r="A4759" s="64" t="s">
        <v>718</v>
      </c>
      <c r="B4759" s="62" t="s">
        <v>918</v>
      </c>
      <c r="C4759" s="68" t="s">
        <v>1386</v>
      </c>
      <c r="D4759" s="68" t="s">
        <v>1479</v>
      </c>
      <c r="E4759" s="8" t="s">
        <v>588</v>
      </c>
      <c r="F4759" s="45" t="s">
        <v>464</v>
      </c>
      <c r="G4759" s="23" t="s">
        <v>822</v>
      </c>
      <c r="H4759" s="14">
        <f>H4760+H4761</f>
        <v>1669.65</v>
      </c>
      <c r="I4759" s="14">
        <f t="shared" ref="I4759:L4759" si="2125">I4760+I4761</f>
        <v>1669.65</v>
      </c>
      <c r="J4759" s="14">
        <f t="shared" si="2125"/>
        <v>1669.65</v>
      </c>
      <c r="K4759" s="78">
        <f t="shared" si="2118"/>
        <v>100</v>
      </c>
      <c r="L4759" s="14">
        <f t="shared" si="2125"/>
        <v>0</v>
      </c>
      <c r="M4759" s="50"/>
      <c r="N4759" s="50"/>
    </row>
    <row r="4760" spans="1:14" x14ac:dyDescent="0.3">
      <c r="A4760" s="64" t="s">
        <v>718</v>
      </c>
      <c r="B4760" s="62" t="s">
        <v>918</v>
      </c>
      <c r="C4760" s="68" t="s">
        <v>1386</v>
      </c>
      <c r="D4760" s="68" t="s">
        <v>1479</v>
      </c>
      <c r="E4760" s="8" t="s">
        <v>588</v>
      </c>
      <c r="F4760" s="45" t="s">
        <v>728</v>
      </c>
      <c r="G4760" s="23" t="s">
        <v>823</v>
      </c>
      <c r="H4760" s="14">
        <f>841+790-11.35</f>
        <v>1619.65</v>
      </c>
      <c r="I4760" s="14">
        <v>1619.65</v>
      </c>
      <c r="J4760" s="14">
        <v>1619.65</v>
      </c>
      <c r="K4760" s="78">
        <f t="shared" si="2118"/>
        <v>100</v>
      </c>
      <c r="L4760" s="14"/>
      <c r="M4760" s="50"/>
      <c r="N4760" s="50"/>
    </row>
    <row r="4761" spans="1:14" x14ac:dyDescent="0.3">
      <c r="A4761" s="64" t="s">
        <v>718</v>
      </c>
      <c r="B4761" s="62" t="s">
        <v>918</v>
      </c>
      <c r="C4761" s="68" t="s">
        <v>1386</v>
      </c>
      <c r="D4761" s="68" t="s">
        <v>1479</v>
      </c>
      <c r="E4761" s="8" t="s">
        <v>588</v>
      </c>
      <c r="F4761" s="45" t="s">
        <v>729</v>
      </c>
      <c r="G4761" s="23" t="s">
        <v>824</v>
      </c>
      <c r="H4761" s="14">
        <v>50</v>
      </c>
      <c r="I4761" s="14">
        <v>50</v>
      </c>
      <c r="J4761" s="14">
        <v>50</v>
      </c>
      <c r="K4761" s="78">
        <f t="shared" si="2118"/>
        <v>100</v>
      </c>
      <c r="L4761" s="14"/>
      <c r="M4761" s="50"/>
      <c r="N4761" s="50"/>
    </row>
    <row r="4762" spans="1:14" ht="46.8" x14ac:dyDescent="0.3">
      <c r="A4762" s="64" t="s">
        <v>718</v>
      </c>
      <c r="B4762" s="62" t="s">
        <v>918</v>
      </c>
      <c r="C4762" s="68" t="s">
        <v>1386</v>
      </c>
      <c r="D4762" s="68" t="s">
        <v>1479</v>
      </c>
      <c r="E4762" s="8" t="s">
        <v>589</v>
      </c>
      <c r="F4762" s="8"/>
      <c r="G4762" s="13" t="s">
        <v>200</v>
      </c>
      <c r="H4762" s="14">
        <f t="shared" ref="H4762:L4762" si="2126">H4763</f>
        <v>15099.921999999999</v>
      </c>
      <c r="I4762" s="14">
        <f t="shared" si="2126"/>
        <v>15099.922</v>
      </c>
      <c r="J4762" s="14">
        <f t="shared" si="2126"/>
        <v>15099.92036</v>
      </c>
      <c r="K4762" s="78">
        <f t="shared" si="2118"/>
        <v>99.999989139016748</v>
      </c>
      <c r="L4762" s="14">
        <f t="shared" si="2126"/>
        <v>0</v>
      </c>
      <c r="M4762" s="50"/>
      <c r="N4762" s="50"/>
    </row>
    <row r="4763" spans="1:14" ht="31.2" x14ac:dyDescent="0.3">
      <c r="A4763" s="64" t="s">
        <v>718</v>
      </c>
      <c r="B4763" s="62" t="s">
        <v>918</v>
      </c>
      <c r="C4763" s="68" t="s">
        <v>1386</v>
      </c>
      <c r="D4763" s="68" t="s">
        <v>1479</v>
      </c>
      <c r="E4763" s="8" t="s">
        <v>590</v>
      </c>
      <c r="F4763" s="8"/>
      <c r="G4763" s="13" t="s">
        <v>1323</v>
      </c>
      <c r="H4763" s="14">
        <f>H4764+H4767</f>
        <v>15099.921999999999</v>
      </c>
      <c r="I4763" s="14">
        <f>I4764+I4767</f>
        <v>15099.922</v>
      </c>
      <c r="J4763" s="14">
        <f t="shared" ref="J4763" si="2127">J4764+J4767</f>
        <v>15099.92036</v>
      </c>
      <c r="K4763" s="78">
        <f t="shared" si="2118"/>
        <v>99.999989139016748</v>
      </c>
      <c r="L4763" s="14">
        <f>L4764+L4767</f>
        <v>0</v>
      </c>
      <c r="M4763" s="50"/>
      <c r="N4763" s="50"/>
    </row>
    <row r="4764" spans="1:14" ht="31.2" x14ac:dyDescent="0.3">
      <c r="A4764" s="64" t="s">
        <v>718</v>
      </c>
      <c r="B4764" s="62" t="s">
        <v>918</v>
      </c>
      <c r="C4764" s="68" t="s">
        <v>1386</v>
      </c>
      <c r="D4764" s="68" t="s">
        <v>1479</v>
      </c>
      <c r="E4764" s="8" t="s">
        <v>201</v>
      </c>
      <c r="F4764" s="8"/>
      <c r="G4764" s="13" t="s">
        <v>202</v>
      </c>
      <c r="H4764" s="14">
        <f t="shared" ref="H4764:L4765" si="2128">H4765</f>
        <v>12354.117999999999</v>
      </c>
      <c r="I4764" s="14">
        <f t="shared" si="2128"/>
        <v>12354.118</v>
      </c>
      <c r="J4764" s="14">
        <f t="shared" si="2128"/>
        <v>12354.11636</v>
      </c>
      <c r="K4764" s="78">
        <f t="shared" si="2118"/>
        <v>99.99998672507418</v>
      </c>
      <c r="L4764" s="14">
        <f t="shared" si="2128"/>
        <v>0</v>
      </c>
      <c r="M4764" s="50"/>
      <c r="N4764" s="50"/>
    </row>
    <row r="4765" spans="1:14" ht="31.2" x14ac:dyDescent="0.3">
      <c r="A4765" s="64" t="s">
        <v>718</v>
      </c>
      <c r="B4765" s="62" t="s">
        <v>918</v>
      </c>
      <c r="C4765" s="68" t="s">
        <v>1386</v>
      </c>
      <c r="D4765" s="68" t="s">
        <v>1479</v>
      </c>
      <c r="E4765" s="8" t="s">
        <v>201</v>
      </c>
      <c r="F4765" s="45" t="s">
        <v>380</v>
      </c>
      <c r="G4765" s="23" t="s">
        <v>809</v>
      </c>
      <c r="H4765" s="14">
        <f t="shared" si="2128"/>
        <v>12354.117999999999</v>
      </c>
      <c r="I4765" s="14">
        <f t="shared" si="2128"/>
        <v>12354.118</v>
      </c>
      <c r="J4765" s="14">
        <f t="shared" si="2128"/>
        <v>12354.11636</v>
      </c>
      <c r="K4765" s="78">
        <f t="shared" si="2118"/>
        <v>99.99998672507418</v>
      </c>
      <c r="L4765" s="14">
        <f t="shared" si="2128"/>
        <v>0</v>
      </c>
      <c r="M4765" s="50"/>
      <c r="N4765" s="50"/>
    </row>
    <row r="4766" spans="1:14" ht="31.2" x14ac:dyDescent="0.3">
      <c r="A4766" s="64" t="s">
        <v>718</v>
      </c>
      <c r="B4766" s="62" t="s">
        <v>918</v>
      </c>
      <c r="C4766" s="68" t="s">
        <v>1386</v>
      </c>
      <c r="D4766" s="68" t="s">
        <v>1479</v>
      </c>
      <c r="E4766" s="8" t="s">
        <v>201</v>
      </c>
      <c r="F4766" s="8" t="s">
        <v>247</v>
      </c>
      <c r="G4766" s="23" t="s">
        <v>810</v>
      </c>
      <c r="H4766" s="14">
        <f>12503-68.5-21.967-58.415</f>
        <v>12354.117999999999</v>
      </c>
      <c r="I4766" s="14">
        <v>12354.118</v>
      </c>
      <c r="J4766" s="14">
        <v>12354.11636</v>
      </c>
      <c r="K4766" s="78">
        <f t="shared" si="2118"/>
        <v>99.99998672507418</v>
      </c>
      <c r="L4766" s="14"/>
      <c r="M4766" s="50"/>
      <c r="N4766" s="50"/>
    </row>
    <row r="4767" spans="1:14" x14ac:dyDescent="0.3">
      <c r="A4767" s="64" t="s">
        <v>718</v>
      </c>
      <c r="B4767" s="62" t="s">
        <v>918</v>
      </c>
      <c r="C4767" s="68" t="s">
        <v>1386</v>
      </c>
      <c r="D4767" s="68" t="s">
        <v>1479</v>
      </c>
      <c r="E4767" s="8" t="s">
        <v>203</v>
      </c>
      <c r="F4767" s="8"/>
      <c r="G4767" s="13" t="s">
        <v>204</v>
      </c>
      <c r="H4767" s="14">
        <f t="shared" ref="H4767:L4768" si="2129">H4768</f>
        <v>2745.8040000000001</v>
      </c>
      <c r="I4767" s="14">
        <f t="shared" si="2129"/>
        <v>2745.8040000000001</v>
      </c>
      <c r="J4767" s="14">
        <f t="shared" si="2129"/>
        <v>2745.8040000000001</v>
      </c>
      <c r="K4767" s="78">
        <f t="shared" si="2118"/>
        <v>100</v>
      </c>
      <c r="L4767" s="14">
        <f t="shared" si="2129"/>
        <v>0</v>
      </c>
      <c r="M4767" s="50"/>
      <c r="N4767" s="50"/>
    </row>
    <row r="4768" spans="1:14" ht="31.2" x14ac:dyDescent="0.3">
      <c r="A4768" s="64" t="s">
        <v>718</v>
      </c>
      <c r="B4768" s="62" t="s">
        <v>918</v>
      </c>
      <c r="C4768" s="68" t="s">
        <v>1386</v>
      </c>
      <c r="D4768" s="68" t="s">
        <v>1479</v>
      </c>
      <c r="E4768" s="8" t="s">
        <v>203</v>
      </c>
      <c r="F4768" s="64" t="s">
        <v>380</v>
      </c>
      <c r="G4768" s="13" t="s">
        <v>809</v>
      </c>
      <c r="H4768" s="14">
        <f t="shared" si="2129"/>
        <v>2745.8040000000001</v>
      </c>
      <c r="I4768" s="14">
        <f t="shared" si="2129"/>
        <v>2745.8040000000001</v>
      </c>
      <c r="J4768" s="14">
        <f t="shared" si="2129"/>
        <v>2745.8040000000001</v>
      </c>
      <c r="K4768" s="78">
        <f t="shared" si="2118"/>
        <v>100</v>
      </c>
      <c r="L4768" s="14">
        <f t="shared" si="2129"/>
        <v>0</v>
      </c>
      <c r="M4768" s="50"/>
      <c r="N4768" s="50"/>
    </row>
    <row r="4769" spans="1:14" ht="31.2" x14ac:dyDescent="0.3">
      <c r="A4769" s="69" t="s">
        <v>718</v>
      </c>
      <c r="B4769" s="62" t="s">
        <v>918</v>
      </c>
      <c r="C4769" s="68" t="s">
        <v>1386</v>
      </c>
      <c r="D4769" s="68" t="s">
        <v>1479</v>
      </c>
      <c r="E4769" s="8" t="s">
        <v>203</v>
      </c>
      <c r="F4769" s="8" t="s">
        <v>247</v>
      </c>
      <c r="G4769" s="13" t="s">
        <v>810</v>
      </c>
      <c r="H4769" s="14">
        <f>4299-749.2-803.996</f>
        <v>2745.8040000000001</v>
      </c>
      <c r="I4769" s="14">
        <v>2745.8040000000001</v>
      </c>
      <c r="J4769" s="14">
        <v>2745.8040000000001</v>
      </c>
      <c r="K4769" s="78">
        <f t="shared" si="2118"/>
        <v>100</v>
      </c>
      <c r="L4769" s="14"/>
      <c r="M4769" s="50"/>
      <c r="N4769" s="50"/>
    </row>
    <row r="4770" spans="1:14" s="51" customFormat="1" ht="21" customHeight="1" x14ac:dyDescent="0.3">
      <c r="A4770" s="88" t="s">
        <v>1446</v>
      </c>
      <c r="B4770" s="88"/>
      <c r="C4770" s="88"/>
      <c r="D4770" s="88"/>
      <c r="E4770" s="88"/>
      <c r="F4770" s="88"/>
      <c r="G4770" s="88"/>
      <c r="H4770" s="15">
        <f t="shared" ref="H4770:L4770" si="2130">H7+H125+H160+H250+H354+H631+H1063+H1333+H1625+H1903+H2173+H2443+H2692+H2948+H3147+H3331+H3492+H3680+H3813+H3879+H4020+H4141+H4311+H4510+H4529+H4548+H4581+H4731+H238</f>
        <v>26017555.747999992</v>
      </c>
      <c r="I4770" s="15">
        <f t="shared" si="2130"/>
        <v>28394853.691429999</v>
      </c>
      <c r="J4770" s="15">
        <f>J7+J125+J160+J250+J354+J631+J1063+J1333+J1625+J1903+J2173+J2443+J2692+J2948+J3147+J3331+J3492+J3680+J3813+J3879+J4020+J4141+J4311+J4510+J4529+J4548+J4581+J4731+J238+0.001</f>
        <v>26643864.568059999</v>
      </c>
      <c r="K4770" s="81">
        <f t="shared" si="2118"/>
        <v>93.833427907753318</v>
      </c>
      <c r="L4770" s="15">
        <f t="shared" si="2130"/>
        <v>0</v>
      </c>
      <c r="M4770" s="65"/>
      <c r="N4770" s="65"/>
    </row>
    <row r="4771" spans="1:14" x14ac:dyDescent="0.3">
      <c r="H4771" s="56"/>
      <c r="I4771" s="59"/>
      <c r="L4771" s="1"/>
    </row>
    <row r="4772" spans="1:14" x14ac:dyDescent="0.3">
      <c r="A4772" s="41"/>
      <c r="B4772" s="41"/>
      <c r="C4772" s="41"/>
      <c r="D4772" s="41"/>
      <c r="E4772" s="41"/>
      <c r="F4772" s="42"/>
      <c r="G4772" s="41"/>
      <c r="H4772" s="57"/>
      <c r="I4772" s="59"/>
      <c r="J4772" s="50"/>
      <c r="K4772" s="50"/>
      <c r="M4772" s="2"/>
    </row>
    <row r="4773" spans="1:14" x14ac:dyDescent="0.3">
      <c r="A4773" s="41"/>
      <c r="B4773" s="41"/>
      <c r="C4773" s="41"/>
      <c r="D4773" s="41"/>
      <c r="E4773" s="41"/>
      <c r="F4773" s="41"/>
      <c r="G4773" s="42"/>
      <c r="H4773" s="42"/>
      <c r="I4773" s="58"/>
      <c r="J4773" s="50"/>
      <c r="K4773" s="50"/>
      <c r="M4773" s="2"/>
    </row>
    <row r="4774" spans="1:14" x14ac:dyDescent="0.3">
      <c r="G4774" s="47"/>
    </row>
  </sheetData>
  <autoFilter ref="A6:U4770">
    <filterColumn colId="12">
      <filters blank="1"/>
    </filterColumn>
  </autoFilter>
  <mergeCells count="3">
    <mergeCell ref="A4:K4"/>
    <mergeCell ref="A4770:G4770"/>
    <mergeCell ref="H6"/>
  </mergeCells>
  <phoneticPr fontId="6" type="noConversion"/>
  <printOptions horizontalCentered="1"/>
  <pageMargins left="0.11811023622047245" right="0.31496062992125984" top="0.35433070866141736" bottom="0.35433070866141736" header="0.11811023622047245" footer="0.11811023622047245"/>
  <pageSetup paperSize="9" scale="61" fitToHeight="0" orientation="portrait" horizontalDpi="4294967294" verticalDpi="4294967294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3</vt:lpstr>
      <vt:lpstr>'приложение 3'!Заголовки_для_печати</vt:lpstr>
      <vt:lpstr>'приложение 3'!Область_печати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Долгих Марина Александровна</dc:creator>
  <cp:lastModifiedBy>Ермолина Анастасия Николаевна</cp:lastModifiedBy>
  <cp:lastPrinted>2019-03-18T05:49:47Z</cp:lastPrinted>
  <dcterms:created xsi:type="dcterms:W3CDTF">2013-10-10T08:33:25Z</dcterms:created>
  <dcterms:modified xsi:type="dcterms:W3CDTF">2019-03-18T05:52:45Z</dcterms:modified>
</cp:coreProperties>
</file>