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УТОЧНЕНИЕ\2019 год\Июнь\"/>
    </mc:Choice>
  </mc:AlternateContent>
  <bookViews>
    <workbookView xWindow="0" yWindow="0" windowWidth="28800" windowHeight="12135"/>
  </bookViews>
  <sheets>
    <sheet name="2019" sheetId="2" r:id="rId1"/>
  </sheets>
  <definedNames>
    <definedName name="_xlnm._FilterDatabase" localSheetId="0" hidden="1">'2019'!$A$15:$R$240</definedName>
    <definedName name="_xlnm.Print_Titles" localSheetId="0">'2019'!$14:$15</definedName>
    <definedName name="_xlnm.Print_Area" localSheetId="0">'2019'!$A$1:$P$239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78" i="2" l="1"/>
  <c r="O222" i="2" l="1"/>
  <c r="P222" i="2" s="1"/>
  <c r="O221" i="2"/>
  <c r="P221" i="2" s="1"/>
  <c r="O220" i="2"/>
  <c r="P224" i="2"/>
  <c r="P225" i="2"/>
  <c r="O238" i="2" l="1"/>
  <c r="O218" i="2"/>
  <c r="P218" i="2" s="1"/>
  <c r="O129" i="2"/>
  <c r="O140" i="2" l="1"/>
  <c r="O139" i="2"/>
  <c r="O79" i="2"/>
  <c r="P79" i="2" l="1"/>
  <c r="O231" i="2"/>
  <c r="P231" i="2" s="1"/>
  <c r="O18" i="2"/>
  <c r="P42" i="2"/>
  <c r="O144" i="2" l="1"/>
  <c r="O98" i="2" l="1"/>
  <c r="O99" i="2"/>
  <c r="O96" i="2" s="1"/>
  <c r="P101" i="2"/>
  <c r="P193" i="2" l="1"/>
  <c r="O76" i="2" l="1"/>
  <c r="P112" i="2"/>
  <c r="O239" i="2" l="1"/>
  <c r="O237" i="2"/>
  <c r="O216" i="2"/>
  <c r="O211" i="2"/>
  <c r="O202" i="2"/>
  <c r="O200" i="2"/>
  <c r="O199" i="2"/>
  <c r="O194" i="2"/>
  <c r="O189" i="2"/>
  <c r="O185" i="2"/>
  <c r="O176" i="2"/>
  <c r="O172" i="2"/>
  <c r="O165" i="2"/>
  <c r="O161" i="2"/>
  <c r="O157" i="2"/>
  <c r="O153" i="2"/>
  <c r="O149" i="2"/>
  <c r="O145" i="2"/>
  <c r="O141" i="2"/>
  <c r="O228" i="2"/>
  <c r="O137" i="2"/>
  <c r="O127" i="2"/>
  <c r="O119" i="2"/>
  <c r="O118" i="2"/>
  <c r="O105" i="2"/>
  <c r="O102" i="2"/>
  <c r="O78" i="2"/>
  <c r="O77" i="2"/>
  <c r="O68" i="2"/>
  <c r="O56" i="2"/>
  <c r="O52" i="2"/>
  <c r="O48" i="2"/>
  <c r="O43" i="2"/>
  <c r="O37" i="2"/>
  <c r="O31" i="2"/>
  <c r="O26" i="2"/>
  <c r="O21" i="2"/>
  <c r="O20" i="2"/>
  <c r="O19" i="2"/>
  <c r="O74" i="2" l="1"/>
  <c r="O233" i="2"/>
  <c r="O236" i="2"/>
  <c r="O16" i="2"/>
  <c r="O234" i="2"/>
  <c r="O230" i="2"/>
  <c r="O235" i="2"/>
  <c r="O116" i="2"/>
  <c r="O197" i="2"/>
  <c r="O229" i="2"/>
  <c r="M239" i="2"/>
  <c r="M238" i="2"/>
  <c r="M237" i="2"/>
  <c r="M216" i="2"/>
  <c r="M211" i="2"/>
  <c r="M202" i="2"/>
  <c r="M197" i="2" s="1"/>
  <c r="M200" i="2"/>
  <c r="M199" i="2"/>
  <c r="M194" i="2"/>
  <c r="M189" i="2"/>
  <c r="M185" i="2"/>
  <c r="M176" i="2"/>
  <c r="M172" i="2"/>
  <c r="M165" i="2"/>
  <c r="M161" i="2"/>
  <c r="M157" i="2"/>
  <c r="M153" i="2"/>
  <c r="M149" i="2"/>
  <c r="M145" i="2"/>
  <c r="M141" i="2"/>
  <c r="M140" i="2"/>
  <c r="M228" i="2" s="1"/>
  <c r="M127" i="2"/>
  <c r="M119" i="2"/>
  <c r="M118" i="2"/>
  <c r="M105" i="2"/>
  <c r="M102" i="2"/>
  <c r="M96" i="2"/>
  <c r="M78" i="2"/>
  <c r="M77" i="2"/>
  <c r="M76" i="2"/>
  <c r="M56" i="2"/>
  <c r="M52" i="2"/>
  <c r="M48" i="2"/>
  <c r="M43" i="2"/>
  <c r="M37" i="2"/>
  <c r="M31" i="2"/>
  <c r="M21" i="2"/>
  <c r="M20" i="2"/>
  <c r="O226" i="2" l="1"/>
  <c r="M230" i="2"/>
  <c r="M116" i="2"/>
  <c r="M74" i="2"/>
  <c r="M235" i="2"/>
  <c r="M233" i="2"/>
  <c r="M18" i="2"/>
  <c r="M26" i="2"/>
  <c r="M68" i="2"/>
  <c r="M236" i="2"/>
  <c r="M19" i="2"/>
  <c r="M139" i="2"/>
  <c r="K237" i="2"/>
  <c r="K199" i="2"/>
  <c r="L210" i="2"/>
  <c r="N210" i="2" s="1"/>
  <c r="P210" i="2" s="1"/>
  <c r="K18" i="2"/>
  <c r="L73" i="2"/>
  <c r="N73" i="2" s="1"/>
  <c r="P73" i="2" s="1"/>
  <c r="K58" i="2"/>
  <c r="K61" i="2"/>
  <c r="K20" i="2"/>
  <c r="K19" i="2"/>
  <c r="K51" i="2"/>
  <c r="K50" i="2"/>
  <c r="K70" i="2"/>
  <c r="L70" i="2"/>
  <c r="N70" i="2" s="1"/>
  <c r="P70" i="2" s="1"/>
  <c r="L71" i="2"/>
  <c r="N71" i="2" s="1"/>
  <c r="P71" i="2" s="1"/>
  <c r="L72" i="2"/>
  <c r="N72" i="2" s="1"/>
  <c r="P72" i="2" s="1"/>
  <c r="K68" i="2"/>
  <c r="L68" i="2" s="1"/>
  <c r="N68" i="2" l="1"/>
  <c r="P68" i="2" s="1"/>
  <c r="M229" i="2"/>
  <c r="M16" i="2"/>
  <c r="M137" i="2"/>
  <c r="M234" i="2"/>
  <c r="K56" i="2"/>
  <c r="D56" i="2"/>
  <c r="K35" i="2"/>
  <c r="K34" i="2"/>
  <c r="K33" i="2"/>
  <c r="M226" i="2" l="1"/>
  <c r="K31" i="2"/>
  <c r="K28" i="2"/>
  <c r="L29" i="2"/>
  <c r="N29" i="2" s="1"/>
  <c r="P29" i="2" s="1"/>
  <c r="L30" i="2"/>
  <c r="N30" i="2" s="1"/>
  <c r="P30" i="2" s="1"/>
  <c r="K26" i="2"/>
  <c r="F28" i="2"/>
  <c r="H28" i="2" s="1"/>
  <c r="J28" i="2" s="1"/>
  <c r="L28" i="2" s="1"/>
  <c r="N28" i="2" s="1"/>
  <c r="P28" i="2" s="1"/>
  <c r="K23" i="2"/>
  <c r="F174" i="2" l="1"/>
  <c r="H174" i="2" s="1"/>
  <c r="J174" i="2" s="1"/>
  <c r="F39" i="2"/>
  <c r="H39" i="2" s="1"/>
  <c r="J39" i="2" s="1"/>
  <c r="F23" i="2"/>
  <c r="H23" i="2" s="1"/>
  <c r="J23" i="2" s="1"/>
  <c r="L23" i="2" s="1"/>
  <c r="N23" i="2" s="1"/>
  <c r="P23" i="2" s="1"/>
  <c r="D21" i="2"/>
  <c r="L24" i="2"/>
  <c r="N24" i="2" s="1"/>
  <c r="P24" i="2" s="1"/>
  <c r="L25" i="2"/>
  <c r="N25" i="2" s="1"/>
  <c r="P25" i="2" s="1"/>
  <c r="K21" i="2"/>
  <c r="K37" i="2" l="1"/>
  <c r="L41" i="2"/>
  <c r="N41" i="2" s="1"/>
  <c r="P41" i="2" s="1"/>
  <c r="L39" i="2"/>
  <c r="N39" i="2" s="1"/>
  <c r="P39" i="2" s="1"/>
  <c r="L40" i="2"/>
  <c r="N40" i="2" s="1"/>
  <c r="P40" i="2" s="1"/>
  <c r="K143" i="2" l="1"/>
  <c r="K144" i="2"/>
  <c r="K140" i="2" s="1"/>
  <c r="K189" i="2" l="1"/>
  <c r="L189" i="2" s="1"/>
  <c r="N189" i="2" s="1"/>
  <c r="P189" i="2" s="1"/>
  <c r="L191" i="2"/>
  <c r="N191" i="2" s="1"/>
  <c r="P191" i="2" s="1"/>
  <c r="L192" i="2"/>
  <c r="N192" i="2" s="1"/>
  <c r="P192" i="2" s="1"/>
  <c r="K174" i="2"/>
  <c r="K139" i="2" s="1"/>
  <c r="L175" i="2"/>
  <c r="N175" i="2" s="1"/>
  <c r="P175" i="2" s="1"/>
  <c r="K172" i="2"/>
  <c r="K185" i="2"/>
  <c r="L185" i="2" s="1"/>
  <c r="N185" i="2" s="1"/>
  <c r="P185" i="2" s="1"/>
  <c r="L187" i="2"/>
  <c r="N187" i="2" s="1"/>
  <c r="P187" i="2" s="1"/>
  <c r="L188" i="2"/>
  <c r="N188" i="2" s="1"/>
  <c r="P188" i="2" s="1"/>
  <c r="L174" i="2" l="1"/>
  <c r="N174" i="2" s="1"/>
  <c r="P174" i="2" s="1"/>
  <c r="K239" i="2"/>
  <c r="K238" i="2"/>
  <c r="K216" i="2"/>
  <c r="K211" i="2"/>
  <c r="K200" i="2"/>
  <c r="K194" i="2"/>
  <c r="K176" i="2"/>
  <c r="K165" i="2"/>
  <c r="K161" i="2"/>
  <c r="K157" i="2"/>
  <c r="K153" i="2"/>
  <c r="K149" i="2"/>
  <c r="K145" i="2"/>
  <c r="K141" i="2"/>
  <c r="K137" i="2"/>
  <c r="K127" i="2"/>
  <c r="K119" i="2"/>
  <c r="K118" i="2"/>
  <c r="K105" i="2"/>
  <c r="K102" i="2"/>
  <c r="K96" i="2"/>
  <c r="K78" i="2"/>
  <c r="K77" i="2"/>
  <c r="K76" i="2"/>
  <c r="K52" i="2"/>
  <c r="K233" i="2" s="1"/>
  <c r="K48" i="2"/>
  <c r="K43" i="2"/>
  <c r="K116" i="2" l="1"/>
  <c r="K236" i="2"/>
  <c r="K229" i="2"/>
  <c r="K16" i="2"/>
  <c r="K202" i="2"/>
  <c r="K228" i="2"/>
  <c r="K230" i="2"/>
  <c r="K74" i="2"/>
  <c r="K235" i="2"/>
  <c r="I204" i="2"/>
  <c r="I202" i="2" s="1"/>
  <c r="I239" i="2"/>
  <c r="I238" i="2"/>
  <c r="I237" i="2"/>
  <c r="I216" i="2"/>
  <c r="I211" i="2"/>
  <c r="I200" i="2"/>
  <c r="I194" i="2"/>
  <c r="I176" i="2"/>
  <c r="I165" i="2"/>
  <c r="I161" i="2"/>
  <c r="I157" i="2"/>
  <c r="I153" i="2"/>
  <c r="I149" i="2"/>
  <c r="I145" i="2"/>
  <c r="I141" i="2"/>
  <c r="I140" i="2"/>
  <c r="I127" i="2"/>
  <c r="I119" i="2"/>
  <c r="I118" i="2"/>
  <c r="I105" i="2"/>
  <c r="I102" i="2"/>
  <c r="I96" i="2"/>
  <c r="I78" i="2"/>
  <c r="I77" i="2"/>
  <c r="I76" i="2"/>
  <c r="I56" i="2"/>
  <c r="I52" i="2"/>
  <c r="I233" i="2" s="1"/>
  <c r="I48" i="2"/>
  <c r="I43" i="2"/>
  <c r="I20" i="2"/>
  <c r="I18" i="2"/>
  <c r="K234" i="2" l="1"/>
  <c r="K197" i="2"/>
  <c r="K226" i="2" s="1"/>
  <c r="I199" i="2"/>
  <c r="I116" i="2"/>
  <c r="I235" i="2"/>
  <c r="I74" i="2"/>
  <c r="I236" i="2"/>
  <c r="I230" i="2"/>
  <c r="I19" i="2"/>
  <c r="I229" i="2" s="1"/>
  <c r="I228" i="2"/>
  <c r="I31" i="2"/>
  <c r="I197" i="2"/>
  <c r="I139" i="2"/>
  <c r="G136" i="2"/>
  <c r="I137" i="2" l="1"/>
  <c r="I234" i="2"/>
  <c r="I16" i="2"/>
  <c r="G239" i="2"/>
  <c r="I226" i="2" l="1"/>
  <c r="G211" i="2"/>
  <c r="H215" i="2"/>
  <c r="J215" i="2" s="1"/>
  <c r="L215" i="2" s="1"/>
  <c r="N215" i="2" s="1"/>
  <c r="P215" i="2" s="1"/>
  <c r="G147" i="2" l="1"/>
  <c r="G151" i="2"/>
  <c r="G118" i="2"/>
  <c r="H136" i="2"/>
  <c r="J136" i="2" s="1"/>
  <c r="L136" i="2" s="1"/>
  <c r="N136" i="2" s="1"/>
  <c r="P136" i="2" s="1"/>
  <c r="G76" i="2" l="1"/>
  <c r="G18" i="2"/>
  <c r="G163" i="2"/>
  <c r="G159" i="2"/>
  <c r="G196" i="2"/>
  <c r="H115" i="2"/>
  <c r="J115" i="2" s="1"/>
  <c r="L115" i="2" s="1"/>
  <c r="N115" i="2" s="1"/>
  <c r="P115" i="2" s="1"/>
  <c r="H109" i="2" l="1"/>
  <c r="J109" i="2" s="1"/>
  <c r="L109" i="2" s="1"/>
  <c r="N109" i="2" s="1"/>
  <c r="P109" i="2" s="1"/>
  <c r="H110" i="2"/>
  <c r="J110" i="2" s="1"/>
  <c r="L110" i="2" s="1"/>
  <c r="N110" i="2" s="1"/>
  <c r="P110" i="2" s="1"/>
  <c r="H111" i="2"/>
  <c r="J111" i="2" s="1"/>
  <c r="L111" i="2" s="1"/>
  <c r="N111" i="2" s="1"/>
  <c r="P111" i="2" s="1"/>
  <c r="H113" i="2"/>
  <c r="J113" i="2" s="1"/>
  <c r="L113" i="2" s="1"/>
  <c r="N113" i="2" s="1"/>
  <c r="P113" i="2" s="1"/>
  <c r="H114" i="2"/>
  <c r="J114" i="2" s="1"/>
  <c r="L114" i="2" s="1"/>
  <c r="N114" i="2" s="1"/>
  <c r="P114" i="2" s="1"/>
  <c r="H239" i="2"/>
  <c r="J239" i="2" s="1"/>
  <c r="L239" i="2" s="1"/>
  <c r="N239" i="2" s="1"/>
  <c r="P239" i="2" s="1"/>
  <c r="H93" i="2"/>
  <c r="J93" i="2" s="1"/>
  <c r="L93" i="2" s="1"/>
  <c r="N93" i="2" s="1"/>
  <c r="P93" i="2" s="1"/>
  <c r="H91" i="2"/>
  <c r="J91" i="2" s="1"/>
  <c r="L91" i="2" s="1"/>
  <c r="N91" i="2" s="1"/>
  <c r="P91" i="2" s="1"/>
  <c r="H81" i="2"/>
  <c r="J81" i="2" s="1"/>
  <c r="L81" i="2" s="1"/>
  <c r="N81" i="2" s="1"/>
  <c r="P81" i="2" s="1"/>
  <c r="G143" i="2" l="1"/>
  <c r="G139" i="2" s="1"/>
  <c r="H133" i="2"/>
  <c r="J133" i="2" s="1"/>
  <c r="L133" i="2" s="1"/>
  <c r="N133" i="2" s="1"/>
  <c r="P133" i="2" s="1"/>
  <c r="H134" i="2"/>
  <c r="J134" i="2" s="1"/>
  <c r="L134" i="2" s="1"/>
  <c r="N134" i="2" s="1"/>
  <c r="P134" i="2" s="1"/>
  <c r="H135" i="2"/>
  <c r="J135" i="2" s="1"/>
  <c r="L135" i="2" s="1"/>
  <c r="N135" i="2" s="1"/>
  <c r="P135" i="2" s="1"/>
  <c r="H180" i="2"/>
  <c r="J180" i="2" s="1"/>
  <c r="L180" i="2" s="1"/>
  <c r="N180" i="2" s="1"/>
  <c r="P180" i="2" s="1"/>
  <c r="H181" i="2"/>
  <c r="J181" i="2" s="1"/>
  <c r="L181" i="2" s="1"/>
  <c r="N181" i="2" s="1"/>
  <c r="P181" i="2" s="1"/>
  <c r="H182" i="2"/>
  <c r="J182" i="2" s="1"/>
  <c r="L182" i="2" s="1"/>
  <c r="N182" i="2" s="1"/>
  <c r="P182" i="2" s="1"/>
  <c r="H183" i="2"/>
  <c r="J183" i="2" s="1"/>
  <c r="L183" i="2" s="1"/>
  <c r="N183" i="2" s="1"/>
  <c r="P183" i="2" s="1"/>
  <c r="H184" i="2"/>
  <c r="J184" i="2" s="1"/>
  <c r="L184" i="2" s="1"/>
  <c r="N184" i="2" s="1"/>
  <c r="P184" i="2" s="1"/>
  <c r="G34" i="2" l="1"/>
  <c r="G35" i="2"/>
  <c r="H196" i="2" l="1"/>
  <c r="J196" i="2" s="1"/>
  <c r="L196" i="2" s="1"/>
  <c r="N196" i="2" s="1"/>
  <c r="P196" i="2" s="1"/>
  <c r="G194" i="2"/>
  <c r="G238" i="2" l="1"/>
  <c r="G237" i="2"/>
  <c r="G216" i="2"/>
  <c r="G202" i="2"/>
  <c r="G200" i="2"/>
  <c r="G199" i="2"/>
  <c r="G176" i="2"/>
  <c r="G165" i="2"/>
  <c r="G161" i="2"/>
  <c r="G157" i="2"/>
  <c r="G153" i="2"/>
  <c r="G149" i="2"/>
  <c r="G145" i="2"/>
  <c r="G141" i="2"/>
  <c r="G140" i="2"/>
  <c r="G127" i="2"/>
  <c r="G119" i="2"/>
  <c r="G105" i="2"/>
  <c r="G102" i="2"/>
  <c r="G96" i="2"/>
  <c r="G78" i="2"/>
  <c r="G77" i="2"/>
  <c r="G56" i="2"/>
  <c r="G43" i="2"/>
  <c r="G31" i="2"/>
  <c r="G20" i="2"/>
  <c r="G236" i="2" l="1"/>
  <c r="G116" i="2"/>
  <c r="G197" i="2"/>
  <c r="G228" i="2"/>
  <c r="G48" i="2"/>
  <c r="G234" i="2" s="1"/>
  <c r="G74" i="2"/>
  <c r="G137" i="2"/>
  <c r="G235" i="2"/>
  <c r="G19" i="2"/>
  <c r="G52" i="2"/>
  <c r="G230" i="2"/>
  <c r="E78" i="2"/>
  <c r="F108" i="2"/>
  <c r="H108" i="2" s="1"/>
  <c r="J108" i="2" s="1"/>
  <c r="L108" i="2" s="1"/>
  <c r="N108" i="2" s="1"/>
  <c r="P108" i="2" s="1"/>
  <c r="G16" i="2" l="1"/>
  <c r="G226" i="2" s="1"/>
  <c r="G229" i="2"/>
  <c r="G233" i="2"/>
  <c r="D19" i="2"/>
  <c r="E55" i="2" l="1"/>
  <c r="E51" i="2"/>
  <c r="E50" i="2"/>
  <c r="E58" i="2"/>
  <c r="E140" i="2"/>
  <c r="E139" i="2"/>
  <c r="E176" i="2"/>
  <c r="F178" i="2"/>
  <c r="H178" i="2" s="1"/>
  <c r="J178" i="2" s="1"/>
  <c r="L178" i="2" s="1"/>
  <c r="N178" i="2" s="1"/>
  <c r="P178" i="2" s="1"/>
  <c r="F179" i="2"/>
  <c r="H179" i="2" s="1"/>
  <c r="J179" i="2" s="1"/>
  <c r="L179" i="2" s="1"/>
  <c r="N179" i="2" s="1"/>
  <c r="P179" i="2" s="1"/>
  <c r="D176" i="2"/>
  <c r="F98" i="2" l="1"/>
  <c r="H98" i="2" s="1"/>
  <c r="J98" i="2" s="1"/>
  <c r="L98" i="2" s="1"/>
  <c r="N98" i="2" s="1"/>
  <c r="P98" i="2" s="1"/>
  <c r="F78" i="2"/>
  <c r="H78" i="2" s="1"/>
  <c r="J78" i="2" s="1"/>
  <c r="L78" i="2" s="1"/>
  <c r="N78" i="2" s="1"/>
  <c r="P78" i="2" s="1"/>
  <c r="E96" i="2"/>
  <c r="F100" i="2"/>
  <c r="H100" i="2" s="1"/>
  <c r="J100" i="2" s="1"/>
  <c r="L100" i="2" s="1"/>
  <c r="N100" i="2" s="1"/>
  <c r="P100" i="2" s="1"/>
  <c r="E61" i="2" l="1"/>
  <c r="E238" i="2"/>
  <c r="E237" i="2"/>
  <c r="E216" i="2"/>
  <c r="E211" i="2"/>
  <c r="E202" i="2"/>
  <c r="E197" i="2" s="1"/>
  <c r="E200" i="2"/>
  <c r="E199" i="2"/>
  <c r="E194" i="2"/>
  <c r="E165" i="2"/>
  <c r="E161" i="2"/>
  <c r="E157" i="2"/>
  <c r="E153" i="2"/>
  <c r="E149" i="2"/>
  <c r="E145" i="2"/>
  <c r="E141" i="2"/>
  <c r="E228" i="2"/>
  <c r="E127" i="2"/>
  <c r="E119" i="2"/>
  <c r="E118" i="2"/>
  <c r="E102" i="2"/>
  <c r="E76" i="2"/>
  <c r="E56" i="2"/>
  <c r="E52" i="2"/>
  <c r="E233" i="2" s="1"/>
  <c r="E48" i="2"/>
  <c r="E43" i="2"/>
  <c r="E31" i="2"/>
  <c r="E20" i="2"/>
  <c r="E230" i="2" s="1"/>
  <c r="E19" i="2"/>
  <c r="E18" i="2"/>
  <c r="F21" i="2"/>
  <c r="H21" i="2" s="1"/>
  <c r="J21" i="2" s="1"/>
  <c r="L21" i="2" s="1"/>
  <c r="N21" i="2" s="1"/>
  <c r="P21" i="2" s="1"/>
  <c r="F26" i="2"/>
  <c r="H26" i="2" s="1"/>
  <c r="J26" i="2" s="1"/>
  <c r="L26" i="2" s="1"/>
  <c r="N26" i="2" s="1"/>
  <c r="P26" i="2" s="1"/>
  <c r="F33" i="2"/>
  <c r="H33" i="2" s="1"/>
  <c r="J33" i="2" s="1"/>
  <c r="L33" i="2" s="1"/>
  <c r="N33" i="2" s="1"/>
  <c r="P33" i="2" s="1"/>
  <c r="F34" i="2"/>
  <c r="H34" i="2" s="1"/>
  <c r="J34" i="2" s="1"/>
  <c r="L34" i="2" s="1"/>
  <c r="N34" i="2" s="1"/>
  <c r="P34" i="2" s="1"/>
  <c r="F35" i="2"/>
  <c r="H35" i="2" s="1"/>
  <c r="J35" i="2" s="1"/>
  <c r="L35" i="2" s="1"/>
  <c r="N35" i="2" s="1"/>
  <c r="P35" i="2" s="1"/>
  <c r="F36" i="2"/>
  <c r="H36" i="2" s="1"/>
  <c r="J36" i="2" s="1"/>
  <c r="L36" i="2" s="1"/>
  <c r="N36" i="2" s="1"/>
  <c r="P36" i="2" s="1"/>
  <c r="F37" i="2"/>
  <c r="H37" i="2" s="1"/>
  <c r="J37" i="2" s="1"/>
  <c r="L37" i="2" s="1"/>
  <c r="N37" i="2" s="1"/>
  <c r="P37" i="2" s="1"/>
  <c r="F45" i="2"/>
  <c r="H45" i="2" s="1"/>
  <c r="J45" i="2" s="1"/>
  <c r="L45" i="2" s="1"/>
  <c r="N45" i="2" s="1"/>
  <c r="P45" i="2" s="1"/>
  <c r="F46" i="2"/>
  <c r="H46" i="2" s="1"/>
  <c r="J46" i="2" s="1"/>
  <c r="L46" i="2" s="1"/>
  <c r="N46" i="2" s="1"/>
  <c r="P46" i="2" s="1"/>
  <c r="F47" i="2"/>
  <c r="H47" i="2" s="1"/>
  <c r="J47" i="2" s="1"/>
  <c r="L47" i="2" s="1"/>
  <c r="N47" i="2" s="1"/>
  <c r="P47" i="2" s="1"/>
  <c r="F50" i="2"/>
  <c r="H50" i="2" s="1"/>
  <c r="J50" i="2" s="1"/>
  <c r="L50" i="2" s="1"/>
  <c r="N50" i="2" s="1"/>
  <c r="P50" i="2" s="1"/>
  <c r="F51" i="2"/>
  <c r="H51" i="2" s="1"/>
  <c r="J51" i="2" s="1"/>
  <c r="L51" i="2" s="1"/>
  <c r="N51" i="2" s="1"/>
  <c r="P51" i="2" s="1"/>
  <c r="F54" i="2"/>
  <c r="H54" i="2" s="1"/>
  <c r="J54" i="2" s="1"/>
  <c r="L54" i="2" s="1"/>
  <c r="N54" i="2" s="1"/>
  <c r="P54" i="2" s="1"/>
  <c r="F55" i="2"/>
  <c r="H55" i="2" s="1"/>
  <c r="J55" i="2" s="1"/>
  <c r="L55" i="2" s="1"/>
  <c r="N55" i="2" s="1"/>
  <c r="P55" i="2" s="1"/>
  <c r="F58" i="2"/>
  <c r="H58" i="2" s="1"/>
  <c r="J58" i="2" s="1"/>
  <c r="L58" i="2" s="1"/>
  <c r="N58" i="2" s="1"/>
  <c r="P58" i="2" s="1"/>
  <c r="F59" i="2"/>
  <c r="H59" i="2" s="1"/>
  <c r="J59" i="2" s="1"/>
  <c r="L59" i="2" s="1"/>
  <c r="N59" i="2" s="1"/>
  <c r="P59" i="2" s="1"/>
  <c r="F61" i="2"/>
  <c r="H61" i="2" s="1"/>
  <c r="J61" i="2" s="1"/>
  <c r="L61" i="2" s="1"/>
  <c r="N61" i="2" s="1"/>
  <c r="P61" i="2" s="1"/>
  <c r="F62" i="2"/>
  <c r="H62" i="2" s="1"/>
  <c r="J62" i="2" s="1"/>
  <c r="L62" i="2" s="1"/>
  <c r="N62" i="2" s="1"/>
  <c r="P62" i="2" s="1"/>
  <c r="F63" i="2"/>
  <c r="H63" i="2" s="1"/>
  <c r="J63" i="2" s="1"/>
  <c r="L63" i="2" s="1"/>
  <c r="N63" i="2" s="1"/>
  <c r="P63" i="2" s="1"/>
  <c r="F64" i="2"/>
  <c r="H64" i="2" s="1"/>
  <c r="J64" i="2" s="1"/>
  <c r="L64" i="2" s="1"/>
  <c r="N64" i="2" s="1"/>
  <c r="P64" i="2" s="1"/>
  <c r="F65" i="2"/>
  <c r="H65" i="2" s="1"/>
  <c r="J65" i="2" s="1"/>
  <c r="L65" i="2" s="1"/>
  <c r="N65" i="2" s="1"/>
  <c r="P65" i="2" s="1"/>
  <c r="F66" i="2"/>
  <c r="H66" i="2" s="1"/>
  <c r="J66" i="2" s="1"/>
  <c r="L66" i="2" s="1"/>
  <c r="N66" i="2" s="1"/>
  <c r="P66" i="2" s="1"/>
  <c r="F67" i="2"/>
  <c r="H67" i="2" s="1"/>
  <c r="J67" i="2" s="1"/>
  <c r="L67" i="2" s="1"/>
  <c r="N67" i="2" s="1"/>
  <c r="P67" i="2" s="1"/>
  <c r="F80" i="2"/>
  <c r="H80" i="2" s="1"/>
  <c r="J80" i="2" s="1"/>
  <c r="L80" i="2" s="1"/>
  <c r="N80" i="2" s="1"/>
  <c r="P80" i="2" s="1"/>
  <c r="F82" i="2"/>
  <c r="H82" i="2" s="1"/>
  <c r="J82" i="2" s="1"/>
  <c r="L82" i="2" s="1"/>
  <c r="N82" i="2" s="1"/>
  <c r="P82" i="2" s="1"/>
  <c r="F83" i="2"/>
  <c r="H83" i="2" s="1"/>
  <c r="J83" i="2" s="1"/>
  <c r="L83" i="2" s="1"/>
  <c r="N83" i="2" s="1"/>
  <c r="P83" i="2" s="1"/>
  <c r="F84" i="2"/>
  <c r="H84" i="2" s="1"/>
  <c r="J84" i="2" s="1"/>
  <c r="L84" i="2" s="1"/>
  <c r="N84" i="2" s="1"/>
  <c r="P84" i="2" s="1"/>
  <c r="F85" i="2"/>
  <c r="H85" i="2" s="1"/>
  <c r="J85" i="2" s="1"/>
  <c r="L85" i="2" s="1"/>
  <c r="N85" i="2" s="1"/>
  <c r="P85" i="2" s="1"/>
  <c r="F86" i="2"/>
  <c r="H86" i="2" s="1"/>
  <c r="J86" i="2" s="1"/>
  <c r="L86" i="2" s="1"/>
  <c r="N86" i="2" s="1"/>
  <c r="P86" i="2" s="1"/>
  <c r="F87" i="2"/>
  <c r="H87" i="2" s="1"/>
  <c r="J87" i="2" s="1"/>
  <c r="L87" i="2" s="1"/>
  <c r="N87" i="2" s="1"/>
  <c r="P87" i="2" s="1"/>
  <c r="F88" i="2"/>
  <c r="H88" i="2" s="1"/>
  <c r="J88" i="2" s="1"/>
  <c r="L88" i="2" s="1"/>
  <c r="N88" i="2" s="1"/>
  <c r="P88" i="2" s="1"/>
  <c r="F89" i="2"/>
  <c r="H89" i="2" s="1"/>
  <c r="J89" i="2" s="1"/>
  <c r="L89" i="2" s="1"/>
  <c r="N89" i="2" s="1"/>
  <c r="P89" i="2" s="1"/>
  <c r="F90" i="2"/>
  <c r="H90" i="2" s="1"/>
  <c r="J90" i="2" s="1"/>
  <c r="L90" i="2" s="1"/>
  <c r="N90" i="2" s="1"/>
  <c r="P90" i="2" s="1"/>
  <c r="F92" i="2"/>
  <c r="H92" i="2" s="1"/>
  <c r="J92" i="2" s="1"/>
  <c r="L92" i="2" s="1"/>
  <c r="N92" i="2" s="1"/>
  <c r="P92" i="2" s="1"/>
  <c r="F94" i="2"/>
  <c r="H94" i="2" s="1"/>
  <c r="J94" i="2" s="1"/>
  <c r="L94" i="2" s="1"/>
  <c r="N94" i="2" s="1"/>
  <c r="P94" i="2" s="1"/>
  <c r="F95" i="2"/>
  <c r="H95" i="2" s="1"/>
  <c r="J95" i="2" s="1"/>
  <c r="L95" i="2" s="1"/>
  <c r="N95" i="2" s="1"/>
  <c r="P95" i="2" s="1"/>
  <c r="F99" i="2"/>
  <c r="H99" i="2" s="1"/>
  <c r="J99" i="2" s="1"/>
  <c r="L99" i="2" s="1"/>
  <c r="N99" i="2" s="1"/>
  <c r="P99" i="2" s="1"/>
  <c r="F104" i="2"/>
  <c r="H104" i="2" s="1"/>
  <c r="J104" i="2" s="1"/>
  <c r="L104" i="2" s="1"/>
  <c r="N104" i="2" s="1"/>
  <c r="P104" i="2" s="1"/>
  <c r="F120" i="2"/>
  <c r="H120" i="2" s="1"/>
  <c r="J120" i="2" s="1"/>
  <c r="L120" i="2" s="1"/>
  <c r="N120" i="2" s="1"/>
  <c r="P120" i="2" s="1"/>
  <c r="F121" i="2"/>
  <c r="H121" i="2" s="1"/>
  <c r="J121" i="2" s="1"/>
  <c r="L121" i="2" s="1"/>
  <c r="N121" i="2" s="1"/>
  <c r="P121" i="2" s="1"/>
  <c r="F122" i="2"/>
  <c r="H122" i="2" s="1"/>
  <c r="J122" i="2" s="1"/>
  <c r="L122" i="2" s="1"/>
  <c r="N122" i="2" s="1"/>
  <c r="P122" i="2" s="1"/>
  <c r="F123" i="2"/>
  <c r="H123" i="2" s="1"/>
  <c r="J123" i="2" s="1"/>
  <c r="L123" i="2" s="1"/>
  <c r="N123" i="2" s="1"/>
  <c r="P123" i="2" s="1"/>
  <c r="F124" i="2"/>
  <c r="H124" i="2" s="1"/>
  <c r="J124" i="2" s="1"/>
  <c r="L124" i="2" s="1"/>
  <c r="N124" i="2" s="1"/>
  <c r="P124" i="2" s="1"/>
  <c r="F125" i="2"/>
  <c r="H125" i="2" s="1"/>
  <c r="J125" i="2" s="1"/>
  <c r="L125" i="2" s="1"/>
  <c r="N125" i="2" s="1"/>
  <c r="P125" i="2" s="1"/>
  <c r="F126" i="2"/>
  <c r="H126" i="2" s="1"/>
  <c r="J126" i="2" s="1"/>
  <c r="L126" i="2" s="1"/>
  <c r="N126" i="2" s="1"/>
  <c r="P126" i="2" s="1"/>
  <c r="F129" i="2"/>
  <c r="H129" i="2" s="1"/>
  <c r="J129" i="2" s="1"/>
  <c r="L129" i="2" s="1"/>
  <c r="N129" i="2" s="1"/>
  <c r="P129" i="2" s="1"/>
  <c r="F130" i="2"/>
  <c r="H130" i="2" s="1"/>
  <c r="J130" i="2" s="1"/>
  <c r="L130" i="2" s="1"/>
  <c r="N130" i="2" s="1"/>
  <c r="P130" i="2" s="1"/>
  <c r="F131" i="2"/>
  <c r="H131" i="2" s="1"/>
  <c r="J131" i="2" s="1"/>
  <c r="L131" i="2" s="1"/>
  <c r="N131" i="2" s="1"/>
  <c r="P131" i="2" s="1"/>
  <c r="F132" i="2"/>
  <c r="H132" i="2" s="1"/>
  <c r="J132" i="2" s="1"/>
  <c r="L132" i="2" s="1"/>
  <c r="N132" i="2" s="1"/>
  <c r="P132" i="2" s="1"/>
  <c r="F143" i="2"/>
  <c r="H143" i="2" s="1"/>
  <c r="J143" i="2" s="1"/>
  <c r="L143" i="2" s="1"/>
  <c r="N143" i="2" s="1"/>
  <c r="P143" i="2" s="1"/>
  <c r="F144" i="2"/>
  <c r="H144" i="2" s="1"/>
  <c r="J144" i="2" s="1"/>
  <c r="L144" i="2" s="1"/>
  <c r="N144" i="2" s="1"/>
  <c r="P144" i="2" s="1"/>
  <c r="F147" i="2"/>
  <c r="H147" i="2" s="1"/>
  <c r="J147" i="2" s="1"/>
  <c r="L147" i="2" s="1"/>
  <c r="N147" i="2" s="1"/>
  <c r="P147" i="2" s="1"/>
  <c r="F148" i="2"/>
  <c r="H148" i="2" s="1"/>
  <c r="J148" i="2" s="1"/>
  <c r="L148" i="2" s="1"/>
  <c r="N148" i="2" s="1"/>
  <c r="P148" i="2" s="1"/>
  <c r="F151" i="2"/>
  <c r="H151" i="2" s="1"/>
  <c r="J151" i="2" s="1"/>
  <c r="L151" i="2" s="1"/>
  <c r="N151" i="2" s="1"/>
  <c r="P151" i="2" s="1"/>
  <c r="F152" i="2"/>
  <c r="H152" i="2" s="1"/>
  <c r="J152" i="2" s="1"/>
  <c r="L152" i="2" s="1"/>
  <c r="N152" i="2" s="1"/>
  <c r="P152" i="2" s="1"/>
  <c r="F155" i="2"/>
  <c r="H155" i="2" s="1"/>
  <c r="J155" i="2" s="1"/>
  <c r="L155" i="2" s="1"/>
  <c r="N155" i="2" s="1"/>
  <c r="P155" i="2" s="1"/>
  <c r="F156" i="2"/>
  <c r="H156" i="2" s="1"/>
  <c r="J156" i="2" s="1"/>
  <c r="L156" i="2" s="1"/>
  <c r="N156" i="2" s="1"/>
  <c r="P156" i="2" s="1"/>
  <c r="F159" i="2"/>
  <c r="H159" i="2" s="1"/>
  <c r="J159" i="2" s="1"/>
  <c r="L159" i="2" s="1"/>
  <c r="N159" i="2" s="1"/>
  <c r="P159" i="2" s="1"/>
  <c r="F160" i="2"/>
  <c r="H160" i="2" s="1"/>
  <c r="J160" i="2" s="1"/>
  <c r="L160" i="2" s="1"/>
  <c r="N160" i="2" s="1"/>
  <c r="P160" i="2" s="1"/>
  <c r="F163" i="2"/>
  <c r="H163" i="2" s="1"/>
  <c r="J163" i="2" s="1"/>
  <c r="L163" i="2" s="1"/>
  <c r="N163" i="2" s="1"/>
  <c r="P163" i="2" s="1"/>
  <c r="F164" i="2"/>
  <c r="H164" i="2" s="1"/>
  <c r="J164" i="2" s="1"/>
  <c r="L164" i="2" s="1"/>
  <c r="N164" i="2" s="1"/>
  <c r="P164" i="2" s="1"/>
  <c r="F167" i="2"/>
  <c r="H167" i="2" s="1"/>
  <c r="J167" i="2" s="1"/>
  <c r="L167" i="2" s="1"/>
  <c r="N167" i="2" s="1"/>
  <c r="P167" i="2" s="1"/>
  <c r="F168" i="2"/>
  <c r="H168" i="2" s="1"/>
  <c r="J168" i="2" s="1"/>
  <c r="L168" i="2" s="1"/>
  <c r="N168" i="2" s="1"/>
  <c r="P168" i="2" s="1"/>
  <c r="F169" i="2"/>
  <c r="H169" i="2" s="1"/>
  <c r="J169" i="2" s="1"/>
  <c r="L169" i="2" s="1"/>
  <c r="N169" i="2" s="1"/>
  <c r="P169" i="2" s="1"/>
  <c r="F170" i="2"/>
  <c r="H170" i="2" s="1"/>
  <c r="J170" i="2" s="1"/>
  <c r="L170" i="2" s="1"/>
  <c r="N170" i="2" s="1"/>
  <c r="P170" i="2" s="1"/>
  <c r="F171" i="2"/>
  <c r="H171" i="2" s="1"/>
  <c r="J171" i="2" s="1"/>
  <c r="L171" i="2" s="1"/>
  <c r="N171" i="2" s="1"/>
  <c r="P171" i="2" s="1"/>
  <c r="F172" i="2"/>
  <c r="H172" i="2" s="1"/>
  <c r="J172" i="2" s="1"/>
  <c r="L172" i="2" s="1"/>
  <c r="N172" i="2" s="1"/>
  <c r="P172" i="2" s="1"/>
  <c r="F176" i="2"/>
  <c r="H176" i="2" s="1"/>
  <c r="J176" i="2" s="1"/>
  <c r="L176" i="2" s="1"/>
  <c r="N176" i="2" s="1"/>
  <c r="P176" i="2" s="1"/>
  <c r="F195" i="2"/>
  <c r="H195" i="2" s="1"/>
  <c r="J195" i="2" s="1"/>
  <c r="L195" i="2" s="1"/>
  <c r="N195" i="2" s="1"/>
  <c r="P195" i="2" s="1"/>
  <c r="F201" i="2"/>
  <c r="H201" i="2" s="1"/>
  <c r="J201" i="2" s="1"/>
  <c r="L201" i="2" s="1"/>
  <c r="N201" i="2" s="1"/>
  <c r="P201" i="2" s="1"/>
  <c r="F204" i="2"/>
  <c r="H204" i="2" s="1"/>
  <c r="J204" i="2" s="1"/>
  <c r="L204" i="2" s="1"/>
  <c r="N204" i="2" s="1"/>
  <c r="P204" i="2" s="1"/>
  <c r="F205" i="2"/>
  <c r="H205" i="2" s="1"/>
  <c r="J205" i="2" s="1"/>
  <c r="L205" i="2" s="1"/>
  <c r="N205" i="2" s="1"/>
  <c r="P205" i="2" s="1"/>
  <c r="F206" i="2"/>
  <c r="H206" i="2" s="1"/>
  <c r="J206" i="2" s="1"/>
  <c r="L206" i="2" s="1"/>
  <c r="N206" i="2" s="1"/>
  <c r="P206" i="2" s="1"/>
  <c r="F207" i="2"/>
  <c r="H207" i="2" s="1"/>
  <c r="J207" i="2" s="1"/>
  <c r="L207" i="2" s="1"/>
  <c r="N207" i="2" s="1"/>
  <c r="P207" i="2" s="1"/>
  <c r="F208" i="2"/>
  <c r="H208" i="2" s="1"/>
  <c r="J208" i="2" s="1"/>
  <c r="L208" i="2" s="1"/>
  <c r="N208" i="2" s="1"/>
  <c r="P208" i="2" s="1"/>
  <c r="F209" i="2"/>
  <c r="H209" i="2" s="1"/>
  <c r="J209" i="2" s="1"/>
  <c r="L209" i="2" s="1"/>
  <c r="N209" i="2" s="1"/>
  <c r="P209" i="2" s="1"/>
  <c r="F212" i="2"/>
  <c r="H212" i="2" s="1"/>
  <c r="J212" i="2" s="1"/>
  <c r="L212" i="2" s="1"/>
  <c r="N212" i="2" s="1"/>
  <c r="P212" i="2" s="1"/>
  <c r="F213" i="2"/>
  <c r="H213" i="2" s="1"/>
  <c r="J213" i="2" s="1"/>
  <c r="L213" i="2" s="1"/>
  <c r="N213" i="2" s="1"/>
  <c r="P213" i="2" s="1"/>
  <c r="F214" i="2"/>
  <c r="H214" i="2" s="1"/>
  <c r="J214" i="2" s="1"/>
  <c r="L214" i="2" s="1"/>
  <c r="N214" i="2" s="1"/>
  <c r="P214" i="2" s="1"/>
  <c r="F217" i="2"/>
  <c r="H217" i="2" s="1"/>
  <c r="J217" i="2" s="1"/>
  <c r="L217" i="2" s="1"/>
  <c r="N217" i="2" s="1"/>
  <c r="P217" i="2" s="1"/>
  <c r="E137" i="2" l="1"/>
  <c r="E116" i="2"/>
  <c r="E234" i="2"/>
  <c r="E236" i="2"/>
  <c r="E16" i="2"/>
  <c r="D20" i="2"/>
  <c r="F19" i="2"/>
  <c r="H19" i="2" s="1"/>
  <c r="J19" i="2" s="1"/>
  <c r="L19" i="2" s="1"/>
  <c r="N19" i="2" s="1"/>
  <c r="P19" i="2" s="1"/>
  <c r="D18" i="2"/>
  <c r="F18" i="2" s="1"/>
  <c r="H18" i="2" s="1"/>
  <c r="J18" i="2" s="1"/>
  <c r="L18" i="2" s="1"/>
  <c r="N18" i="2" s="1"/>
  <c r="P18" i="2" s="1"/>
  <c r="F56" i="2"/>
  <c r="H56" i="2" s="1"/>
  <c r="J56" i="2" s="1"/>
  <c r="L56" i="2" s="1"/>
  <c r="N56" i="2" s="1"/>
  <c r="P56" i="2" s="1"/>
  <c r="D52" i="2"/>
  <c r="D233" i="2" s="1"/>
  <c r="F233" i="2" s="1"/>
  <c r="H233" i="2" s="1"/>
  <c r="J233" i="2" s="1"/>
  <c r="L233" i="2" s="1"/>
  <c r="N233" i="2" s="1"/>
  <c r="P233" i="2" s="1"/>
  <c r="D48" i="2"/>
  <c r="F48" i="2" s="1"/>
  <c r="H48" i="2" s="1"/>
  <c r="J48" i="2" s="1"/>
  <c r="L48" i="2" s="1"/>
  <c r="N48" i="2" s="1"/>
  <c r="P48" i="2" s="1"/>
  <c r="D43" i="2"/>
  <c r="F43" i="2" s="1"/>
  <c r="H43" i="2" s="1"/>
  <c r="J43" i="2" s="1"/>
  <c r="L43" i="2" s="1"/>
  <c r="N43" i="2" s="1"/>
  <c r="P43" i="2" s="1"/>
  <c r="D31" i="2"/>
  <c r="F31" i="2" s="1"/>
  <c r="H31" i="2" s="1"/>
  <c r="J31" i="2" s="1"/>
  <c r="L31" i="2" s="1"/>
  <c r="N31" i="2" s="1"/>
  <c r="P31" i="2" s="1"/>
  <c r="F52" i="2" l="1"/>
  <c r="H52" i="2" s="1"/>
  <c r="J52" i="2" s="1"/>
  <c r="L52" i="2" s="1"/>
  <c r="N52" i="2" s="1"/>
  <c r="P52" i="2" s="1"/>
  <c r="D230" i="2"/>
  <c r="F230" i="2" s="1"/>
  <c r="H230" i="2" s="1"/>
  <c r="J230" i="2" s="1"/>
  <c r="L230" i="2" s="1"/>
  <c r="N230" i="2" s="1"/>
  <c r="P230" i="2" s="1"/>
  <c r="F20" i="2"/>
  <c r="H20" i="2" s="1"/>
  <c r="J20" i="2" s="1"/>
  <c r="L20" i="2" s="1"/>
  <c r="N20" i="2" s="1"/>
  <c r="P20" i="2" s="1"/>
  <c r="D16" i="2"/>
  <c r="F16" i="2" s="1"/>
  <c r="H16" i="2" s="1"/>
  <c r="J16" i="2" s="1"/>
  <c r="L16" i="2" s="1"/>
  <c r="N16" i="2" s="1"/>
  <c r="P16" i="2" s="1"/>
  <c r="D238" i="2"/>
  <c r="F238" i="2" s="1"/>
  <c r="H238" i="2" s="1"/>
  <c r="J238" i="2" s="1"/>
  <c r="L238" i="2" s="1"/>
  <c r="N238" i="2" s="1"/>
  <c r="P238" i="2" s="1"/>
  <c r="D237" i="2"/>
  <c r="F237" i="2" s="1"/>
  <c r="H237" i="2" s="1"/>
  <c r="J237" i="2" s="1"/>
  <c r="L237" i="2" s="1"/>
  <c r="N237" i="2" s="1"/>
  <c r="P237" i="2" s="1"/>
  <c r="D77" i="2"/>
  <c r="D76" i="2"/>
  <c r="F76" i="2" s="1"/>
  <c r="H76" i="2" s="1"/>
  <c r="J76" i="2" s="1"/>
  <c r="L76" i="2" s="1"/>
  <c r="N76" i="2" s="1"/>
  <c r="P76" i="2" s="1"/>
  <c r="D105" i="2"/>
  <c r="D102" i="2"/>
  <c r="F102" i="2" s="1"/>
  <c r="H102" i="2" s="1"/>
  <c r="J102" i="2" s="1"/>
  <c r="L102" i="2" s="1"/>
  <c r="N102" i="2" s="1"/>
  <c r="P102" i="2" s="1"/>
  <c r="D96" i="2"/>
  <c r="F96" i="2" s="1"/>
  <c r="H96" i="2" s="1"/>
  <c r="J96" i="2" s="1"/>
  <c r="L96" i="2" s="1"/>
  <c r="N96" i="2" s="1"/>
  <c r="P96" i="2" s="1"/>
  <c r="D74" i="2" l="1"/>
  <c r="D235" i="2"/>
  <c r="D200" i="2" l="1"/>
  <c r="F200" i="2" s="1"/>
  <c r="H200" i="2" s="1"/>
  <c r="J200" i="2" s="1"/>
  <c r="L200" i="2" s="1"/>
  <c r="N200" i="2" s="1"/>
  <c r="P200" i="2" s="1"/>
  <c r="D199" i="2"/>
  <c r="F199" i="2" s="1"/>
  <c r="H199" i="2" s="1"/>
  <c r="J199" i="2" s="1"/>
  <c r="L199" i="2" s="1"/>
  <c r="N199" i="2" s="1"/>
  <c r="P199" i="2" s="1"/>
  <c r="D202" i="2"/>
  <c r="D234" i="2" l="1"/>
  <c r="F234" i="2" s="1"/>
  <c r="H234" i="2" s="1"/>
  <c r="J234" i="2" s="1"/>
  <c r="L234" i="2" s="1"/>
  <c r="N234" i="2" s="1"/>
  <c r="P234" i="2" s="1"/>
  <c r="F202" i="2"/>
  <c r="H202" i="2" s="1"/>
  <c r="J202" i="2" s="1"/>
  <c r="L202" i="2" s="1"/>
  <c r="N202" i="2" s="1"/>
  <c r="P202" i="2" s="1"/>
  <c r="D197" i="2"/>
  <c r="F197" i="2" s="1"/>
  <c r="H197" i="2" s="1"/>
  <c r="J197" i="2" s="1"/>
  <c r="L197" i="2" s="1"/>
  <c r="N197" i="2" s="1"/>
  <c r="P197" i="2" s="1"/>
  <c r="D211" i="2" l="1"/>
  <c r="F211" i="2" s="1"/>
  <c r="H211" i="2" s="1"/>
  <c r="J211" i="2" s="1"/>
  <c r="L211" i="2" s="1"/>
  <c r="N211" i="2" s="1"/>
  <c r="P211" i="2" s="1"/>
  <c r="D140" i="2" l="1"/>
  <c r="D139" i="2"/>
  <c r="F139" i="2" s="1"/>
  <c r="H139" i="2" s="1"/>
  <c r="J139" i="2" s="1"/>
  <c r="L139" i="2" s="1"/>
  <c r="N139" i="2" s="1"/>
  <c r="P139" i="2" s="1"/>
  <c r="D119" i="2"/>
  <c r="F119" i="2" s="1"/>
  <c r="H119" i="2" s="1"/>
  <c r="J119" i="2" s="1"/>
  <c r="L119" i="2" s="1"/>
  <c r="N119" i="2" s="1"/>
  <c r="P119" i="2" s="1"/>
  <c r="D118" i="2"/>
  <c r="F118" i="2" s="1"/>
  <c r="H118" i="2" s="1"/>
  <c r="J118" i="2" s="1"/>
  <c r="L118" i="2" s="1"/>
  <c r="N118" i="2" s="1"/>
  <c r="P118" i="2" s="1"/>
  <c r="D228" i="2" l="1"/>
  <c r="F228" i="2" s="1"/>
  <c r="H228" i="2" s="1"/>
  <c r="J228" i="2" s="1"/>
  <c r="L228" i="2" s="1"/>
  <c r="N228" i="2" s="1"/>
  <c r="P228" i="2" s="1"/>
  <c r="F140" i="2"/>
  <c r="H140" i="2" s="1"/>
  <c r="J140" i="2" s="1"/>
  <c r="L140" i="2" s="1"/>
  <c r="N140" i="2" s="1"/>
  <c r="P140" i="2" s="1"/>
  <c r="D116" i="2"/>
  <c r="F116" i="2" s="1"/>
  <c r="H116" i="2" s="1"/>
  <c r="J116" i="2" s="1"/>
  <c r="L116" i="2" s="1"/>
  <c r="N116" i="2" s="1"/>
  <c r="P116" i="2" s="1"/>
  <c r="D127" i="2"/>
  <c r="F127" i="2" s="1"/>
  <c r="H127" i="2" s="1"/>
  <c r="J127" i="2" s="1"/>
  <c r="L127" i="2" s="1"/>
  <c r="N127" i="2" s="1"/>
  <c r="P127" i="2" s="1"/>
  <c r="D165" i="2" l="1"/>
  <c r="F165" i="2" s="1"/>
  <c r="H165" i="2" s="1"/>
  <c r="J165" i="2" s="1"/>
  <c r="L165" i="2" s="1"/>
  <c r="N165" i="2" s="1"/>
  <c r="P165" i="2" s="1"/>
  <c r="D161" i="2"/>
  <c r="F161" i="2" s="1"/>
  <c r="H161" i="2" s="1"/>
  <c r="J161" i="2" s="1"/>
  <c r="L161" i="2" s="1"/>
  <c r="N161" i="2" s="1"/>
  <c r="P161" i="2" s="1"/>
  <c r="D157" i="2"/>
  <c r="F157" i="2" s="1"/>
  <c r="H157" i="2" s="1"/>
  <c r="J157" i="2" s="1"/>
  <c r="L157" i="2" s="1"/>
  <c r="N157" i="2" s="1"/>
  <c r="P157" i="2" s="1"/>
  <c r="D153" i="2"/>
  <c r="F153" i="2" s="1"/>
  <c r="H153" i="2" s="1"/>
  <c r="J153" i="2" s="1"/>
  <c r="L153" i="2" s="1"/>
  <c r="N153" i="2" s="1"/>
  <c r="P153" i="2" s="1"/>
  <c r="D149" i="2"/>
  <c r="F149" i="2" s="1"/>
  <c r="H149" i="2" s="1"/>
  <c r="J149" i="2" s="1"/>
  <c r="L149" i="2" s="1"/>
  <c r="N149" i="2" s="1"/>
  <c r="P149" i="2" s="1"/>
  <c r="D141" i="2"/>
  <c r="F141" i="2" s="1"/>
  <c r="H141" i="2" s="1"/>
  <c r="J141" i="2" s="1"/>
  <c r="L141" i="2" s="1"/>
  <c r="N141" i="2" s="1"/>
  <c r="P141" i="2" s="1"/>
  <c r="D145" i="2"/>
  <c r="F145" i="2" s="1"/>
  <c r="H145" i="2" s="1"/>
  <c r="J145" i="2" s="1"/>
  <c r="L145" i="2" s="1"/>
  <c r="N145" i="2" s="1"/>
  <c r="P145" i="2" s="1"/>
  <c r="D236" i="2" l="1"/>
  <c r="F236" i="2" s="1"/>
  <c r="H236" i="2" s="1"/>
  <c r="J236" i="2" s="1"/>
  <c r="L236" i="2" s="1"/>
  <c r="N236" i="2" s="1"/>
  <c r="P236" i="2" s="1"/>
  <c r="D194" i="2" l="1"/>
  <c r="F194" i="2" s="1"/>
  <c r="H194" i="2" s="1"/>
  <c r="J194" i="2" s="1"/>
  <c r="L194" i="2" s="1"/>
  <c r="N194" i="2" s="1"/>
  <c r="P194" i="2" s="1"/>
  <c r="D229" i="2" l="1"/>
  <c r="D137" i="2" l="1"/>
  <c r="F137" i="2" s="1"/>
  <c r="H137" i="2" s="1"/>
  <c r="J137" i="2" s="1"/>
  <c r="L137" i="2" s="1"/>
  <c r="N137" i="2" s="1"/>
  <c r="P137" i="2" s="1"/>
  <c r="D216" i="2" l="1"/>
  <c r="F216" i="2" s="1"/>
  <c r="H216" i="2" s="1"/>
  <c r="J216" i="2" s="1"/>
  <c r="L216" i="2" s="1"/>
  <c r="N216" i="2" s="1"/>
  <c r="P216" i="2" s="1"/>
  <c r="D226" i="2" l="1"/>
  <c r="F107" i="2"/>
  <c r="H107" i="2" s="1"/>
  <c r="J107" i="2" s="1"/>
  <c r="L107" i="2" s="1"/>
  <c r="N107" i="2" s="1"/>
  <c r="P107" i="2" s="1"/>
  <c r="E105" i="2"/>
  <c r="E235" i="2" s="1"/>
  <c r="F235" i="2" s="1"/>
  <c r="H235" i="2" s="1"/>
  <c r="J235" i="2" s="1"/>
  <c r="L235" i="2" s="1"/>
  <c r="N235" i="2" s="1"/>
  <c r="P235" i="2" s="1"/>
  <c r="E77" i="2"/>
  <c r="E74" i="2" s="1"/>
  <c r="E226" i="2" l="1"/>
  <c r="F226" i="2" s="1"/>
  <c r="H226" i="2" s="1"/>
  <c r="J226" i="2" s="1"/>
  <c r="L226" i="2" s="1"/>
  <c r="N226" i="2" s="1"/>
  <c r="P226" i="2" s="1"/>
  <c r="F74" i="2"/>
  <c r="H74" i="2" s="1"/>
  <c r="J74" i="2" s="1"/>
  <c r="L74" i="2" s="1"/>
  <c r="N74" i="2" s="1"/>
  <c r="P74" i="2" s="1"/>
  <c r="F105" i="2"/>
  <c r="H105" i="2" s="1"/>
  <c r="J105" i="2" s="1"/>
  <c r="L105" i="2" s="1"/>
  <c r="N105" i="2" s="1"/>
  <c r="P105" i="2" s="1"/>
  <c r="F77" i="2"/>
  <c r="H77" i="2" s="1"/>
  <c r="J77" i="2" s="1"/>
  <c r="L77" i="2" s="1"/>
  <c r="N77" i="2" s="1"/>
  <c r="P77" i="2" s="1"/>
  <c r="E229" i="2"/>
  <c r="F229" i="2" s="1"/>
  <c r="H229" i="2" s="1"/>
  <c r="J229" i="2" s="1"/>
  <c r="L229" i="2" s="1"/>
  <c r="N229" i="2" s="1"/>
  <c r="P229" i="2" s="1"/>
</calcChain>
</file>

<file path=xl/sharedStrings.xml><?xml version="1.0" encoding="utf-8"?>
<sst xmlns="http://schemas.openxmlformats.org/spreadsheetml/2006/main" count="529" uniqueCount="282">
  <si>
    <t>№ п/п</t>
  </si>
  <si>
    <t>Образование</t>
  </si>
  <si>
    <t>в том числе:</t>
  </si>
  <si>
    <t>местный бюджет</t>
  </si>
  <si>
    <t>Жилищно-коммунальное хозяйство</t>
  </si>
  <si>
    <t>Внешнее благоустройство</t>
  </si>
  <si>
    <t>Управление внешнего благоустройства</t>
  </si>
  <si>
    <t>Дорожное хозяйство</t>
  </si>
  <si>
    <t>Физическая культура и спорт</t>
  </si>
  <si>
    <t xml:space="preserve">Комитет по физической культуре и спорту </t>
  </si>
  <si>
    <t>Всего:</t>
  </si>
  <si>
    <t>в том числе</t>
  </si>
  <si>
    <t>Департамент образования</t>
  </si>
  <si>
    <t>Управление жилищных отношений</t>
  </si>
  <si>
    <t>Исполнитель</t>
  </si>
  <si>
    <t>в разрезе исполнителей</t>
  </si>
  <si>
    <t>Департамент имущественных отношений</t>
  </si>
  <si>
    <t>краевой бюджет</t>
  </si>
  <si>
    <t>Объект</t>
  </si>
  <si>
    <t xml:space="preserve">Управление капитального строительства </t>
  </si>
  <si>
    <t>Общественная безопасность</t>
  </si>
  <si>
    <t>федеральный бюджет</t>
  </si>
  <si>
    <t>к решению</t>
  </si>
  <si>
    <t>Пермской городской Думы</t>
  </si>
  <si>
    <t>тыс. руб.</t>
  </si>
  <si>
    <t>краевой дорожный фонд</t>
  </si>
  <si>
    <t>Санитарно-эпидемиологическое благополучие</t>
  </si>
  <si>
    <t>Культура и молодежная политика</t>
  </si>
  <si>
    <t>ПЕРЕЧЕНЬ</t>
  </si>
  <si>
    <t xml:space="preserve"> объектов капитального строительства муниципальной собственности и объектов недвижимого имущества, приобретаемых в муниципальную собственность, на 2019 год</t>
  </si>
  <si>
    <t xml:space="preserve">Реконструкция ул. Героев Хасана от ул. Хлебозаводская до ул. Василия Васильева </t>
  </si>
  <si>
    <t>Реконструкция автомобильной дороги от ул. Героев Хасана до дома № 151а по ул. Героев Хасана с обустройством площадки для разворота общественного транспорта</t>
  </si>
  <si>
    <t>Реконструкция ул. Карпинского от ул. Архитектора Свиязева до ул. Советской Армии</t>
  </si>
  <si>
    <t xml:space="preserve">Строительство сквера на ул. Краснополянской, 12 </t>
  </si>
  <si>
    <t>Строительство сквера  по ул. Гашкова, 20</t>
  </si>
  <si>
    <t xml:space="preserve">Строительство сквера по ул. Корсуньской, 31 </t>
  </si>
  <si>
    <t xml:space="preserve">Строительство сквера по ул. Генерала Черняховского </t>
  </si>
  <si>
    <t>Строительство (реконструкция) сетей наружного освещения</t>
  </si>
  <si>
    <t>Строительство автомобильной дороги по ул. Журналиста Дементьева от ул. Лядовская до дома № 147 по ул. Журналиста Дементьева</t>
  </si>
  <si>
    <t>1020143600,10201ST04A</t>
  </si>
  <si>
    <t>1020141280,10201ST04I</t>
  </si>
  <si>
    <t>1020141500,10201ST04D</t>
  </si>
  <si>
    <t>1020141270,10201ST04J</t>
  </si>
  <si>
    <t>10201ST04Q</t>
  </si>
  <si>
    <t>1020143630,10201ST04V</t>
  </si>
  <si>
    <t>1020143640,10201ST04V</t>
  </si>
  <si>
    <t xml:space="preserve">Реконструкция сквера в 68 квартале, эспланада </t>
  </si>
  <si>
    <t xml:space="preserve">Реконструкция сада им. Н.В. Гоголя </t>
  </si>
  <si>
    <t>Управление капитального строительства</t>
  </si>
  <si>
    <t>Расширение и реконструкция (3 очередь) канализации города Перми</t>
  </si>
  <si>
    <t>Строительство водопроводных сетей в микрорайоне «Вышка-1» Мотовилихинского района города Перми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</si>
  <si>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</si>
  <si>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Санация и строительство 2-й нитки водовода Гайва-Заозерье</t>
  </si>
  <si>
    <t>Реконструкция системы водоснабжения в микрорайоне «Южный»</t>
  </si>
  <si>
    <t>Строительство блокировочной сети водопровода на пересечении ул. Красина - ул. Маяковского Дзержинского района города Перми</t>
  </si>
  <si>
    <t>Реконструкция сети водопровода по ул. Трамвайной Дзержинского района города Перми</t>
  </si>
  <si>
    <t>Реконструкция канализационной насосной станции «Речник» Дзержинского района города Перми</t>
  </si>
  <si>
    <t>Строительство второго напорного коллектора от канализационной насосной станции «Речник» Дзержинского района города Перми</t>
  </si>
  <si>
    <t>Строительство газопроводов в микрорайонах индивидуальной застройки города Перми</t>
  </si>
  <si>
    <t>Строительство блочной модульной котельной в микрорайоне «Южный»</t>
  </si>
  <si>
    <t>Реконструкция пересечения ул. Героев Хасана и Транссибирской магистрали (включая тоннель)</t>
  </si>
  <si>
    <t xml:space="preserve">Реконструкция кладбища «Северное» </t>
  </si>
  <si>
    <t>Строительство кладбища «Лесное»</t>
  </si>
  <si>
    <t xml:space="preserve">Строительство источников противопожарного водоснабжения </t>
  </si>
  <si>
    <t>Строительство противооползневого сооружения в районе жилых домов по ул. КИМ, 5, 7, ул. Ивановской, 19 и ул. Чехова, 2, 4, 6, 8, 10</t>
  </si>
  <si>
    <t>Строительство берегоукрепительного сооружения в районе жилых домов по ул. Куфонина 30, 32</t>
  </si>
  <si>
    <t>0230241020</t>
  </si>
  <si>
    <t>0220241030</t>
  </si>
  <si>
    <t>0220241410</t>
  </si>
  <si>
    <t>Реконструкция здания МАУК «Театр юного зрителя»</t>
  </si>
  <si>
    <t>0330242500</t>
  </si>
  <si>
    <t>Строительство спортивной базы «Летающий лыжник» г. Перми, ул. Тихая, 22</t>
  </si>
  <si>
    <t>Комитет физической культуры и спорта</t>
  </si>
  <si>
    <t>Строительство объектов недвижимого имущества и инженерной инфраструктуры на территории Экстрим-парка</t>
  </si>
  <si>
    <t>Приобретение физкультурно-оздоровительного комплекса по адресу: ул. Транспортная, 7</t>
  </si>
  <si>
    <t>Строительство плавательного бассейна по адресу: ул. Гашкова, 20а</t>
  </si>
  <si>
    <t>Строительство физкультурно-спортивного центра по адресу: ул. Академика Веденеева, 25</t>
  </si>
  <si>
    <t>0510141430</t>
  </si>
  <si>
    <t>0510141460</t>
  </si>
  <si>
    <t>0510141470</t>
  </si>
  <si>
    <t>0510141490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</si>
  <si>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</si>
  <si>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</si>
  <si>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153022С080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</si>
  <si>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</si>
  <si>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15302R0820</t>
  </si>
  <si>
    <t>Реконструкция ул. Революции от ЦКР до ул. Сибирской с обустройством трамвайной линии. 1 этап</t>
  </si>
  <si>
    <t>2019 год</t>
  </si>
  <si>
    <t>Строительство здания для размещения дошкольного образовательного учреждения по ул. Желябова, 16б</t>
  </si>
  <si>
    <t>Оснащение безвозмездно переданного в муниципальную собственность здания для размещения дошкольной образовательной организации по ул. Агатовая, 26</t>
  </si>
  <si>
    <t>Реконструкция здания МАОУ «СОШ № 93» г. Перми (пристройка нового корпуса)</t>
  </si>
  <si>
    <t xml:space="preserve">Строительство нового корпуса МАОУ «Гимназия № 3» г. Перми
</t>
  </si>
  <si>
    <t>Строительство здания общеобразовательного учреждения по ул. Юнг Прикамья, 3</t>
  </si>
  <si>
    <t>Строительство спортивной площадки МАОУ «СОШ № 115» г. Перми</t>
  </si>
  <si>
    <t>Строительство спортивной площадки МАОУ «СОШ № 25» г. Перми</t>
  </si>
  <si>
    <t xml:space="preserve">Строительство спортивной площадки МАОУ «СОШ № 82» г. Перми
</t>
  </si>
  <si>
    <t>Строительство здания для размещения дошкольного образовательного учреждения по ул. Плеханова, 63</t>
  </si>
  <si>
    <t>Строительство спортивной площадки МАОУ «СОШ № 41» г. Перми</t>
  </si>
  <si>
    <t>0810143530</t>
  </si>
  <si>
    <t>0810143540</t>
  </si>
  <si>
    <t>0820141160</t>
  </si>
  <si>
    <t>0820141300</t>
  </si>
  <si>
    <t>0820142110</t>
  </si>
  <si>
    <t>0820241730</t>
  </si>
  <si>
    <t>0820241760</t>
  </si>
  <si>
    <t>0820241770</t>
  </si>
  <si>
    <t>0820241550</t>
  </si>
  <si>
    <t>1.</t>
  </si>
  <si>
    <t>6.</t>
  </si>
  <si>
    <t>2.</t>
  </si>
  <si>
    <t>5.</t>
  </si>
  <si>
    <t>7.</t>
  </si>
  <si>
    <t>3.</t>
  </si>
  <si>
    <t>4.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</si>
  <si>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</si>
  <si>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</si>
  <si>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</si>
  <si>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</si>
  <si>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</si>
  <si>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</si>
  <si>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</si>
  <si>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</si>
  <si>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</si>
  <si>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</si>
  <si>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</si>
  <si>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</si>
  <si>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</si>
  <si>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</si>
  <si>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</si>
  <si>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</si>
  <si>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</si>
  <si>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</si>
  <si>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</si>
  <si>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</si>
  <si>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</si>
  <si>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</si>
  <si>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</si>
  <si>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</si>
  <si>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</si>
  <si>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</si>
  <si>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</si>
  <si>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</si>
  <si>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55.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</si>
  <si>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</si>
  <si>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</si>
  <si>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</si>
  <si>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</si>
  <si>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</si>
  <si>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</si>
  <si>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</si>
  <si>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</si>
  <si>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</si>
  <si>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</si>
  <si>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</si>
  <si>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</si>
  <si>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</si>
  <si>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</si>
  <si>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</si>
  <si>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</si>
  <si>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</si>
  <si>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</si>
  <si>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</si>
  <si>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56.</t>
  </si>
  <si>
    <t>59.</t>
  </si>
  <si>
    <t>05101SP040</t>
  </si>
  <si>
    <t>08201SP040</t>
  </si>
  <si>
    <t>10201SТ040</t>
  </si>
  <si>
    <t>Строительство сетей водоснабжения в микрорайонах города Перми</t>
  </si>
  <si>
    <t xml:space="preserve">Строительство автомобильной дороги по ул. Маршала Жукова </t>
  </si>
  <si>
    <t xml:space="preserve"> Строительство автомобильной дороги по ул. Углеуральской</t>
  </si>
  <si>
    <t>Строительство транспортной инфраструктуры на земельных участках, предоставляемых на бесплатной основе многодетным семьям</t>
  </si>
  <si>
    <t>Реконструкция ул. Революции: 2 очередь моста через реку Егошиху</t>
  </si>
  <si>
    <t>Реконструкция шоссе Космонавтов от ул. Плеханова до площади ЦКР</t>
  </si>
  <si>
    <t>Реконструкция ул. Революции. Второй этап - площадь ЦКР, участок ул. Революции от площади ЦКР до ул. Куйбышева, участок ул. Куйбышева от ул. Революции до ул. Пушкина, ул. Пушкина от площади ЦКР до Комсомольского проспекта</t>
  </si>
  <si>
    <t>Строительство кольцевой линии электроснабжения для обеспечения вторым независимым источником электроснабжения газовой котельной по ул. Железнодорожной, 22а города Перми</t>
  </si>
  <si>
    <t>Реконструкция здания муниципального автономного учреждения дополнительного образования «Детско-юношеский центр имени Василия Соломина»</t>
  </si>
  <si>
    <t>Реконструкция ледовой арены МАУ ДО  «ДЮЦ «Здоровье»</t>
  </si>
  <si>
    <t>Реконструкция здания МБОУ  «Гимназия № 17» г. Перми (пристройка нового корпуса)</t>
  </si>
  <si>
    <t>Строительство приюта для содержания безнадзорных животных по ул. Верхне-Муллинской, 106а г. Перми</t>
  </si>
  <si>
    <t>Строительство парка Победы</t>
  </si>
  <si>
    <t>Поправки</t>
  </si>
  <si>
    <t>1510109502</t>
  </si>
  <si>
    <t>0820142120, 08201SH072</t>
  </si>
  <si>
    <t>0820141590, 08201SН071, 08201SР04В</t>
  </si>
  <si>
    <t>08201SР040, 08201SH070</t>
  </si>
  <si>
    <t>05101SP043</t>
  </si>
  <si>
    <t>9190045010</t>
  </si>
  <si>
    <t>08201SН071</t>
  </si>
  <si>
    <t>08201SН070</t>
  </si>
  <si>
    <t>Уточнение февраль</t>
  </si>
  <si>
    <t>Реконструкция здания МАУ «Дворец молодежи» г. Перми</t>
  </si>
  <si>
    <t>0410241910</t>
  </si>
  <si>
    <t>Строительство здания для размещения дошкольного образовательного учреждения по ул. Евгения Пермяка, 8а</t>
  </si>
  <si>
    <t>Реконструкция здания под размещение общеобразовательной организации по ул. Целинной, 15</t>
  </si>
  <si>
    <t>Реконструкция ул. Социалистической от ПК7 до ПК10+50 с разворотным кольцом</t>
  </si>
  <si>
    <t xml:space="preserve">Реконструкция ул. Карпинского от ул. Мира до шоссе Космонавтов
</t>
  </si>
  <si>
    <t>Строительство автомобильной дороги Переход ул. Строителей – площадь Гайдара</t>
  </si>
  <si>
    <t>1020141930</t>
  </si>
  <si>
    <t>10201ST04N</t>
  </si>
  <si>
    <t>10201ST045</t>
  </si>
  <si>
    <t>1020341290</t>
  </si>
  <si>
    <t>1020141790</t>
  </si>
  <si>
    <t>Реконструкция центральной площадки города Перми - эспланада, 64-й квартал, участок 1 (от здания Пермского академического Театра-Театра ул. Борчанинова)</t>
  </si>
  <si>
    <t>Строительство сквера по ул. Калгановской, 62</t>
  </si>
  <si>
    <t>Строительство сквера по ул. Екатерининской, 171</t>
  </si>
  <si>
    <t>1110541710</t>
  </si>
  <si>
    <t>1110541810</t>
  </si>
  <si>
    <t>1110541840</t>
  </si>
  <si>
    <t>10201ST04G, 1020141510</t>
  </si>
  <si>
    <t>08101L1590</t>
  </si>
  <si>
    <t>08101L1590, 08101SР040</t>
  </si>
  <si>
    <t>57.</t>
  </si>
  <si>
    <t>58.</t>
  </si>
  <si>
    <t>60.</t>
  </si>
  <si>
    <t>61.</t>
  </si>
  <si>
    <t>62.</t>
  </si>
  <si>
    <t>63.</t>
  </si>
  <si>
    <t>64.</t>
  </si>
  <si>
    <t>65.</t>
  </si>
  <si>
    <t>08201SР047, 082041390</t>
  </si>
  <si>
    <t>05101SР043, 0510141440</t>
  </si>
  <si>
    <t>Департамент жилищно-коммунального хозяйства</t>
  </si>
  <si>
    <t>Строительство резервуара для воды емкостью 5000 кубических метров на территории насосной станции «Заречная» города Перми</t>
  </si>
  <si>
    <t>Реконструкция системы очистки сточных вод в микрорайоне «Крым» Кировского района города Перми</t>
  </si>
  <si>
    <t>Санация и строительство 2-й нитки водовода Гайва - Заозерье</t>
  </si>
  <si>
    <t>Строительство водопроводных сетей в микрорайоне «Висим» Мотовилихинского района города Перми</t>
  </si>
  <si>
    <t>1710141150</t>
  </si>
  <si>
    <t>1710141090</t>
  </si>
  <si>
    <t>1710142260</t>
  </si>
  <si>
    <t>1710141210</t>
  </si>
  <si>
    <t>1710442380</t>
  </si>
  <si>
    <t>1710141320</t>
  </si>
  <si>
    <t>66.</t>
  </si>
  <si>
    <t>67.</t>
  </si>
  <si>
    <t>68.</t>
  </si>
  <si>
    <t>69.</t>
  </si>
  <si>
    <t>70.</t>
  </si>
  <si>
    <t>71.</t>
  </si>
  <si>
    <t>1020142320, 10201ST04Z</t>
  </si>
  <si>
    <t>Строительство тротуара по ул. Таежной в микрорайоне Соболи</t>
  </si>
  <si>
    <t>Реконструкция сквера на нижней части набережной реки Кама</t>
  </si>
  <si>
    <t>1320243710</t>
  </si>
  <si>
    <t xml:space="preserve">Реконструкция здания по ул. Ижевская, 25 </t>
  </si>
  <si>
    <t>0220443720</t>
  </si>
  <si>
    <t>ПРИЛОЖЕНИЕ 9</t>
  </si>
  <si>
    <t>от 18.12.2018 № 270</t>
  </si>
  <si>
    <t>Комитет февраль</t>
  </si>
  <si>
    <t>Уточнение апрель</t>
  </si>
  <si>
    <t>10201ST200</t>
  </si>
  <si>
    <t>Изъятие земельных участков и объектов недвижимости, имущества для реконструкции дорожных объектов города Перми</t>
  </si>
  <si>
    <t>1020142310, 10201ST04T</t>
  </si>
  <si>
    <t>Строительство автомобильной дороги «Соединение ул. Старцева – проспект Октябрят – ул. Восстания»</t>
  </si>
  <si>
    <t>10201ST04R</t>
  </si>
  <si>
    <t>10201ST040</t>
  </si>
  <si>
    <t>081P252320</t>
  </si>
  <si>
    <t>Оснащение безвозмездно переданного в муниципальную собственность здания для размещения дошкольной образовательной организации по ул. Революции</t>
  </si>
  <si>
    <t>0810141600, 081P252320</t>
  </si>
  <si>
    <t>0810141610, 081P252320</t>
  </si>
  <si>
    <t>0810141640, 08101SР04А, 081P252320</t>
  </si>
  <si>
    <t>Строительство здания для размещения дошкольного образовательного учреждения по ул. Байкальской, 26а</t>
  </si>
  <si>
    <t>0810141680, 081P252320</t>
  </si>
  <si>
    <t>0820141720, 08201SН073, 08201SP045</t>
  </si>
  <si>
    <t>Строительство спортивной площадки МАОУ "СОШ N 122" г. Перми</t>
  </si>
  <si>
    <t>0820241970</t>
  </si>
  <si>
    <t>Реконструкция стадиона «Юность»</t>
  </si>
  <si>
    <t>0510142140</t>
  </si>
  <si>
    <t>Комитет апрель</t>
  </si>
  <si>
    <t>Уточнение июнь</t>
  </si>
  <si>
    <t>Строительство системы очистных сооружений и водоотвода ливневых стоков на набережной реки Камы</t>
  </si>
  <si>
    <t>1020142520</t>
  </si>
  <si>
    <t>средства Фонда содействия реформированию жилищно-коммунального хозяйства</t>
  </si>
  <si>
    <t>151F309502</t>
  </si>
  <si>
    <t>15101SЖ160, 151F309602</t>
  </si>
  <si>
    <t>15101SЖ160, 1510142010, 1530100000, 1510121480, 151F309602</t>
  </si>
  <si>
    <t>13202SЖ240, 13202SP040</t>
  </si>
  <si>
    <t>1320242020, 13202SЖ241, 13202SP049</t>
  </si>
  <si>
    <t>0820141390</t>
  </si>
  <si>
    <t>Приобретение объектов недвижимого имущества по адресу: г. Пермь, ул. Барамзиной, 31, находящихся на земельном участке с кадастровым номером 59:01:4415053:25, расположенных в коридоре проектируемых дорог по ул. Барамзиной, ул. Углеуральской и ул. Гатчинской</t>
  </si>
  <si>
    <t>91900SЦ550</t>
  </si>
  <si>
    <t>72.</t>
  </si>
  <si>
    <t>Прочие объекты</t>
  </si>
  <si>
    <t>Строительство надземного пешеходного перехода по ул. Соликамской в районе остановки общественного транспорта «Промкомбинат»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</si>
</sst>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6" x14ac:knownFonts="1">
    <font>
      <sz val="10"/>
      <name val="Arial Cyr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3" fillId="2" borderId="1" xfId="0" applyFont="1" applyFill="1" applyBorder="1" applyAlignment="1">
      <alignment horizontal="center" vertical="top"/>
    </xf>
    <xf numFmtId="0" fontId="1" fillId="2" borderId="0" xfId="0" applyFont="1" applyFill="1"/>
    <xf numFmtId="164" fontId="3" fillId="2" borderId="1" xfId="0" applyNumberFormat="1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 vertical="center"/>
    </xf>
    <xf numFmtId="164" fontId="3" fillId="2" borderId="1" xfId="0" applyNumberFormat="1" applyFont="1" applyFill="1" applyBorder="1" applyAlignment="1">
      <alignment horizontal="left" vertical="center"/>
    </xf>
    <xf numFmtId="164" fontId="3" fillId="2" borderId="1" xfId="0" applyNumberFormat="1" applyFont="1" applyFill="1" applyBorder="1" applyAlignment="1">
      <alignment horizontal="left" vertical="top"/>
    </xf>
    <xf numFmtId="0" fontId="1" fillId="2" borderId="1" xfId="0" applyFont="1" applyFill="1" applyBorder="1"/>
    <xf numFmtId="164" fontId="3" fillId="2" borderId="2" xfId="0" applyNumberFormat="1" applyFont="1" applyFill="1" applyBorder="1" applyAlignment="1">
      <alignment horizontal="left" vertical="top"/>
    </xf>
    <xf numFmtId="164" fontId="3" fillId="2" borderId="2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center" wrapText="1"/>
    </xf>
    <xf numFmtId="165" fontId="1" fillId="2" borderId="0" xfId="0" applyNumberFormat="1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top"/>
    </xf>
    <xf numFmtId="0" fontId="3" fillId="2" borderId="1" xfId="0" applyNumberFormat="1" applyFont="1" applyFill="1" applyBorder="1" applyAlignment="1">
      <alignment horizontal="left" vertical="center" wrapText="1"/>
    </xf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49" fontId="4" fillId="2" borderId="0" xfId="0" applyNumberFormat="1" applyFont="1" applyFill="1" applyAlignment="1">
      <alignment horizontal="left" vertical="center"/>
    </xf>
    <xf numFmtId="49" fontId="4" fillId="2" borderId="0" xfId="0" applyNumberFormat="1" applyFont="1" applyFill="1" applyBorder="1" applyAlignment="1">
      <alignment horizontal="left" vertical="center"/>
    </xf>
    <xf numFmtId="0" fontId="0" fillId="2" borderId="8" xfId="0" applyFill="1" applyBorder="1" applyAlignment="1">
      <alignment horizontal="left" vertical="top" wrapText="1"/>
    </xf>
    <xf numFmtId="165" fontId="3" fillId="2" borderId="0" xfId="0" applyNumberFormat="1" applyFont="1" applyFill="1" applyAlignment="1">
      <alignment horizontal="right" vertical="center"/>
    </xf>
    <xf numFmtId="164" fontId="3" fillId="2" borderId="1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right" vertical="center"/>
    </xf>
    <xf numFmtId="0" fontId="1" fillId="3" borderId="0" xfId="0" applyFont="1" applyFill="1" applyAlignment="1">
      <alignment horizontal="right" vertical="center"/>
    </xf>
    <xf numFmtId="164" fontId="3" fillId="2" borderId="1" xfId="0" applyNumberFormat="1" applyFont="1" applyFill="1" applyBorder="1" applyAlignment="1">
      <alignment horizontal="left" vertical="center" wrapText="1"/>
    </xf>
    <xf numFmtId="164" fontId="3" fillId="4" borderId="1" xfId="0" applyNumberFormat="1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>
      <alignment horizontal="right" vertical="center"/>
    </xf>
    <xf numFmtId="164" fontId="3" fillId="3" borderId="1" xfId="0" applyNumberFormat="1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>
      <alignment horizontal="right"/>
    </xf>
    <xf numFmtId="164" fontId="3" fillId="3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right" vertical="center" wrapText="1"/>
    </xf>
    <xf numFmtId="164" fontId="3" fillId="2" borderId="4" xfId="0" applyNumberFormat="1" applyFont="1" applyFill="1" applyBorder="1" applyAlignment="1">
      <alignment horizontal="right" vertical="center"/>
    </xf>
    <xf numFmtId="164" fontId="3" fillId="2" borderId="4" xfId="0" applyNumberFormat="1" applyFont="1" applyFill="1" applyBorder="1" applyAlignment="1">
      <alignment horizontal="right"/>
    </xf>
    <xf numFmtId="164" fontId="5" fillId="2" borderId="1" xfId="0" applyNumberFormat="1" applyFont="1" applyFill="1" applyBorder="1" applyAlignment="1">
      <alignment horizontal="right" vertical="center"/>
    </xf>
    <xf numFmtId="164" fontId="3" fillId="3" borderId="1" xfId="0" applyNumberFormat="1" applyFont="1" applyFill="1" applyBorder="1" applyAlignment="1">
      <alignment horizontal="right" vertical="center" wrapText="1"/>
    </xf>
    <xf numFmtId="164" fontId="5" fillId="3" borderId="1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top"/>
    </xf>
    <xf numFmtId="49" fontId="4" fillId="3" borderId="0" xfId="0" applyNumberFormat="1" applyFont="1" applyFill="1" applyAlignment="1">
      <alignment horizontal="left" vertical="center"/>
    </xf>
    <xf numFmtId="164" fontId="3" fillId="2" borderId="4" xfId="0" applyNumberFormat="1" applyFont="1" applyFill="1" applyBorder="1" applyAlignment="1">
      <alignment horizontal="left" vertical="center" wrapText="1"/>
    </xf>
    <xf numFmtId="164" fontId="3" fillId="2" borderId="8" xfId="0" applyNumberFormat="1" applyFont="1" applyFill="1" applyBorder="1" applyAlignment="1">
      <alignment horizontal="left" vertical="top" wrapText="1"/>
    </xf>
    <xf numFmtId="165" fontId="3" fillId="2" borderId="1" xfId="0" applyNumberFormat="1" applyFont="1" applyFill="1" applyBorder="1" applyAlignment="1">
      <alignment horizontal="right" vertical="center"/>
    </xf>
    <xf numFmtId="164" fontId="3" fillId="2" borderId="6" xfId="0" applyNumberFormat="1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top"/>
    </xf>
    <xf numFmtId="0" fontId="3" fillId="2" borderId="10" xfId="0" applyFont="1" applyFill="1" applyBorder="1" applyAlignment="1">
      <alignment horizontal="center" vertical="top"/>
    </xf>
    <xf numFmtId="0" fontId="3" fillId="2" borderId="11" xfId="0" applyFont="1" applyFill="1" applyBorder="1" applyAlignment="1">
      <alignment horizontal="center" vertical="top"/>
    </xf>
    <xf numFmtId="164" fontId="3" fillId="2" borderId="12" xfId="0" applyNumberFormat="1" applyFont="1" applyFill="1" applyBorder="1" applyAlignment="1">
      <alignment horizontal="left" vertical="top" wrapText="1"/>
    </xf>
    <xf numFmtId="164" fontId="3" fillId="2" borderId="1" xfId="0" applyNumberFormat="1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top"/>
    </xf>
    <xf numFmtId="164" fontId="3" fillId="2" borderId="2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center" wrapText="1"/>
    </xf>
    <xf numFmtId="164" fontId="3" fillId="2" borderId="3" xfId="0" applyNumberFormat="1" applyFont="1" applyFill="1" applyBorder="1" applyAlignment="1">
      <alignment horizontal="left" vertical="top" wrapText="1"/>
    </xf>
    <xf numFmtId="164" fontId="3" fillId="2" borderId="5" xfId="0" applyNumberFormat="1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164" fontId="3" fillId="3" borderId="6" xfId="0" applyNumberFormat="1" applyFont="1" applyFill="1" applyBorder="1" applyAlignment="1">
      <alignment horizontal="center" vertical="center" wrapText="1"/>
    </xf>
    <xf numFmtId="164" fontId="3" fillId="3" borderId="7" xfId="0" applyNumberFormat="1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top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right" vertical="center" wrapText="1"/>
    </xf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 vertical="center"/>
    </xf>
    <xf numFmtId="164" fontId="3" fillId="2" borderId="1" xfId="0" applyNumberFormat="1" applyFont="1" applyFill="1" applyBorder="1" applyAlignment="1">
      <alignment vertical="top" wrapText="1"/>
    </xf>
    <xf numFmtId="164" fontId="3" fillId="2" borderId="2" xfId="0" applyNumberFormat="1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/>
    </xf>
    <xf numFmtId="0" fontId="0" fillId="2" borderId="1" xfId="0" applyFill="1" applyBorder="1" applyAlignment="1">
      <alignment horizontal="center" vertical="top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center" wrapText="1"/>
    </xf>
    <xf numFmtId="164" fontId="3" fillId="2" borderId="3" xfId="0" applyNumberFormat="1" applyFont="1" applyFill="1" applyBorder="1" applyAlignment="1">
      <alignment vertical="top" wrapText="1"/>
    </xf>
    <xf numFmtId="0" fontId="0" fillId="2" borderId="4" xfId="0" applyFill="1" applyBorder="1" applyAlignment="1">
      <alignment horizontal="left" wrapText="1"/>
    </xf>
    <xf numFmtId="0" fontId="1" fillId="2" borderId="5" xfId="0" applyFont="1" applyFill="1" applyBorder="1" applyAlignment="1">
      <alignment horizontal="left" vertical="center" wrapText="1"/>
    </xf>
    <xf numFmtId="164" fontId="3" fillId="2" borderId="3" xfId="0" applyNumberFormat="1" applyFont="1" applyFill="1" applyBorder="1" applyAlignment="1">
      <alignment horizontal="left" vertical="top" wrapText="1"/>
    </xf>
    <xf numFmtId="164" fontId="3" fillId="2" borderId="5" xfId="0" applyNumberFormat="1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6F2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S240"/>
  <sheetViews>
    <sheetView tabSelected="1" zoomScale="70" zoomScaleNormal="70" workbookViewId="0">
      <selection sqref="A1:P239"/>
    </sheetView>
  </sheetViews>
  <sheetFormatPr defaultColWidth="9.140625" defaultRowHeight="18.75" x14ac:dyDescent="0.25"/>
  <cols>
    <col min="1" max="1" width="5.42578125" style="2" customWidth="1"/>
    <col min="2" max="2" width="76.85546875" style="18" customWidth="1"/>
    <col min="3" max="3" width="20.28515625" style="6" customWidth="1"/>
    <col min="4" max="14" width="17.5703125" style="20" hidden="1" customWidth="1"/>
    <col min="15" max="15" width="17.5703125" style="27" hidden="1" customWidth="1"/>
    <col min="16" max="16" width="17.5703125" style="20" customWidth="1"/>
    <col min="17" max="17" width="27.85546875" style="22" hidden="1" customWidth="1"/>
    <col min="18" max="18" width="6.140625" style="8" hidden="1" customWidth="1"/>
    <col min="19" max="19" width="20.85546875" style="2" hidden="1" customWidth="1"/>
    <col min="20" max="36" width="20.85546875" style="2" customWidth="1"/>
    <col min="37" max="16384" width="9.140625" style="2"/>
  </cols>
  <sheetData>
    <row r="1" spans="1:17" x14ac:dyDescent="0.25">
      <c r="P1" s="20" t="s">
        <v>244</v>
      </c>
    </row>
    <row r="2" spans="1:17" x14ac:dyDescent="0.25">
      <c r="P2" s="20" t="s">
        <v>22</v>
      </c>
    </row>
    <row r="3" spans="1:17" x14ac:dyDescent="0.25">
      <c r="P3" s="20" t="s">
        <v>23</v>
      </c>
    </row>
    <row r="5" spans="1:17" x14ac:dyDescent="0.25">
      <c r="P5" s="20" t="s">
        <v>244</v>
      </c>
    </row>
    <row r="6" spans="1:17" x14ac:dyDescent="0.25">
      <c r="P6" s="20" t="s">
        <v>22</v>
      </c>
    </row>
    <row r="7" spans="1:17" x14ac:dyDescent="0.25">
      <c r="D7" s="21"/>
      <c r="E7" s="21"/>
      <c r="F7" s="21"/>
      <c r="G7" s="21"/>
      <c r="I7" s="21"/>
      <c r="K7" s="21"/>
      <c r="M7" s="21"/>
      <c r="O7" s="28"/>
      <c r="P7" s="20" t="s">
        <v>23</v>
      </c>
    </row>
    <row r="8" spans="1:17" x14ac:dyDescent="0.25">
      <c r="D8" s="21"/>
      <c r="E8" s="21"/>
      <c r="F8" s="21"/>
      <c r="G8" s="21"/>
      <c r="I8" s="21"/>
      <c r="K8" s="21"/>
      <c r="M8" s="21"/>
      <c r="O8" s="28"/>
      <c r="P8" s="20" t="s">
        <v>245</v>
      </c>
    </row>
    <row r="9" spans="1:17" x14ac:dyDescent="0.25">
      <c r="D9" s="21"/>
      <c r="E9" s="21"/>
      <c r="F9" s="21"/>
      <c r="G9" s="21"/>
      <c r="I9" s="21"/>
      <c r="K9" s="21"/>
      <c r="M9" s="21"/>
      <c r="O9" s="28"/>
    </row>
    <row r="10" spans="1:17" ht="18.75" customHeight="1" x14ac:dyDescent="0.25">
      <c r="A10" s="68" t="s">
        <v>28</v>
      </c>
      <c r="B10" s="69"/>
      <c r="C10" s="70"/>
      <c r="D10" s="71"/>
      <c r="E10" s="72"/>
      <c r="F10" s="73"/>
      <c r="G10" s="72"/>
      <c r="H10" s="73"/>
      <c r="I10" s="72"/>
      <c r="J10" s="72"/>
      <c r="K10" s="72"/>
      <c r="L10" s="73"/>
      <c r="M10" s="72"/>
      <c r="N10" s="72"/>
      <c r="O10" s="72"/>
      <c r="P10" s="73"/>
    </row>
    <row r="11" spans="1:17" ht="15.75" customHeight="1" x14ac:dyDescent="0.25">
      <c r="A11" s="68" t="s">
        <v>29</v>
      </c>
      <c r="B11" s="69"/>
      <c r="C11" s="70"/>
      <c r="D11" s="71"/>
      <c r="E11" s="72"/>
      <c r="F11" s="73"/>
      <c r="G11" s="72"/>
      <c r="H11" s="73"/>
      <c r="I11" s="72"/>
      <c r="J11" s="72"/>
      <c r="K11" s="72"/>
      <c r="L11" s="73"/>
      <c r="M11" s="72"/>
      <c r="N11" s="72"/>
      <c r="O11" s="72"/>
      <c r="P11" s="73"/>
    </row>
    <row r="12" spans="1:17" ht="19.5" customHeight="1" x14ac:dyDescent="0.25">
      <c r="A12" s="74"/>
      <c r="B12" s="69"/>
      <c r="C12" s="70"/>
      <c r="D12" s="71"/>
      <c r="E12" s="72"/>
      <c r="F12" s="73"/>
      <c r="G12" s="72"/>
      <c r="H12" s="73"/>
      <c r="I12" s="72"/>
      <c r="J12" s="72"/>
      <c r="K12" s="72"/>
      <c r="L12" s="73"/>
      <c r="M12" s="72"/>
      <c r="N12" s="72"/>
      <c r="O12" s="72"/>
      <c r="P12" s="73"/>
    </row>
    <row r="13" spans="1:17" x14ac:dyDescent="0.25">
      <c r="A13" s="7"/>
      <c r="B13" s="19"/>
      <c r="P13" s="20" t="s">
        <v>24</v>
      </c>
      <c r="Q13" s="23"/>
    </row>
    <row r="14" spans="1:17" ht="21" customHeight="1" x14ac:dyDescent="0.25">
      <c r="A14" s="75" t="s">
        <v>0</v>
      </c>
      <c r="B14" s="75" t="s">
        <v>18</v>
      </c>
      <c r="C14" s="75" t="s">
        <v>14</v>
      </c>
      <c r="D14" s="66" t="s">
        <v>87</v>
      </c>
      <c r="E14" s="66" t="s">
        <v>180</v>
      </c>
      <c r="F14" s="66" t="s">
        <v>87</v>
      </c>
      <c r="G14" s="66" t="s">
        <v>189</v>
      </c>
      <c r="H14" s="66" t="s">
        <v>87</v>
      </c>
      <c r="I14" s="66" t="s">
        <v>246</v>
      </c>
      <c r="J14" s="66" t="s">
        <v>87</v>
      </c>
      <c r="K14" s="66" t="s">
        <v>247</v>
      </c>
      <c r="L14" s="66" t="s">
        <v>87</v>
      </c>
      <c r="M14" s="66" t="s">
        <v>266</v>
      </c>
      <c r="N14" s="66" t="s">
        <v>87</v>
      </c>
      <c r="O14" s="64" t="s">
        <v>267</v>
      </c>
      <c r="P14" s="66" t="s">
        <v>87</v>
      </c>
    </row>
    <row r="15" spans="1:17" ht="21" customHeight="1" x14ac:dyDescent="0.25">
      <c r="A15" s="76"/>
      <c r="B15" s="76"/>
      <c r="C15" s="76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5"/>
      <c r="P15" s="67"/>
    </row>
    <row r="16" spans="1:17" x14ac:dyDescent="0.25">
      <c r="A16" s="1"/>
      <c r="B16" s="10" t="s">
        <v>1</v>
      </c>
      <c r="C16" s="9"/>
      <c r="D16" s="30">
        <f>D18+D19+D20</f>
        <v>1120344.9000000001</v>
      </c>
      <c r="E16" s="30">
        <f>E18+E19+E20</f>
        <v>22156.135000000002</v>
      </c>
      <c r="F16" s="30">
        <f>D16+E16</f>
        <v>1142501.0350000001</v>
      </c>
      <c r="G16" s="30">
        <f>G18+G19+G20</f>
        <v>-39422.465000000004</v>
      </c>
      <c r="H16" s="30">
        <f>F16+G16</f>
        <v>1103078.57</v>
      </c>
      <c r="I16" s="30">
        <f>I18+I19+I20</f>
        <v>0</v>
      </c>
      <c r="J16" s="30">
        <f>H16+I16</f>
        <v>1103078.57</v>
      </c>
      <c r="K16" s="30">
        <f>K18+K19+K20</f>
        <v>4797.804999999993</v>
      </c>
      <c r="L16" s="30">
        <f>J16+K16</f>
        <v>1107876.375</v>
      </c>
      <c r="M16" s="30">
        <f>M18+M19+M20</f>
        <v>-8185.34</v>
      </c>
      <c r="N16" s="30">
        <f>L16+M16</f>
        <v>1099691.0349999999</v>
      </c>
      <c r="O16" s="30">
        <f>O18+O19+O20</f>
        <v>5586.3119999999999</v>
      </c>
      <c r="P16" s="31">
        <f>N16+O16</f>
        <v>1105277.3469999998</v>
      </c>
    </row>
    <row r="17" spans="1:18" x14ac:dyDescent="0.25">
      <c r="A17" s="1"/>
      <c r="B17" s="12" t="s">
        <v>2</v>
      </c>
      <c r="C17" s="9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2"/>
      <c r="P17" s="31"/>
    </row>
    <row r="18" spans="1:18" hidden="1" x14ac:dyDescent="0.3">
      <c r="A18" s="1"/>
      <c r="B18" s="12" t="s">
        <v>3</v>
      </c>
      <c r="C18" s="10"/>
      <c r="D18" s="33">
        <f>D21+D26+D33+D36+D37+D45+D47+D50+D54+D58+D61+D62+D63+D64+D65+D66+D67</f>
        <v>691494.9</v>
      </c>
      <c r="E18" s="33">
        <f>E21+E26+E33+E36+E37+E45+E47+E50+E54+E58+E61+E62+E63+E64+E65+E66+E67</f>
        <v>22156.135000000002</v>
      </c>
      <c r="F18" s="31">
        <f t="shared" ref="F18:F108" si="0">D18+E18</f>
        <v>713651.03500000003</v>
      </c>
      <c r="G18" s="33">
        <f>G21+G26+G33+G36+G37+G45+G47+G50+G54+G58+G61+G62+G63+G64+G65+G66+G67</f>
        <v>-39422.465000000004</v>
      </c>
      <c r="H18" s="31">
        <f t="shared" ref="H18:H31" si="1">F18+G18</f>
        <v>674228.57000000007</v>
      </c>
      <c r="I18" s="33">
        <f>I21+I26+I33+I36+I37+I45+I47+I50+I54+I58+I61+I62+I63+I64+I65+I66+I67</f>
        <v>0</v>
      </c>
      <c r="J18" s="31">
        <f t="shared" ref="J18:J31" si="2">H18+I18</f>
        <v>674228.57000000007</v>
      </c>
      <c r="K18" s="33">
        <f>K33+K36+K45+K47+K50+K54+K58+K61+K62+K63+K64+K65+K66+K67+K39+K28+K23+K70+K73</f>
        <v>-94735.835999999981</v>
      </c>
      <c r="L18" s="31">
        <f t="shared" ref="L18:L31" si="3">J18+K18</f>
        <v>579492.73400000005</v>
      </c>
      <c r="M18" s="33">
        <f>M33+M36+M45+M47+M50+M54+M58+M61+M62+M63+M64+M65+M66+M67+M39+M28+M23+M70+M73</f>
        <v>-8185.34</v>
      </c>
      <c r="N18" s="31">
        <f t="shared" ref="N18:N21" si="4">L18+M18</f>
        <v>571307.39400000009</v>
      </c>
      <c r="O18" s="34">
        <f>O33+O36+O45+O47+O50+O54+O58+O61+O62+O63+O64+O65+O66+O67+O39+O28+O23+O70+O73+O42</f>
        <v>5586.3119999999999</v>
      </c>
      <c r="P18" s="31">
        <f t="shared" ref="P18:P21" si="5">N18+O18</f>
        <v>576893.70600000012</v>
      </c>
      <c r="R18" s="8">
        <v>0</v>
      </c>
    </row>
    <row r="19" spans="1:18" x14ac:dyDescent="0.25">
      <c r="A19" s="1"/>
      <c r="B19" s="12" t="s">
        <v>17</v>
      </c>
      <c r="C19" s="9"/>
      <c r="D19" s="31">
        <f>D34+D46+D51+D55+D59</f>
        <v>378355.19999999995</v>
      </c>
      <c r="E19" s="31">
        <f>E34+E46+E51+E55+E59</f>
        <v>0</v>
      </c>
      <c r="F19" s="31">
        <f t="shared" si="0"/>
        <v>378355.19999999995</v>
      </c>
      <c r="G19" s="31">
        <f>G34+G46+G51+G55+G59</f>
        <v>0</v>
      </c>
      <c r="H19" s="31">
        <f t="shared" si="1"/>
        <v>378355.19999999995</v>
      </c>
      <c r="I19" s="31">
        <f>I34+I46+I51+I55+I59</f>
        <v>0</v>
      </c>
      <c r="J19" s="31">
        <f t="shared" si="2"/>
        <v>378355.19999999995</v>
      </c>
      <c r="K19" s="31">
        <f>K34+K46+K51+K55+K59+K40+K24+K29+K71</f>
        <v>-83064.659</v>
      </c>
      <c r="L19" s="31">
        <f t="shared" si="3"/>
        <v>295290.54099999997</v>
      </c>
      <c r="M19" s="31">
        <f>M34+M46+M51+M55+M59+M40+M24+M29+M71</f>
        <v>0</v>
      </c>
      <c r="N19" s="31">
        <f t="shared" si="4"/>
        <v>295290.54099999997</v>
      </c>
      <c r="O19" s="32">
        <f>O34+O46+O51+O55+O59+O40+O24+O29+O71</f>
        <v>0</v>
      </c>
      <c r="P19" s="31">
        <f t="shared" si="5"/>
        <v>295290.54099999997</v>
      </c>
    </row>
    <row r="20" spans="1:18" x14ac:dyDescent="0.25">
      <c r="A20" s="1"/>
      <c r="B20" s="12" t="s">
        <v>21</v>
      </c>
      <c r="C20" s="9"/>
      <c r="D20" s="31">
        <f>D35</f>
        <v>50494.8</v>
      </c>
      <c r="E20" s="31">
        <f>E35</f>
        <v>0</v>
      </c>
      <c r="F20" s="31">
        <f t="shared" si="0"/>
        <v>50494.8</v>
      </c>
      <c r="G20" s="31">
        <f>G35</f>
        <v>0</v>
      </c>
      <c r="H20" s="31">
        <f t="shared" si="1"/>
        <v>50494.8</v>
      </c>
      <c r="I20" s="31">
        <f>I35</f>
        <v>0</v>
      </c>
      <c r="J20" s="31">
        <f t="shared" si="2"/>
        <v>50494.8</v>
      </c>
      <c r="K20" s="31">
        <f>K35+K41+K25+K30+K72</f>
        <v>182598.3</v>
      </c>
      <c r="L20" s="31">
        <f t="shared" si="3"/>
        <v>233093.09999999998</v>
      </c>
      <c r="M20" s="31">
        <f>M35+M41+M25+M30+M72</f>
        <v>0</v>
      </c>
      <c r="N20" s="31">
        <f t="shared" si="4"/>
        <v>233093.09999999998</v>
      </c>
      <c r="O20" s="32">
        <f>O35+O41+O25+O30+O72</f>
        <v>0</v>
      </c>
      <c r="P20" s="31">
        <f t="shared" si="5"/>
        <v>233093.09999999998</v>
      </c>
    </row>
    <row r="21" spans="1:18" ht="66" customHeight="1" x14ac:dyDescent="0.25">
      <c r="A21" s="1" t="s">
        <v>107</v>
      </c>
      <c r="B21" s="55" t="s">
        <v>192</v>
      </c>
      <c r="C21" s="60" t="s">
        <v>48</v>
      </c>
      <c r="D21" s="31">
        <f>D23</f>
        <v>11540.8</v>
      </c>
      <c r="E21" s="31"/>
      <c r="F21" s="31">
        <f t="shared" si="0"/>
        <v>11540.8</v>
      </c>
      <c r="G21" s="31"/>
      <c r="H21" s="31">
        <f t="shared" si="1"/>
        <v>11540.8</v>
      </c>
      <c r="I21" s="31"/>
      <c r="J21" s="31">
        <f t="shared" si="2"/>
        <v>11540.8</v>
      </c>
      <c r="K21" s="31">
        <f>K23+K24+K25</f>
        <v>82182.080000000002</v>
      </c>
      <c r="L21" s="31">
        <f t="shared" si="3"/>
        <v>93722.880000000005</v>
      </c>
      <c r="M21" s="31">
        <f>M23+M24+M25</f>
        <v>0</v>
      </c>
      <c r="N21" s="31">
        <f t="shared" si="4"/>
        <v>93722.880000000005</v>
      </c>
      <c r="O21" s="32">
        <f>O23+O24+O25</f>
        <v>0</v>
      </c>
      <c r="P21" s="31">
        <f t="shared" si="5"/>
        <v>93722.880000000005</v>
      </c>
    </row>
    <row r="22" spans="1:18" x14ac:dyDescent="0.3">
      <c r="A22" s="1"/>
      <c r="B22" s="12" t="s">
        <v>2</v>
      </c>
      <c r="C22" s="10"/>
      <c r="D22" s="33"/>
      <c r="E22" s="33"/>
      <c r="F22" s="31"/>
      <c r="G22" s="33"/>
      <c r="H22" s="31"/>
      <c r="I22" s="33"/>
      <c r="J22" s="31"/>
      <c r="K22" s="33"/>
      <c r="L22" s="31"/>
      <c r="M22" s="33"/>
      <c r="N22" s="31"/>
      <c r="O22" s="34"/>
      <c r="P22" s="31"/>
    </row>
    <row r="23" spans="1:18" hidden="1" x14ac:dyDescent="0.3">
      <c r="A23" s="1"/>
      <c r="B23" s="12" t="s">
        <v>3</v>
      </c>
      <c r="C23" s="10"/>
      <c r="D23" s="33">
        <v>11540.8</v>
      </c>
      <c r="E23" s="33"/>
      <c r="F23" s="31">
        <f t="shared" si="0"/>
        <v>11540.8</v>
      </c>
      <c r="G23" s="33"/>
      <c r="H23" s="31">
        <f t="shared" si="1"/>
        <v>11540.8</v>
      </c>
      <c r="I23" s="33"/>
      <c r="J23" s="31">
        <f t="shared" si="2"/>
        <v>11540.8</v>
      </c>
      <c r="K23" s="33">
        <f>15264.83+66.85</f>
        <v>15331.68</v>
      </c>
      <c r="L23" s="31">
        <f t="shared" si="3"/>
        <v>26872.48</v>
      </c>
      <c r="M23" s="33"/>
      <c r="N23" s="31">
        <f t="shared" ref="N23:N25" si="6">L23+M23</f>
        <v>26872.48</v>
      </c>
      <c r="O23" s="34"/>
      <c r="P23" s="31">
        <f t="shared" ref="P23:P25" si="7">N23+O23</f>
        <v>26872.48</v>
      </c>
      <c r="Q23" s="22" t="s">
        <v>256</v>
      </c>
      <c r="R23" s="8">
        <v>0</v>
      </c>
    </row>
    <row r="24" spans="1:18" x14ac:dyDescent="0.3">
      <c r="A24" s="1"/>
      <c r="B24" s="12" t="s">
        <v>17</v>
      </c>
      <c r="C24" s="10"/>
      <c r="D24" s="33"/>
      <c r="E24" s="33"/>
      <c r="F24" s="31"/>
      <c r="G24" s="33"/>
      <c r="H24" s="31"/>
      <c r="I24" s="33"/>
      <c r="J24" s="31"/>
      <c r="K24" s="33">
        <v>3342.5</v>
      </c>
      <c r="L24" s="31">
        <f t="shared" si="3"/>
        <v>3342.5</v>
      </c>
      <c r="M24" s="33"/>
      <c r="N24" s="31">
        <f t="shared" si="6"/>
        <v>3342.5</v>
      </c>
      <c r="O24" s="34"/>
      <c r="P24" s="31">
        <f t="shared" si="7"/>
        <v>3342.5</v>
      </c>
      <c r="Q24" s="22" t="s">
        <v>254</v>
      </c>
    </row>
    <row r="25" spans="1:18" x14ac:dyDescent="0.3">
      <c r="A25" s="1"/>
      <c r="B25" s="12" t="s">
        <v>21</v>
      </c>
      <c r="C25" s="10"/>
      <c r="D25" s="33"/>
      <c r="E25" s="33"/>
      <c r="F25" s="31"/>
      <c r="G25" s="33"/>
      <c r="H25" s="31"/>
      <c r="I25" s="33"/>
      <c r="J25" s="31"/>
      <c r="K25" s="33">
        <v>63507.9</v>
      </c>
      <c r="L25" s="31">
        <f t="shared" si="3"/>
        <v>63507.9</v>
      </c>
      <c r="M25" s="33"/>
      <c r="N25" s="31">
        <f t="shared" si="6"/>
        <v>63507.9</v>
      </c>
      <c r="O25" s="34"/>
      <c r="P25" s="31">
        <f t="shared" si="7"/>
        <v>63507.9</v>
      </c>
      <c r="Q25" s="22" t="s">
        <v>254</v>
      </c>
    </row>
    <row r="26" spans="1:18" ht="66" customHeight="1" x14ac:dyDescent="0.25">
      <c r="A26" s="1" t="s">
        <v>109</v>
      </c>
      <c r="B26" s="55" t="s">
        <v>88</v>
      </c>
      <c r="C26" s="60" t="s">
        <v>48</v>
      </c>
      <c r="D26" s="35">
        <v>68901</v>
      </c>
      <c r="E26" s="35"/>
      <c r="F26" s="31">
        <f t="shared" si="0"/>
        <v>68901</v>
      </c>
      <c r="G26" s="35"/>
      <c r="H26" s="31">
        <f t="shared" si="1"/>
        <v>68901</v>
      </c>
      <c r="I26" s="35"/>
      <c r="J26" s="31">
        <f t="shared" si="2"/>
        <v>68901</v>
      </c>
      <c r="K26" s="35">
        <f>K28+K29+K30</f>
        <v>37604.76</v>
      </c>
      <c r="L26" s="31">
        <f>J26+K26</f>
        <v>106505.76000000001</v>
      </c>
      <c r="M26" s="35">
        <f>M28+M29+M30</f>
        <v>0</v>
      </c>
      <c r="N26" s="31">
        <f>L26+M26</f>
        <v>106505.76000000001</v>
      </c>
      <c r="O26" s="39">
        <f>O28+O29+O30</f>
        <v>0</v>
      </c>
      <c r="P26" s="31">
        <f>N26+O26</f>
        <v>106505.76000000001</v>
      </c>
      <c r="R26" s="15"/>
    </row>
    <row r="27" spans="1:18" x14ac:dyDescent="0.3">
      <c r="A27" s="1"/>
      <c r="B27" s="12" t="s">
        <v>2</v>
      </c>
      <c r="C27" s="10"/>
      <c r="D27" s="33"/>
      <c r="E27" s="33"/>
      <c r="F27" s="31"/>
      <c r="G27" s="33"/>
      <c r="H27" s="31"/>
      <c r="I27" s="33"/>
      <c r="J27" s="31"/>
      <c r="K27" s="33"/>
      <c r="L27" s="31"/>
      <c r="M27" s="33"/>
      <c r="N27" s="31"/>
      <c r="O27" s="34"/>
      <c r="P27" s="31"/>
    </row>
    <row r="28" spans="1:18" hidden="1" x14ac:dyDescent="0.3">
      <c r="A28" s="1"/>
      <c r="B28" s="12" t="s">
        <v>3</v>
      </c>
      <c r="C28" s="10"/>
      <c r="D28" s="35">
        <v>68901</v>
      </c>
      <c r="E28" s="33"/>
      <c r="F28" s="31">
        <f t="shared" si="0"/>
        <v>68901</v>
      </c>
      <c r="G28" s="33"/>
      <c r="H28" s="31">
        <f t="shared" si="1"/>
        <v>68901</v>
      </c>
      <c r="I28" s="33"/>
      <c r="J28" s="31">
        <f t="shared" si="2"/>
        <v>68901</v>
      </c>
      <c r="K28" s="35">
        <f>-1315.78-6091.027+44.967</f>
        <v>-7361.84</v>
      </c>
      <c r="L28" s="31">
        <f t="shared" ref="L28:L30" si="8">J28+K28</f>
        <v>61539.16</v>
      </c>
      <c r="M28" s="35"/>
      <c r="N28" s="31">
        <f t="shared" ref="N28:N31" si="9">L28+M28</f>
        <v>61539.16</v>
      </c>
      <c r="O28" s="39"/>
      <c r="P28" s="31">
        <f t="shared" ref="P28:P31" si="10">N28+O28</f>
        <v>61539.16</v>
      </c>
      <c r="Q28" s="22" t="s">
        <v>257</v>
      </c>
      <c r="R28" s="8">
        <v>0</v>
      </c>
    </row>
    <row r="29" spans="1:18" x14ac:dyDescent="0.3">
      <c r="A29" s="1"/>
      <c r="B29" s="12" t="s">
        <v>17</v>
      </c>
      <c r="C29" s="10"/>
      <c r="D29" s="33"/>
      <c r="E29" s="33"/>
      <c r="F29" s="31"/>
      <c r="G29" s="33"/>
      <c r="H29" s="31"/>
      <c r="I29" s="33"/>
      <c r="J29" s="31"/>
      <c r="K29" s="33">
        <v>2248.3000000000002</v>
      </c>
      <c r="L29" s="31">
        <f t="shared" si="8"/>
        <v>2248.3000000000002</v>
      </c>
      <c r="M29" s="33"/>
      <c r="N29" s="31">
        <f t="shared" si="9"/>
        <v>2248.3000000000002</v>
      </c>
      <c r="O29" s="34"/>
      <c r="P29" s="31">
        <f t="shared" si="10"/>
        <v>2248.3000000000002</v>
      </c>
      <c r="Q29" s="22" t="s">
        <v>254</v>
      </c>
    </row>
    <row r="30" spans="1:18" x14ac:dyDescent="0.3">
      <c r="A30" s="1"/>
      <c r="B30" s="12" t="s">
        <v>21</v>
      </c>
      <c r="C30" s="10"/>
      <c r="D30" s="33"/>
      <c r="E30" s="33"/>
      <c r="F30" s="31"/>
      <c r="G30" s="33"/>
      <c r="H30" s="31"/>
      <c r="I30" s="33"/>
      <c r="J30" s="31"/>
      <c r="K30" s="33">
        <v>42718.3</v>
      </c>
      <c r="L30" s="31">
        <f t="shared" si="8"/>
        <v>42718.3</v>
      </c>
      <c r="M30" s="33"/>
      <c r="N30" s="31">
        <f t="shared" si="9"/>
        <v>42718.3</v>
      </c>
      <c r="O30" s="34"/>
      <c r="P30" s="31">
        <f t="shared" si="10"/>
        <v>42718.3</v>
      </c>
      <c r="Q30" s="22" t="s">
        <v>254</v>
      </c>
    </row>
    <row r="31" spans="1:18" ht="60.75" customHeight="1" x14ac:dyDescent="0.25">
      <c r="A31" s="1" t="s">
        <v>112</v>
      </c>
      <c r="B31" s="55" t="s">
        <v>96</v>
      </c>
      <c r="C31" s="60" t="s">
        <v>48</v>
      </c>
      <c r="D31" s="31">
        <f>D33+D34+D35</f>
        <v>218445.8</v>
      </c>
      <c r="E31" s="31">
        <f>E33+E34+E35</f>
        <v>-6258.5</v>
      </c>
      <c r="F31" s="31">
        <f t="shared" si="0"/>
        <v>212187.3</v>
      </c>
      <c r="G31" s="31">
        <f>G33+G34+G35</f>
        <v>0</v>
      </c>
      <c r="H31" s="31">
        <f t="shared" si="1"/>
        <v>212187.3</v>
      </c>
      <c r="I31" s="31">
        <f>I33+I34+I35</f>
        <v>0</v>
      </c>
      <c r="J31" s="31">
        <f t="shared" si="2"/>
        <v>212187.3</v>
      </c>
      <c r="K31" s="31">
        <f>K33+K34+K35</f>
        <v>-61398.193999999989</v>
      </c>
      <c r="L31" s="31">
        <f t="shared" si="3"/>
        <v>150789.106</v>
      </c>
      <c r="M31" s="31">
        <f>M33+M34+M35</f>
        <v>0</v>
      </c>
      <c r="N31" s="31">
        <f t="shared" si="9"/>
        <v>150789.106</v>
      </c>
      <c r="O31" s="32">
        <f>O33+O34+O35</f>
        <v>-4619.2309999999998</v>
      </c>
      <c r="P31" s="31">
        <f t="shared" si="10"/>
        <v>146169.875</v>
      </c>
    </row>
    <row r="32" spans="1:18" x14ac:dyDescent="0.25">
      <c r="A32" s="1"/>
      <c r="B32" s="10" t="s">
        <v>2</v>
      </c>
      <c r="C32" s="4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2"/>
      <c r="P32" s="31"/>
    </row>
    <row r="33" spans="1:18" hidden="1" x14ac:dyDescent="0.25">
      <c r="A33" s="1"/>
      <c r="B33" s="4" t="s">
        <v>3</v>
      </c>
      <c r="C33" s="4"/>
      <c r="D33" s="31">
        <v>40266.699999999997</v>
      </c>
      <c r="E33" s="31">
        <v>-6258.5</v>
      </c>
      <c r="F33" s="31">
        <f t="shared" si="0"/>
        <v>34008.199999999997</v>
      </c>
      <c r="G33" s="31"/>
      <c r="H33" s="31">
        <f t="shared" ref="H33:H43" si="11">F33+G33</f>
        <v>34008.199999999997</v>
      </c>
      <c r="I33" s="31"/>
      <c r="J33" s="31">
        <f t="shared" ref="J33:J43" si="12">H33+I33</f>
        <v>34008.199999999997</v>
      </c>
      <c r="K33" s="31">
        <f>15742.085+85.946-23500.281</f>
        <v>-7672.25</v>
      </c>
      <c r="L33" s="31">
        <f t="shared" ref="L33:L43" si="13">J33+K33</f>
        <v>26335.949999999997</v>
      </c>
      <c r="M33" s="31"/>
      <c r="N33" s="31">
        <f t="shared" ref="N33:N37" si="14">L33+M33</f>
        <v>26335.949999999997</v>
      </c>
      <c r="O33" s="32">
        <v>-4619.2309999999998</v>
      </c>
      <c r="P33" s="31">
        <f t="shared" ref="P33:P37" si="15">N33+O33</f>
        <v>21716.718999999997</v>
      </c>
      <c r="Q33" s="22" t="s">
        <v>258</v>
      </c>
      <c r="R33" s="8">
        <v>0</v>
      </c>
    </row>
    <row r="34" spans="1:18" x14ac:dyDescent="0.25">
      <c r="A34" s="1"/>
      <c r="B34" s="4" t="s">
        <v>17</v>
      </c>
      <c r="C34" s="4"/>
      <c r="D34" s="31">
        <v>127684.3</v>
      </c>
      <c r="E34" s="31"/>
      <c r="F34" s="31">
        <f t="shared" si="0"/>
        <v>127684.3</v>
      </c>
      <c r="G34" s="31">
        <f>-18676+18676</f>
        <v>0</v>
      </c>
      <c r="H34" s="31">
        <f t="shared" si="11"/>
        <v>127684.3</v>
      </c>
      <c r="I34" s="31"/>
      <c r="J34" s="31">
        <f t="shared" si="12"/>
        <v>127684.3</v>
      </c>
      <c r="K34" s="31">
        <f>-18676.2-70500.844+4297.3</f>
        <v>-84879.743999999992</v>
      </c>
      <c r="L34" s="31">
        <f t="shared" si="13"/>
        <v>42804.556000000011</v>
      </c>
      <c r="M34" s="31"/>
      <c r="N34" s="31">
        <f t="shared" si="14"/>
        <v>42804.556000000011</v>
      </c>
      <c r="O34" s="32"/>
      <c r="P34" s="31">
        <f t="shared" si="15"/>
        <v>42804.556000000011</v>
      </c>
      <c r="Q34" s="22" t="s">
        <v>210</v>
      </c>
    </row>
    <row r="35" spans="1:18" x14ac:dyDescent="0.25">
      <c r="A35" s="1"/>
      <c r="B35" s="12" t="s">
        <v>21</v>
      </c>
      <c r="C35" s="4"/>
      <c r="D35" s="31">
        <v>50494.8</v>
      </c>
      <c r="E35" s="31"/>
      <c r="F35" s="31">
        <f t="shared" si="0"/>
        <v>50494.8</v>
      </c>
      <c r="G35" s="31">
        <f>-50495+50495</f>
        <v>0</v>
      </c>
      <c r="H35" s="31">
        <f t="shared" si="11"/>
        <v>50494.8</v>
      </c>
      <c r="I35" s="31"/>
      <c r="J35" s="31">
        <f t="shared" si="12"/>
        <v>50494.8</v>
      </c>
      <c r="K35" s="31">
        <f>-50494.8+81648.6</f>
        <v>31153.800000000003</v>
      </c>
      <c r="L35" s="31">
        <f t="shared" si="13"/>
        <v>81648.600000000006</v>
      </c>
      <c r="M35" s="31"/>
      <c r="N35" s="31">
        <f t="shared" si="14"/>
        <v>81648.600000000006</v>
      </c>
      <c r="O35" s="32"/>
      <c r="P35" s="31">
        <f t="shared" si="15"/>
        <v>81648.600000000006</v>
      </c>
      <c r="Q35" s="22" t="s">
        <v>209</v>
      </c>
    </row>
    <row r="36" spans="1:18" ht="62.25" customHeight="1" x14ac:dyDescent="0.25">
      <c r="A36" s="1" t="s">
        <v>113</v>
      </c>
      <c r="B36" s="55" t="s">
        <v>89</v>
      </c>
      <c r="C36" s="4" t="s">
        <v>12</v>
      </c>
      <c r="D36" s="31">
        <v>16047.4</v>
      </c>
      <c r="E36" s="31"/>
      <c r="F36" s="31">
        <f t="shared" si="0"/>
        <v>16047.4</v>
      </c>
      <c r="G36" s="31"/>
      <c r="H36" s="31">
        <f t="shared" si="11"/>
        <v>16047.4</v>
      </c>
      <c r="I36" s="31"/>
      <c r="J36" s="31">
        <f t="shared" si="12"/>
        <v>16047.4</v>
      </c>
      <c r="K36" s="31"/>
      <c r="L36" s="31">
        <f t="shared" si="13"/>
        <v>16047.4</v>
      </c>
      <c r="M36" s="31"/>
      <c r="N36" s="31">
        <f t="shared" si="14"/>
        <v>16047.4</v>
      </c>
      <c r="O36" s="32"/>
      <c r="P36" s="31">
        <f t="shared" si="15"/>
        <v>16047.4</v>
      </c>
      <c r="Q36" s="22" t="s">
        <v>98</v>
      </c>
    </row>
    <row r="37" spans="1:18" ht="64.5" customHeight="1" x14ac:dyDescent="0.25">
      <c r="A37" s="1" t="s">
        <v>110</v>
      </c>
      <c r="B37" s="55" t="s">
        <v>255</v>
      </c>
      <c r="C37" s="4" t="s">
        <v>12</v>
      </c>
      <c r="D37" s="31">
        <v>7183.8</v>
      </c>
      <c r="E37" s="31"/>
      <c r="F37" s="31">
        <f t="shared" si="0"/>
        <v>7183.8</v>
      </c>
      <c r="G37" s="31"/>
      <c r="H37" s="31">
        <f t="shared" si="11"/>
        <v>7183.8</v>
      </c>
      <c r="I37" s="31"/>
      <c r="J37" s="31">
        <f t="shared" si="12"/>
        <v>7183.8</v>
      </c>
      <c r="K37" s="31">
        <f>K39+K40+K41</f>
        <v>12816.2</v>
      </c>
      <c r="L37" s="31">
        <f t="shared" si="13"/>
        <v>20000</v>
      </c>
      <c r="M37" s="31">
        <f>M39+M40+M41</f>
        <v>0</v>
      </c>
      <c r="N37" s="31">
        <f t="shared" si="14"/>
        <v>20000</v>
      </c>
      <c r="O37" s="32">
        <f>O39+O40+O41</f>
        <v>0</v>
      </c>
      <c r="P37" s="31">
        <f t="shared" si="15"/>
        <v>20000</v>
      </c>
    </row>
    <row r="38" spans="1:18" x14ac:dyDescent="0.25">
      <c r="A38" s="1"/>
      <c r="B38" s="10" t="s">
        <v>2</v>
      </c>
      <c r="C38" s="4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2"/>
      <c r="P38" s="31"/>
    </row>
    <row r="39" spans="1:18" hidden="1" x14ac:dyDescent="0.25">
      <c r="A39" s="1"/>
      <c r="B39" s="4" t="s">
        <v>3</v>
      </c>
      <c r="C39" s="4"/>
      <c r="D39" s="31">
        <v>7183.8</v>
      </c>
      <c r="E39" s="31"/>
      <c r="F39" s="31">
        <f t="shared" si="0"/>
        <v>7183.8</v>
      </c>
      <c r="G39" s="31"/>
      <c r="H39" s="31">
        <f t="shared" si="11"/>
        <v>7183.8</v>
      </c>
      <c r="I39" s="31"/>
      <c r="J39" s="31">
        <f t="shared" si="12"/>
        <v>7183.8</v>
      </c>
      <c r="K39" s="31">
        <v>-7183.8</v>
      </c>
      <c r="L39" s="31">
        <f t="shared" si="13"/>
        <v>0</v>
      </c>
      <c r="M39" s="31"/>
      <c r="N39" s="31">
        <f t="shared" ref="N39:N43" si="16">L39+M39</f>
        <v>0</v>
      </c>
      <c r="O39" s="32"/>
      <c r="P39" s="31">
        <f t="shared" ref="P39:P43" si="17">N39+O39</f>
        <v>0</v>
      </c>
      <c r="Q39" s="22" t="s">
        <v>99</v>
      </c>
      <c r="R39" s="8">
        <v>0</v>
      </c>
    </row>
    <row r="40" spans="1:18" x14ac:dyDescent="0.25">
      <c r="A40" s="1"/>
      <c r="B40" s="4" t="s">
        <v>17</v>
      </c>
      <c r="C40" s="4"/>
      <c r="D40" s="31"/>
      <c r="E40" s="31"/>
      <c r="F40" s="31"/>
      <c r="G40" s="31"/>
      <c r="H40" s="31"/>
      <c r="I40" s="31"/>
      <c r="J40" s="31"/>
      <c r="K40" s="31">
        <v>5400</v>
      </c>
      <c r="L40" s="31">
        <f t="shared" si="13"/>
        <v>5400</v>
      </c>
      <c r="M40" s="31"/>
      <c r="N40" s="31">
        <f t="shared" si="16"/>
        <v>5400</v>
      </c>
      <c r="O40" s="32"/>
      <c r="P40" s="31">
        <f t="shared" si="17"/>
        <v>5400</v>
      </c>
      <c r="Q40" s="22" t="s">
        <v>254</v>
      </c>
    </row>
    <row r="41" spans="1:18" x14ac:dyDescent="0.25">
      <c r="A41" s="1"/>
      <c r="B41" s="12" t="s">
        <v>21</v>
      </c>
      <c r="C41" s="4"/>
      <c r="D41" s="31"/>
      <c r="E41" s="31"/>
      <c r="F41" s="31"/>
      <c r="G41" s="31"/>
      <c r="H41" s="31"/>
      <c r="I41" s="31"/>
      <c r="J41" s="31"/>
      <c r="K41" s="31">
        <v>14600</v>
      </c>
      <c r="L41" s="31">
        <f t="shared" si="13"/>
        <v>14600</v>
      </c>
      <c r="M41" s="31"/>
      <c r="N41" s="31">
        <f t="shared" si="16"/>
        <v>14600</v>
      </c>
      <c r="O41" s="32"/>
      <c r="P41" s="31">
        <f t="shared" si="17"/>
        <v>14600</v>
      </c>
      <c r="Q41" s="22" t="s">
        <v>254</v>
      </c>
    </row>
    <row r="42" spans="1:18" ht="37.5" x14ac:dyDescent="0.25">
      <c r="A42" s="62" t="s">
        <v>108</v>
      </c>
      <c r="B42" s="82" t="s">
        <v>175</v>
      </c>
      <c r="C42" s="4" t="s">
        <v>12</v>
      </c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2">
        <v>13783.942999999999</v>
      </c>
      <c r="P42" s="31">
        <f t="shared" si="17"/>
        <v>13783.942999999999</v>
      </c>
      <c r="Q42" s="22" t="s">
        <v>276</v>
      </c>
    </row>
    <row r="43" spans="1:18" ht="59.25" customHeight="1" x14ac:dyDescent="0.25">
      <c r="A43" s="63"/>
      <c r="B43" s="84"/>
      <c r="C43" s="60" t="s">
        <v>48</v>
      </c>
      <c r="D43" s="31">
        <f>D45+D46</f>
        <v>54466.3</v>
      </c>
      <c r="E43" s="31">
        <f>E45+E46</f>
        <v>0</v>
      </c>
      <c r="F43" s="31">
        <f t="shared" si="0"/>
        <v>54466.3</v>
      </c>
      <c r="G43" s="31">
        <f>G45+G46</f>
        <v>76.576999999999998</v>
      </c>
      <c r="H43" s="31">
        <f t="shared" si="11"/>
        <v>54542.877</v>
      </c>
      <c r="I43" s="31">
        <f>I45+I46</f>
        <v>0</v>
      </c>
      <c r="J43" s="31">
        <f t="shared" si="12"/>
        <v>54542.877</v>
      </c>
      <c r="K43" s="31">
        <f>K45+K46</f>
        <v>922.12800000000004</v>
      </c>
      <c r="L43" s="31">
        <f t="shared" si="13"/>
        <v>55465.004999999997</v>
      </c>
      <c r="M43" s="31">
        <f>M45+M46</f>
        <v>0</v>
      </c>
      <c r="N43" s="31">
        <f t="shared" si="16"/>
        <v>55465.004999999997</v>
      </c>
      <c r="O43" s="32">
        <f>O45+O46</f>
        <v>0</v>
      </c>
      <c r="P43" s="31">
        <f t="shared" si="17"/>
        <v>55465.004999999997</v>
      </c>
    </row>
    <row r="44" spans="1:18" x14ac:dyDescent="0.25">
      <c r="A44" s="1"/>
      <c r="B44" s="10" t="s">
        <v>2</v>
      </c>
      <c r="C44" s="4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2"/>
      <c r="P44" s="31"/>
    </row>
    <row r="45" spans="1:18" hidden="1" x14ac:dyDescent="0.25">
      <c r="A45" s="1"/>
      <c r="B45" s="4" t="s">
        <v>3</v>
      </c>
      <c r="C45" s="4"/>
      <c r="D45" s="31"/>
      <c r="E45" s="31">
        <v>13605.1</v>
      </c>
      <c r="F45" s="31">
        <f t="shared" si="0"/>
        <v>13605.1</v>
      </c>
      <c r="G45" s="31">
        <v>76.576999999999998</v>
      </c>
      <c r="H45" s="31">
        <f t="shared" ref="H45:H48" si="18">F45+G45</f>
        <v>13681.677</v>
      </c>
      <c r="I45" s="31"/>
      <c r="J45" s="31">
        <f t="shared" ref="J45:J48" si="19">H45+I45</f>
        <v>13681.677</v>
      </c>
      <c r="K45" s="31">
        <v>922.12800000000004</v>
      </c>
      <c r="L45" s="31">
        <f t="shared" ref="L45:L48" si="20">J45+K45</f>
        <v>14603.805</v>
      </c>
      <c r="M45" s="31"/>
      <c r="N45" s="31">
        <f t="shared" ref="N45:N48" si="21">L45+M45</f>
        <v>14603.805</v>
      </c>
      <c r="O45" s="32"/>
      <c r="P45" s="31">
        <f t="shared" ref="P45:P48" si="22">N45+O45</f>
        <v>14603.805</v>
      </c>
      <c r="Q45" s="22" t="s">
        <v>219</v>
      </c>
      <c r="R45" s="8">
        <v>0</v>
      </c>
    </row>
    <row r="46" spans="1:18" x14ac:dyDescent="0.25">
      <c r="A46" s="1"/>
      <c r="B46" s="4" t="s">
        <v>17</v>
      </c>
      <c r="C46" s="4"/>
      <c r="D46" s="31">
        <v>54466.3</v>
      </c>
      <c r="E46" s="31">
        <v>-13605.1</v>
      </c>
      <c r="F46" s="31">
        <f t="shared" si="0"/>
        <v>40861.200000000004</v>
      </c>
      <c r="G46" s="31"/>
      <c r="H46" s="31">
        <f t="shared" si="18"/>
        <v>40861.200000000004</v>
      </c>
      <c r="I46" s="31"/>
      <c r="J46" s="31">
        <f t="shared" si="19"/>
        <v>40861.200000000004</v>
      </c>
      <c r="K46" s="31"/>
      <c r="L46" s="31">
        <f t="shared" si="20"/>
        <v>40861.200000000004</v>
      </c>
      <c r="M46" s="31"/>
      <c r="N46" s="31">
        <f t="shared" si="21"/>
        <v>40861.200000000004</v>
      </c>
      <c r="O46" s="32"/>
      <c r="P46" s="31">
        <f t="shared" si="22"/>
        <v>40861.200000000004</v>
      </c>
      <c r="Q46" s="22" t="s">
        <v>165</v>
      </c>
    </row>
    <row r="47" spans="1:18" ht="61.5" customHeight="1" x14ac:dyDescent="0.25">
      <c r="A47" s="1" t="s">
        <v>111</v>
      </c>
      <c r="B47" s="55" t="s">
        <v>193</v>
      </c>
      <c r="C47" s="60" t="s">
        <v>48</v>
      </c>
      <c r="D47" s="31">
        <v>128574.9</v>
      </c>
      <c r="E47" s="31"/>
      <c r="F47" s="31">
        <f t="shared" si="0"/>
        <v>128574.9</v>
      </c>
      <c r="G47" s="31">
        <v>-60684.112000000001</v>
      </c>
      <c r="H47" s="31">
        <f t="shared" si="18"/>
        <v>67890.788</v>
      </c>
      <c r="I47" s="31"/>
      <c r="J47" s="31">
        <f t="shared" si="19"/>
        <v>67890.788</v>
      </c>
      <c r="K47" s="31"/>
      <c r="L47" s="31">
        <f t="shared" si="20"/>
        <v>67890.788</v>
      </c>
      <c r="M47" s="31"/>
      <c r="N47" s="31">
        <f t="shared" si="21"/>
        <v>67890.788</v>
      </c>
      <c r="O47" s="32"/>
      <c r="P47" s="31">
        <f t="shared" si="22"/>
        <v>67890.788</v>
      </c>
      <c r="Q47" s="22" t="s">
        <v>100</v>
      </c>
    </row>
    <row r="48" spans="1:18" ht="63" customHeight="1" x14ac:dyDescent="0.25">
      <c r="A48" s="1" t="s">
        <v>114</v>
      </c>
      <c r="B48" s="55" t="s">
        <v>90</v>
      </c>
      <c r="C48" s="60" t="s">
        <v>48</v>
      </c>
      <c r="D48" s="31">
        <f>D50+D51</f>
        <v>202475.1</v>
      </c>
      <c r="E48" s="31">
        <f>E50+E51</f>
        <v>28414.63499999998</v>
      </c>
      <c r="F48" s="31">
        <f t="shared" si="0"/>
        <v>230889.73499999999</v>
      </c>
      <c r="G48" s="31">
        <f>G50+G51</f>
        <v>32684.112000000001</v>
      </c>
      <c r="H48" s="31">
        <f t="shared" si="18"/>
        <v>263573.84700000001</v>
      </c>
      <c r="I48" s="31">
        <f>I50+I51</f>
        <v>0</v>
      </c>
      <c r="J48" s="31">
        <f t="shared" si="19"/>
        <v>263573.84700000001</v>
      </c>
      <c r="K48" s="31">
        <f>K50+K51</f>
        <v>-180013.61299999998</v>
      </c>
      <c r="L48" s="31">
        <f t="shared" si="20"/>
        <v>83560.234000000026</v>
      </c>
      <c r="M48" s="31">
        <f>M50+M51</f>
        <v>0</v>
      </c>
      <c r="N48" s="31">
        <f t="shared" si="21"/>
        <v>83560.234000000026</v>
      </c>
      <c r="O48" s="32">
        <f>O50+O51</f>
        <v>0</v>
      </c>
      <c r="P48" s="31">
        <f t="shared" si="22"/>
        <v>83560.234000000026</v>
      </c>
    </row>
    <row r="49" spans="1:18" x14ac:dyDescent="0.25">
      <c r="A49" s="1"/>
      <c r="B49" s="10" t="s">
        <v>2</v>
      </c>
      <c r="C49" s="4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2"/>
      <c r="P49" s="31"/>
    </row>
    <row r="50" spans="1:18" hidden="1" x14ac:dyDescent="0.25">
      <c r="A50" s="1"/>
      <c r="B50" s="4" t="s">
        <v>3</v>
      </c>
      <c r="C50" s="4"/>
      <c r="D50" s="31">
        <v>69858.100000000006</v>
      </c>
      <c r="E50" s="31">
        <f>-69858.1+24442.7+3971.935</f>
        <v>-41443.465000000011</v>
      </c>
      <c r="F50" s="31">
        <f t="shared" si="0"/>
        <v>28414.634999999995</v>
      </c>
      <c r="G50" s="31">
        <v>32684.112000000001</v>
      </c>
      <c r="H50" s="31">
        <f t="shared" ref="H50:H52" si="23">F50+G50</f>
        <v>61098.746999999996</v>
      </c>
      <c r="I50" s="31"/>
      <c r="J50" s="31">
        <f t="shared" ref="J50:J52" si="24">H50+I50</f>
        <v>61098.746999999996</v>
      </c>
      <c r="K50" s="31">
        <f>-36656.047-13788.766</f>
        <v>-50444.812999999995</v>
      </c>
      <c r="L50" s="31">
        <f t="shared" ref="L50:L52" si="25">J50+K50</f>
        <v>10653.934000000001</v>
      </c>
      <c r="M50" s="31"/>
      <c r="N50" s="31">
        <f t="shared" ref="N50:N52" si="26">L50+M50</f>
        <v>10653.934000000001</v>
      </c>
      <c r="O50" s="32"/>
      <c r="P50" s="31">
        <f t="shared" ref="P50:P52" si="27">N50+O50</f>
        <v>10653.934000000001</v>
      </c>
      <c r="Q50" s="22" t="s">
        <v>183</v>
      </c>
      <c r="R50" s="8">
        <v>0</v>
      </c>
    </row>
    <row r="51" spans="1:18" x14ac:dyDescent="0.25">
      <c r="A51" s="1"/>
      <c r="B51" s="4" t="s">
        <v>17</v>
      </c>
      <c r="C51" s="4"/>
      <c r="D51" s="31">
        <v>132617</v>
      </c>
      <c r="E51" s="31">
        <f>73327.9-3469.8</f>
        <v>69858.099999999991</v>
      </c>
      <c r="F51" s="31">
        <f t="shared" si="0"/>
        <v>202475.09999999998</v>
      </c>
      <c r="G51" s="31"/>
      <c r="H51" s="31">
        <f t="shared" si="23"/>
        <v>202475.09999999998</v>
      </c>
      <c r="I51" s="31"/>
      <c r="J51" s="31">
        <f t="shared" si="24"/>
        <v>202475.09999999998</v>
      </c>
      <c r="K51" s="31">
        <f>-41366.1-88202.7</f>
        <v>-129568.79999999999</v>
      </c>
      <c r="L51" s="31">
        <f t="shared" si="25"/>
        <v>72906.299999999988</v>
      </c>
      <c r="M51" s="31"/>
      <c r="N51" s="31">
        <f t="shared" si="26"/>
        <v>72906.299999999988</v>
      </c>
      <c r="O51" s="32"/>
      <c r="P51" s="31">
        <f t="shared" si="27"/>
        <v>72906.299999999988</v>
      </c>
      <c r="Q51" s="22" t="s">
        <v>184</v>
      </c>
    </row>
    <row r="52" spans="1:18" ht="42" hidden="1" customHeight="1" x14ac:dyDescent="0.25">
      <c r="A52" s="1" t="s">
        <v>115</v>
      </c>
      <c r="B52" s="13" t="s">
        <v>90</v>
      </c>
      <c r="C52" s="4" t="s">
        <v>12</v>
      </c>
      <c r="D52" s="31">
        <f>D54+D55</f>
        <v>20807.899999999998</v>
      </c>
      <c r="E52" s="31">
        <f>E54+E55</f>
        <v>0</v>
      </c>
      <c r="F52" s="31">
        <f t="shared" si="0"/>
        <v>20807.899999999998</v>
      </c>
      <c r="G52" s="31">
        <f>G54+G55</f>
        <v>0</v>
      </c>
      <c r="H52" s="31">
        <f t="shared" si="23"/>
        <v>20807.899999999998</v>
      </c>
      <c r="I52" s="31">
        <f>I54+I55</f>
        <v>0</v>
      </c>
      <c r="J52" s="31">
        <f t="shared" si="24"/>
        <v>20807.899999999998</v>
      </c>
      <c r="K52" s="31">
        <f>K54+K55</f>
        <v>-20807.900000000001</v>
      </c>
      <c r="L52" s="31">
        <f t="shared" si="25"/>
        <v>0</v>
      </c>
      <c r="M52" s="31">
        <f>M54+M55</f>
        <v>0</v>
      </c>
      <c r="N52" s="31">
        <f t="shared" si="26"/>
        <v>0</v>
      </c>
      <c r="O52" s="32">
        <f>O54+O55</f>
        <v>0</v>
      </c>
      <c r="P52" s="31">
        <f t="shared" si="27"/>
        <v>0</v>
      </c>
      <c r="R52" s="8">
        <v>0</v>
      </c>
    </row>
    <row r="53" spans="1:18" hidden="1" x14ac:dyDescent="0.25">
      <c r="A53" s="1"/>
      <c r="B53" s="10" t="s">
        <v>2</v>
      </c>
      <c r="C53" s="4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2"/>
      <c r="P53" s="31"/>
      <c r="R53" s="8">
        <v>0</v>
      </c>
    </row>
    <row r="54" spans="1:18" hidden="1" x14ac:dyDescent="0.25">
      <c r="A54" s="1"/>
      <c r="B54" s="4" t="s">
        <v>3</v>
      </c>
      <c r="C54" s="4"/>
      <c r="D54" s="31">
        <v>16943.099999999999</v>
      </c>
      <c r="E54" s="31">
        <v>-3469.8</v>
      </c>
      <c r="F54" s="31">
        <f t="shared" si="0"/>
        <v>13473.3</v>
      </c>
      <c r="G54" s="31"/>
      <c r="H54" s="31">
        <f t="shared" ref="H54:H56" si="28">F54+G54</f>
        <v>13473.3</v>
      </c>
      <c r="I54" s="31"/>
      <c r="J54" s="31">
        <f t="shared" ref="J54:J56" si="29">H54+I54</f>
        <v>13473.3</v>
      </c>
      <c r="K54" s="31">
        <v>-13473.3</v>
      </c>
      <c r="L54" s="31">
        <f t="shared" ref="L54:L56" si="30">J54+K54</f>
        <v>0</v>
      </c>
      <c r="M54" s="31"/>
      <c r="N54" s="31">
        <f t="shared" ref="N54:N56" si="31">L54+M54</f>
        <v>0</v>
      </c>
      <c r="O54" s="32"/>
      <c r="P54" s="31">
        <f t="shared" ref="P54:P56" si="32">N54+O54</f>
        <v>0</v>
      </c>
      <c r="Q54" s="22" t="s">
        <v>187</v>
      </c>
      <c r="R54" s="8">
        <v>0</v>
      </c>
    </row>
    <row r="55" spans="1:18" hidden="1" x14ac:dyDescent="0.25">
      <c r="A55" s="1"/>
      <c r="B55" s="4" t="s">
        <v>17</v>
      </c>
      <c r="C55" s="4"/>
      <c r="D55" s="31">
        <v>3864.8</v>
      </c>
      <c r="E55" s="31">
        <f>3469.8</f>
        <v>3469.8</v>
      </c>
      <c r="F55" s="31">
        <f t="shared" si="0"/>
        <v>7334.6</v>
      </c>
      <c r="G55" s="31"/>
      <c r="H55" s="31">
        <f t="shared" si="28"/>
        <v>7334.6</v>
      </c>
      <c r="I55" s="31"/>
      <c r="J55" s="31">
        <f t="shared" si="29"/>
        <v>7334.6</v>
      </c>
      <c r="K55" s="31">
        <v>-7334.6</v>
      </c>
      <c r="L55" s="31">
        <f t="shared" si="30"/>
        <v>0</v>
      </c>
      <c r="M55" s="31"/>
      <c r="N55" s="31">
        <f t="shared" si="31"/>
        <v>0</v>
      </c>
      <c r="O55" s="32"/>
      <c r="P55" s="31">
        <f t="shared" si="32"/>
        <v>0</v>
      </c>
      <c r="Q55" s="22" t="s">
        <v>188</v>
      </c>
      <c r="R55" s="8">
        <v>0</v>
      </c>
    </row>
    <row r="56" spans="1:18" ht="63.75" customHeight="1" x14ac:dyDescent="0.25">
      <c r="A56" s="1" t="s">
        <v>115</v>
      </c>
      <c r="B56" s="55" t="s">
        <v>91</v>
      </c>
      <c r="C56" s="60" t="s">
        <v>48</v>
      </c>
      <c r="D56" s="31">
        <f>D58+D59</f>
        <v>186468.6</v>
      </c>
      <c r="E56" s="31">
        <f>E58+E59</f>
        <v>0</v>
      </c>
      <c r="F56" s="31">
        <f t="shared" si="0"/>
        <v>186468.6</v>
      </c>
      <c r="G56" s="31">
        <f>G58+G59</f>
        <v>0</v>
      </c>
      <c r="H56" s="31">
        <f t="shared" si="28"/>
        <v>186468.6</v>
      </c>
      <c r="I56" s="31">
        <f>I58+I59</f>
        <v>0</v>
      </c>
      <c r="J56" s="31">
        <f t="shared" si="29"/>
        <v>186468.6</v>
      </c>
      <c r="K56" s="31">
        <f>K58+K59+K60</f>
        <v>-3.3999999985098839E-2</v>
      </c>
      <c r="L56" s="31">
        <f t="shared" si="30"/>
        <v>186468.56600000002</v>
      </c>
      <c r="M56" s="31">
        <f>M58+M59+M60</f>
        <v>0</v>
      </c>
      <c r="N56" s="31">
        <f t="shared" si="31"/>
        <v>186468.56600000002</v>
      </c>
      <c r="O56" s="32">
        <f>O58+O59+O60</f>
        <v>0</v>
      </c>
      <c r="P56" s="31">
        <f t="shared" si="32"/>
        <v>186468.56600000002</v>
      </c>
    </row>
    <row r="57" spans="1:18" hidden="1" x14ac:dyDescent="0.25">
      <c r="A57" s="1"/>
      <c r="B57" s="10" t="s">
        <v>2</v>
      </c>
      <c r="C57" s="4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2"/>
      <c r="P57" s="31"/>
      <c r="R57" s="8">
        <v>0</v>
      </c>
    </row>
    <row r="58" spans="1:18" hidden="1" x14ac:dyDescent="0.25">
      <c r="A58" s="1"/>
      <c r="B58" s="4" t="s">
        <v>3</v>
      </c>
      <c r="C58" s="4"/>
      <c r="D58" s="31">
        <v>126745.8</v>
      </c>
      <c r="E58" s="31">
        <f>-19907.6-72378.8+152009.2</f>
        <v>59722.800000000017</v>
      </c>
      <c r="F58" s="31">
        <f t="shared" si="0"/>
        <v>186468.60000000003</v>
      </c>
      <c r="G58" s="31"/>
      <c r="H58" s="31">
        <f t="shared" ref="H58:H74" si="33">F58+G58</f>
        <v>186468.60000000003</v>
      </c>
      <c r="I58" s="31"/>
      <c r="J58" s="31">
        <f t="shared" ref="J58:J74" si="34">H58+I58</f>
        <v>186468.60000000003</v>
      </c>
      <c r="K58" s="31">
        <f>-34459.4-133695.547+42038.728</f>
        <v>-126116.21899999998</v>
      </c>
      <c r="L58" s="31">
        <f t="shared" ref="L58:L74" si="35">J58+K58</f>
        <v>60352.381000000052</v>
      </c>
      <c r="M58" s="31"/>
      <c r="N58" s="31">
        <f t="shared" ref="N58:N59" si="36">L58+M58</f>
        <v>60352.381000000052</v>
      </c>
      <c r="O58" s="32"/>
      <c r="P58" s="31">
        <f t="shared" ref="P58:P59" si="37">N58+O58</f>
        <v>60352.381000000052</v>
      </c>
      <c r="Q58" s="22" t="s">
        <v>261</v>
      </c>
      <c r="R58" s="8">
        <v>0</v>
      </c>
    </row>
    <row r="59" spans="1:18" hidden="1" x14ac:dyDescent="0.25">
      <c r="A59" s="1"/>
      <c r="B59" s="4" t="s">
        <v>17</v>
      </c>
      <c r="C59" s="4"/>
      <c r="D59" s="31">
        <v>59722.8</v>
      </c>
      <c r="E59" s="31">
        <v>-59722.8</v>
      </c>
      <c r="F59" s="31">
        <f t="shared" si="0"/>
        <v>0</v>
      </c>
      <c r="G59" s="31"/>
      <c r="H59" s="31">
        <f t="shared" si="33"/>
        <v>0</v>
      </c>
      <c r="I59" s="31"/>
      <c r="J59" s="31">
        <f t="shared" si="34"/>
        <v>0</v>
      </c>
      <c r="K59" s="31">
        <v>126116.185</v>
      </c>
      <c r="L59" s="31">
        <f t="shared" si="35"/>
        <v>126116.185</v>
      </c>
      <c r="M59" s="31"/>
      <c r="N59" s="31">
        <f t="shared" si="36"/>
        <v>126116.185</v>
      </c>
      <c r="O59" s="32"/>
      <c r="P59" s="31">
        <f t="shared" si="37"/>
        <v>126116.185</v>
      </c>
      <c r="Q59" s="22" t="s">
        <v>165</v>
      </c>
      <c r="R59" s="8">
        <v>0</v>
      </c>
    </row>
    <row r="60" spans="1:18" hidden="1" x14ac:dyDescent="0.25">
      <c r="A60" s="1"/>
      <c r="B60" s="12" t="s">
        <v>21</v>
      </c>
      <c r="C60" s="4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2"/>
      <c r="P60" s="31"/>
      <c r="R60" s="8">
        <v>0</v>
      </c>
    </row>
    <row r="61" spans="1:18" ht="60.75" customHeight="1" x14ac:dyDescent="0.25">
      <c r="A61" s="1" t="s">
        <v>116</v>
      </c>
      <c r="B61" s="55" t="s">
        <v>92</v>
      </c>
      <c r="C61" s="60" t="s">
        <v>48</v>
      </c>
      <c r="D61" s="31">
        <v>10287.200000000001</v>
      </c>
      <c r="E61" s="31">
        <f>-10287.2+10287.2</f>
        <v>0</v>
      </c>
      <c r="F61" s="31">
        <f t="shared" si="0"/>
        <v>10287.200000000001</v>
      </c>
      <c r="G61" s="31">
        <v>14483.197</v>
      </c>
      <c r="H61" s="31">
        <f t="shared" si="33"/>
        <v>24770.397000000001</v>
      </c>
      <c r="I61" s="31"/>
      <c r="J61" s="31">
        <f t="shared" si="34"/>
        <v>24770.397000000001</v>
      </c>
      <c r="K61" s="31">
        <f>62426.148-16000</f>
        <v>46426.148000000001</v>
      </c>
      <c r="L61" s="31">
        <f t="shared" si="35"/>
        <v>71196.544999999998</v>
      </c>
      <c r="M61" s="31"/>
      <c r="N61" s="31">
        <f t="shared" ref="N61:N68" si="38">L61+M61</f>
        <v>71196.544999999998</v>
      </c>
      <c r="O61" s="32"/>
      <c r="P61" s="31">
        <f t="shared" ref="P61:P68" si="39">N61+O61</f>
        <v>71196.544999999998</v>
      </c>
      <c r="Q61" s="22" t="s">
        <v>182</v>
      </c>
    </row>
    <row r="62" spans="1:18" ht="61.5" customHeight="1" x14ac:dyDescent="0.25">
      <c r="A62" s="1" t="s">
        <v>117</v>
      </c>
      <c r="B62" s="12" t="s">
        <v>176</v>
      </c>
      <c r="C62" s="60" t="s">
        <v>48</v>
      </c>
      <c r="D62" s="31">
        <v>7133.5</v>
      </c>
      <c r="E62" s="31"/>
      <c r="F62" s="31">
        <f t="shared" si="0"/>
        <v>7133.5</v>
      </c>
      <c r="G62" s="31"/>
      <c r="H62" s="31">
        <f t="shared" si="33"/>
        <v>7133.5</v>
      </c>
      <c r="I62" s="31"/>
      <c r="J62" s="31">
        <f t="shared" si="34"/>
        <v>7133.5</v>
      </c>
      <c r="K62" s="31"/>
      <c r="L62" s="31">
        <f t="shared" si="35"/>
        <v>7133.5</v>
      </c>
      <c r="M62" s="31"/>
      <c r="N62" s="31">
        <f t="shared" si="38"/>
        <v>7133.5</v>
      </c>
      <c r="O62" s="32"/>
      <c r="P62" s="31">
        <f t="shared" si="39"/>
        <v>7133.5</v>
      </c>
      <c r="Q62" s="22" t="s">
        <v>101</v>
      </c>
    </row>
    <row r="63" spans="1:18" ht="60.75" customHeight="1" x14ac:dyDescent="0.25">
      <c r="A63" s="1" t="s">
        <v>118</v>
      </c>
      <c r="B63" s="55" t="s">
        <v>177</v>
      </c>
      <c r="C63" s="60" t="s">
        <v>48</v>
      </c>
      <c r="D63" s="31">
        <v>140889.70000000001</v>
      </c>
      <c r="E63" s="31"/>
      <c r="F63" s="31">
        <f t="shared" si="0"/>
        <v>140889.70000000001</v>
      </c>
      <c r="G63" s="31">
        <v>-25982.239000000001</v>
      </c>
      <c r="H63" s="31">
        <f t="shared" si="33"/>
        <v>114907.46100000001</v>
      </c>
      <c r="I63" s="31"/>
      <c r="J63" s="31">
        <f t="shared" si="34"/>
        <v>114907.46100000001</v>
      </c>
      <c r="K63" s="31"/>
      <c r="L63" s="31">
        <f t="shared" si="35"/>
        <v>114907.46100000001</v>
      </c>
      <c r="M63" s="31"/>
      <c r="N63" s="31">
        <f t="shared" si="38"/>
        <v>114907.46100000001</v>
      </c>
      <c r="O63" s="32"/>
      <c r="P63" s="31">
        <f t="shared" si="39"/>
        <v>114907.46100000001</v>
      </c>
      <c r="Q63" s="22" t="s">
        <v>102</v>
      </c>
    </row>
    <row r="64" spans="1:18" ht="37.5" x14ac:dyDescent="0.25">
      <c r="A64" s="1" t="s">
        <v>119</v>
      </c>
      <c r="B64" s="55" t="s">
        <v>93</v>
      </c>
      <c r="C64" s="4" t="s">
        <v>12</v>
      </c>
      <c r="D64" s="31">
        <v>16000</v>
      </c>
      <c r="E64" s="31"/>
      <c r="F64" s="31">
        <f t="shared" si="0"/>
        <v>16000</v>
      </c>
      <c r="G64" s="31"/>
      <c r="H64" s="31">
        <f t="shared" si="33"/>
        <v>16000</v>
      </c>
      <c r="I64" s="31"/>
      <c r="J64" s="31">
        <f t="shared" si="34"/>
        <v>16000</v>
      </c>
      <c r="K64" s="31"/>
      <c r="L64" s="31">
        <f t="shared" si="35"/>
        <v>16000</v>
      </c>
      <c r="M64" s="31"/>
      <c r="N64" s="31">
        <f t="shared" si="38"/>
        <v>16000</v>
      </c>
      <c r="O64" s="32"/>
      <c r="P64" s="31">
        <f t="shared" si="39"/>
        <v>16000</v>
      </c>
      <c r="Q64" s="22" t="s">
        <v>103</v>
      </c>
    </row>
    <row r="65" spans="1:18" ht="37.5" x14ac:dyDescent="0.25">
      <c r="A65" s="1" t="s">
        <v>120</v>
      </c>
      <c r="B65" s="55" t="s">
        <v>94</v>
      </c>
      <c r="C65" s="4" t="s">
        <v>12</v>
      </c>
      <c r="D65" s="31">
        <v>622.9</v>
      </c>
      <c r="E65" s="31"/>
      <c r="F65" s="31">
        <f t="shared" si="0"/>
        <v>622.9</v>
      </c>
      <c r="G65" s="31"/>
      <c r="H65" s="31">
        <f t="shared" si="33"/>
        <v>622.9</v>
      </c>
      <c r="I65" s="31"/>
      <c r="J65" s="31">
        <f t="shared" si="34"/>
        <v>622.9</v>
      </c>
      <c r="K65" s="31"/>
      <c r="L65" s="31">
        <f t="shared" si="35"/>
        <v>622.9</v>
      </c>
      <c r="M65" s="31"/>
      <c r="N65" s="31">
        <f t="shared" si="38"/>
        <v>622.9</v>
      </c>
      <c r="O65" s="32"/>
      <c r="P65" s="31">
        <f t="shared" si="39"/>
        <v>622.9</v>
      </c>
      <c r="Q65" s="22" t="s">
        <v>104</v>
      </c>
    </row>
    <row r="66" spans="1:18" ht="49.5" customHeight="1" x14ac:dyDescent="0.25">
      <c r="A66" s="1" t="s">
        <v>121</v>
      </c>
      <c r="B66" s="55" t="s">
        <v>95</v>
      </c>
      <c r="C66" s="4" t="s">
        <v>12</v>
      </c>
      <c r="D66" s="31">
        <v>16000</v>
      </c>
      <c r="E66" s="31"/>
      <c r="F66" s="31">
        <f t="shared" si="0"/>
        <v>16000</v>
      </c>
      <c r="G66" s="31"/>
      <c r="H66" s="31">
        <f t="shared" si="33"/>
        <v>16000</v>
      </c>
      <c r="I66" s="31"/>
      <c r="J66" s="31">
        <f t="shared" si="34"/>
        <v>16000</v>
      </c>
      <c r="K66" s="31"/>
      <c r="L66" s="31">
        <f t="shared" si="35"/>
        <v>16000</v>
      </c>
      <c r="M66" s="31"/>
      <c r="N66" s="31">
        <f t="shared" si="38"/>
        <v>16000</v>
      </c>
      <c r="O66" s="32"/>
      <c r="P66" s="31">
        <f t="shared" si="39"/>
        <v>16000</v>
      </c>
      <c r="Q66" s="22" t="s">
        <v>105</v>
      </c>
    </row>
    <row r="67" spans="1:18" ht="37.5" x14ac:dyDescent="0.25">
      <c r="A67" s="1" t="s">
        <v>122</v>
      </c>
      <c r="B67" s="55" t="s">
        <v>97</v>
      </c>
      <c r="C67" s="4" t="s">
        <v>12</v>
      </c>
      <c r="D67" s="31">
        <v>14500</v>
      </c>
      <c r="E67" s="31"/>
      <c r="F67" s="31">
        <f t="shared" si="0"/>
        <v>14500</v>
      </c>
      <c r="G67" s="31"/>
      <c r="H67" s="31">
        <f t="shared" si="33"/>
        <v>14500</v>
      </c>
      <c r="I67" s="31"/>
      <c r="J67" s="31">
        <f t="shared" si="34"/>
        <v>14500</v>
      </c>
      <c r="K67" s="31"/>
      <c r="L67" s="31">
        <f t="shared" si="35"/>
        <v>14500</v>
      </c>
      <c r="M67" s="31"/>
      <c r="N67" s="31">
        <f t="shared" si="38"/>
        <v>14500</v>
      </c>
      <c r="O67" s="32"/>
      <c r="P67" s="31">
        <f t="shared" si="39"/>
        <v>14500</v>
      </c>
      <c r="Q67" s="22" t="s">
        <v>106</v>
      </c>
    </row>
    <row r="68" spans="1:18" ht="56.25" x14ac:dyDescent="0.25">
      <c r="A68" s="1" t="s">
        <v>123</v>
      </c>
      <c r="B68" s="55" t="s">
        <v>259</v>
      </c>
      <c r="C68" s="60" t="s">
        <v>48</v>
      </c>
      <c r="D68" s="31"/>
      <c r="E68" s="31"/>
      <c r="F68" s="31"/>
      <c r="G68" s="31"/>
      <c r="H68" s="31"/>
      <c r="I68" s="31"/>
      <c r="J68" s="31"/>
      <c r="K68" s="31">
        <f>K70+K71+K72</f>
        <v>71066.23</v>
      </c>
      <c r="L68" s="31">
        <f t="shared" si="35"/>
        <v>71066.23</v>
      </c>
      <c r="M68" s="31">
        <f>M70+M71+M72</f>
        <v>-8185.34</v>
      </c>
      <c r="N68" s="31">
        <f t="shared" si="38"/>
        <v>62880.89</v>
      </c>
      <c r="O68" s="32">
        <f>O70+O71+O72</f>
        <v>0</v>
      </c>
      <c r="P68" s="31">
        <f t="shared" si="39"/>
        <v>62880.89</v>
      </c>
    </row>
    <row r="69" spans="1:18" x14ac:dyDescent="0.25">
      <c r="A69" s="1"/>
      <c r="B69" s="10" t="s">
        <v>2</v>
      </c>
      <c r="C69" s="4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2"/>
      <c r="P69" s="31"/>
    </row>
    <row r="70" spans="1:18" hidden="1" x14ac:dyDescent="0.25">
      <c r="A70" s="1"/>
      <c r="B70" s="4" t="s">
        <v>3</v>
      </c>
      <c r="C70" s="4"/>
      <c r="D70" s="31"/>
      <c r="E70" s="31"/>
      <c r="F70" s="31"/>
      <c r="G70" s="31"/>
      <c r="H70" s="31"/>
      <c r="I70" s="31"/>
      <c r="J70" s="31"/>
      <c r="K70" s="31">
        <f>38804.2+32.23</f>
        <v>38836.43</v>
      </c>
      <c r="L70" s="31">
        <f t="shared" si="35"/>
        <v>38836.43</v>
      </c>
      <c r="M70" s="31">
        <v>-8185.34</v>
      </c>
      <c r="N70" s="31">
        <f t="shared" ref="N70:N74" si="40">L70+M70</f>
        <v>30651.09</v>
      </c>
      <c r="O70" s="32"/>
      <c r="P70" s="31">
        <f t="shared" ref="P70:P74" si="41">N70+O70</f>
        <v>30651.09</v>
      </c>
      <c r="Q70" s="22" t="s">
        <v>260</v>
      </c>
      <c r="R70" s="8">
        <v>0</v>
      </c>
    </row>
    <row r="71" spans="1:18" x14ac:dyDescent="0.25">
      <c r="A71" s="1"/>
      <c r="B71" s="4" t="s">
        <v>17</v>
      </c>
      <c r="C71" s="4"/>
      <c r="D71" s="31"/>
      <c r="E71" s="31"/>
      <c r="F71" s="31"/>
      <c r="G71" s="31"/>
      <c r="H71" s="31"/>
      <c r="I71" s="31"/>
      <c r="J71" s="31"/>
      <c r="K71" s="31">
        <v>1611.5</v>
      </c>
      <c r="L71" s="31">
        <f t="shared" si="35"/>
        <v>1611.5</v>
      </c>
      <c r="M71" s="31"/>
      <c r="N71" s="31">
        <f t="shared" si="40"/>
        <v>1611.5</v>
      </c>
      <c r="O71" s="32"/>
      <c r="P71" s="31">
        <f t="shared" si="41"/>
        <v>1611.5</v>
      </c>
      <c r="Q71" s="22" t="s">
        <v>254</v>
      </c>
    </row>
    <row r="72" spans="1:18" x14ac:dyDescent="0.25">
      <c r="A72" s="1"/>
      <c r="B72" s="12" t="s">
        <v>21</v>
      </c>
      <c r="C72" s="4"/>
      <c r="D72" s="31"/>
      <c r="E72" s="31"/>
      <c r="F72" s="31"/>
      <c r="G72" s="31"/>
      <c r="H72" s="31"/>
      <c r="I72" s="31"/>
      <c r="J72" s="31"/>
      <c r="K72" s="31">
        <v>30618.3</v>
      </c>
      <c r="L72" s="31">
        <f t="shared" si="35"/>
        <v>30618.3</v>
      </c>
      <c r="M72" s="31"/>
      <c r="N72" s="31">
        <f t="shared" si="40"/>
        <v>30618.3</v>
      </c>
      <c r="O72" s="32"/>
      <c r="P72" s="31">
        <f t="shared" si="41"/>
        <v>30618.3</v>
      </c>
      <c r="Q72" s="22" t="s">
        <v>254</v>
      </c>
    </row>
    <row r="73" spans="1:18" ht="37.5" x14ac:dyDescent="0.25">
      <c r="A73" s="1" t="s">
        <v>124</v>
      </c>
      <c r="B73" s="55" t="s">
        <v>262</v>
      </c>
      <c r="C73" s="4" t="s">
        <v>12</v>
      </c>
      <c r="D73" s="31"/>
      <c r="E73" s="31"/>
      <c r="F73" s="31"/>
      <c r="G73" s="31"/>
      <c r="H73" s="31"/>
      <c r="I73" s="31"/>
      <c r="J73" s="31"/>
      <c r="K73" s="31">
        <v>16000</v>
      </c>
      <c r="L73" s="31">
        <f t="shared" si="35"/>
        <v>16000</v>
      </c>
      <c r="M73" s="31"/>
      <c r="N73" s="31">
        <f t="shared" si="40"/>
        <v>16000</v>
      </c>
      <c r="O73" s="32">
        <v>-3578.4</v>
      </c>
      <c r="P73" s="31">
        <f t="shared" si="41"/>
        <v>12421.6</v>
      </c>
      <c r="Q73" s="22" t="s">
        <v>263</v>
      </c>
    </row>
    <row r="74" spans="1:18" x14ac:dyDescent="0.25">
      <c r="A74" s="1"/>
      <c r="B74" s="4" t="s">
        <v>4</v>
      </c>
      <c r="C74" s="60"/>
      <c r="D74" s="30">
        <f>D76+D77</f>
        <v>1387582.7000000002</v>
      </c>
      <c r="E74" s="30">
        <f>E76+E77+E78</f>
        <v>1231.5</v>
      </c>
      <c r="F74" s="30">
        <f t="shared" si="0"/>
        <v>1388814.2000000002</v>
      </c>
      <c r="G74" s="30">
        <f>G76+G77+G78</f>
        <v>63498.306000000004</v>
      </c>
      <c r="H74" s="30">
        <f t="shared" si="33"/>
        <v>1452312.5060000003</v>
      </c>
      <c r="I74" s="30">
        <f>I76+I77+I78</f>
        <v>0</v>
      </c>
      <c r="J74" s="30">
        <f t="shared" si="34"/>
        <v>1452312.5060000003</v>
      </c>
      <c r="K74" s="30">
        <f>K76+K77+K78</f>
        <v>-14206.919999999998</v>
      </c>
      <c r="L74" s="30">
        <f t="shared" si="35"/>
        <v>1438105.5860000004</v>
      </c>
      <c r="M74" s="30">
        <f>M76+M77+M78</f>
        <v>-15000</v>
      </c>
      <c r="N74" s="30">
        <f t="shared" si="40"/>
        <v>1423105.5860000004</v>
      </c>
      <c r="O74" s="30">
        <f>O76+O77+O78+O79</f>
        <v>1414056.1209999998</v>
      </c>
      <c r="P74" s="31">
        <f t="shared" si="41"/>
        <v>2837161.7070000004</v>
      </c>
    </row>
    <row r="75" spans="1:18" x14ac:dyDescent="0.25">
      <c r="A75" s="1"/>
      <c r="B75" s="10" t="s">
        <v>2</v>
      </c>
      <c r="C75" s="60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2"/>
      <c r="P75" s="31"/>
    </row>
    <row r="76" spans="1:18" hidden="1" x14ac:dyDescent="0.3">
      <c r="A76" s="1"/>
      <c r="B76" s="4" t="s">
        <v>3</v>
      </c>
      <c r="C76" s="4"/>
      <c r="D76" s="33">
        <f>D80+D82+D83+D84+D85+D86+D87+D88+D89+D90+D92+D94+D95+D98</f>
        <v>820066.20000000007</v>
      </c>
      <c r="E76" s="33">
        <f>E80+E82+E83+E84+E85+E86+E87+E88+E89+E90+E92+E94+E95+E98</f>
        <v>-129824.99999999999</v>
      </c>
      <c r="F76" s="31">
        <f t="shared" si="0"/>
        <v>690241.20000000007</v>
      </c>
      <c r="G76" s="33">
        <f>G80+G82+G83+G84+G85+G86+G87+G88+G89+G90+G92+G94+G95+G98+G81+G91+G93+G115+G109+G110+G111+G113+G114</f>
        <v>63498.306000000004</v>
      </c>
      <c r="H76" s="31">
        <f t="shared" ref="H76:H95" si="42">F76+G76</f>
        <v>753739.50600000005</v>
      </c>
      <c r="I76" s="33">
        <f>I80+I82+I83+I84+I85+I86+I87+I88+I89+I90+I92+I94+I95+I98+I81+I91+I93+I115+I109+I110+I111+I113+I114</f>
        <v>0</v>
      </c>
      <c r="J76" s="31">
        <f t="shared" ref="J76:J95" si="43">H76+I76</f>
        <v>753739.50600000005</v>
      </c>
      <c r="K76" s="33">
        <f>K80+K82+K83+K84+K85+K86+K87+K88+K89+K90+K92+K94+K95+K98+K81+K91+K93+K115+K109+K110+K111+K113+K114</f>
        <v>-14206.919999999998</v>
      </c>
      <c r="L76" s="31">
        <f t="shared" ref="L76:L95" si="44">J76+K76</f>
        <v>739532.58600000001</v>
      </c>
      <c r="M76" s="33">
        <f>M80+M82+M83+M84+M85+M86+M87+M88+M89+M90+M92+M94+M95+M98+M81+M91+M93+M115+M109+M110+M111+M113+M114</f>
        <v>-15000</v>
      </c>
      <c r="N76" s="31">
        <f t="shared" ref="N76:N95" si="45">L76+M76</f>
        <v>724532.58600000001</v>
      </c>
      <c r="O76" s="34">
        <f>O80+O82+O83+O84+O85+O86+O87+O88+O89+O90+O92+O94+O95+O98+O81+O91+O93+O115+O109+O110+O111+O113+O114+O112</f>
        <v>42277.493000000017</v>
      </c>
      <c r="P76" s="31">
        <f t="shared" ref="P76:P95" si="46">N76+O76</f>
        <v>766810.07900000003</v>
      </c>
      <c r="R76" s="8">
        <v>0</v>
      </c>
    </row>
    <row r="77" spans="1:18" x14ac:dyDescent="0.25">
      <c r="A77" s="54"/>
      <c r="B77" s="55" t="s">
        <v>17</v>
      </c>
      <c r="C77" s="60"/>
      <c r="D77" s="31">
        <f>D99+D104+D107</f>
        <v>567516.5</v>
      </c>
      <c r="E77" s="31">
        <f>E99+E104+E107</f>
        <v>-683.3</v>
      </c>
      <c r="F77" s="31">
        <f t="shared" si="0"/>
        <v>566833.19999999995</v>
      </c>
      <c r="G77" s="31">
        <f>G99+G104+G107</f>
        <v>0</v>
      </c>
      <c r="H77" s="31">
        <f t="shared" si="42"/>
        <v>566833.19999999995</v>
      </c>
      <c r="I77" s="31">
        <f>I99+I104+I107</f>
        <v>0</v>
      </c>
      <c r="J77" s="31">
        <f t="shared" si="43"/>
        <v>566833.19999999995</v>
      </c>
      <c r="K77" s="31">
        <f>K99+K104+K107</f>
        <v>0</v>
      </c>
      <c r="L77" s="31">
        <f t="shared" si="44"/>
        <v>566833.19999999995</v>
      </c>
      <c r="M77" s="31">
        <f>M99+M104+M107</f>
        <v>0</v>
      </c>
      <c r="N77" s="31">
        <f t="shared" si="45"/>
        <v>566833.19999999995</v>
      </c>
      <c r="O77" s="32">
        <f>O99+O104+O107</f>
        <v>194038.59600000002</v>
      </c>
      <c r="P77" s="31">
        <f t="shared" si="46"/>
        <v>760871.79599999997</v>
      </c>
    </row>
    <row r="78" spans="1:18" x14ac:dyDescent="0.25">
      <c r="A78" s="1"/>
      <c r="B78" s="4" t="s">
        <v>21</v>
      </c>
      <c r="C78" s="60"/>
      <c r="D78" s="31"/>
      <c r="E78" s="31">
        <f>E100+E108</f>
        <v>131739.79999999999</v>
      </c>
      <c r="F78" s="31">
        <f t="shared" si="0"/>
        <v>131739.79999999999</v>
      </c>
      <c r="G78" s="31">
        <f>G100+G108</f>
        <v>0</v>
      </c>
      <c r="H78" s="31">
        <f t="shared" si="42"/>
        <v>131739.79999999999</v>
      </c>
      <c r="I78" s="31">
        <f>I100+I108</f>
        <v>0</v>
      </c>
      <c r="J78" s="31">
        <f t="shared" si="43"/>
        <v>131739.79999999999</v>
      </c>
      <c r="K78" s="31">
        <f>K100+K108</f>
        <v>0</v>
      </c>
      <c r="L78" s="31">
        <f t="shared" si="44"/>
        <v>131739.79999999999</v>
      </c>
      <c r="M78" s="31">
        <f>M100+M108</f>
        <v>0</v>
      </c>
      <c r="N78" s="31">
        <f t="shared" si="45"/>
        <v>131739.79999999999</v>
      </c>
      <c r="O78" s="32">
        <f>O100+O108</f>
        <v>0</v>
      </c>
      <c r="P78" s="31">
        <f t="shared" si="46"/>
        <v>131739.79999999999</v>
      </c>
    </row>
    <row r="79" spans="1:18" ht="37.5" x14ac:dyDescent="0.25">
      <c r="A79" s="1"/>
      <c r="B79" s="4" t="s">
        <v>270</v>
      </c>
      <c r="C79" s="43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2">
        <f>O101</f>
        <v>1177740.0319999999</v>
      </c>
      <c r="P79" s="31">
        <f t="shared" si="46"/>
        <v>1177740.0319999999</v>
      </c>
    </row>
    <row r="80" spans="1:18" ht="56.25" hidden="1" x14ac:dyDescent="0.25">
      <c r="A80" s="62" t="s">
        <v>125</v>
      </c>
      <c r="B80" s="82" t="s">
        <v>49</v>
      </c>
      <c r="C80" s="43" t="s">
        <v>48</v>
      </c>
      <c r="D80" s="31">
        <v>79002.5</v>
      </c>
      <c r="E80" s="31">
        <v>-49000</v>
      </c>
      <c r="F80" s="31">
        <f t="shared" si="0"/>
        <v>30002.5</v>
      </c>
      <c r="G80" s="31"/>
      <c r="H80" s="31">
        <f t="shared" si="42"/>
        <v>30002.5</v>
      </c>
      <c r="I80" s="31"/>
      <c r="J80" s="31">
        <f t="shared" si="43"/>
        <v>30002.5</v>
      </c>
      <c r="K80" s="31">
        <v>-29206.92</v>
      </c>
      <c r="L80" s="31">
        <f t="shared" si="44"/>
        <v>795.58000000000175</v>
      </c>
      <c r="M80" s="31"/>
      <c r="N80" s="31">
        <f t="shared" si="45"/>
        <v>795.58000000000175</v>
      </c>
      <c r="O80" s="32">
        <v>-795.58</v>
      </c>
      <c r="P80" s="31">
        <f t="shared" si="46"/>
        <v>1.7053025658242404E-12</v>
      </c>
      <c r="Q80" s="22">
        <v>1710141130</v>
      </c>
      <c r="R80" s="8">
        <v>0</v>
      </c>
    </row>
    <row r="81" spans="1:18" ht="75" x14ac:dyDescent="0.25">
      <c r="A81" s="85"/>
      <c r="B81" s="83"/>
      <c r="C81" s="43" t="s">
        <v>221</v>
      </c>
      <c r="D81" s="31"/>
      <c r="E81" s="31"/>
      <c r="F81" s="31"/>
      <c r="G81" s="31">
        <v>7955.8180000000002</v>
      </c>
      <c r="H81" s="31">
        <f t="shared" si="42"/>
        <v>7955.8180000000002</v>
      </c>
      <c r="I81" s="31"/>
      <c r="J81" s="31">
        <f t="shared" si="43"/>
        <v>7955.8180000000002</v>
      </c>
      <c r="K81" s="31"/>
      <c r="L81" s="31">
        <f t="shared" si="44"/>
        <v>7955.8180000000002</v>
      </c>
      <c r="M81" s="31"/>
      <c r="N81" s="31">
        <f t="shared" si="45"/>
        <v>7955.8180000000002</v>
      </c>
      <c r="O81" s="32">
        <v>795.58</v>
      </c>
      <c r="P81" s="31">
        <f t="shared" si="46"/>
        <v>8751.398000000001</v>
      </c>
      <c r="Q81" s="22">
        <v>1710141130</v>
      </c>
    </row>
    <row r="82" spans="1:18" ht="56.25" hidden="1" x14ac:dyDescent="0.25">
      <c r="A82" s="47" t="s">
        <v>125</v>
      </c>
      <c r="B82" s="44" t="s">
        <v>50</v>
      </c>
      <c r="C82" s="26" t="s">
        <v>48</v>
      </c>
      <c r="D82" s="31">
        <v>13479.7</v>
      </c>
      <c r="E82" s="31">
        <v>-13479.7</v>
      </c>
      <c r="F82" s="31">
        <f t="shared" si="0"/>
        <v>0</v>
      </c>
      <c r="G82" s="31"/>
      <c r="H82" s="31">
        <f t="shared" si="42"/>
        <v>0</v>
      </c>
      <c r="I82" s="31"/>
      <c r="J82" s="31">
        <f t="shared" si="43"/>
        <v>0</v>
      </c>
      <c r="K82" s="31"/>
      <c r="L82" s="31">
        <f t="shared" si="44"/>
        <v>0</v>
      </c>
      <c r="M82" s="31"/>
      <c r="N82" s="31">
        <f t="shared" si="45"/>
        <v>0</v>
      </c>
      <c r="O82" s="32"/>
      <c r="P82" s="31">
        <f t="shared" si="46"/>
        <v>0</v>
      </c>
      <c r="Q82" s="22">
        <v>1710141220</v>
      </c>
      <c r="R82" s="8">
        <v>0</v>
      </c>
    </row>
    <row r="83" spans="1:18" ht="56.25" hidden="1" x14ac:dyDescent="0.25">
      <c r="A83" s="1" t="s">
        <v>126</v>
      </c>
      <c r="B83" s="4" t="s">
        <v>51</v>
      </c>
      <c r="C83" s="26" t="s">
        <v>48</v>
      </c>
      <c r="D83" s="31">
        <v>9847.7000000000007</v>
      </c>
      <c r="E83" s="31">
        <v>-9847.7000000000007</v>
      </c>
      <c r="F83" s="31">
        <f t="shared" si="0"/>
        <v>0</v>
      </c>
      <c r="G83" s="31"/>
      <c r="H83" s="31">
        <f t="shared" si="42"/>
        <v>0</v>
      </c>
      <c r="I83" s="31"/>
      <c r="J83" s="31">
        <f t="shared" si="43"/>
        <v>0</v>
      </c>
      <c r="K83" s="31"/>
      <c r="L83" s="31">
        <f t="shared" si="44"/>
        <v>0</v>
      </c>
      <c r="M83" s="31"/>
      <c r="N83" s="31">
        <f t="shared" si="45"/>
        <v>0</v>
      </c>
      <c r="O83" s="32"/>
      <c r="P83" s="31">
        <f t="shared" si="46"/>
        <v>0</v>
      </c>
      <c r="Q83" s="22">
        <v>1710141320</v>
      </c>
      <c r="R83" s="8">
        <v>0</v>
      </c>
    </row>
    <row r="84" spans="1:18" ht="56.25" hidden="1" x14ac:dyDescent="0.25">
      <c r="A84" s="1" t="s">
        <v>127</v>
      </c>
      <c r="B84" s="4" t="s">
        <v>52</v>
      </c>
      <c r="C84" s="26" t="s">
        <v>48</v>
      </c>
      <c r="D84" s="31">
        <v>37555.4</v>
      </c>
      <c r="E84" s="31">
        <v>-37555.4</v>
      </c>
      <c r="F84" s="31">
        <f t="shared" si="0"/>
        <v>0</v>
      </c>
      <c r="G84" s="31"/>
      <c r="H84" s="31">
        <f t="shared" si="42"/>
        <v>0</v>
      </c>
      <c r="I84" s="31"/>
      <c r="J84" s="31">
        <f t="shared" si="43"/>
        <v>0</v>
      </c>
      <c r="K84" s="31"/>
      <c r="L84" s="31">
        <f t="shared" si="44"/>
        <v>0</v>
      </c>
      <c r="M84" s="31"/>
      <c r="N84" s="31">
        <f t="shared" si="45"/>
        <v>0</v>
      </c>
      <c r="O84" s="32"/>
      <c r="P84" s="31">
        <f t="shared" si="46"/>
        <v>0</v>
      </c>
      <c r="Q84" s="22">
        <v>1710142260</v>
      </c>
      <c r="R84" s="8">
        <v>0</v>
      </c>
    </row>
    <row r="85" spans="1:18" ht="56.25" hidden="1" x14ac:dyDescent="0.25">
      <c r="A85" s="1" t="s">
        <v>128</v>
      </c>
      <c r="B85" s="4" t="s">
        <v>53</v>
      </c>
      <c r="C85" s="26" t="s">
        <v>48</v>
      </c>
      <c r="D85" s="36">
        <v>2840</v>
      </c>
      <c r="E85" s="31">
        <v>-2840</v>
      </c>
      <c r="F85" s="31">
        <f t="shared" si="0"/>
        <v>0</v>
      </c>
      <c r="G85" s="31"/>
      <c r="H85" s="31">
        <f t="shared" si="42"/>
        <v>0</v>
      </c>
      <c r="I85" s="31"/>
      <c r="J85" s="31">
        <f t="shared" si="43"/>
        <v>0</v>
      </c>
      <c r="K85" s="31"/>
      <c r="L85" s="31">
        <f t="shared" si="44"/>
        <v>0</v>
      </c>
      <c r="M85" s="31"/>
      <c r="N85" s="31">
        <f t="shared" si="45"/>
        <v>0</v>
      </c>
      <c r="O85" s="32"/>
      <c r="P85" s="31">
        <f t="shared" si="46"/>
        <v>0</v>
      </c>
      <c r="Q85" s="22">
        <v>1710142330</v>
      </c>
      <c r="R85" s="8">
        <v>0</v>
      </c>
    </row>
    <row r="86" spans="1:18" ht="56.25" x14ac:dyDescent="0.25">
      <c r="A86" s="1" t="s">
        <v>126</v>
      </c>
      <c r="B86" s="4" t="s">
        <v>54</v>
      </c>
      <c r="C86" s="60" t="s">
        <v>48</v>
      </c>
      <c r="D86" s="36">
        <v>58</v>
      </c>
      <c r="E86" s="31"/>
      <c r="F86" s="31">
        <f t="shared" si="0"/>
        <v>58</v>
      </c>
      <c r="G86" s="31"/>
      <c r="H86" s="31">
        <f t="shared" si="42"/>
        <v>58</v>
      </c>
      <c r="I86" s="31"/>
      <c r="J86" s="31">
        <f t="shared" si="43"/>
        <v>58</v>
      </c>
      <c r="K86" s="31"/>
      <c r="L86" s="31">
        <f t="shared" si="44"/>
        <v>58</v>
      </c>
      <c r="M86" s="31"/>
      <c r="N86" s="31">
        <f t="shared" si="45"/>
        <v>58</v>
      </c>
      <c r="O86" s="32"/>
      <c r="P86" s="31">
        <f t="shared" si="46"/>
        <v>58</v>
      </c>
      <c r="Q86" s="22">
        <v>1710142340</v>
      </c>
    </row>
    <row r="87" spans="1:18" ht="56.25" x14ac:dyDescent="0.25">
      <c r="A87" s="1" t="s">
        <v>127</v>
      </c>
      <c r="B87" s="4" t="s">
        <v>55</v>
      </c>
      <c r="C87" s="60" t="s">
        <v>48</v>
      </c>
      <c r="D87" s="36">
        <v>433</v>
      </c>
      <c r="E87" s="31"/>
      <c r="F87" s="31">
        <f t="shared" si="0"/>
        <v>433</v>
      </c>
      <c r="G87" s="31"/>
      <c r="H87" s="31">
        <f t="shared" si="42"/>
        <v>433</v>
      </c>
      <c r="I87" s="31"/>
      <c r="J87" s="31">
        <f t="shared" si="43"/>
        <v>433</v>
      </c>
      <c r="K87" s="31"/>
      <c r="L87" s="31">
        <f t="shared" si="44"/>
        <v>433</v>
      </c>
      <c r="M87" s="31"/>
      <c r="N87" s="31">
        <f t="shared" si="45"/>
        <v>433</v>
      </c>
      <c r="O87" s="32"/>
      <c r="P87" s="31">
        <f t="shared" si="46"/>
        <v>433</v>
      </c>
      <c r="Q87" s="22">
        <v>1710142350</v>
      </c>
    </row>
    <row r="88" spans="1:18" ht="56.25" hidden="1" x14ac:dyDescent="0.25">
      <c r="A88" s="1" t="s">
        <v>131</v>
      </c>
      <c r="B88" s="4" t="s">
        <v>56</v>
      </c>
      <c r="C88" s="26" t="s">
        <v>48</v>
      </c>
      <c r="D88" s="36">
        <v>2500</v>
      </c>
      <c r="E88" s="31">
        <v>-2500</v>
      </c>
      <c r="F88" s="31">
        <f t="shared" si="0"/>
        <v>0</v>
      </c>
      <c r="G88" s="31"/>
      <c r="H88" s="31">
        <f t="shared" si="42"/>
        <v>0</v>
      </c>
      <c r="I88" s="31"/>
      <c r="J88" s="31">
        <f t="shared" si="43"/>
        <v>0</v>
      </c>
      <c r="K88" s="31"/>
      <c r="L88" s="31">
        <f t="shared" si="44"/>
        <v>0</v>
      </c>
      <c r="M88" s="31"/>
      <c r="N88" s="31">
        <f t="shared" si="45"/>
        <v>0</v>
      </c>
      <c r="O88" s="32"/>
      <c r="P88" s="31">
        <f t="shared" si="46"/>
        <v>0</v>
      </c>
      <c r="Q88" s="22">
        <v>1710142360</v>
      </c>
      <c r="R88" s="8">
        <v>0</v>
      </c>
    </row>
    <row r="89" spans="1:18" ht="56.25" hidden="1" x14ac:dyDescent="0.25">
      <c r="A89" s="41" t="s">
        <v>132</v>
      </c>
      <c r="B89" s="13" t="s">
        <v>57</v>
      </c>
      <c r="C89" s="26" t="s">
        <v>48</v>
      </c>
      <c r="D89" s="36">
        <v>6803</v>
      </c>
      <c r="E89" s="31">
        <v>-6803</v>
      </c>
      <c r="F89" s="31">
        <f t="shared" si="0"/>
        <v>0</v>
      </c>
      <c r="G89" s="31"/>
      <c r="H89" s="31">
        <f t="shared" si="42"/>
        <v>0</v>
      </c>
      <c r="I89" s="31"/>
      <c r="J89" s="31">
        <f t="shared" si="43"/>
        <v>0</v>
      </c>
      <c r="K89" s="31"/>
      <c r="L89" s="31">
        <f t="shared" si="44"/>
        <v>0</v>
      </c>
      <c r="M89" s="31"/>
      <c r="N89" s="31">
        <f t="shared" si="45"/>
        <v>0</v>
      </c>
      <c r="O89" s="32"/>
      <c r="P89" s="31">
        <f t="shared" si="46"/>
        <v>0</v>
      </c>
      <c r="Q89" s="22">
        <v>1710142370</v>
      </c>
      <c r="R89" s="8">
        <v>0</v>
      </c>
    </row>
    <row r="90" spans="1:18" ht="56.25" x14ac:dyDescent="0.25">
      <c r="A90" s="54" t="s">
        <v>128</v>
      </c>
      <c r="B90" s="46" t="s">
        <v>58</v>
      </c>
      <c r="C90" s="43" t="s">
        <v>48</v>
      </c>
      <c r="D90" s="36">
        <v>14238</v>
      </c>
      <c r="E90" s="31"/>
      <c r="F90" s="31">
        <f t="shared" si="0"/>
        <v>14238</v>
      </c>
      <c r="G90" s="31"/>
      <c r="H90" s="31">
        <f t="shared" si="42"/>
        <v>14238</v>
      </c>
      <c r="I90" s="31"/>
      <c r="J90" s="31">
        <f t="shared" si="43"/>
        <v>14238</v>
      </c>
      <c r="K90" s="31">
        <v>15000</v>
      </c>
      <c r="L90" s="31">
        <f t="shared" si="44"/>
        <v>29238</v>
      </c>
      <c r="M90" s="31">
        <v>-15000</v>
      </c>
      <c r="N90" s="31">
        <f t="shared" si="45"/>
        <v>14238</v>
      </c>
      <c r="O90" s="32">
        <v>-387.5</v>
      </c>
      <c r="P90" s="31">
        <f t="shared" si="46"/>
        <v>13850.5</v>
      </c>
      <c r="Q90" s="22">
        <v>1710241100</v>
      </c>
    </row>
    <row r="91" spans="1:18" ht="75" x14ac:dyDescent="0.25">
      <c r="A91" s="48"/>
      <c r="B91" s="51"/>
      <c r="C91" s="43" t="s">
        <v>221</v>
      </c>
      <c r="D91" s="36"/>
      <c r="E91" s="31"/>
      <c r="F91" s="31"/>
      <c r="G91" s="31">
        <v>19592.187000000002</v>
      </c>
      <c r="H91" s="31">
        <f t="shared" si="42"/>
        <v>19592.187000000002</v>
      </c>
      <c r="I91" s="31"/>
      <c r="J91" s="31">
        <f t="shared" si="43"/>
        <v>19592.187000000002</v>
      </c>
      <c r="K91" s="31"/>
      <c r="L91" s="31">
        <f t="shared" si="44"/>
        <v>19592.187000000002</v>
      </c>
      <c r="M91" s="31"/>
      <c r="N91" s="31">
        <f t="shared" si="45"/>
        <v>19592.187000000002</v>
      </c>
      <c r="O91" s="32"/>
      <c r="P91" s="31">
        <f t="shared" si="46"/>
        <v>19592.187000000002</v>
      </c>
      <c r="Q91" s="22">
        <v>1710241100</v>
      </c>
    </row>
    <row r="92" spans="1:18" ht="56.25" x14ac:dyDescent="0.25">
      <c r="A92" s="49" t="s">
        <v>129</v>
      </c>
      <c r="B92" s="55" t="s">
        <v>59</v>
      </c>
      <c r="C92" s="43" t="s">
        <v>48</v>
      </c>
      <c r="D92" s="36">
        <v>39292.9</v>
      </c>
      <c r="E92" s="31"/>
      <c r="F92" s="31">
        <f t="shared" si="0"/>
        <v>39292.9</v>
      </c>
      <c r="G92" s="31">
        <v>15000</v>
      </c>
      <c r="H92" s="31">
        <f t="shared" si="42"/>
        <v>54292.9</v>
      </c>
      <c r="I92" s="31"/>
      <c r="J92" s="31">
        <f t="shared" si="43"/>
        <v>54292.9</v>
      </c>
      <c r="K92" s="31"/>
      <c r="L92" s="31">
        <f t="shared" si="44"/>
        <v>54292.9</v>
      </c>
      <c r="M92" s="31"/>
      <c r="N92" s="31">
        <f t="shared" si="45"/>
        <v>54292.9</v>
      </c>
      <c r="O92" s="32"/>
      <c r="P92" s="31">
        <f t="shared" si="46"/>
        <v>54292.9</v>
      </c>
      <c r="Q92" s="22">
        <v>1710441240</v>
      </c>
    </row>
    <row r="93" spans="1:18" ht="75" x14ac:dyDescent="0.25">
      <c r="A93" s="50"/>
      <c r="B93" s="44"/>
      <c r="C93" s="43" t="s">
        <v>221</v>
      </c>
      <c r="D93" s="36"/>
      <c r="E93" s="31"/>
      <c r="F93" s="31"/>
      <c r="G93" s="31">
        <v>702.95799999999997</v>
      </c>
      <c r="H93" s="31">
        <f t="shared" si="42"/>
        <v>702.95799999999997</v>
      </c>
      <c r="I93" s="31"/>
      <c r="J93" s="31">
        <f t="shared" si="43"/>
        <v>702.95799999999997</v>
      </c>
      <c r="K93" s="31"/>
      <c r="L93" s="31">
        <f t="shared" si="44"/>
        <v>702.95799999999997</v>
      </c>
      <c r="M93" s="31"/>
      <c r="N93" s="31">
        <f t="shared" si="45"/>
        <v>702.95799999999997</v>
      </c>
      <c r="O93" s="32"/>
      <c r="P93" s="31">
        <f t="shared" si="46"/>
        <v>702.95799999999997</v>
      </c>
      <c r="Q93" s="22">
        <v>1710441240</v>
      </c>
    </row>
    <row r="94" spans="1:18" ht="75" hidden="1" x14ac:dyDescent="0.25">
      <c r="A94" s="47" t="s">
        <v>135</v>
      </c>
      <c r="B94" s="44" t="s">
        <v>174</v>
      </c>
      <c r="C94" s="26" t="s">
        <v>48</v>
      </c>
      <c r="D94" s="36">
        <v>2799.2</v>
      </c>
      <c r="E94" s="31">
        <v>-2799.2</v>
      </c>
      <c r="F94" s="31">
        <f t="shared" si="0"/>
        <v>0</v>
      </c>
      <c r="G94" s="31"/>
      <c r="H94" s="31">
        <f t="shared" si="42"/>
        <v>0</v>
      </c>
      <c r="I94" s="31"/>
      <c r="J94" s="31">
        <f t="shared" si="43"/>
        <v>0</v>
      </c>
      <c r="K94" s="31"/>
      <c r="L94" s="31">
        <f t="shared" si="44"/>
        <v>0</v>
      </c>
      <c r="M94" s="31"/>
      <c r="N94" s="31">
        <f t="shared" si="45"/>
        <v>0</v>
      </c>
      <c r="O94" s="32"/>
      <c r="P94" s="31">
        <f t="shared" si="46"/>
        <v>0</v>
      </c>
      <c r="Q94" s="22">
        <v>1710442380</v>
      </c>
      <c r="R94" s="8">
        <v>0</v>
      </c>
    </row>
    <row r="95" spans="1:18" ht="56.25" hidden="1" x14ac:dyDescent="0.25">
      <c r="A95" s="1" t="s">
        <v>136</v>
      </c>
      <c r="B95" s="4" t="s">
        <v>167</v>
      </c>
      <c r="C95" s="29" t="s">
        <v>48</v>
      </c>
      <c r="D95" s="36">
        <v>5000</v>
      </c>
      <c r="E95" s="31">
        <v>-5000</v>
      </c>
      <c r="F95" s="31">
        <f t="shared" si="0"/>
        <v>0</v>
      </c>
      <c r="G95" s="31"/>
      <c r="H95" s="31">
        <f t="shared" si="42"/>
        <v>0</v>
      </c>
      <c r="I95" s="31"/>
      <c r="J95" s="31">
        <f t="shared" si="43"/>
        <v>0</v>
      </c>
      <c r="K95" s="31"/>
      <c r="L95" s="31">
        <f t="shared" si="44"/>
        <v>0</v>
      </c>
      <c r="M95" s="31"/>
      <c r="N95" s="31">
        <f t="shared" si="45"/>
        <v>0</v>
      </c>
      <c r="O95" s="32"/>
      <c r="P95" s="31">
        <f t="shared" si="46"/>
        <v>0</v>
      </c>
      <c r="Q95" s="22">
        <v>1760142410</v>
      </c>
      <c r="R95" s="8">
        <v>0</v>
      </c>
    </row>
    <row r="96" spans="1:18" ht="75" x14ac:dyDescent="0.25">
      <c r="A96" s="1" t="s">
        <v>130</v>
      </c>
      <c r="B96" s="4" t="s">
        <v>81</v>
      </c>
      <c r="C96" s="60" t="s">
        <v>13</v>
      </c>
      <c r="D96" s="36">
        <f>D98+D99</f>
        <v>1006877.2000000001</v>
      </c>
      <c r="E96" s="31">
        <f>E98+E99+E100</f>
        <v>0</v>
      </c>
      <c r="F96" s="31">
        <f>D96+E96</f>
        <v>1006877.2000000001</v>
      </c>
      <c r="G96" s="31">
        <f>G98+G99+G100</f>
        <v>0</v>
      </c>
      <c r="H96" s="31">
        <f>F96+G96</f>
        <v>1006877.2000000001</v>
      </c>
      <c r="I96" s="31">
        <f>I98+I99+I100</f>
        <v>0</v>
      </c>
      <c r="J96" s="31">
        <f>H96+I96</f>
        <v>1006877.2000000001</v>
      </c>
      <c r="K96" s="31">
        <f>K98+K99+K100</f>
        <v>0</v>
      </c>
      <c r="L96" s="31">
        <f>J96+K96</f>
        <v>1006877.2000000001</v>
      </c>
      <c r="M96" s="31">
        <f>M98+M99+M100</f>
        <v>0</v>
      </c>
      <c r="N96" s="31">
        <f>L96+M96</f>
        <v>1006877.2000000001</v>
      </c>
      <c r="O96" s="32">
        <f>O98+O99+O100+O101</f>
        <v>1414443.6209999998</v>
      </c>
      <c r="P96" s="31">
        <f>N96+O96</f>
        <v>2421320.821</v>
      </c>
    </row>
    <row r="97" spans="1:18" x14ac:dyDescent="0.25">
      <c r="A97" s="1"/>
      <c r="B97" s="4" t="s">
        <v>2</v>
      </c>
      <c r="C97" s="60"/>
      <c r="D97" s="36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2"/>
      <c r="P97" s="31"/>
    </row>
    <row r="98" spans="1:18" hidden="1" x14ac:dyDescent="0.25">
      <c r="A98" s="1"/>
      <c r="B98" s="4" t="s">
        <v>3</v>
      </c>
      <c r="C98" s="29"/>
      <c r="D98" s="36">
        <v>606216.80000000005</v>
      </c>
      <c r="E98" s="31"/>
      <c r="F98" s="31">
        <f>D98+E98</f>
        <v>606216.80000000005</v>
      </c>
      <c r="G98" s="31"/>
      <c r="H98" s="31">
        <f>F98+G98</f>
        <v>606216.80000000005</v>
      </c>
      <c r="I98" s="31"/>
      <c r="J98" s="31">
        <f>H98+I98</f>
        <v>606216.80000000005</v>
      </c>
      <c r="K98" s="31"/>
      <c r="L98" s="31">
        <f>J98+K98</f>
        <v>606216.80000000005</v>
      </c>
      <c r="M98" s="31"/>
      <c r="N98" s="31">
        <f>L98+M98</f>
        <v>606216.80000000005</v>
      </c>
      <c r="O98" s="32">
        <f>-95591.1-157382.403+109364.44+186274.056</f>
        <v>42664.993000000017</v>
      </c>
      <c r="P98" s="31">
        <f>N98+O98</f>
        <v>648881.79300000006</v>
      </c>
      <c r="Q98" s="22" t="s">
        <v>273</v>
      </c>
      <c r="R98" s="8">
        <v>0</v>
      </c>
    </row>
    <row r="99" spans="1:18" x14ac:dyDescent="0.25">
      <c r="A99" s="1"/>
      <c r="B99" s="4" t="s">
        <v>17</v>
      </c>
      <c r="C99" s="60"/>
      <c r="D99" s="36">
        <v>400660.4</v>
      </c>
      <c r="E99" s="31"/>
      <c r="F99" s="31">
        <f t="shared" si="0"/>
        <v>400660.4</v>
      </c>
      <c r="G99" s="31"/>
      <c r="H99" s="31">
        <f t="shared" ref="H99:H102" si="47">F99+G99</f>
        <v>400660.4</v>
      </c>
      <c r="I99" s="31"/>
      <c r="J99" s="31">
        <f t="shared" ref="J99:J102" si="48">H99+I99</f>
        <v>400660.4</v>
      </c>
      <c r="K99" s="31"/>
      <c r="L99" s="31">
        <f t="shared" ref="L99:L102" si="49">J99+K99</f>
        <v>400660.4</v>
      </c>
      <c r="M99" s="31"/>
      <c r="N99" s="31">
        <f t="shared" ref="N99:N102" si="50">L99+M99</f>
        <v>400660.4</v>
      </c>
      <c r="O99" s="32">
        <f>7764.54+186274.056</f>
        <v>194038.59600000002</v>
      </c>
      <c r="P99" s="31">
        <f t="shared" ref="P99:P102" si="51">N99+O99</f>
        <v>594698.99600000004</v>
      </c>
      <c r="Q99" s="22" t="s">
        <v>272</v>
      </c>
    </row>
    <row r="100" spans="1:18" hidden="1" x14ac:dyDescent="0.25">
      <c r="A100" s="1"/>
      <c r="B100" s="4" t="s">
        <v>21</v>
      </c>
      <c r="C100" s="29"/>
      <c r="D100" s="36">
        <v>0</v>
      </c>
      <c r="E100" s="31">
        <v>0</v>
      </c>
      <c r="F100" s="31">
        <f t="shared" si="0"/>
        <v>0</v>
      </c>
      <c r="G100" s="31">
        <v>0</v>
      </c>
      <c r="H100" s="31">
        <f t="shared" si="47"/>
        <v>0</v>
      </c>
      <c r="I100" s="31">
        <v>0</v>
      </c>
      <c r="J100" s="31">
        <f t="shared" si="48"/>
        <v>0</v>
      </c>
      <c r="K100" s="31">
        <v>0</v>
      </c>
      <c r="L100" s="31">
        <f t="shared" si="49"/>
        <v>0</v>
      </c>
      <c r="M100" s="31">
        <v>0</v>
      </c>
      <c r="N100" s="31">
        <f t="shared" si="50"/>
        <v>0</v>
      </c>
      <c r="O100" s="32">
        <v>0</v>
      </c>
      <c r="P100" s="31">
        <f t="shared" si="51"/>
        <v>0</v>
      </c>
      <c r="Q100" s="22" t="s">
        <v>181</v>
      </c>
      <c r="R100" s="8">
        <v>0</v>
      </c>
    </row>
    <row r="101" spans="1:18" ht="37.5" x14ac:dyDescent="0.25">
      <c r="A101" s="1"/>
      <c r="B101" s="4" t="s">
        <v>270</v>
      </c>
      <c r="C101" s="60"/>
      <c r="D101" s="36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2">
        <v>1177740.0319999999</v>
      </c>
      <c r="P101" s="31">
        <f>N101+O101</f>
        <v>1177740.0319999999</v>
      </c>
      <c r="Q101" s="22" t="s">
        <v>271</v>
      </c>
    </row>
    <row r="102" spans="1:18" ht="127.5" customHeight="1" x14ac:dyDescent="0.25">
      <c r="A102" s="1" t="s">
        <v>131</v>
      </c>
      <c r="B102" s="4" t="s">
        <v>82</v>
      </c>
      <c r="C102" s="60" t="s">
        <v>13</v>
      </c>
      <c r="D102" s="36">
        <f>D104</f>
        <v>118383.2</v>
      </c>
      <c r="E102" s="31">
        <f>E104</f>
        <v>-936</v>
      </c>
      <c r="F102" s="31">
        <f t="shared" si="0"/>
        <v>117447.2</v>
      </c>
      <c r="G102" s="31">
        <f>G104</f>
        <v>0</v>
      </c>
      <c r="H102" s="31">
        <f t="shared" si="47"/>
        <v>117447.2</v>
      </c>
      <c r="I102" s="31">
        <f>I104</f>
        <v>0</v>
      </c>
      <c r="J102" s="31">
        <f t="shared" si="48"/>
        <v>117447.2</v>
      </c>
      <c r="K102" s="31">
        <f>K104</f>
        <v>0</v>
      </c>
      <c r="L102" s="31">
        <f t="shared" si="49"/>
        <v>117447.2</v>
      </c>
      <c r="M102" s="31">
        <f>M104</f>
        <v>0</v>
      </c>
      <c r="N102" s="31">
        <f t="shared" si="50"/>
        <v>117447.2</v>
      </c>
      <c r="O102" s="32">
        <f>O104</f>
        <v>0</v>
      </c>
      <c r="P102" s="31">
        <f t="shared" si="51"/>
        <v>117447.2</v>
      </c>
    </row>
    <row r="103" spans="1:18" x14ac:dyDescent="0.25">
      <c r="A103" s="1"/>
      <c r="B103" s="4" t="s">
        <v>2</v>
      </c>
      <c r="C103" s="60"/>
      <c r="D103" s="36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2"/>
      <c r="P103" s="31"/>
    </row>
    <row r="104" spans="1:18" x14ac:dyDescent="0.25">
      <c r="A104" s="1"/>
      <c r="B104" s="4" t="s">
        <v>17</v>
      </c>
      <c r="C104" s="60"/>
      <c r="D104" s="36">
        <v>118383.2</v>
      </c>
      <c r="E104" s="31">
        <v>-936</v>
      </c>
      <c r="F104" s="31">
        <f t="shared" si="0"/>
        <v>117447.2</v>
      </c>
      <c r="G104" s="31"/>
      <c r="H104" s="31">
        <f t="shared" ref="H104:H105" si="52">F104+G104</f>
        <v>117447.2</v>
      </c>
      <c r="I104" s="31"/>
      <c r="J104" s="31">
        <f t="shared" ref="J104:J105" si="53">H104+I104</f>
        <v>117447.2</v>
      </c>
      <c r="K104" s="31"/>
      <c r="L104" s="31">
        <f t="shared" ref="L104:L105" si="54">J104+K104</f>
        <v>117447.2</v>
      </c>
      <c r="M104" s="31"/>
      <c r="N104" s="31">
        <f t="shared" ref="N104:N105" si="55">L104+M104</f>
        <v>117447.2</v>
      </c>
      <c r="O104" s="32"/>
      <c r="P104" s="31">
        <f t="shared" ref="P104:P105" si="56">N104+O104</f>
        <v>117447.2</v>
      </c>
      <c r="Q104" s="22" t="s">
        <v>83</v>
      </c>
    </row>
    <row r="105" spans="1:18" ht="68.25" customHeight="1" x14ac:dyDescent="0.25">
      <c r="A105" s="1" t="s">
        <v>132</v>
      </c>
      <c r="B105" s="4" t="s">
        <v>84</v>
      </c>
      <c r="C105" s="60" t="s">
        <v>13</v>
      </c>
      <c r="D105" s="36">
        <f>D107</f>
        <v>48472.9</v>
      </c>
      <c r="E105" s="31">
        <f>E107+E108</f>
        <v>131992.5</v>
      </c>
      <c r="F105" s="31">
        <f t="shared" si="0"/>
        <v>180465.4</v>
      </c>
      <c r="G105" s="31">
        <f>G107+G108</f>
        <v>0</v>
      </c>
      <c r="H105" s="31">
        <f t="shared" si="52"/>
        <v>180465.4</v>
      </c>
      <c r="I105" s="31">
        <f>I107+I108</f>
        <v>0</v>
      </c>
      <c r="J105" s="31">
        <f t="shared" si="53"/>
        <v>180465.4</v>
      </c>
      <c r="K105" s="31">
        <f>K107+K108</f>
        <v>0</v>
      </c>
      <c r="L105" s="31">
        <f t="shared" si="54"/>
        <v>180465.4</v>
      </c>
      <c r="M105" s="31">
        <f>M107+M108</f>
        <v>0</v>
      </c>
      <c r="N105" s="31">
        <f t="shared" si="55"/>
        <v>180465.4</v>
      </c>
      <c r="O105" s="32">
        <f>O107+O108</f>
        <v>0</v>
      </c>
      <c r="P105" s="31">
        <f t="shared" si="56"/>
        <v>180465.4</v>
      </c>
    </row>
    <row r="106" spans="1:18" x14ac:dyDescent="0.25">
      <c r="A106" s="1"/>
      <c r="B106" s="4" t="s">
        <v>2</v>
      </c>
      <c r="C106" s="60"/>
      <c r="D106" s="36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2"/>
      <c r="P106" s="31"/>
    </row>
    <row r="107" spans="1:18" x14ac:dyDescent="0.25">
      <c r="A107" s="1"/>
      <c r="B107" s="4" t="s">
        <v>17</v>
      </c>
      <c r="C107" s="60"/>
      <c r="D107" s="36">
        <v>48472.9</v>
      </c>
      <c r="E107" s="31">
        <v>252.7</v>
      </c>
      <c r="F107" s="31">
        <f t="shared" si="0"/>
        <v>48725.599999999999</v>
      </c>
      <c r="G107" s="31"/>
      <c r="H107" s="31">
        <f t="shared" ref="H107:H116" si="57">F107+G107</f>
        <v>48725.599999999999</v>
      </c>
      <c r="I107" s="31"/>
      <c r="J107" s="31">
        <f t="shared" ref="J107:J116" si="58">H107+I107</f>
        <v>48725.599999999999</v>
      </c>
      <c r="K107" s="31"/>
      <c r="L107" s="31">
        <f t="shared" ref="L107:L116" si="59">J107+K107</f>
        <v>48725.599999999999</v>
      </c>
      <c r="M107" s="31"/>
      <c r="N107" s="31">
        <f t="shared" ref="N107:N116" si="60">L107+M107</f>
        <v>48725.599999999999</v>
      </c>
      <c r="O107" s="32"/>
      <c r="P107" s="31">
        <f t="shared" ref="P107:P116" si="61">N107+O107</f>
        <v>48725.599999999999</v>
      </c>
      <c r="Q107" s="22" t="s">
        <v>85</v>
      </c>
    </row>
    <row r="108" spans="1:18" x14ac:dyDescent="0.25">
      <c r="A108" s="1"/>
      <c r="B108" s="4" t="s">
        <v>21</v>
      </c>
      <c r="C108" s="60"/>
      <c r="D108" s="36"/>
      <c r="E108" s="31">
        <v>131739.79999999999</v>
      </c>
      <c r="F108" s="31">
        <f t="shared" si="0"/>
        <v>131739.79999999999</v>
      </c>
      <c r="G108" s="31"/>
      <c r="H108" s="31">
        <f t="shared" si="57"/>
        <v>131739.79999999999</v>
      </c>
      <c r="I108" s="31"/>
      <c r="J108" s="31">
        <f t="shared" si="58"/>
        <v>131739.79999999999</v>
      </c>
      <c r="K108" s="31"/>
      <c r="L108" s="31">
        <f t="shared" si="59"/>
        <v>131739.79999999999</v>
      </c>
      <c r="M108" s="31"/>
      <c r="N108" s="31">
        <f t="shared" si="60"/>
        <v>131739.79999999999</v>
      </c>
      <c r="O108" s="32"/>
      <c r="P108" s="31">
        <f t="shared" si="61"/>
        <v>131739.79999999999</v>
      </c>
      <c r="Q108" s="22" t="s">
        <v>85</v>
      </c>
    </row>
    <row r="109" spans="1:18" ht="78" customHeight="1" x14ac:dyDescent="0.25">
      <c r="A109" s="1" t="s">
        <v>133</v>
      </c>
      <c r="B109" s="4" t="s">
        <v>222</v>
      </c>
      <c r="C109" s="43" t="s">
        <v>221</v>
      </c>
      <c r="D109" s="36"/>
      <c r="E109" s="31"/>
      <c r="F109" s="31"/>
      <c r="G109" s="31">
        <v>110.801</v>
      </c>
      <c r="H109" s="31">
        <f t="shared" si="57"/>
        <v>110.801</v>
      </c>
      <c r="I109" s="31"/>
      <c r="J109" s="31">
        <f t="shared" si="58"/>
        <v>110.801</v>
      </c>
      <c r="K109" s="31"/>
      <c r="L109" s="31">
        <f t="shared" si="59"/>
        <v>110.801</v>
      </c>
      <c r="M109" s="31"/>
      <c r="N109" s="31">
        <f t="shared" si="60"/>
        <v>110.801</v>
      </c>
      <c r="O109" s="32"/>
      <c r="P109" s="31">
        <f t="shared" si="61"/>
        <v>110.801</v>
      </c>
      <c r="Q109" s="22" t="s">
        <v>226</v>
      </c>
    </row>
    <row r="110" spans="1:18" ht="79.5" customHeight="1" x14ac:dyDescent="0.25">
      <c r="A110" s="1" t="s">
        <v>134</v>
      </c>
      <c r="B110" s="4" t="s">
        <v>223</v>
      </c>
      <c r="C110" s="43" t="s">
        <v>221</v>
      </c>
      <c r="D110" s="36"/>
      <c r="E110" s="31"/>
      <c r="F110" s="31"/>
      <c r="G110" s="31">
        <v>6000</v>
      </c>
      <c r="H110" s="31">
        <f t="shared" si="57"/>
        <v>6000</v>
      </c>
      <c r="I110" s="31"/>
      <c r="J110" s="31">
        <f t="shared" si="58"/>
        <v>6000</v>
      </c>
      <c r="K110" s="31"/>
      <c r="L110" s="31">
        <f t="shared" si="59"/>
        <v>6000</v>
      </c>
      <c r="M110" s="31"/>
      <c r="N110" s="31">
        <f t="shared" si="60"/>
        <v>6000</v>
      </c>
      <c r="O110" s="32"/>
      <c r="P110" s="31">
        <f t="shared" si="61"/>
        <v>6000</v>
      </c>
      <c r="Q110" s="22" t="s">
        <v>227</v>
      </c>
    </row>
    <row r="111" spans="1:18" ht="78" hidden="1" customHeight="1" x14ac:dyDescent="0.25">
      <c r="A111" s="1" t="s">
        <v>135</v>
      </c>
      <c r="B111" s="4" t="s">
        <v>224</v>
      </c>
      <c r="C111" s="43" t="s">
        <v>221</v>
      </c>
      <c r="D111" s="36"/>
      <c r="E111" s="31"/>
      <c r="F111" s="31"/>
      <c r="G111" s="31">
        <v>9350</v>
      </c>
      <c r="H111" s="31">
        <f t="shared" si="57"/>
        <v>9350</v>
      </c>
      <c r="I111" s="31"/>
      <c r="J111" s="31">
        <f t="shared" si="58"/>
        <v>9350</v>
      </c>
      <c r="K111" s="31"/>
      <c r="L111" s="31">
        <f t="shared" si="59"/>
        <v>9350</v>
      </c>
      <c r="M111" s="31"/>
      <c r="N111" s="31">
        <f t="shared" si="60"/>
        <v>9350</v>
      </c>
      <c r="O111" s="32">
        <v>-9350</v>
      </c>
      <c r="P111" s="31">
        <f t="shared" si="61"/>
        <v>0</v>
      </c>
      <c r="Q111" s="22" t="s">
        <v>228</v>
      </c>
      <c r="R111" s="8">
        <v>0</v>
      </c>
    </row>
    <row r="112" spans="1:18" ht="78" customHeight="1" x14ac:dyDescent="0.25">
      <c r="A112" s="1" t="s">
        <v>135</v>
      </c>
      <c r="B112" s="4" t="s">
        <v>224</v>
      </c>
      <c r="C112" s="60" t="s">
        <v>48</v>
      </c>
      <c r="D112" s="36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2">
        <v>9350</v>
      </c>
      <c r="P112" s="31">
        <f t="shared" si="61"/>
        <v>9350</v>
      </c>
      <c r="Q112" s="22" t="s">
        <v>228</v>
      </c>
    </row>
    <row r="113" spans="1:18" ht="79.5" customHeight="1" x14ac:dyDescent="0.25">
      <c r="A113" s="1" t="s">
        <v>136</v>
      </c>
      <c r="B113" s="4" t="s">
        <v>225</v>
      </c>
      <c r="C113" s="43" t="s">
        <v>221</v>
      </c>
      <c r="D113" s="36"/>
      <c r="E113" s="31"/>
      <c r="F113" s="31"/>
      <c r="G113" s="31">
        <v>2284.5</v>
      </c>
      <c r="H113" s="31">
        <f t="shared" si="57"/>
        <v>2284.5</v>
      </c>
      <c r="I113" s="31"/>
      <c r="J113" s="31">
        <f t="shared" si="58"/>
        <v>2284.5</v>
      </c>
      <c r="K113" s="31"/>
      <c r="L113" s="31">
        <f t="shared" si="59"/>
        <v>2284.5</v>
      </c>
      <c r="M113" s="31"/>
      <c r="N113" s="31">
        <f t="shared" si="60"/>
        <v>2284.5</v>
      </c>
      <c r="O113" s="32"/>
      <c r="P113" s="31">
        <f t="shared" si="61"/>
        <v>2284.5</v>
      </c>
      <c r="Q113" s="22" t="s">
        <v>229</v>
      </c>
    </row>
    <row r="114" spans="1:18" ht="82.5" customHeight="1" x14ac:dyDescent="0.25">
      <c r="A114" s="1" t="s">
        <v>137</v>
      </c>
      <c r="B114" s="4" t="s">
        <v>174</v>
      </c>
      <c r="C114" s="43" t="s">
        <v>221</v>
      </c>
      <c r="D114" s="36"/>
      <c r="E114" s="31"/>
      <c r="F114" s="31"/>
      <c r="G114" s="31">
        <v>1462.742</v>
      </c>
      <c r="H114" s="31">
        <f t="shared" si="57"/>
        <v>1462.742</v>
      </c>
      <c r="I114" s="31"/>
      <c r="J114" s="31">
        <f t="shared" si="58"/>
        <v>1462.742</v>
      </c>
      <c r="K114" s="31"/>
      <c r="L114" s="31">
        <f t="shared" si="59"/>
        <v>1462.742</v>
      </c>
      <c r="M114" s="31"/>
      <c r="N114" s="31">
        <f t="shared" si="60"/>
        <v>1462.742</v>
      </c>
      <c r="O114" s="32"/>
      <c r="P114" s="31">
        <f t="shared" si="61"/>
        <v>1462.742</v>
      </c>
      <c r="Q114" s="22" t="s">
        <v>230</v>
      </c>
    </row>
    <row r="115" spans="1:18" ht="75" x14ac:dyDescent="0.25">
      <c r="A115" s="1" t="s">
        <v>138</v>
      </c>
      <c r="B115" s="4" t="s">
        <v>51</v>
      </c>
      <c r="C115" s="43" t="s">
        <v>221</v>
      </c>
      <c r="D115" s="36"/>
      <c r="E115" s="31"/>
      <c r="F115" s="31"/>
      <c r="G115" s="31">
        <v>1039.3</v>
      </c>
      <c r="H115" s="31">
        <f t="shared" si="57"/>
        <v>1039.3</v>
      </c>
      <c r="I115" s="31"/>
      <c r="J115" s="31">
        <f t="shared" si="58"/>
        <v>1039.3</v>
      </c>
      <c r="K115" s="31"/>
      <c r="L115" s="31">
        <f t="shared" si="59"/>
        <v>1039.3</v>
      </c>
      <c r="M115" s="31"/>
      <c r="N115" s="31">
        <f t="shared" si="60"/>
        <v>1039.3</v>
      </c>
      <c r="O115" s="32"/>
      <c r="P115" s="31">
        <f t="shared" si="61"/>
        <v>1039.3</v>
      </c>
      <c r="Q115" s="22" t="s">
        <v>231</v>
      </c>
    </row>
    <row r="116" spans="1:18" x14ac:dyDescent="0.25">
      <c r="A116" s="1"/>
      <c r="B116" s="4" t="s">
        <v>5</v>
      </c>
      <c r="C116" s="60"/>
      <c r="D116" s="30">
        <f>D118+D119</f>
        <v>336334.7</v>
      </c>
      <c r="E116" s="30">
        <f>E118+E119</f>
        <v>0</v>
      </c>
      <c r="F116" s="30">
        <f t="shared" ref="F116:F204" si="62">D116+E116</f>
        <v>336334.7</v>
      </c>
      <c r="G116" s="30">
        <f>G118+G119</f>
        <v>76484.06</v>
      </c>
      <c r="H116" s="30">
        <f t="shared" si="57"/>
        <v>412818.76</v>
      </c>
      <c r="I116" s="30">
        <f>I118+I119</f>
        <v>0</v>
      </c>
      <c r="J116" s="30">
        <f t="shared" si="58"/>
        <v>412818.76</v>
      </c>
      <c r="K116" s="30">
        <f>K118+K119</f>
        <v>0</v>
      </c>
      <c r="L116" s="30">
        <f t="shared" si="59"/>
        <v>412818.76</v>
      </c>
      <c r="M116" s="30">
        <f>M118+M119</f>
        <v>0</v>
      </c>
      <c r="N116" s="30">
        <f t="shared" si="60"/>
        <v>412818.76</v>
      </c>
      <c r="O116" s="30">
        <f>O118+O119</f>
        <v>15360.392</v>
      </c>
      <c r="P116" s="31">
        <f t="shared" si="61"/>
        <v>428179.152</v>
      </c>
    </row>
    <row r="117" spans="1:18" x14ac:dyDescent="0.25">
      <c r="A117" s="1"/>
      <c r="B117" s="4" t="s">
        <v>2</v>
      </c>
      <c r="C117" s="60"/>
      <c r="D117" s="36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2"/>
      <c r="P117" s="31"/>
    </row>
    <row r="118" spans="1:18" hidden="1" x14ac:dyDescent="0.3">
      <c r="A118" s="1"/>
      <c r="B118" s="4" t="s">
        <v>3</v>
      </c>
      <c r="C118" s="4"/>
      <c r="D118" s="37">
        <f>D120+D121+D122+D123+D124+D125+D126+D129+D131+D132</f>
        <v>201334.7</v>
      </c>
      <c r="E118" s="33">
        <f>E120+E121+E122+E123+E124+E125+E126+E129+E131+E132</f>
        <v>0</v>
      </c>
      <c r="F118" s="31">
        <f t="shared" si="62"/>
        <v>201334.7</v>
      </c>
      <c r="G118" s="33">
        <f>G120+G121+G122+G123+G124+G125+G126+G129+G131+G132+G133+G134+G135+G136</f>
        <v>76484.06</v>
      </c>
      <c r="H118" s="31">
        <f t="shared" ref="H118:H127" si="63">F118+G118</f>
        <v>277818.76</v>
      </c>
      <c r="I118" s="33">
        <f>I120+I121+I122+I123+I124+I125+I126+I129+I131+I132+I133+I134+I135+I136</f>
        <v>0</v>
      </c>
      <c r="J118" s="31">
        <f t="shared" ref="J118:J127" si="64">H118+I118</f>
        <v>277818.76</v>
      </c>
      <c r="K118" s="33">
        <f>K120+K121+K122+K123+K124+K125+K126+K129+K131+K132+K133+K134+K135+K136</f>
        <v>0</v>
      </c>
      <c r="L118" s="31">
        <f t="shared" ref="L118:L127" si="65">J118+K118</f>
        <v>277818.76</v>
      </c>
      <c r="M118" s="33">
        <f>M120+M121+M122+M123+M124+M125+M126+M129+M131+M132+M133+M134+M135+M136</f>
        <v>0</v>
      </c>
      <c r="N118" s="31">
        <f t="shared" ref="N118:N127" si="66">L118+M118</f>
        <v>277818.76</v>
      </c>
      <c r="O118" s="34">
        <f>O120+O121+O122+O123+O124+O125+O126+O129+O131+O132+O133+O134+O135+O136</f>
        <v>15360.392</v>
      </c>
      <c r="P118" s="31">
        <f t="shared" ref="P118:P127" si="67">N118+O118</f>
        <v>293179.152</v>
      </c>
      <c r="R118" s="8">
        <v>0</v>
      </c>
    </row>
    <row r="119" spans="1:18" x14ac:dyDescent="0.25">
      <c r="A119" s="1"/>
      <c r="B119" s="4" t="s">
        <v>17</v>
      </c>
      <c r="C119" s="4"/>
      <c r="D119" s="36">
        <f>D130</f>
        <v>135000</v>
      </c>
      <c r="E119" s="31">
        <f>E130</f>
        <v>0</v>
      </c>
      <c r="F119" s="31">
        <f t="shared" si="62"/>
        <v>135000</v>
      </c>
      <c r="G119" s="31">
        <f>G130</f>
        <v>0</v>
      </c>
      <c r="H119" s="31">
        <f t="shared" si="63"/>
        <v>135000</v>
      </c>
      <c r="I119" s="31">
        <f>I130</f>
        <v>0</v>
      </c>
      <c r="J119" s="31">
        <f t="shared" si="64"/>
        <v>135000</v>
      </c>
      <c r="K119" s="31">
        <f>K130</f>
        <v>0</v>
      </c>
      <c r="L119" s="31">
        <f t="shared" si="65"/>
        <v>135000</v>
      </c>
      <c r="M119" s="31">
        <f>M130</f>
        <v>0</v>
      </c>
      <c r="N119" s="31">
        <f t="shared" si="66"/>
        <v>135000</v>
      </c>
      <c r="O119" s="32">
        <f>O130</f>
        <v>0</v>
      </c>
      <c r="P119" s="31">
        <f t="shared" si="67"/>
        <v>135000</v>
      </c>
    </row>
    <row r="120" spans="1:18" ht="75" x14ac:dyDescent="0.25">
      <c r="A120" s="1" t="s">
        <v>139</v>
      </c>
      <c r="B120" s="4" t="s">
        <v>37</v>
      </c>
      <c r="C120" s="4" t="s">
        <v>6</v>
      </c>
      <c r="D120" s="31">
        <v>36626.300000000003</v>
      </c>
      <c r="E120" s="31"/>
      <c r="F120" s="31">
        <f t="shared" si="62"/>
        <v>36626.300000000003</v>
      </c>
      <c r="G120" s="31">
        <v>12035.069</v>
      </c>
      <c r="H120" s="31">
        <f t="shared" si="63"/>
        <v>48661.369000000006</v>
      </c>
      <c r="I120" s="31"/>
      <c r="J120" s="31">
        <f t="shared" si="64"/>
        <v>48661.369000000006</v>
      </c>
      <c r="K120" s="31"/>
      <c r="L120" s="31">
        <f t="shared" si="65"/>
        <v>48661.369000000006</v>
      </c>
      <c r="M120" s="31"/>
      <c r="N120" s="31">
        <f t="shared" si="66"/>
        <v>48661.369000000006</v>
      </c>
      <c r="O120" s="32"/>
      <c r="P120" s="31">
        <f t="shared" si="67"/>
        <v>48661.369000000006</v>
      </c>
      <c r="Q120" s="22">
        <v>1020200000</v>
      </c>
    </row>
    <row r="121" spans="1:18" ht="75" x14ac:dyDescent="0.25">
      <c r="A121" s="1" t="s">
        <v>140</v>
      </c>
      <c r="B121" s="56" t="s">
        <v>33</v>
      </c>
      <c r="C121" s="4" t="s">
        <v>6</v>
      </c>
      <c r="D121" s="31">
        <v>7611.3</v>
      </c>
      <c r="E121" s="31"/>
      <c r="F121" s="31">
        <f t="shared" si="62"/>
        <v>7611.3</v>
      </c>
      <c r="G121" s="31">
        <v>1622.5709999999999</v>
      </c>
      <c r="H121" s="31">
        <f t="shared" si="63"/>
        <v>9233.8709999999992</v>
      </c>
      <c r="I121" s="31"/>
      <c r="J121" s="31">
        <f t="shared" si="64"/>
        <v>9233.8709999999992</v>
      </c>
      <c r="K121" s="31"/>
      <c r="L121" s="31">
        <f t="shared" si="65"/>
        <v>9233.8709999999992</v>
      </c>
      <c r="M121" s="31"/>
      <c r="N121" s="31">
        <f t="shared" si="66"/>
        <v>9233.8709999999992</v>
      </c>
      <c r="O121" s="32"/>
      <c r="P121" s="31">
        <f t="shared" si="67"/>
        <v>9233.8709999999992</v>
      </c>
      <c r="Q121" s="22">
        <v>1110541750</v>
      </c>
    </row>
    <row r="122" spans="1:18" ht="75" x14ac:dyDescent="0.25">
      <c r="A122" s="1" t="s">
        <v>141</v>
      </c>
      <c r="B122" s="56" t="s">
        <v>34</v>
      </c>
      <c r="C122" s="4" t="s">
        <v>6</v>
      </c>
      <c r="D122" s="31">
        <v>22491.5</v>
      </c>
      <c r="E122" s="31"/>
      <c r="F122" s="31">
        <f t="shared" si="62"/>
        <v>22491.5</v>
      </c>
      <c r="G122" s="31">
        <v>9202.009</v>
      </c>
      <c r="H122" s="31">
        <f t="shared" si="63"/>
        <v>31693.508999999998</v>
      </c>
      <c r="I122" s="31"/>
      <c r="J122" s="31">
        <f t="shared" si="64"/>
        <v>31693.508999999998</v>
      </c>
      <c r="K122" s="31"/>
      <c r="L122" s="31">
        <f t="shared" si="65"/>
        <v>31693.508999999998</v>
      </c>
      <c r="M122" s="31"/>
      <c r="N122" s="31">
        <f t="shared" si="66"/>
        <v>31693.508999999998</v>
      </c>
      <c r="O122" s="32">
        <v>26.045999999999999</v>
      </c>
      <c r="P122" s="31">
        <f t="shared" si="67"/>
        <v>31719.554999999997</v>
      </c>
      <c r="Q122" s="22">
        <v>1110541780</v>
      </c>
    </row>
    <row r="123" spans="1:18" ht="75" x14ac:dyDescent="0.25">
      <c r="A123" s="1" t="s">
        <v>143</v>
      </c>
      <c r="B123" s="56" t="s">
        <v>47</v>
      </c>
      <c r="C123" s="4" t="s">
        <v>6</v>
      </c>
      <c r="D123" s="31">
        <v>2172.8000000000002</v>
      </c>
      <c r="E123" s="31"/>
      <c r="F123" s="31">
        <f t="shared" si="62"/>
        <v>2172.8000000000002</v>
      </c>
      <c r="G123" s="31"/>
      <c r="H123" s="31">
        <f t="shared" si="63"/>
        <v>2172.8000000000002</v>
      </c>
      <c r="I123" s="31"/>
      <c r="J123" s="31">
        <f t="shared" si="64"/>
        <v>2172.8000000000002</v>
      </c>
      <c r="K123" s="31"/>
      <c r="L123" s="31">
        <f t="shared" si="65"/>
        <v>2172.8000000000002</v>
      </c>
      <c r="M123" s="31"/>
      <c r="N123" s="31">
        <f t="shared" si="66"/>
        <v>2172.8000000000002</v>
      </c>
      <c r="O123" s="32"/>
      <c r="P123" s="31">
        <f t="shared" si="67"/>
        <v>2172.8000000000002</v>
      </c>
      <c r="Q123" s="22">
        <v>1110541820</v>
      </c>
    </row>
    <row r="124" spans="1:18" ht="75" x14ac:dyDescent="0.25">
      <c r="A124" s="1" t="s">
        <v>144</v>
      </c>
      <c r="B124" s="56" t="s">
        <v>36</v>
      </c>
      <c r="C124" s="4" t="s">
        <v>6</v>
      </c>
      <c r="D124" s="31">
        <v>3309.4</v>
      </c>
      <c r="E124" s="31"/>
      <c r="F124" s="31">
        <f t="shared" si="62"/>
        <v>3309.4</v>
      </c>
      <c r="G124" s="31"/>
      <c r="H124" s="31">
        <f t="shared" si="63"/>
        <v>3309.4</v>
      </c>
      <c r="I124" s="31"/>
      <c r="J124" s="31">
        <f t="shared" si="64"/>
        <v>3309.4</v>
      </c>
      <c r="K124" s="31"/>
      <c r="L124" s="31">
        <f t="shared" si="65"/>
        <v>3309.4</v>
      </c>
      <c r="M124" s="31"/>
      <c r="N124" s="31">
        <f t="shared" si="66"/>
        <v>3309.4</v>
      </c>
      <c r="O124" s="32">
        <v>-49.281999999999996</v>
      </c>
      <c r="P124" s="31">
        <f t="shared" si="67"/>
        <v>3260.1179999999999</v>
      </c>
      <c r="Q124" s="22">
        <v>1110541830</v>
      </c>
    </row>
    <row r="125" spans="1:18" ht="75" x14ac:dyDescent="0.25">
      <c r="A125" s="1" t="s">
        <v>145</v>
      </c>
      <c r="B125" s="56" t="s">
        <v>35</v>
      </c>
      <c r="C125" s="4" t="s">
        <v>6</v>
      </c>
      <c r="D125" s="31">
        <v>1820.1</v>
      </c>
      <c r="E125" s="31"/>
      <c r="F125" s="31">
        <f t="shared" si="62"/>
        <v>1820.1</v>
      </c>
      <c r="G125" s="31"/>
      <c r="H125" s="31">
        <f t="shared" si="63"/>
        <v>1820.1</v>
      </c>
      <c r="I125" s="31"/>
      <c r="J125" s="31">
        <f t="shared" si="64"/>
        <v>1820.1</v>
      </c>
      <c r="K125" s="31"/>
      <c r="L125" s="31">
        <f t="shared" si="65"/>
        <v>1820.1</v>
      </c>
      <c r="M125" s="31"/>
      <c r="N125" s="31">
        <f t="shared" si="66"/>
        <v>1820.1</v>
      </c>
      <c r="O125" s="32">
        <v>-36.402000000000001</v>
      </c>
      <c r="P125" s="31">
        <f t="shared" si="67"/>
        <v>1783.6979999999999</v>
      </c>
      <c r="Q125" s="22">
        <v>1110541850</v>
      </c>
    </row>
    <row r="126" spans="1:18" ht="75" x14ac:dyDescent="0.25">
      <c r="A126" s="1" t="s">
        <v>146</v>
      </c>
      <c r="B126" s="56" t="s">
        <v>179</v>
      </c>
      <c r="C126" s="4" t="s">
        <v>6</v>
      </c>
      <c r="D126" s="31">
        <v>4956.7</v>
      </c>
      <c r="E126" s="31"/>
      <c r="F126" s="31">
        <f t="shared" si="62"/>
        <v>4956.7</v>
      </c>
      <c r="G126" s="31"/>
      <c r="H126" s="31">
        <f t="shared" si="63"/>
        <v>4956.7</v>
      </c>
      <c r="I126" s="31"/>
      <c r="J126" s="31">
        <f t="shared" si="64"/>
        <v>4956.7</v>
      </c>
      <c r="K126" s="31"/>
      <c r="L126" s="31">
        <f t="shared" si="65"/>
        <v>4956.7</v>
      </c>
      <c r="M126" s="31"/>
      <c r="N126" s="31">
        <f t="shared" si="66"/>
        <v>4956.7</v>
      </c>
      <c r="O126" s="32">
        <v>-1215.3119999999999</v>
      </c>
      <c r="P126" s="31">
        <f t="shared" si="67"/>
        <v>3741.3879999999999</v>
      </c>
      <c r="Q126" s="22">
        <v>1110541860</v>
      </c>
    </row>
    <row r="127" spans="1:18" ht="75" x14ac:dyDescent="0.25">
      <c r="A127" s="1" t="s">
        <v>147</v>
      </c>
      <c r="B127" s="56" t="s">
        <v>46</v>
      </c>
      <c r="C127" s="4" t="s">
        <v>6</v>
      </c>
      <c r="D127" s="31">
        <f>D129+D130</f>
        <v>219867</v>
      </c>
      <c r="E127" s="31">
        <f>E129+E130</f>
        <v>0</v>
      </c>
      <c r="F127" s="31">
        <f t="shared" si="62"/>
        <v>219867</v>
      </c>
      <c r="G127" s="31">
        <f>G129+G130</f>
        <v>252.65</v>
      </c>
      <c r="H127" s="31">
        <f t="shared" si="63"/>
        <v>220119.65</v>
      </c>
      <c r="I127" s="31">
        <f>I129+I130</f>
        <v>0</v>
      </c>
      <c r="J127" s="31">
        <f t="shared" si="64"/>
        <v>220119.65</v>
      </c>
      <c r="K127" s="31">
        <f>K129+K130</f>
        <v>0</v>
      </c>
      <c r="L127" s="31">
        <f t="shared" si="65"/>
        <v>220119.65</v>
      </c>
      <c r="M127" s="31">
        <f>M129+M130</f>
        <v>0</v>
      </c>
      <c r="N127" s="31">
        <f t="shared" si="66"/>
        <v>220119.65</v>
      </c>
      <c r="O127" s="32">
        <f>O129+O130</f>
        <v>728.84199999999998</v>
      </c>
      <c r="P127" s="31">
        <f t="shared" si="67"/>
        <v>220848.492</v>
      </c>
    </row>
    <row r="128" spans="1:18" x14ac:dyDescent="0.25">
      <c r="A128" s="1"/>
      <c r="B128" s="4" t="s">
        <v>2</v>
      </c>
      <c r="C128" s="57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2"/>
      <c r="P128" s="31"/>
    </row>
    <row r="129" spans="1:18" hidden="1" x14ac:dyDescent="0.25">
      <c r="A129" s="1"/>
      <c r="B129" s="4" t="s">
        <v>3</v>
      </c>
      <c r="C129" s="14"/>
      <c r="D129" s="31">
        <v>84867</v>
      </c>
      <c r="E129" s="31"/>
      <c r="F129" s="31">
        <f t="shared" si="62"/>
        <v>84867</v>
      </c>
      <c r="G129" s="31">
        <v>252.65</v>
      </c>
      <c r="H129" s="31">
        <f t="shared" ref="H129:H137" si="68">F129+G129</f>
        <v>85119.65</v>
      </c>
      <c r="I129" s="31"/>
      <c r="J129" s="31">
        <f t="shared" ref="J129:J137" si="69">H129+I129</f>
        <v>85119.65</v>
      </c>
      <c r="K129" s="31"/>
      <c r="L129" s="31">
        <f t="shared" ref="L129:L137" si="70">J129+K129</f>
        <v>85119.65</v>
      </c>
      <c r="M129" s="31"/>
      <c r="N129" s="31">
        <f t="shared" ref="N129:N137" si="71">L129+M129</f>
        <v>85119.65</v>
      </c>
      <c r="O129" s="32">
        <f>643.915+84.927</f>
        <v>728.84199999999998</v>
      </c>
      <c r="P129" s="31">
        <f t="shared" ref="P129:P137" si="72">N129+O129</f>
        <v>85848.491999999998</v>
      </c>
      <c r="Q129" s="22" t="s">
        <v>275</v>
      </c>
      <c r="R129" s="8">
        <v>0</v>
      </c>
    </row>
    <row r="130" spans="1:18" x14ac:dyDescent="0.25">
      <c r="A130" s="1"/>
      <c r="B130" s="4" t="s">
        <v>17</v>
      </c>
      <c r="C130" s="57"/>
      <c r="D130" s="31">
        <v>135000</v>
      </c>
      <c r="E130" s="31"/>
      <c r="F130" s="31">
        <f t="shared" si="62"/>
        <v>135000</v>
      </c>
      <c r="G130" s="31"/>
      <c r="H130" s="31">
        <f t="shared" si="68"/>
        <v>135000</v>
      </c>
      <c r="I130" s="31"/>
      <c r="J130" s="31">
        <f t="shared" si="69"/>
        <v>135000</v>
      </c>
      <c r="K130" s="31"/>
      <c r="L130" s="31">
        <f t="shared" si="70"/>
        <v>135000</v>
      </c>
      <c r="M130" s="31"/>
      <c r="N130" s="31">
        <f t="shared" si="71"/>
        <v>135000</v>
      </c>
      <c r="O130" s="32"/>
      <c r="P130" s="31">
        <f t="shared" si="72"/>
        <v>135000</v>
      </c>
      <c r="Q130" s="22" t="s">
        <v>274</v>
      </c>
    </row>
    <row r="131" spans="1:18" ht="75" x14ac:dyDescent="0.25">
      <c r="A131" s="1" t="s">
        <v>148</v>
      </c>
      <c r="B131" s="56" t="s">
        <v>61</v>
      </c>
      <c r="C131" s="4" t="s">
        <v>6</v>
      </c>
      <c r="D131" s="31">
        <v>30036.1</v>
      </c>
      <c r="E131" s="31"/>
      <c r="F131" s="31">
        <f t="shared" si="62"/>
        <v>30036.1</v>
      </c>
      <c r="G131" s="31"/>
      <c r="H131" s="31">
        <f t="shared" si="68"/>
        <v>30036.1</v>
      </c>
      <c r="I131" s="31"/>
      <c r="J131" s="31">
        <f t="shared" si="69"/>
        <v>30036.1</v>
      </c>
      <c r="K131" s="31"/>
      <c r="L131" s="31">
        <f t="shared" si="70"/>
        <v>30036.1</v>
      </c>
      <c r="M131" s="31"/>
      <c r="N131" s="31">
        <f t="shared" si="71"/>
        <v>30036.1</v>
      </c>
      <c r="O131" s="32"/>
      <c r="P131" s="31">
        <f t="shared" si="72"/>
        <v>30036.1</v>
      </c>
      <c r="Q131" s="22">
        <v>1120441540</v>
      </c>
    </row>
    <row r="132" spans="1:18" ht="75" x14ac:dyDescent="0.25">
      <c r="A132" s="1" t="s">
        <v>149</v>
      </c>
      <c r="B132" s="56" t="s">
        <v>62</v>
      </c>
      <c r="C132" s="4" t="s">
        <v>6</v>
      </c>
      <c r="D132" s="31">
        <v>7443.5</v>
      </c>
      <c r="E132" s="31"/>
      <c r="F132" s="31">
        <f t="shared" si="62"/>
        <v>7443.5</v>
      </c>
      <c r="G132" s="31"/>
      <c r="H132" s="31">
        <f t="shared" si="68"/>
        <v>7443.5</v>
      </c>
      <c r="I132" s="31"/>
      <c r="J132" s="31">
        <f t="shared" si="69"/>
        <v>7443.5</v>
      </c>
      <c r="K132" s="31"/>
      <c r="L132" s="31">
        <f t="shared" si="70"/>
        <v>7443.5</v>
      </c>
      <c r="M132" s="31"/>
      <c r="N132" s="31">
        <f t="shared" si="71"/>
        <v>7443.5</v>
      </c>
      <c r="O132" s="32">
        <v>-93.5</v>
      </c>
      <c r="P132" s="31">
        <f t="shared" si="72"/>
        <v>7350</v>
      </c>
      <c r="Q132" s="22">
        <v>1120441870</v>
      </c>
    </row>
    <row r="133" spans="1:18" ht="75" x14ac:dyDescent="0.25">
      <c r="A133" s="1" t="s">
        <v>150</v>
      </c>
      <c r="B133" s="56" t="s">
        <v>202</v>
      </c>
      <c r="C133" s="4" t="s">
        <v>6</v>
      </c>
      <c r="D133" s="31"/>
      <c r="E133" s="31"/>
      <c r="F133" s="31"/>
      <c r="G133" s="31">
        <v>395.28300000000002</v>
      </c>
      <c r="H133" s="31">
        <f t="shared" si="68"/>
        <v>395.28300000000002</v>
      </c>
      <c r="I133" s="31"/>
      <c r="J133" s="31">
        <f t="shared" si="69"/>
        <v>395.28300000000002</v>
      </c>
      <c r="K133" s="31"/>
      <c r="L133" s="31">
        <f t="shared" si="70"/>
        <v>395.28300000000002</v>
      </c>
      <c r="M133" s="31"/>
      <c r="N133" s="31">
        <f t="shared" si="71"/>
        <v>395.28300000000002</v>
      </c>
      <c r="O133" s="32"/>
      <c r="P133" s="31">
        <f t="shared" si="72"/>
        <v>395.28300000000002</v>
      </c>
      <c r="Q133" s="22" t="s">
        <v>205</v>
      </c>
    </row>
    <row r="134" spans="1:18" ht="75" x14ac:dyDescent="0.25">
      <c r="A134" s="1" t="s">
        <v>151</v>
      </c>
      <c r="B134" s="56" t="s">
        <v>203</v>
      </c>
      <c r="C134" s="4" t="s">
        <v>6</v>
      </c>
      <c r="D134" s="31"/>
      <c r="E134" s="31"/>
      <c r="F134" s="31"/>
      <c r="G134" s="31">
        <v>2744.8009999999999</v>
      </c>
      <c r="H134" s="31">
        <f t="shared" si="68"/>
        <v>2744.8009999999999</v>
      </c>
      <c r="I134" s="31"/>
      <c r="J134" s="31">
        <f t="shared" si="69"/>
        <v>2744.8009999999999</v>
      </c>
      <c r="K134" s="31"/>
      <c r="L134" s="31">
        <f t="shared" si="70"/>
        <v>2744.8009999999999</v>
      </c>
      <c r="M134" s="31"/>
      <c r="N134" s="31">
        <f t="shared" si="71"/>
        <v>2744.8009999999999</v>
      </c>
      <c r="O134" s="32"/>
      <c r="P134" s="31">
        <f t="shared" si="72"/>
        <v>2744.8009999999999</v>
      </c>
      <c r="Q134" s="22" t="s">
        <v>206</v>
      </c>
    </row>
    <row r="135" spans="1:18" ht="75" x14ac:dyDescent="0.25">
      <c r="A135" s="1" t="s">
        <v>152</v>
      </c>
      <c r="B135" s="56" t="s">
        <v>204</v>
      </c>
      <c r="C135" s="4" t="s">
        <v>6</v>
      </c>
      <c r="D135" s="31"/>
      <c r="E135" s="31"/>
      <c r="F135" s="31"/>
      <c r="G135" s="31">
        <v>472.8</v>
      </c>
      <c r="H135" s="31">
        <f t="shared" si="68"/>
        <v>472.8</v>
      </c>
      <c r="I135" s="31"/>
      <c r="J135" s="31">
        <f t="shared" si="69"/>
        <v>472.8</v>
      </c>
      <c r="K135" s="31"/>
      <c r="L135" s="31">
        <f t="shared" si="70"/>
        <v>472.8</v>
      </c>
      <c r="M135" s="31"/>
      <c r="N135" s="31">
        <f t="shared" si="71"/>
        <v>472.8</v>
      </c>
      <c r="O135" s="32"/>
      <c r="P135" s="31">
        <f t="shared" si="72"/>
        <v>472.8</v>
      </c>
      <c r="Q135" s="22" t="s">
        <v>207</v>
      </c>
    </row>
    <row r="136" spans="1:18" ht="75" x14ac:dyDescent="0.25">
      <c r="A136" s="1" t="s">
        <v>153</v>
      </c>
      <c r="B136" s="56" t="s">
        <v>240</v>
      </c>
      <c r="C136" s="4" t="s">
        <v>6</v>
      </c>
      <c r="D136" s="31"/>
      <c r="E136" s="31"/>
      <c r="F136" s="31"/>
      <c r="G136" s="31">
        <f>40000+9758.877</f>
        <v>49758.877</v>
      </c>
      <c r="H136" s="31">
        <f t="shared" si="68"/>
        <v>49758.877</v>
      </c>
      <c r="I136" s="31"/>
      <c r="J136" s="31">
        <f t="shared" si="69"/>
        <v>49758.877</v>
      </c>
      <c r="K136" s="31"/>
      <c r="L136" s="31">
        <f t="shared" si="70"/>
        <v>49758.877</v>
      </c>
      <c r="M136" s="31"/>
      <c r="N136" s="31">
        <f t="shared" si="71"/>
        <v>49758.877</v>
      </c>
      <c r="O136" s="32">
        <v>16000</v>
      </c>
      <c r="P136" s="31">
        <f t="shared" si="72"/>
        <v>65758.877000000008</v>
      </c>
      <c r="Q136" s="22" t="s">
        <v>241</v>
      </c>
    </row>
    <row r="137" spans="1:18" x14ac:dyDescent="0.25">
      <c r="A137" s="1"/>
      <c r="B137" s="4" t="s">
        <v>7</v>
      </c>
      <c r="C137" s="60"/>
      <c r="D137" s="30">
        <f>D139+D140</f>
        <v>1464315.0999999999</v>
      </c>
      <c r="E137" s="30">
        <f>E139+E140</f>
        <v>100000</v>
      </c>
      <c r="F137" s="30">
        <f t="shared" si="62"/>
        <v>1564315.0999999999</v>
      </c>
      <c r="G137" s="30">
        <f>G139+G140</f>
        <v>139754.22499999998</v>
      </c>
      <c r="H137" s="30">
        <f t="shared" si="68"/>
        <v>1704069.3249999997</v>
      </c>
      <c r="I137" s="30">
        <f>I139+I140</f>
        <v>0</v>
      </c>
      <c r="J137" s="30">
        <f t="shared" si="69"/>
        <v>1704069.3249999997</v>
      </c>
      <c r="K137" s="30">
        <f>K139+K140</f>
        <v>283733.40000000002</v>
      </c>
      <c r="L137" s="30">
        <f t="shared" si="70"/>
        <v>1987802.7249999996</v>
      </c>
      <c r="M137" s="30">
        <f>M139+M140</f>
        <v>0</v>
      </c>
      <c r="N137" s="30">
        <f t="shared" si="71"/>
        <v>1987802.7249999996</v>
      </c>
      <c r="O137" s="30">
        <f>O139+O140</f>
        <v>-334752.24599999998</v>
      </c>
      <c r="P137" s="31">
        <f t="shared" si="72"/>
        <v>1653050.4789999996</v>
      </c>
    </row>
    <row r="138" spans="1:18" x14ac:dyDescent="0.25">
      <c r="A138" s="1"/>
      <c r="B138" s="10" t="s">
        <v>2</v>
      </c>
      <c r="C138" s="57"/>
      <c r="D138" s="36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2"/>
      <c r="P138" s="31"/>
    </row>
    <row r="139" spans="1:18" hidden="1" x14ac:dyDescent="0.3">
      <c r="A139" s="1"/>
      <c r="B139" s="10" t="s">
        <v>3</v>
      </c>
      <c r="C139" s="5"/>
      <c r="D139" s="37">
        <f>D143+D147+D151+D155+D159+D163+D167+D169+D170+D171+D172+D176</f>
        <v>505895.59999999992</v>
      </c>
      <c r="E139" s="33">
        <f>E143+E147+E151+E155+E159+E163+E167+E169+E170+E171+E172+E178</f>
        <v>0</v>
      </c>
      <c r="F139" s="31">
        <f t="shared" si="62"/>
        <v>505895.59999999992</v>
      </c>
      <c r="G139" s="33">
        <f>G143+G147+G151+G155+G159+G163+G167+G169+G170+G171+G172+G178+G180+G181+G182+G183+G184</f>
        <v>139754.22499999998</v>
      </c>
      <c r="H139" s="31">
        <f t="shared" ref="H139:H141" si="73">F139+G139</f>
        <v>645649.82499999995</v>
      </c>
      <c r="I139" s="33">
        <f>I143+I147+I151+I155+I159+I163+I167+I169+I170+I171+I172+I178+I180+I181+I182+I183+I184</f>
        <v>0</v>
      </c>
      <c r="J139" s="31">
        <f t="shared" ref="J139:J141" si="74">H139+I139</f>
        <v>645649.82499999995</v>
      </c>
      <c r="K139" s="33">
        <f>K143+K147+K151+K155+K159+K163+K167+K169+K170+K178+K180+K181+K182+K183+K184+K187+K174+K191</f>
        <v>70933.399999999994</v>
      </c>
      <c r="L139" s="31">
        <f t="shared" ref="L139:L141" si="75">J139+K139</f>
        <v>716583.22499999998</v>
      </c>
      <c r="M139" s="33">
        <f>M143+M147+M151+M155+M159+M163+M167+M169+M170+M178+M180+M181+M182+M183+M184+M187+M174+M191</f>
        <v>0</v>
      </c>
      <c r="N139" s="31">
        <f t="shared" ref="N139:N141" si="76">L139+M139</f>
        <v>716583.22499999998</v>
      </c>
      <c r="O139" s="34">
        <f>O143+O147+O151+O155+O159+O163+O167+O169+O170+O178+O180+O181+O182+O183+O184+O187+O174+O191+O171+O193</f>
        <v>-103167.246</v>
      </c>
      <c r="P139" s="31">
        <f t="shared" ref="P139:P141" si="77">N139+O139</f>
        <v>613415.97899999993</v>
      </c>
      <c r="R139" s="8">
        <v>0</v>
      </c>
    </row>
    <row r="140" spans="1:18" x14ac:dyDescent="0.25">
      <c r="A140" s="1"/>
      <c r="B140" s="10" t="s">
        <v>25</v>
      </c>
      <c r="C140" s="56"/>
      <c r="D140" s="36">
        <f>D144+D152+D156+D160+D164+D168+D148</f>
        <v>958419.5</v>
      </c>
      <c r="E140" s="31">
        <f>E144+E152+E156+E160+E164+E168+E148+E179</f>
        <v>100000</v>
      </c>
      <c r="F140" s="31">
        <f t="shared" si="62"/>
        <v>1058419.5</v>
      </c>
      <c r="G140" s="31">
        <f>G144+G152+G156+G160+G164+G168+G148+G179</f>
        <v>0</v>
      </c>
      <c r="H140" s="31">
        <f t="shared" si="73"/>
        <v>1058419.5</v>
      </c>
      <c r="I140" s="31">
        <f>I144+I152+I156+I160+I164+I168+I148+I179</f>
        <v>0</v>
      </c>
      <c r="J140" s="31">
        <f t="shared" si="74"/>
        <v>1058419.5</v>
      </c>
      <c r="K140" s="31">
        <f>K144+K152+K156+K160+K164+K168+K148+K179+K188+K175+K192</f>
        <v>212800</v>
      </c>
      <c r="L140" s="31">
        <f t="shared" si="75"/>
        <v>1271219.5</v>
      </c>
      <c r="M140" s="31">
        <f>M144+M152+M156+M160+M164+M168+M148+M179+M188+M175+M192</f>
        <v>0</v>
      </c>
      <c r="N140" s="31">
        <f t="shared" si="76"/>
        <v>1271219.5</v>
      </c>
      <c r="O140" s="32">
        <f>O144+O152+O156+O160+O164+O168+O148+O179+O188+O175+O192</f>
        <v>-231585</v>
      </c>
      <c r="P140" s="31">
        <f t="shared" si="77"/>
        <v>1039634.5</v>
      </c>
    </row>
    <row r="141" spans="1:18" ht="75" x14ac:dyDescent="0.25">
      <c r="A141" s="1" t="s">
        <v>154</v>
      </c>
      <c r="B141" s="4" t="s">
        <v>30</v>
      </c>
      <c r="C141" s="4" t="s">
        <v>6</v>
      </c>
      <c r="D141" s="36">
        <f>D143+D144</f>
        <v>248624.9</v>
      </c>
      <c r="E141" s="31">
        <f>E143+E144</f>
        <v>25000</v>
      </c>
      <c r="F141" s="31">
        <f t="shared" si="62"/>
        <v>273624.90000000002</v>
      </c>
      <c r="G141" s="31">
        <f>G143+G144</f>
        <v>-19620.5</v>
      </c>
      <c r="H141" s="31">
        <f t="shared" si="73"/>
        <v>254004.40000000002</v>
      </c>
      <c r="I141" s="31">
        <f>I143+I144</f>
        <v>0</v>
      </c>
      <c r="J141" s="31">
        <f t="shared" si="74"/>
        <v>254004.40000000002</v>
      </c>
      <c r="K141" s="31">
        <f>K143+K144</f>
        <v>85032.299999999988</v>
      </c>
      <c r="L141" s="31">
        <f t="shared" si="75"/>
        <v>339036.7</v>
      </c>
      <c r="M141" s="31">
        <f>M143+M144</f>
        <v>0</v>
      </c>
      <c r="N141" s="31">
        <f t="shared" si="76"/>
        <v>339036.7</v>
      </c>
      <c r="O141" s="32">
        <f>O143+O144</f>
        <v>55486.400000000001</v>
      </c>
      <c r="P141" s="31">
        <f t="shared" si="77"/>
        <v>394523.10000000003</v>
      </c>
    </row>
    <row r="142" spans="1:18" x14ac:dyDescent="0.25">
      <c r="A142" s="1"/>
      <c r="B142" s="4" t="s">
        <v>2</v>
      </c>
      <c r="C142" s="4"/>
      <c r="D142" s="36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2"/>
      <c r="P142" s="31"/>
    </row>
    <row r="143" spans="1:18" hidden="1" x14ac:dyDescent="0.25">
      <c r="A143" s="1"/>
      <c r="B143" s="4" t="s">
        <v>3</v>
      </c>
      <c r="C143" s="4"/>
      <c r="D143" s="36">
        <v>164530.29999999999</v>
      </c>
      <c r="E143" s="31"/>
      <c r="F143" s="31">
        <f t="shared" si="62"/>
        <v>164530.29999999999</v>
      </c>
      <c r="G143" s="31">
        <f>-25000+5379.5</f>
        <v>-19620.5</v>
      </c>
      <c r="H143" s="31">
        <f t="shared" ref="H143:H145" si="78">F143+G143</f>
        <v>144909.79999999999</v>
      </c>
      <c r="I143" s="31"/>
      <c r="J143" s="31">
        <f t="shared" ref="J143:J145" si="79">H143+I143</f>
        <v>144909.79999999999</v>
      </c>
      <c r="K143" s="31">
        <f>21258.1-0.1</f>
        <v>21258</v>
      </c>
      <c r="L143" s="31">
        <f t="shared" ref="L143:L145" si="80">J143+K143</f>
        <v>166167.79999999999</v>
      </c>
      <c r="M143" s="31"/>
      <c r="N143" s="31">
        <f t="shared" ref="N143:N145" si="81">L143+M143</f>
        <v>166167.79999999999</v>
      </c>
      <c r="O143" s="32">
        <v>13871.6</v>
      </c>
      <c r="P143" s="31">
        <f t="shared" ref="P143:P145" si="82">N143+O143</f>
        <v>180039.4</v>
      </c>
      <c r="Q143" s="22" t="s">
        <v>39</v>
      </c>
      <c r="R143" s="8">
        <v>0</v>
      </c>
    </row>
    <row r="144" spans="1:18" x14ac:dyDescent="0.25">
      <c r="A144" s="1"/>
      <c r="B144" s="4" t="s">
        <v>25</v>
      </c>
      <c r="C144" s="4"/>
      <c r="D144" s="38">
        <v>84094.6</v>
      </c>
      <c r="E144" s="38">
        <v>25000</v>
      </c>
      <c r="F144" s="31">
        <f t="shared" si="62"/>
        <v>109094.6</v>
      </c>
      <c r="G144" s="38"/>
      <c r="H144" s="31">
        <f t="shared" si="78"/>
        <v>109094.6</v>
      </c>
      <c r="I144" s="38"/>
      <c r="J144" s="31">
        <f t="shared" si="79"/>
        <v>109094.6</v>
      </c>
      <c r="K144" s="38">
        <f>63774.2+0.1</f>
        <v>63774.299999999996</v>
      </c>
      <c r="L144" s="31">
        <f t="shared" si="80"/>
        <v>172868.9</v>
      </c>
      <c r="M144" s="38"/>
      <c r="N144" s="31">
        <f t="shared" si="81"/>
        <v>172868.9</v>
      </c>
      <c r="O144" s="40">
        <f>0.1-0.1+41614.8</f>
        <v>41614.800000000003</v>
      </c>
      <c r="P144" s="31">
        <f t="shared" si="82"/>
        <v>214483.7</v>
      </c>
      <c r="Q144" s="22" t="s">
        <v>166</v>
      </c>
    </row>
    <row r="145" spans="1:18" ht="75" x14ac:dyDescent="0.25">
      <c r="A145" s="1" t="s">
        <v>155</v>
      </c>
      <c r="B145" s="4" t="s">
        <v>60</v>
      </c>
      <c r="C145" s="4" t="s">
        <v>6</v>
      </c>
      <c r="D145" s="36">
        <f>D147+D148</f>
        <v>18135</v>
      </c>
      <c r="E145" s="31">
        <f>E147+E148</f>
        <v>0</v>
      </c>
      <c r="F145" s="31">
        <f t="shared" si="62"/>
        <v>18135</v>
      </c>
      <c r="G145" s="31">
        <f>G147+G148</f>
        <v>4545</v>
      </c>
      <c r="H145" s="31">
        <f t="shared" si="78"/>
        <v>22680</v>
      </c>
      <c r="I145" s="31">
        <f>I147+I148</f>
        <v>0</v>
      </c>
      <c r="J145" s="31">
        <f t="shared" si="79"/>
        <v>22680</v>
      </c>
      <c r="K145" s="31">
        <f>K147+K148</f>
        <v>0</v>
      </c>
      <c r="L145" s="31">
        <f t="shared" si="80"/>
        <v>22680</v>
      </c>
      <c r="M145" s="31">
        <f>M147+M148</f>
        <v>0</v>
      </c>
      <c r="N145" s="31">
        <f t="shared" si="81"/>
        <v>22680</v>
      </c>
      <c r="O145" s="32">
        <f>O147+O148</f>
        <v>0</v>
      </c>
      <c r="P145" s="31">
        <f t="shared" si="82"/>
        <v>22680</v>
      </c>
    </row>
    <row r="146" spans="1:18" hidden="1" x14ac:dyDescent="0.25">
      <c r="A146" s="1"/>
      <c r="B146" s="4" t="s">
        <v>2</v>
      </c>
      <c r="C146" s="4"/>
      <c r="D146" s="36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2"/>
      <c r="P146" s="31"/>
      <c r="R146" s="8">
        <v>0</v>
      </c>
    </row>
    <row r="147" spans="1:18" hidden="1" x14ac:dyDescent="0.25">
      <c r="A147" s="1"/>
      <c r="B147" s="4" t="s">
        <v>3</v>
      </c>
      <c r="C147" s="4"/>
      <c r="D147" s="36">
        <v>18135</v>
      </c>
      <c r="E147" s="31"/>
      <c r="F147" s="31">
        <f t="shared" si="62"/>
        <v>18135</v>
      </c>
      <c r="G147" s="31">
        <f>8.829+4536.171</f>
        <v>4545</v>
      </c>
      <c r="H147" s="31">
        <f t="shared" ref="H147:H149" si="83">F147+G147</f>
        <v>22680</v>
      </c>
      <c r="I147" s="31"/>
      <c r="J147" s="31">
        <f t="shared" ref="J147:J149" si="84">H147+I147</f>
        <v>22680</v>
      </c>
      <c r="K147" s="31"/>
      <c r="L147" s="31">
        <f t="shared" ref="L147:L149" si="85">J147+K147</f>
        <v>22680</v>
      </c>
      <c r="M147" s="31"/>
      <c r="N147" s="31">
        <f t="shared" ref="N147:N149" si="86">L147+M147</f>
        <v>22680</v>
      </c>
      <c r="O147" s="32"/>
      <c r="P147" s="31">
        <f t="shared" ref="P147:P149" si="87">N147+O147</f>
        <v>22680</v>
      </c>
      <c r="Q147" s="22">
        <v>1020141920</v>
      </c>
      <c r="R147" s="8">
        <v>0</v>
      </c>
    </row>
    <row r="148" spans="1:18" hidden="1" x14ac:dyDescent="0.25">
      <c r="A148" s="1"/>
      <c r="B148" s="4" t="s">
        <v>25</v>
      </c>
      <c r="C148" s="4"/>
      <c r="D148" s="36">
        <v>0</v>
      </c>
      <c r="E148" s="31">
        <v>0</v>
      </c>
      <c r="F148" s="31">
        <f t="shared" si="62"/>
        <v>0</v>
      </c>
      <c r="G148" s="31">
        <v>0</v>
      </c>
      <c r="H148" s="31">
        <f t="shared" si="83"/>
        <v>0</v>
      </c>
      <c r="I148" s="31">
        <v>0</v>
      </c>
      <c r="J148" s="31">
        <f t="shared" si="84"/>
        <v>0</v>
      </c>
      <c r="K148" s="31">
        <v>0</v>
      </c>
      <c r="L148" s="31">
        <f t="shared" si="85"/>
        <v>0</v>
      </c>
      <c r="M148" s="31">
        <v>0</v>
      </c>
      <c r="N148" s="31">
        <f t="shared" si="86"/>
        <v>0</v>
      </c>
      <c r="O148" s="32">
        <v>0</v>
      </c>
      <c r="P148" s="31">
        <f t="shared" si="87"/>
        <v>0</v>
      </c>
      <c r="Q148" s="22" t="s">
        <v>166</v>
      </c>
      <c r="R148" s="8">
        <v>0</v>
      </c>
    </row>
    <row r="149" spans="1:18" ht="69.75" customHeight="1" x14ac:dyDescent="0.25">
      <c r="A149" s="1" t="s">
        <v>156</v>
      </c>
      <c r="B149" s="4" t="s">
        <v>86</v>
      </c>
      <c r="C149" s="4" t="s">
        <v>6</v>
      </c>
      <c r="D149" s="36">
        <f>D151+D152</f>
        <v>732685.8</v>
      </c>
      <c r="E149" s="31">
        <f>E151+E152</f>
        <v>0</v>
      </c>
      <c r="F149" s="31">
        <f t="shared" si="62"/>
        <v>732685.8</v>
      </c>
      <c r="G149" s="31">
        <f>G151+G152</f>
        <v>69317.505999999994</v>
      </c>
      <c r="H149" s="31">
        <f t="shared" si="83"/>
        <v>802003.3060000001</v>
      </c>
      <c r="I149" s="31">
        <f>I151+I152</f>
        <v>0</v>
      </c>
      <c r="J149" s="31">
        <f t="shared" si="84"/>
        <v>802003.3060000001</v>
      </c>
      <c r="K149" s="31">
        <f>K151+K152</f>
        <v>0</v>
      </c>
      <c r="L149" s="31">
        <f t="shared" si="85"/>
        <v>802003.3060000001</v>
      </c>
      <c r="M149" s="31">
        <f>M151+M152</f>
        <v>0</v>
      </c>
      <c r="N149" s="31">
        <f t="shared" si="86"/>
        <v>802003.3060000001</v>
      </c>
      <c r="O149" s="32">
        <f>O151+O152</f>
        <v>72725.600000000006</v>
      </c>
      <c r="P149" s="31">
        <f t="shared" si="87"/>
        <v>874728.90600000008</v>
      </c>
    </row>
    <row r="150" spans="1:18" x14ac:dyDescent="0.25">
      <c r="A150" s="1"/>
      <c r="B150" s="4" t="s">
        <v>2</v>
      </c>
      <c r="C150" s="4"/>
      <c r="D150" s="36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2"/>
      <c r="P150" s="31"/>
    </row>
    <row r="151" spans="1:18" hidden="1" x14ac:dyDescent="0.25">
      <c r="A151" s="1"/>
      <c r="B151" s="4" t="s">
        <v>3</v>
      </c>
      <c r="C151" s="4"/>
      <c r="D151" s="36">
        <v>183171.5</v>
      </c>
      <c r="E151" s="31"/>
      <c r="F151" s="31">
        <f t="shared" si="62"/>
        <v>183171.5</v>
      </c>
      <c r="G151" s="31">
        <f>44317.506+25000</f>
        <v>69317.505999999994</v>
      </c>
      <c r="H151" s="31">
        <f t="shared" ref="H151:H153" si="88">F151+G151</f>
        <v>252489.00599999999</v>
      </c>
      <c r="I151" s="31"/>
      <c r="J151" s="31">
        <f t="shared" ref="J151:J153" si="89">H151+I151</f>
        <v>252489.00599999999</v>
      </c>
      <c r="K151" s="31"/>
      <c r="L151" s="31">
        <f t="shared" ref="L151:L153" si="90">J151+K151</f>
        <v>252489.00599999999</v>
      </c>
      <c r="M151" s="31"/>
      <c r="N151" s="31">
        <f t="shared" ref="N151:N153" si="91">L151+M151</f>
        <v>252489.00599999999</v>
      </c>
      <c r="O151" s="32">
        <v>28705.4</v>
      </c>
      <c r="P151" s="31">
        <f t="shared" ref="P151:P153" si="92">N151+O151</f>
        <v>281194.40600000002</v>
      </c>
      <c r="Q151" s="22" t="s">
        <v>41</v>
      </c>
      <c r="R151" s="8">
        <v>0</v>
      </c>
    </row>
    <row r="152" spans="1:18" x14ac:dyDescent="0.25">
      <c r="A152" s="1"/>
      <c r="B152" s="4" t="s">
        <v>25</v>
      </c>
      <c r="C152" s="4"/>
      <c r="D152" s="36">
        <v>549514.30000000005</v>
      </c>
      <c r="E152" s="31"/>
      <c r="F152" s="31">
        <f t="shared" si="62"/>
        <v>549514.30000000005</v>
      </c>
      <c r="G152" s="31"/>
      <c r="H152" s="31">
        <f t="shared" si="88"/>
        <v>549514.30000000005</v>
      </c>
      <c r="I152" s="31"/>
      <c r="J152" s="31">
        <f t="shared" si="89"/>
        <v>549514.30000000005</v>
      </c>
      <c r="K152" s="31"/>
      <c r="L152" s="31">
        <f t="shared" si="90"/>
        <v>549514.30000000005</v>
      </c>
      <c r="M152" s="31"/>
      <c r="N152" s="31">
        <f t="shared" si="91"/>
        <v>549514.30000000005</v>
      </c>
      <c r="O152" s="32">
        <v>44020.2</v>
      </c>
      <c r="P152" s="31">
        <f t="shared" si="92"/>
        <v>593534.5</v>
      </c>
      <c r="Q152" s="22" t="s">
        <v>166</v>
      </c>
    </row>
    <row r="153" spans="1:18" ht="75" x14ac:dyDescent="0.25">
      <c r="A153" s="1" t="s">
        <v>157</v>
      </c>
      <c r="B153" s="4" t="s">
        <v>31</v>
      </c>
      <c r="C153" s="4" t="s">
        <v>6</v>
      </c>
      <c r="D153" s="36">
        <f>D155+D156</f>
        <v>85032.299999999988</v>
      </c>
      <c r="E153" s="31">
        <f>E155+E156</f>
        <v>0</v>
      </c>
      <c r="F153" s="31">
        <f t="shared" si="62"/>
        <v>85032.299999999988</v>
      </c>
      <c r="G153" s="31">
        <f>G155+G156</f>
        <v>6397</v>
      </c>
      <c r="H153" s="31">
        <f t="shared" si="88"/>
        <v>91429.299999999988</v>
      </c>
      <c r="I153" s="31">
        <f>I155+I156</f>
        <v>0</v>
      </c>
      <c r="J153" s="31">
        <f t="shared" si="89"/>
        <v>91429.299999999988</v>
      </c>
      <c r="K153" s="31">
        <f>K155+K156</f>
        <v>-85032.299999999988</v>
      </c>
      <c r="L153" s="31">
        <f t="shared" si="90"/>
        <v>6397</v>
      </c>
      <c r="M153" s="31">
        <f>M155+M156</f>
        <v>0</v>
      </c>
      <c r="N153" s="31">
        <f t="shared" si="91"/>
        <v>6397</v>
      </c>
      <c r="O153" s="32">
        <f>O155+O156</f>
        <v>0</v>
      </c>
      <c r="P153" s="31">
        <f t="shared" si="92"/>
        <v>6397</v>
      </c>
    </row>
    <row r="154" spans="1:18" hidden="1" x14ac:dyDescent="0.25">
      <c r="A154" s="1"/>
      <c r="B154" s="4" t="s">
        <v>2</v>
      </c>
      <c r="C154" s="4"/>
      <c r="D154" s="36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2"/>
      <c r="P154" s="31"/>
      <c r="R154" s="8">
        <v>0</v>
      </c>
    </row>
    <row r="155" spans="1:18" hidden="1" x14ac:dyDescent="0.25">
      <c r="A155" s="1"/>
      <c r="B155" s="4" t="s">
        <v>3</v>
      </c>
      <c r="C155" s="4"/>
      <c r="D155" s="36">
        <v>21258.1</v>
      </c>
      <c r="E155" s="31"/>
      <c r="F155" s="31">
        <f t="shared" si="62"/>
        <v>21258.1</v>
      </c>
      <c r="G155" s="31">
        <v>6397</v>
      </c>
      <c r="H155" s="31">
        <f t="shared" ref="H155:H157" si="93">F155+G155</f>
        <v>27655.1</v>
      </c>
      <c r="I155" s="31"/>
      <c r="J155" s="31">
        <f t="shared" ref="J155:J157" si="94">H155+I155</f>
        <v>27655.1</v>
      </c>
      <c r="K155" s="31">
        <v>-21258.1</v>
      </c>
      <c r="L155" s="31">
        <f t="shared" ref="L155:L157" si="95">J155+K155</f>
        <v>6397</v>
      </c>
      <c r="M155" s="31"/>
      <c r="N155" s="31">
        <f t="shared" ref="N155:N157" si="96">L155+M155</f>
        <v>6397</v>
      </c>
      <c r="O155" s="32"/>
      <c r="P155" s="31">
        <f t="shared" ref="P155:P157" si="97">N155+O155</f>
        <v>6397</v>
      </c>
      <c r="Q155" s="22" t="s">
        <v>40</v>
      </c>
      <c r="R155" s="8">
        <v>0</v>
      </c>
    </row>
    <row r="156" spans="1:18" hidden="1" x14ac:dyDescent="0.25">
      <c r="A156" s="1"/>
      <c r="B156" s="4" t="s">
        <v>25</v>
      </c>
      <c r="C156" s="4"/>
      <c r="D156" s="36">
        <v>63774.2</v>
      </c>
      <c r="E156" s="31"/>
      <c r="F156" s="31">
        <f t="shared" si="62"/>
        <v>63774.2</v>
      </c>
      <c r="G156" s="31"/>
      <c r="H156" s="31">
        <f t="shared" si="93"/>
        <v>63774.2</v>
      </c>
      <c r="I156" s="31"/>
      <c r="J156" s="31">
        <f t="shared" si="94"/>
        <v>63774.2</v>
      </c>
      <c r="K156" s="31">
        <v>-63774.2</v>
      </c>
      <c r="L156" s="31">
        <f t="shared" si="95"/>
        <v>0</v>
      </c>
      <c r="M156" s="31"/>
      <c r="N156" s="31">
        <f t="shared" si="96"/>
        <v>0</v>
      </c>
      <c r="O156" s="32"/>
      <c r="P156" s="31">
        <f t="shared" si="97"/>
        <v>0</v>
      </c>
      <c r="Q156" s="22" t="s">
        <v>166</v>
      </c>
      <c r="R156" s="8">
        <v>0</v>
      </c>
    </row>
    <row r="157" spans="1:18" ht="75" x14ac:dyDescent="0.25">
      <c r="A157" s="1" t="s">
        <v>158</v>
      </c>
      <c r="B157" s="4" t="s">
        <v>32</v>
      </c>
      <c r="C157" s="4" t="s">
        <v>6</v>
      </c>
      <c r="D157" s="36">
        <f>D159+D160</f>
        <v>230000</v>
      </c>
      <c r="E157" s="31">
        <f>E159+E160</f>
        <v>0</v>
      </c>
      <c r="F157" s="31">
        <f t="shared" si="62"/>
        <v>230000</v>
      </c>
      <c r="G157" s="31">
        <f>G159+G160</f>
        <v>31449.631999999998</v>
      </c>
      <c r="H157" s="31">
        <f t="shared" si="93"/>
        <v>261449.63199999998</v>
      </c>
      <c r="I157" s="31">
        <f>I159+I160</f>
        <v>0</v>
      </c>
      <c r="J157" s="31">
        <f t="shared" si="94"/>
        <v>261449.63199999998</v>
      </c>
      <c r="K157" s="31">
        <f>K159+K160</f>
        <v>0</v>
      </c>
      <c r="L157" s="31">
        <f t="shared" si="95"/>
        <v>261449.63199999998</v>
      </c>
      <c r="M157" s="31">
        <f>M159+M160</f>
        <v>0</v>
      </c>
      <c r="N157" s="31">
        <f t="shared" si="96"/>
        <v>261449.63199999998</v>
      </c>
      <c r="O157" s="32">
        <f>O159+O160</f>
        <v>-236250</v>
      </c>
      <c r="P157" s="31">
        <f t="shared" si="97"/>
        <v>25199.631999999983</v>
      </c>
    </row>
    <row r="158" spans="1:18" hidden="1" x14ac:dyDescent="0.25">
      <c r="A158" s="1"/>
      <c r="B158" s="4" t="s">
        <v>2</v>
      </c>
      <c r="C158" s="4"/>
      <c r="D158" s="36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2"/>
      <c r="P158" s="31"/>
      <c r="R158" s="8">
        <v>0</v>
      </c>
    </row>
    <row r="159" spans="1:18" hidden="1" x14ac:dyDescent="0.25">
      <c r="A159" s="1"/>
      <c r="B159" s="4" t="s">
        <v>3</v>
      </c>
      <c r="C159" s="4"/>
      <c r="D159" s="36">
        <v>57500</v>
      </c>
      <c r="E159" s="31"/>
      <c r="F159" s="31">
        <f t="shared" si="62"/>
        <v>57500</v>
      </c>
      <c r="G159" s="31">
        <f>12699.632+18750</f>
        <v>31449.631999999998</v>
      </c>
      <c r="H159" s="31">
        <f t="shared" ref="H159:H161" si="98">F159+G159</f>
        <v>88949.631999999998</v>
      </c>
      <c r="I159" s="31"/>
      <c r="J159" s="31">
        <f t="shared" ref="J159:J161" si="99">H159+I159</f>
        <v>88949.631999999998</v>
      </c>
      <c r="K159" s="31"/>
      <c r="L159" s="31">
        <f t="shared" ref="L159:L161" si="100">J159+K159</f>
        <v>88949.631999999998</v>
      </c>
      <c r="M159" s="31"/>
      <c r="N159" s="31">
        <f t="shared" ref="N159:N161" si="101">L159+M159</f>
        <v>88949.631999999998</v>
      </c>
      <c r="O159" s="32">
        <v>-63750</v>
      </c>
      <c r="P159" s="31">
        <f t="shared" ref="P159:P161" si="102">N159+O159</f>
        <v>25199.631999999998</v>
      </c>
      <c r="Q159" s="22" t="s">
        <v>208</v>
      </c>
      <c r="R159" s="8">
        <v>0</v>
      </c>
    </row>
    <row r="160" spans="1:18" hidden="1" x14ac:dyDescent="0.25">
      <c r="A160" s="1"/>
      <c r="B160" s="4" t="s">
        <v>25</v>
      </c>
      <c r="C160" s="4"/>
      <c r="D160" s="36">
        <v>172500</v>
      </c>
      <c r="E160" s="31"/>
      <c r="F160" s="31">
        <f t="shared" si="62"/>
        <v>172500</v>
      </c>
      <c r="G160" s="31"/>
      <c r="H160" s="31">
        <f t="shared" si="98"/>
        <v>172500</v>
      </c>
      <c r="I160" s="31"/>
      <c r="J160" s="31">
        <f t="shared" si="99"/>
        <v>172500</v>
      </c>
      <c r="K160" s="31"/>
      <c r="L160" s="31">
        <f t="shared" si="100"/>
        <v>172500</v>
      </c>
      <c r="M160" s="31"/>
      <c r="N160" s="31">
        <f t="shared" si="101"/>
        <v>172500</v>
      </c>
      <c r="O160" s="32">
        <v>-172500</v>
      </c>
      <c r="P160" s="31">
        <f t="shared" si="102"/>
        <v>0</v>
      </c>
      <c r="Q160" s="22" t="s">
        <v>166</v>
      </c>
      <c r="R160" s="8">
        <v>0</v>
      </c>
    </row>
    <row r="161" spans="1:18" ht="75" x14ac:dyDescent="0.25">
      <c r="A161" s="1" t="s">
        <v>159</v>
      </c>
      <c r="B161" s="4" t="s">
        <v>38</v>
      </c>
      <c r="C161" s="4" t="s">
        <v>6</v>
      </c>
      <c r="D161" s="36">
        <f>D163+D164</f>
        <v>100000</v>
      </c>
      <c r="E161" s="31">
        <f>E163+E164</f>
        <v>0</v>
      </c>
      <c r="F161" s="31">
        <f t="shared" si="62"/>
        <v>100000</v>
      </c>
      <c r="G161" s="31">
        <f>G163+G164</f>
        <v>10376.956</v>
      </c>
      <c r="H161" s="31">
        <f t="shared" si="98"/>
        <v>110376.95600000001</v>
      </c>
      <c r="I161" s="31">
        <f>I163+I164</f>
        <v>0</v>
      </c>
      <c r="J161" s="31">
        <f t="shared" si="99"/>
        <v>110376.95600000001</v>
      </c>
      <c r="K161" s="31">
        <f>K163+K164</f>
        <v>0</v>
      </c>
      <c r="L161" s="31">
        <f t="shared" si="100"/>
        <v>110376.95600000001</v>
      </c>
      <c r="M161" s="31">
        <f>M163+M164</f>
        <v>0</v>
      </c>
      <c r="N161" s="31">
        <f t="shared" si="101"/>
        <v>110376.95600000001</v>
      </c>
      <c r="O161" s="32">
        <f>O163+O164</f>
        <v>-102856.3</v>
      </c>
      <c r="P161" s="31">
        <f t="shared" si="102"/>
        <v>7520.6560000000027</v>
      </c>
    </row>
    <row r="162" spans="1:18" hidden="1" x14ac:dyDescent="0.25">
      <c r="A162" s="1"/>
      <c r="B162" s="4" t="s">
        <v>2</v>
      </c>
      <c r="C162" s="4"/>
      <c r="D162" s="36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2"/>
      <c r="P162" s="31"/>
      <c r="R162" s="8">
        <v>0</v>
      </c>
    </row>
    <row r="163" spans="1:18" hidden="1" x14ac:dyDescent="0.25">
      <c r="A163" s="1"/>
      <c r="B163" s="4" t="s">
        <v>3</v>
      </c>
      <c r="C163" s="4"/>
      <c r="D163" s="36">
        <v>25000</v>
      </c>
      <c r="E163" s="31"/>
      <c r="F163" s="31">
        <f t="shared" si="62"/>
        <v>25000</v>
      </c>
      <c r="G163" s="31">
        <f>7520.656+2856.3</f>
        <v>10376.956</v>
      </c>
      <c r="H163" s="31">
        <f t="shared" ref="H163:H165" si="103">F163+G163</f>
        <v>35376.955999999998</v>
      </c>
      <c r="I163" s="31"/>
      <c r="J163" s="31">
        <f t="shared" ref="J163:J165" si="104">H163+I163</f>
        <v>35376.955999999998</v>
      </c>
      <c r="K163" s="31"/>
      <c r="L163" s="31">
        <f t="shared" ref="L163:L165" si="105">J163+K163</f>
        <v>35376.955999999998</v>
      </c>
      <c r="M163" s="31"/>
      <c r="N163" s="31">
        <f t="shared" ref="N163:N165" si="106">L163+M163</f>
        <v>35376.955999999998</v>
      </c>
      <c r="O163" s="32">
        <v>-27856.3</v>
      </c>
      <c r="P163" s="31">
        <f t="shared" ref="P163:P165" si="107">N163+O163</f>
        <v>7520.655999999999</v>
      </c>
      <c r="Q163" s="22" t="s">
        <v>42</v>
      </c>
      <c r="R163" s="8">
        <v>0</v>
      </c>
    </row>
    <row r="164" spans="1:18" hidden="1" x14ac:dyDescent="0.25">
      <c r="A164" s="1"/>
      <c r="B164" s="4" t="s">
        <v>25</v>
      </c>
      <c r="C164" s="4"/>
      <c r="D164" s="36">
        <v>75000</v>
      </c>
      <c r="E164" s="31"/>
      <c r="F164" s="31">
        <f t="shared" si="62"/>
        <v>75000</v>
      </c>
      <c r="G164" s="31"/>
      <c r="H164" s="31">
        <f t="shared" si="103"/>
        <v>75000</v>
      </c>
      <c r="I164" s="31"/>
      <c r="J164" s="31">
        <f t="shared" si="104"/>
        <v>75000</v>
      </c>
      <c r="K164" s="31"/>
      <c r="L164" s="31">
        <f t="shared" si="105"/>
        <v>75000</v>
      </c>
      <c r="M164" s="31"/>
      <c r="N164" s="31">
        <f t="shared" si="106"/>
        <v>75000</v>
      </c>
      <c r="O164" s="32">
        <v>-75000</v>
      </c>
      <c r="P164" s="31">
        <f t="shared" si="107"/>
        <v>0</v>
      </c>
      <c r="Q164" s="22" t="s">
        <v>166</v>
      </c>
      <c r="R164" s="8">
        <v>0</v>
      </c>
    </row>
    <row r="165" spans="1:18" ht="75" x14ac:dyDescent="0.25">
      <c r="A165" s="1" t="s">
        <v>160</v>
      </c>
      <c r="B165" s="4" t="s">
        <v>168</v>
      </c>
      <c r="C165" s="4" t="s">
        <v>6</v>
      </c>
      <c r="D165" s="31">
        <f>D167+D168</f>
        <v>18048.5</v>
      </c>
      <c r="E165" s="31">
        <f>E167+E168</f>
        <v>0</v>
      </c>
      <c r="F165" s="31">
        <f t="shared" si="62"/>
        <v>18048.5</v>
      </c>
      <c r="G165" s="31">
        <f>G167+G168</f>
        <v>0</v>
      </c>
      <c r="H165" s="31">
        <f t="shared" si="103"/>
        <v>18048.5</v>
      </c>
      <c r="I165" s="31">
        <f>I167+I168</f>
        <v>0</v>
      </c>
      <c r="J165" s="31">
        <f t="shared" si="104"/>
        <v>18048.5</v>
      </c>
      <c r="K165" s="31">
        <f>K167+K168</f>
        <v>0</v>
      </c>
      <c r="L165" s="31">
        <f t="shared" si="105"/>
        <v>18048.5</v>
      </c>
      <c r="M165" s="31">
        <f>M167+M168</f>
        <v>0</v>
      </c>
      <c r="N165" s="31">
        <f t="shared" si="106"/>
        <v>18048.5</v>
      </c>
      <c r="O165" s="32">
        <f>O167+O168</f>
        <v>0</v>
      </c>
      <c r="P165" s="31">
        <f t="shared" si="107"/>
        <v>18048.5</v>
      </c>
    </row>
    <row r="166" spans="1:18" x14ac:dyDescent="0.25">
      <c r="A166" s="1"/>
      <c r="B166" s="4" t="s">
        <v>2</v>
      </c>
      <c r="C166" s="4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2"/>
      <c r="P166" s="31"/>
    </row>
    <row r="167" spans="1:18" hidden="1" x14ac:dyDescent="0.25">
      <c r="A167" s="1"/>
      <c r="B167" s="4" t="s">
        <v>3</v>
      </c>
      <c r="C167" s="4"/>
      <c r="D167" s="31">
        <v>4512.1000000000004</v>
      </c>
      <c r="E167" s="31"/>
      <c r="F167" s="31">
        <f t="shared" si="62"/>
        <v>4512.1000000000004</v>
      </c>
      <c r="G167" s="31"/>
      <c r="H167" s="31">
        <f t="shared" ref="H167:H176" si="108">F167+G167</f>
        <v>4512.1000000000004</v>
      </c>
      <c r="I167" s="31"/>
      <c r="J167" s="31">
        <f t="shared" ref="J167:J176" si="109">H167+I167</f>
        <v>4512.1000000000004</v>
      </c>
      <c r="K167" s="31">
        <v>0.1</v>
      </c>
      <c r="L167" s="31">
        <f t="shared" ref="L167:L176" si="110">J167+K167</f>
        <v>4512.2000000000007</v>
      </c>
      <c r="M167" s="31"/>
      <c r="N167" s="31">
        <f t="shared" ref="N167:N172" si="111">L167+M167</f>
        <v>4512.2000000000007</v>
      </c>
      <c r="O167" s="32"/>
      <c r="P167" s="31">
        <f t="shared" ref="P167:P172" si="112">N167+O167</f>
        <v>4512.2000000000007</v>
      </c>
      <c r="Q167" s="22" t="s">
        <v>43</v>
      </c>
      <c r="R167" s="8">
        <v>0</v>
      </c>
    </row>
    <row r="168" spans="1:18" x14ac:dyDescent="0.25">
      <c r="A168" s="1"/>
      <c r="B168" s="4" t="s">
        <v>25</v>
      </c>
      <c r="C168" s="4"/>
      <c r="D168" s="31">
        <v>13536.4</v>
      </c>
      <c r="E168" s="31"/>
      <c r="F168" s="31">
        <f t="shared" si="62"/>
        <v>13536.4</v>
      </c>
      <c r="G168" s="31"/>
      <c r="H168" s="31">
        <f t="shared" si="108"/>
        <v>13536.4</v>
      </c>
      <c r="I168" s="31"/>
      <c r="J168" s="31">
        <f t="shared" si="109"/>
        <v>13536.4</v>
      </c>
      <c r="K168" s="31">
        <v>-0.1</v>
      </c>
      <c r="L168" s="31">
        <f t="shared" si="110"/>
        <v>13536.3</v>
      </c>
      <c r="M168" s="31"/>
      <c r="N168" s="31">
        <f t="shared" si="111"/>
        <v>13536.3</v>
      </c>
      <c r="O168" s="32"/>
      <c r="P168" s="31">
        <f t="shared" si="112"/>
        <v>13536.3</v>
      </c>
      <c r="Q168" s="22" t="s">
        <v>166</v>
      </c>
    </row>
    <row r="169" spans="1:18" ht="75" hidden="1" x14ac:dyDescent="0.25">
      <c r="A169" s="1" t="s">
        <v>161</v>
      </c>
      <c r="B169" s="4" t="s">
        <v>169</v>
      </c>
      <c r="C169" s="4" t="s">
        <v>6</v>
      </c>
      <c r="D169" s="31">
        <v>5527</v>
      </c>
      <c r="E169" s="31"/>
      <c r="F169" s="31">
        <f t="shared" si="62"/>
        <v>5527</v>
      </c>
      <c r="G169" s="31"/>
      <c r="H169" s="31">
        <f t="shared" si="108"/>
        <v>5527</v>
      </c>
      <c r="I169" s="31"/>
      <c r="J169" s="31">
        <f t="shared" si="109"/>
        <v>5527</v>
      </c>
      <c r="K169" s="31"/>
      <c r="L169" s="31">
        <f t="shared" si="110"/>
        <v>5527</v>
      </c>
      <c r="M169" s="31"/>
      <c r="N169" s="31">
        <f t="shared" si="111"/>
        <v>5527</v>
      </c>
      <c r="O169" s="32">
        <v>-5527</v>
      </c>
      <c r="P169" s="31">
        <f t="shared" si="112"/>
        <v>0</v>
      </c>
      <c r="Q169" s="22" t="s">
        <v>44</v>
      </c>
      <c r="R169" s="8">
        <v>0</v>
      </c>
    </row>
    <row r="170" spans="1:18" ht="102" hidden="1" customHeight="1" x14ac:dyDescent="0.25">
      <c r="A170" s="1" t="s">
        <v>142</v>
      </c>
      <c r="B170" s="4" t="s">
        <v>173</v>
      </c>
      <c r="C170" s="4" t="s">
        <v>6</v>
      </c>
      <c r="D170" s="31">
        <v>1767</v>
      </c>
      <c r="E170" s="31"/>
      <c r="F170" s="31">
        <f t="shared" si="62"/>
        <v>1767</v>
      </c>
      <c r="G170" s="31"/>
      <c r="H170" s="31">
        <f t="shared" si="108"/>
        <v>1767</v>
      </c>
      <c r="I170" s="31"/>
      <c r="J170" s="31">
        <f t="shared" si="109"/>
        <v>1767</v>
      </c>
      <c r="K170" s="31"/>
      <c r="L170" s="31">
        <f t="shared" si="110"/>
        <v>1767</v>
      </c>
      <c r="M170" s="31"/>
      <c r="N170" s="31">
        <f t="shared" si="111"/>
        <v>1767</v>
      </c>
      <c r="O170" s="32">
        <v>-1767</v>
      </c>
      <c r="P170" s="31">
        <f t="shared" si="112"/>
        <v>0</v>
      </c>
      <c r="Q170" s="22" t="s">
        <v>45</v>
      </c>
      <c r="R170" s="8">
        <v>0</v>
      </c>
    </row>
    <row r="171" spans="1:18" ht="75" hidden="1" x14ac:dyDescent="0.25">
      <c r="A171" s="1" t="s">
        <v>162</v>
      </c>
      <c r="B171" s="4" t="s">
        <v>170</v>
      </c>
      <c r="C171" s="4" t="s">
        <v>6</v>
      </c>
      <c r="D171" s="31">
        <v>17756.599999999999</v>
      </c>
      <c r="E171" s="31"/>
      <c r="F171" s="31">
        <f t="shared" si="62"/>
        <v>17756.599999999999</v>
      </c>
      <c r="G171" s="31"/>
      <c r="H171" s="31">
        <f t="shared" si="108"/>
        <v>17756.599999999999</v>
      </c>
      <c r="I171" s="31"/>
      <c r="J171" s="31">
        <f t="shared" si="109"/>
        <v>17756.599999999999</v>
      </c>
      <c r="K171" s="31"/>
      <c r="L171" s="31">
        <f t="shared" si="110"/>
        <v>17756.599999999999</v>
      </c>
      <c r="M171" s="31"/>
      <c r="N171" s="31">
        <f t="shared" si="111"/>
        <v>17756.599999999999</v>
      </c>
      <c r="O171" s="32">
        <v>-17756.599999999999</v>
      </c>
      <c r="P171" s="31">
        <f t="shared" si="112"/>
        <v>0</v>
      </c>
      <c r="Q171" s="22">
        <v>1020141480</v>
      </c>
      <c r="R171" s="8">
        <v>0</v>
      </c>
    </row>
    <row r="172" spans="1:18" ht="75" hidden="1" x14ac:dyDescent="0.25">
      <c r="A172" s="1" t="s">
        <v>211</v>
      </c>
      <c r="B172" s="4" t="s">
        <v>171</v>
      </c>
      <c r="C172" s="4" t="s">
        <v>6</v>
      </c>
      <c r="D172" s="31">
        <v>4659</v>
      </c>
      <c r="E172" s="31"/>
      <c r="F172" s="31">
        <f t="shared" si="62"/>
        <v>4659</v>
      </c>
      <c r="G172" s="31"/>
      <c r="H172" s="31">
        <f t="shared" si="108"/>
        <v>4659</v>
      </c>
      <c r="I172" s="31"/>
      <c r="J172" s="31">
        <f>H172+I172</f>
        <v>4659</v>
      </c>
      <c r="K172" s="31">
        <f>K174+K175</f>
        <v>13977</v>
      </c>
      <c r="L172" s="31">
        <f t="shared" si="110"/>
        <v>18636</v>
      </c>
      <c r="M172" s="31">
        <f>M174+M175</f>
        <v>0</v>
      </c>
      <c r="N172" s="31">
        <f t="shared" si="111"/>
        <v>18636</v>
      </c>
      <c r="O172" s="32">
        <f>O174+O175</f>
        <v>-18636</v>
      </c>
      <c r="P172" s="31">
        <f t="shared" si="112"/>
        <v>0</v>
      </c>
      <c r="R172" s="8">
        <v>0</v>
      </c>
    </row>
    <row r="173" spans="1:18" hidden="1" x14ac:dyDescent="0.25">
      <c r="A173" s="1"/>
      <c r="B173" s="4" t="s">
        <v>2</v>
      </c>
      <c r="C173" s="4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2"/>
      <c r="P173" s="31"/>
      <c r="R173" s="8">
        <v>0</v>
      </c>
    </row>
    <row r="174" spans="1:18" hidden="1" x14ac:dyDescent="0.25">
      <c r="A174" s="1"/>
      <c r="B174" s="4" t="s">
        <v>3</v>
      </c>
      <c r="C174" s="4"/>
      <c r="D174" s="31">
        <v>4659</v>
      </c>
      <c r="E174" s="31"/>
      <c r="F174" s="31">
        <f t="shared" si="62"/>
        <v>4659</v>
      </c>
      <c r="G174" s="31"/>
      <c r="H174" s="31">
        <f t="shared" si="108"/>
        <v>4659</v>
      </c>
      <c r="I174" s="31"/>
      <c r="J174" s="31">
        <f t="shared" ref="J174" si="113">H174+I174</f>
        <v>4659</v>
      </c>
      <c r="K174" s="31">
        <f>-4659+4659</f>
        <v>0</v>
      </c>
      <c r="L174" s="31">
        <f t="shared" si="110"/>
        <v>4659</v>
      </c>
      <c r="M174" s="31"/>
      <c r="N174" s="31">
        <f t="shared" ref="N174:N176" si="114">L174+M174</f>
        <v>4659</v>
      </c>
      <c r="O174" s="32">
        <v>-4659</v>
      </c>
      <c r="P174" s="31">
        <f t="shared" ref="P174:P176" si="115">N174+O174</f>
        <v>0</v>
      </c>
      <c r="Q174" s="22" t="s">
        <v>250</v>
      </c>
      <c r="R174" s="8">
        <v>0</v>
      </c>
    </row>
    <row r="175" spans="1:18" hidden="1" x14ac:dyDescent="0.25">
      <c r="A175" s="1"/>
      <c r="B175" s="4" t="s">
        <v>25</v>
      </c>
      <c r="C175" s="4"/>
      <c r="D175" s="31"/>
      <c r="E175" s="31"/>
      <c r="F175" s="31"/>
      <c r="G175" s="31"/>
      <c r="H175" s="31"/>
      <c r="I175" s="31"/>
      <c r="J175" s="31"/>
      <c r="K175" s="31">
        <v>13977</v>
      </c>
      <c r="L175" s="31">
        <f t="shared" si="110"/>
        <v>13977</v>
      </c>
      <c r="M175" s="31"/>
      <c r="N175" s="31">
        <f t="shared" si="114"/>
        <v>13977</v>
      </c>
      <c r="O175" s="32">
        <v>-13977</v>
      </c>
      <c r="P175" s="31">
        <f t="shared" si="115"/>
        <v>0</v>
      </c>
      <c r="R175" s="8">
        <v>0</v>
      </c>
    </row>
    <row r="176" spans="1:18" ht="75" hidden="1" x14ac:dyDescent="0.25">
      <c r="A176" s="1" t="s">
        <v>212</v>
      </c>
      <c r="B176" s="4" t="s">
        <v>172</v>
      </c>
      <c r="C176" s="4" t="s">
        <v>6</v>
      </c>
      <c r="D176" s="31">
        <f>D178</f>
        <v>2079</v>
      </c>
      <c r="E176" s="31">
        <f>E178+E179</f>
        <v>75000</v>
      </c>
      <c r="F176" s="31">
        <f t="shared" si="62"/>
        <v>77079</v>
      </c>
      <c r="G176" s="31">
        <f>G178+G179</f>
        <v>25000</v>
      </c>
      <c r="H176" s="31">
        <f t="shared" si="108"/>
        <v>102079</v>
      </c>
      <c r="I176" s="31">
        <f>I178+I179</f>
        <v>0</v>
      </c>
      <c r="J176" s="31">
        <f t="shared" si="109"/>
        <v>102079</v>
      </c>
      <c r="K176" s="31">
        <f>K178+K179</f>
        <v>-21017</v>
      </c>
      <c r="L176" s="31">
        <f t="shared" si="110"/>
        <v>81062</v>
      </c>
      <c r="M176" s="31">
        <f>M178+M179</f>
        <v>0</v>
      </c>
      <c r="N176" s="31">
        <f t="shared" si="114"/>
        <v>81062</v>
      </c>
      <c r="O176" s="32">
        <f>O178+O179</f>
        <v>-81062</v>
      </c>
      <c r="P176" s="31">
        <f t="shared" si="115"/>
        <v>0</v>
      </c>
      <c r="R176" s="8">
        <v>0</v>
      </c>
    </row>
    <row r="177" spans="1:18" hidden="1" x14ac:dyDescent="0.25">
      <c r="A177" s="1"/>
      <c r="B177" s="4" t="s">
        <v>2</v>
      </c>
      <c r="C177" s="4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2"/>
      <c r="P177" s="31"/>
      <c r="R177" s="8">
        <v>0</v>
      </c>
    </row>
    <row r="178" spans="1:18" hidden="1" x14ac:dyDescent="0.25">
      <c r="A178" s="1"/>
      <c r="B178" s="4" t="s">
        <v>3</v>
      </c>
      <c r="C178" s="4"/>
      <c r="D178" s="31">
        <v>2079</v>
      </c>
      <c r="E178" s="31">
        <v>0</v>
      </c>
      <c r="F178" s="31">
        <f t="shared" si="62"/>
        <v>2079</v>
      </c>
      <c r="G178" s="31">
        <v>25000</v>
      </c>
      <c r="H178" s="31">
        <f t="shared" ref="H178:H197" si="116">F178+G178</f>
        <v>27079</v>
      </c>
      <c r="I178" s="31"/>
      <c r="J178" s="31">
        <f t="shared" ref="J178" si="117">H178+I178</f>
        <v>27079</v>
      </c>
      <c r="K178" s="31">
        <v>-1760</v>
      </c>
      <c r="L178" s="31">
        <f t="shared" ref="L178" si="118">J178+K178</f>
        <v>25319</v>
      </c>
      <c r="M178" s="31"/>
      <c r="N178" s="31">
        <f t="shared" ref="N178" si="119">L178+M178</f>
        <v>25319</v>
      </c>
      <c r="O178" s="32">
        <f>-2079-23240</f>
        <v>-25319</v>
      </c>
      <c r="P178" s="31">
        <f t="shared" ref="P178" si="120">N178+O178</f>
        <v>0</v>
      </c>
      <c r="Q178" s="22" t="s">
        <v>238</v>
      </c>
      <c r="R178" s="8">
        <v>0</v>
      </c>
    </row>
    <row r="179" spans="1:18" hidden="1" x14ac:dyDescent="0.25">
      <c r="A179" s="1"/>
      <c r="B179" s="4" t="s">
        <v>25</v>
      </c>
      <c r="C179" s="4"/>
      <c r="D179" s="31">
        <v>0</v>
      </c>
      <c r="E179" s="31">
        <v>75000</v>
      </c>
      <c r="F179" s="31">
        <f t="shared" si="62"/>
        <v>75000</v>
      </c>
      <c r="G179" s="31"/>
      <c r="H179" s="31">
        <f>F179+G179</f>
        <v>75000</v>
      </c>
      <c r="I179" s="31"/>
      <c r="J179" s="31">
        <f>H179+I179</f>
        <v>75000</v>
      </c>
      <c r="K179" s="31">
        <v>-19257</v>
      </c>
      <c r="L179" s="31">
        <f>J179+K179</f>
        <v>55743</v>
      </c>
      <c r="M179" s="31"/>
      <c r="N179" s="31">
        <f>L179+M179</f>
        <v>55743</v>
      </c>
      <c r="O179" s="32">
        <v>-55743</v>
      </c>
      <c r="P179" s="31">
        <f>N179+O179</f>
        <v>0</v>
      </c>
      <c r="Q179" s="22" t="s">
        <v>166</v>
      </c>
      <c r="R179" s="8">
        <v>0</v>
      </c>
    </row>
    <row r="180" spans="1:18" ht="75" x14ac:dyDescent="0.25">
      <c r="A180" s="1" t="s">
        <v>161</v>
      </c>
      <c r="B180" s="4" t="s">
        <v>194</v>
      </c>
      <c r="C180" s="4" t="s">
        <v>6</v>
      </c>
      <c r="D180" s="31"/>
      <c r="E180" s="31"/>
      <c r="F180" s="31"/>
      <c r="G180" s="31">
        <v>1213.567</v>
      </c>
      <c r="H180" s="31">
        <f t="shared" ref="H180:H184" si="121">F180+G180</f>
        <v>1213.567</v>
      </c>
      <c r="I180" s="31"/>
      <c r="J180" s="31">
        <f t="shared" ref="J180:J197" si="122">H180+I180</f>
        <v>1213.567</v>
      </c>
      <c r="K180" s="31"/>
      <c r="L180" s="31">
        <f t="shared" ref="L180:L197" si="123">J180+K180</f>
        <v>1213.567</v>
      </c>
      <c r="M180" s="31"/>
      <c r="N180" s="31">
        <f t="shared" ref="N180:N185" si="124">L180+M180</f>
        <v>1213.567</v>
      </c>
      <c r="O180" s="32"/>
      <c r="P180" s="31">
        <f t="shared" ref="P180:P185" si="125">N180+O180</f>
        <v>1213.567</v>
      </c>
      <c r="Q180" s="22" t="s">
        <v>197</v>
      </c>
    </row>
    <row r="181" spans="1:18" ht="75" hidden="1" x14ac:dyDescent="0.25">
      <c r="A181" s="1" t="s">
        <v>213</v>
      </c>
      <c r="B181" s="4" t="s">
        <v>195</v>
      </c>
      <c r="C181" s="4" t="s">
        <v>6</v>
      </c>
      <c r="D181" s="31"/>
      <c r="E181" s="31"/>
      <c r="F181" s="31"/>
      <c r="G181" s="31">
        <v>5305</v>
      </c>
      <c r="H181" s="31">
        <f t="shared" si="121"/>
        <v>5305</v>
      </c>
      <c r="I181" s="31"/>
      <c r="J181" s="31">
        <f t="shared" si="122"/>
        <v>5305</v>
      </c>
      <c r="K181" s="31"/>
      <c r="L181" s="31">
        <f t="shared" si="123"/>
        <v>5305</v>
      </c>
      <c r="M181" s="31"/>
      <c r="N181" s="31">
        <f t="shared" si="124"/>
        <v>5305</v>
      </c>
      <c r="O181" s="32">
        <v>-5305</v>
      </c>
      <c r="P181" s="31">
        <f t="shared" si="125"/>
        <v>0</v>
      </c>
      <c r="Q181" s="22" t="s">
        <v>198</v>
      </c>
      <c r="R181" s="8">
        <v>0</v>
      </c>
    </row>
    <row r="182" spans="1:18" ht="75" x14ac:dyDescent="0.25">
      <c r="A182" s="1" t="s">
        <v>142</v>
      </c>
      <c r="B182" s="4" t="s">
        <v>196</v>
      </c>
      <c r="C182" s="4" t="s">
        <v>6</v>
      </c>
      <c r="D182" s="31"/>
      <c r="E182" s="31"/>
      <c r="F182" s="31"/>
      <c r="G182" s="31">
        <v>2351.5</v>
      </c>
      <c r="H182" s="31">
        <f t="shared" si="121"/>
        <v>2351.5</v>
      </c>
      <c r="I182" s="31"/>
      <c r="J182" s="31">
        <f t="shared" si="122"/>
        <v>2351.5</v>
      </c>
      <c r="K182" s="31"/>
      <c r="L182" s="31">
        <f t="shared" si="123"/>
        <v>2351.5</v>
      </c>
      <c r="M182" s="31"/>
      <c r="N182" s="31">
        <f t="shared" si="124"/>
        <v>2351.5</v>
      </c>
      <c r="O182" s="32"/>
      <c r="P182" s="31">
        <f t="shared" si="125"/>
        <v>2351.5</v>
      </c>
      <c r="Q182" s="22" t="s">
        <v>199</v>
      </c>
    </row>
    <row r="183" spans="1:18" ht="75" x14ac:dyDescent="0.25">
      <c r="A183" s="1" t="s">
        <v>162</v>
      </c>
      <c r="B183" s="4" t="s">
        <v>281</v>
      </c>
      <c r="C183" s="4" t="s">
        <v>6</v>
      </c>
      <c r="D183" s="31"/>
      <c r="E183" s="31"/>
      <c r="F183" s="31"/>
      <c r="G183" s="31">
        <v>3396.34</v>
      </c>
      <c r="H183" s="31">
        <f t="shared" si="121"/>
        <v>3396.34</v>
      </c>
      <c r="I183" s="31"/>
      <c r="J183" s="31">
        <f t="shared" si="122"/>
        <v>3396.34</v>
      </c>
      <c r="K183" s="31"/>
      <c r="L183" s="31">
        <f t="shared" si="123"/>
        <v>3396.34</v>
      </c>
      <c r="M183" s="31"/>
      <c r="N183" s="31">
        <f t="shared" si="124"/>
        <v>3396.34</v>
      </c>
      <c r="O183" s="32"/>
      <c r="P183" s="31">
        <f t="shared" si="125"/>
        <v>3396.34</v>
      </c>
      <c r="Q183" s="22" t="s">
        <v>200</v>
      </c>
    </row>
    <row r="184" spans="1:18" ht="75" x14ac:dyDescent="0.25">
      <c r="A184" s="1" t="s">
        <v>211</v>
      </c>
      <c r="B184" s="4" t="s">
        <v>239</v>
      </c>
      <c r="C184" s="4" t="s">
        <v>6</v>
      </c>
      <c r="D184" s="31"/>
      <c r="E184" s="31"/>
      <c r="F184" s="31"/>
      <c r="G184" s="31">
        <v>22.224</v>
      </c>
      <c r="H184" s="31">
        <f t="shared" si="121"/>
        <v>22.224</v>
      </c>
      <c r="I184" s="31"/>
      <c r="J184" s="31">
        <f t="shared" si="122"/>
        <v>22.224</v>
      </c>
      <c r="K184" s="31"/>
      <c r="L184" s="31">
        <f t="shared" si="123"/>
        <v>22.224</v>
      </c>
      <c r="M184" s="31"/>
      <c r="N184" s="31">
        <f t="shared" si="124"/>
        <v>22.224</v>
      </c>
      <c r="O184" s="32"/>
      <c r="P184" s="31">
        <f t="shared" si="125"/>
        <v>22.224</v>
      </c>
      <c r="Q184" s="22" t="s">
        <v>201</v>
      </c>
    </row>
    <row r="185" spans="1:18" ht="75" x14ac:dyDescent="0.25">
      <c r="A185" s="1" t="s">
        <v>212</v>
      </c>
      <c r="B185" s="4" t="s">
        <v>249</v>
      </c>
      <c r="C185" s="4" t="s">
        <v>6</v>
      </c>
      <c r="D185" s="31"/>
      <c r="E185" s="31"/>
      <c r="F185" s="31"/>
      <c r="G185" s="31"/>
      <c r="H185" s="31"/>
      <c r="I185" s="31"/>
      <c r="J185" s="31"/>
      <c r="K185" s="31">
        <f>K187+K188</f>
        <v>283733.40000000002</v>
      </c>
      <c r="L185" s="31">
        <f t="shared" si="123"/>
        <v>283733.40000000002</v>
      </c>
      <c r="M185" s="31">
        <f>M187+M188</f>
        <v>0</v>
      </c>
      <c r="N185" s="31">
        <f t="shared" si="124"/>
        <v>283733.40000000002</v>
      </c>
      <c r="O185" s="32">
        <f>O187+O188</f>
        <v>0</v>
      </c>
      <c r="P185" s="31">
        <f t="shared" si="125"/>
        <v>283733.40000000002</v>
      </c>
    </row>
    <row r="186" spans="1:18" x14ac:dyDescent="0.25">
      <c r="A186" s="1"/>
      <c r="B186" s="4" t="s">
        <v>2</v>
      </c>
      <c r="C186" s="4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2"/>
      <c r="P186" s="31"/>
    </row>
    <row r="187" spans="1:18" hidden="1" x14ac:dyDescent="0.25">
      <c r="A187" s="1"/>
      <c r="B187" s="4" t="s">
        <v>3</v>
      </c>
      <c r="C187" s="4"/>
      <c r="D187" s="31"/>
      <c r="E187" s="31"/>
      <c r="F187" s="31"/>
      <c r="G187" s="31"/>
      <c r="H187" s="31"/>
      <c r="I187" s="31"/>
      <c r="J187" s="31"/>
      <c r="K187" s="31">
        <v>70933.399999999994</v>
      </c>
      <c r="L187" s="31">
        <f t="shared" si="123"/>
        <v>70933.399999999994</v>
      </c>
      <c r="M187" s="31"/>
      <c r="N187" s="31">
        <f t="shared" ref="N187:N189" si="126">L187+M187</f>
        <v>70933.399999999994</v>
      </c>
      <c r="O187" s="32"/>
      <c r="P187" s="31">
        <f t="shared" ref="P187:P189" si="127">N187+O187</f>
        <v>70933.399999999994</v>
      </c>
      <c r="Q187" s="22" t="s">
        <v>248</v>
      </c>
      <c r="R187" s="8">
        <v>0</v>
      </c>
    </row>
    <row r="188" spans="1:18" x14ac:dyDescent="0.25">
      <c r="A188" s="1"/>
      <c r="B188" s="4" t="s">
        <v>25</v>
      </c>
      <c r="C188" s="4"/>
      <c r="D188" s="31"/>
      <c r="E188" s="31"/>
      <c r="F188" s="31"/>
      <c r="G188" s="31"/>
      <c r="H188" s="31"/>
      <c r="I188" s="31"/>
      <c r="J188" s="31"/>
      <c r="K188" s="31">
        <v>212800</v>
      </c>
      <c r="L188" s="31">
        <f t="shared" si="123"/>
        <v>212800</v>
      </c>
      <c r="M188" s="31"/>
      <c r="N188" s="31">
        <f t="shared" si="126"/>
        <v>212800</v>
      </c>
      <c r="O188" s="32"/>
      <c r="P188" s="31">
        <f t="shared" si="127"/>
        <v>212800</v>
      </c>
      <c r="Q188" s="22" t="s">
        <v>248</v>
      </c>
    </row>
    <row r="189" spans="1:18" ht="65.25" customHeight="1" x14ac:dyDescent="0.25">
      <c r="A189" s="1" t="s">
        <v>163</v>
      </c>
      <c r="B189" s="4" t="s">
        <v>251</v>
      </c>
      <c r="C189" s="4" t="s">
        <v>6</v>
      </c>
      <c r="D189" s="31"/>
      <c r="E189" s="31"/>
      <c r="F189" s="31"/>
      <c r="G189" s="31"/>
      <c r="H189" s="31"/>
      <c r="I189" s="31"/>
      <c r="J189" s="31"/>
      <c r="K189" s="31">
        <f>K191+K192</f>
        <v>7040</v>
      </c>
      <c r="L189" s="31">
        <f t="shared" si="123"/>
        <v>7040</v>
      </c>
      <c r="M189" s="31">
        <f>M191+M192</f>
        <v>0</v>
      </c>
      <c r="N189" s="31">
        <f t="shared" si="126"/>
        <v>7040</v>
      </c>
      <c r="O189" s="32">
        <f>O191+O192</f>
        <v>0</v>
      </c>
      <c r="P189" s="31">
        <f t="shared" si="127"/>
        <v>7040</v>
      </c>
    </row>
    <row r="190" spans="1:18" x14ac:dyDescent="0.25">
      <c r="A190" s="1"/>
      <c r="B190" s="4" t="s">
        <v>2</v>
      </c>
      <c r="C190" s="4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2"/>
      <c r="P190" s="31"/>
    </row>
    <row r="191" spans="1:18" hidden="1" x14ac:dyDescent="0.25">
      <c r="A191" s="1"/>
      <c r="B191" s="4" t="s">
        <v>3</v>
      </c>
      <c r="C191" s="4"/>
      <c r="D191" s="31"/>
      <c r="E191" s="31"/>
      <c r="F191" s="31"/>
      <c r="G191" s="31"/>
      <c r="H191" s="31"/>
      <c r="I191" s="31"/>
      <c r="J191" s="31"/>
      <c r="K191" s="31">
        <v>1760</v>
      </c>
      <c r="L191" s="31">
        <f t="shared" si="123"/>
        <v>1760</v>
      </c>
      <c r="M191" s="31"/>
      <c r="N191" s="31">
        <f t="shared" ref="N191:N197" si="128">L191+M191</f>
        <v>1760</v>
      </c>
      <c r="O191" s="32"/>
      <c r="P191" s="31">
        <f t="shared" ref="P191:P197" si="129">N191+O191</f>
        <v>1760</v>
      </c>
      <c r="Q191" s="22" t="s">
        <v>252</v>
      </c>
      <c r="R191" s="8">
        <v>0</v>
      </c>
    </row>
    <row r="192" spans="1:18" x14ac:dyDescent="0.25">
      <c r="A192" s="1"/>
      <c r="B192" s="4" t="s">
        <v>25</v>
      </c>
      <c r="C192" s="4"/>
      <c r="D192" s="31"/>
      <c r="E192" s="31"/>
      <c r="F192" s="31"/>
      <c r="G192" s="31"/>
      <c r="H192" s="31"/>
      <c r="I192" s="31"/>
      <c r="J192" s="31"/>
      <c r="K192" s="31">
        <v>5280</v>
      </c>
      <c r="L192" s="31">
        <f t="shared" si="123"/>
        <v>5280</v>
      </c>
      <c r="M192" s="31"/>
      <c r="N192" s="31">
        <f t="shared" si="128"/>
        <v>5280</v>
      </c>
      <c r="O192" s="32"/>
      <c r="P192" s="31">
        <f>N192+O192</f>
        <v>5280</v>
      </c>
      <c r="Q192" s="22" t="s">
        <v>253</v>
      </c>
    </row>
    <row r="193" spans="1:18" ht="75" x14ac:dyDescent="0.25">
      <c r="A193" s="1" t="s">
        <v>213</v>
      </c>
      <c r="B193" s="4" t="s">
        <v>268</v>
      </c>
      <c r="C193" s="4" t="s">
        <v>6</v>
      </c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2">
        <v>6195.6540000000005</v>
      </c>
      <c r="P193" s="31">
        <f>N193+O193</f>
        <v>6195.6540000000005</v>
      </c>
      <c r="Q193" s="22" t="s">
        <v>269</v>
      </c>
    </row>
    <row r="194" spans="1:18" x14ac:dyDescent="0.25">
      <c r="A194" s="1"/>
      <c r="B194" s="4" t="s">
        <v>27</v>
      </c>
      <c r="C194" s="57"/>
      <c r="D194" s="30">
        <f>D195</f>
        <v>12000</v>
      </c>
      <c r="E194" s="30">
        <f>E195</f>
        <v>2050</v>
      </c>
      <c r="F194" s="30">
        <f t="shared" si="62"/>
        <v>14050</v>
      </c>
      <c r="G194" s="30">
        <f>G195+G196</f>
        <v>25999.042000000001</v>
      </c>
      <c r="H194" s="30">
        <f t="shared" si="116"/>
        <v>40049.042000000001</v>
      </c>
      <c r="I194" s="30">
        <f>I195+I196</f>
        <v>0</v>
      </c>
      <c r="J194" s="30">
        <f t="shared" si="122"/>
        <v>40049.042000000001</v>
      </c>
      <c r="K194" s="30">
        <f>K195+K196</f>
        <v>-14050</v>
      </c>
      <c r="L194" s="30">
        <f t="shared" si="123"/>
        <v>25999.042000000001</v>
      </c>
      <c r="M194" s="30">
        <f>M195+M196</f>
        <v>0</v>
      </c>
      <c r="N194" s="30">
        <f t="shared" si="128"/>
        <v>25999.042000000001</v>
      </c>
      <c r="O194" s="30">
        <f>O195+O196</f>
        <v>0</v>
      </c>
      <c r="P194" s="31">
        <f t="shared" si="129"/>
        <v>25999.042000000001</v>
      </c>
    </row>
    <row r="195" spans="1:18" ht="56.25" hidden="1" x14ac:dyDescent="0.25">
      <c r="A195" s="1" t="s">
        <v>216</v>
      </c>
      <c r="B195" s="4" t="s">
        <v>69</v>
      </c>
      <c r="C195" s="52" t="s">
        <v>48</v>
      </c>
      <c r="D195" s="31">
        <v>12000</v>
      </c>
      <c r="E195" s="31">
        <v>2050</v>
      </c>
      <c r="F195" s="31">
        <f t="shared" si="62"/>
        <v>14050</v>
      </c>
      <c r="G195" s="31"/>
      <c r="H195" s="31">
        <f t="shared" si="116"/>
        <v>14050</v>
      </c>
      <c r="I195" s="31"/>
      <c r="J195" s="31">
        <f t="shared" si="122"/>
        <v>14050</v>
      </c>
      <c r="K195" s="31">
        <v>-14050</v>
      </c>
      <c r="L195" s="31">
        <f t="shared" si="123"/>
        <v>0</v>
      </c>
      <c r="M195" s="31"/>
      <c r="N195" s="31">
        <f t="shared" si="128"/>
        <v>0</v>
      </c>
      <c r="O195" s="32"/>
      <c r="P195" s="31">
        <f t="shared" si="129"/>
        <v>0</v>
      </c>
      <c r="Q195" s="22" t="s">
        <v>70</v>
      </c>
      <c r="R195" s="8">
        <v>0</v>
      </c>
    </row>
    <row r="196" spans="1:18" ht="56.25" x14ac:dyDescent="0.25">
      <c r="A196" s="1" t="s">
        <v>214</v>
      </c>
      <c r="B196" s="4" t="s">
        <v>190</v>
      </c>
      <c r="C196" s="60" t="s">
        <v>48</v>
      </c>
      <c r="D196" s="31"/>
      <c r="E196" s="31"/>
      <c r="F196" s="31"/>
      <c r="G196" s="31">
        <f>11499.042+14500</f>
        <v>25999.042000000001</v>
      </c>
      <c r="H196" s="31">
        <f t="shared" si="116"/>
        <v>25999.042000000001</v>
      </c>
      <c r="I196" s="31"/>
      <c r="J196" s="31">
        <f t="shared" si="122"/>
        <v>25999.042000000001</v>
      </c>
      <c r="K196" s="31"/>
      <c r="L196" s="31">
        <f t="shared" si="123"/>
        <v>25999.042000000001</v>
      </c>
      <c r="M196" s="31"/>
      <c r="N196" s="31">
        <f t="shared" si="128"/>
        <v>25999.042000000001</v>
      </c>
      <c r="O196" s="32"/>
      <c r="P196" s="31">
        <f t="shared" si="129"/>
        <v>25999.042000000001</v>
      </c>
      <c r="Q196" s="22" t="s">
        <v>191</v>
      </c>
    </row>
    <row r="197" spans="1:18" x14ac:dyDescent="0.25">
      <c r="A197" s="1"/>
      <c r="B197" s="61" t="s">
        <v>8</v>
      </c>
      <c r="C197" s="17"/>
      <c r="D197" s="30">
        <f>D201+D202+D206+D207+D208+D209</f>
        <v>289256.8</v>
      </c>
      <c r="E197" s="30">
        <f>E201+E202+E206+E207+E208+E209</f>
        <v>-143390.389</v>
      </c>
      <c r="F197" s="30">
        <f t="shared" si="62"/>
        <v>145866.41099999999</v>
      </c>
      <c r="G197" s="30">
        <f>G201+G202+G206+G207+G208+G209</f>
        <v>18090.346000000001</v>
      </c>
      <c r="H197" s="30">
        <f t="shared" si="116"/>
        <v>163956.75699999998</v>
      </c>
      <c r="I197" s="30">
        <f>I201+I202+I206+I207+I208+I209</f>
        <v>0</v>
      </c>
      <c r="J197" s="30">
        <f t="shared" si="122"/>
        <v>163956.75699999998</v>
      </c>
      <c r="K197" s="30">
        <f>K201+K202+K206+K207+K208+K209+K210</f>
        <v>3132.9859999999999</v>
      </c>
      <c r="L197" s="30">
        <f t="shared" si="123"/>
        <v>167089.74299999999</v>
      </c>
      <c r="M197" s="30">
        <f>M201+M202+M206+M207+M208+M209+M210</f>
        <v>0</v>
      </c>
      <c r="N197" s="30">
        <f t="shared" si="128"/>
        <v>167089.74299999999</v>
      </c>
      <c r="O197" s="30">
        <f>O201+O202+O206+O207+O208+O209+O210</f>
        <v>0</v>
      </c>
      <c r="P197" s="31">
        <f t="shared" si="129"/>
        <v>167089.74299999999</v>
      </c>
    </row>
    <row r="198" spans="1:18" x14ac:dyDescent="0.25">
      <c r="A198" s="54"/>
      <c r="B198" s="4" t="s">
        <v>2</v>
      </c>
      <c r="C198" s="17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2"/>
      <c r="P198" s="31"/>
    </row>
    <row r="199" spans="1:18" hidden="1" x14ac:dyDescent="0.25">
      <c r="A199" s="16"/>
      <c r="B199" s="4" t="s">
        <v>3</v>
      </c>
      <c r="C199" s="17"/>
      <c r="D199" s="31">
        <f>D201+D204+D206+D207+D208+D209</f>
        <v>249198.9</v>
      </c>
      <c r="E199" s="31">
        <f>E201+E204+E206+E207+E208+E209</f>
        <v>-143390.389</v>
      </c>
      <c r="F199" s="31">
        <f t="shared" si="62"/>
        <v>105808.511</v>
      </c>
      <c r="G199" s="31">
        <f>G201+G204+G206+G207+G208+G209</f>
        <v>18090.346000000001</v>
      </c>
      <c r="H199" s="31">
        <f t="shared" ref="H199:H202" si="130">F199+G199</f>
        <v>123898.857</v>
      </c>
      <c r="I199" s="31">
        <f>I201+I204+I206+I207+I208+I209</f>
        <v>0</v>
      </c>
      <c r="J199" s="31">
        <f t="shared" ref="J199:J202" si="131">H199+I199</f>
        <v>123898.857</v>
      </c>
      <c r="K199" s="31">
        <f>K201+K204+K206+K207+K208+K209+K210</f>
        <v>3132.9859999999999</v>
      </c>
      <c r="L199" s="31">
        <f t="shared" ref="L199:L202" si="132">J199+K199</f>
        <v>127031.84300000001</v>
      </c>
      <c r="M199" s="31">
        <f>M201+M204+M206+M207+M208+M209+M210</f>
        <v>0</v>
      </c>
      <c r="N199" s="31">
        <f t="shared" ref="N199:N202" si="133">L199+M199</f>
        <v>127031.84300000001</v>
      </c>
      <c r="O199" s="32">
        <f>O201+O204+O206+O207+O208+O209+O210</f>
        <v>0</v>
      </c>
      <c r="P199" s="31">
        <f t="shared" ref="P199:P202" si="134">N199+O199</f>
        <v>127031.84300000001</v>
      </c>
      <c r="R199" s="8">
        <v>0</v>
      </c>
    </row>
    <row r="200" spans="1:18" x14ac:dyDescent="0.25">
      <c r="A200" s="54"/>
      <c r="B200" s="4" t="s">
        <v>17</v>
      </c>
      <c r="C200" s="17"/>
      <c r="D200" s="31">
        <f>D205</f>
        <v>40057.9</v>
      </c>
      <c r="E200" s="31">
        <f>E205</f>
        <v>0</v>
      </c>
      <c r="F200" s="31">
        <f t="shared" si="62"/>
        <v>40057.9</v>
      </c>
      <c r="G200" s="31">
        <f>G205</f>
        <v>0</v>
      </c>
      <c r="H200" s="31">
        <f t="shared" si="130"/>
        <v>40057.9</v>
      </c>
      <c r="I200" s="31">
        <f>I205</f>
        <v>0</v>
      </c>
      <c r="J200" s="31">
        <f t="shared" si="131"/>
        <v>40057.9</v>
      </c>
      <c r="K200" s="31">
        <f>K205</f>
        <v>0</v>
      </c>
      <c r="L200" s="31">
        <f t="shared" si="132"/>
        <v>40057.9</v>
      </c>
      <c r="M200" s="31">
        <f>M205</f>
        <v>0</v>
      </c>
      <c r="N200" s="31">
        <f t="shared" si="133"/>
        <v>40057.9</v>
      </c>
      <c r="O200" s="32">
        <f>O205</f>
        <v>0</v>
      </c>
      <c r="P200" s="31">
        <f t="shared" si="134"/>
        <v>40057.9</v>
      </c>
    </row>
    <row r="201" spans="1:18" ht="75" x14ac:dyDescent="0.25">
      <c r="A201" s="62" t="s">
        <v>215</v>
      </c>
      <c r="B201" s="55" t="s">
        <v>71</v>
      </c>
      <c r="C201" s="60" t="s">
        <v>72</v>
      </c>
      <c r="D201" s="31">
        <v>9187.2999999999993</v>
      </c>
      <c r="E201" s="31"/>
      <c r="F201" s="31">
        <f t="shared" si="62"/>
        <v>9187.2999999999993</v>
      </c>
      <c r="G201" s="31"/>
      <c r="H201" s="31">
        <f t="shared" si="130"/>
        <v>9187.2999999999993</v>
      </c>
      <c r="I201" s="31"/>
      <c r="J201" s="31">
        <f t="shared" si="131"/>
        <v>9187.2999999999993</v>
      </c>
      <c r="K201" s="31"/>
      <c r="L201" s="31">
        <f t="shared" si="132"/>
        <v>9187.2999999999993</v>
      </c>
      <c r="M201" s="31"/>
      <c r="N201" s="31">
        <f t="shared" si="133"/>
        <v>9187.2999999999993</v>
      </c>
      <c r="O201" s="32"/>
      <c r="P201" s="31">
        <f t="shared" si="134"/>
        <v>9187.2999999999993</v>
      </c>
      <c r="Q201" s="22" t="s">
        <v>185</v>
      </c>
    </row>
    <row r="202" spans="1:18" ht="56.25" x14ac:dyDescent="0.25">
      <c r="A202" s="63"/>
      <c r="B202" s="24"/>
      <c r="C202" s="60" t="s">
        <v>48</v>
      </c>
      <c r="D202" s="31">
        <f>D204+D205</f>
        <v>44223.3</v>
      </c>
      <c r="E202" s="31">
        <f>E204+E205</f>
        <v>21609.611000000001</v>
      </c>
      <c r="F202" s="31">
        <f t="shared" si="62"/>
        <v>65832.911000000007</v>
      </c>
      <c r="G202" s="31">
        <f>G204+G205</f>
        <v>18090.346000000001</v>
      </c>
      <c r="H202" s="31">
        <f t="shared" si="130"/>
        <v>83923.257000000012</v>
      </c>
      <c r="I202" s="31">
        <f>I204+I205</f>
        <v>0</v>
      </c>
      <c r="J202" s="31">
        <f t="shared" si="131"/>
        <v>83923.257000000012</v>
      </c>
      <c r="K202" s="31">
        <f>K204+K205</f>
        <v>101.965</v>
      </c>
      <c r="L202" s="31">
        <f t="shared" si="132"/>
        <v>84025.222000000009</v>
      </c>
      <c r="M202" s="31">
        <f>M204+M205</f>
        <v>0</v>
      </c>
      <c r="N202" s="31">
        <f t="shared" si="133"/>
        <v>84025.222000000009</v>
      </c>
      <c r="O202" s="32">
        <f>O204+O205</f>
        <v>0</v>
      </c>
      <c r="P202" s="31">
        <f t="shared" si="134"/>
        <v>84025.222000000009</v>
      </c>
    </row>
    <row r="203" spans="1:18" x14ac:dyDescent="0.25">
      <c r="A203" s="1"/>
      <c r="B203" s="4" t="s">
        <v>2</v>
      </c>
      <c r="C203" s="60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2"/>
      <c r="P203" s="31"/>
    </row>
    <row r="204" spans="1:18" hidden="1" x14ac:dyDescent="0.25">
      <c r="A204" s="1"/>
      <c r="B204" s="4" t="s">
        <v>3</v>
      </c>
      <c r="C204" s="3"/>
      <c r="D204" s="31">
        <v>4165.3999999999996</v>
      </c>
      <c r="E204" s="31">
        <v>21609.611000000001</v>
      </c>
      <c r="F204" s="31">
        <f t="shared" si="62"/>
        <v>25775.010999999999</v>
      </c>
      <c r="G204" s="31">
        <v>18090.346000000001</v>
      </c>
      <c r="H204" s="31">
        <f t="shared" ref="H204:H217" si="135">F204+G204</f>
        <v>43865.357000000004</v>
      </c>
      <c r="I204" s="31">
        <f>-9187.3+9187.3</f>
        <v>0</v>
      </c>
      <c r="J204" s="31">
        <f>H204+I204</f>
        <v>43865.357000000004</v>
      </c>
      <c r="K204" s="31">
        <v>101.965</v>
      </c>
      <c r="L204" s="31">
        <f>J204+K204</f>
        <v>43967.322</v>
      </c>
      <c r="M204" s="31"/>
      <c r="N204" s="31">
        <f>L204+M204</f>
        <v>43967.322</v>
      </c>
      <c r="O204" s="32"/>
      <c r="P204" s="31">
        <f>N204+O204</f>
        <v>43967.322</v>
      </c>
      <c r="Q204" s="42" t="s">
        <v>220</v>
      </c>
      <c r="R204" s="8">
        <v>0</v>
      </c>
    </row>
    <row r="205" spans="1:18" x14ac:dyDescent="0.25">
      <c r="A205" s="1"/>
      <c r="B205" s="4" t="s">
        <v>17</v>
      </c>
      <c r="C205" s="60"/>
      <c r="D205" s="31">
        <v>40057.9</v>
      </c>
      <c r="E205" s="31"/>
      <c r="F205" s="31">
        <f t="shared" ref="F205:F238" si="136">D205+E205</f>
        <v>40057.9</v>
      </c>
      <c r="G205" s="31"/>
      <c r="H205" s="31">
        <f t="shared" si="135"/>
        <v>40057.9</v>
      </c>
      <c r="I205" s="31"/>
      <c r="J205" s="31">
        <f t="shared" ref="J205:J217" si="137">H205+I205</f>
        <v>40057.9</v>
      </c>
      <c r="K205" s="31"/>
      <c r="L205" s="31">
        <f t="shared" ref="L205:L217" si="138">J205+K205</f>
        <v>40057.9</v>
      </c>
      <c r="M205" s="31"/>
      <c r="N205" s="31">
        <f t="shared" ref="N205:N217" si="139">L205+M205</f>
        <v>40057.9</v>
      </c>
      <c r="O205" s="32"/>
      <c r="P205" s="31">
        <f t="shared" ref="P205:P225" si="140">N205+O205</f>
        <v>40057.9</v>
      </c>
      <c r="Q205" s="22" t="s">
        <v>164</v>
      </c>
    </row>
    <row r="206" spans="1:18" ht="56.25" x14ac:dyDescent="0.25">
      <c r="A206" s="1" t="s">
        <v>216</v>
      </c>
      <c r="B206" s="4" t="s">
        <v>73</v>
      </c>
      <c r="C206" s="60" t="s">
        <v>48</v>
      </c>
      <c r="D206" s="31">
        <v>20846.2</v>
      </c>
      <c r="E206" s="31"/>
      <c r="F206" s="31">
        <f t="shared" si="136"/>
        <v>20846.2</v>
      </c>
      <c r="G206" s="31"/>
      <c r="H206" s="31">
        <f t="shared" si="135"/>
        <v>20846.2</v>
      </c>
      <c r="I206" s="31"/>
      <c r="J206" s="31">
        <f t="shared" si="137"/>
        <v>20846.2</v>
      </c>
      <c r="K206" s="31"/>
      <c r="L206" s="31">
        <f t="shared" si="138"/>
        <v>20846.2</v>
      </c>
      <c r="M206" s="31"/>
      <c r="N206" s="31">
        <f t="shared" si="139"/>
        <v>20846.2</v>
      </c>
      <c r="O206" s="32"/>
      <c r="P206" s="31">
        <f t="shared" si="140"/>
        <v>20846.2</v>
      </c>
      <c r="Q206" s="22" t="s">
        <v>77</v>
      </c>
    </row>
    <row r="207" spans="1:18" ht="56.25" hidden="1" x14ac:dyDescent="0.25">
      <c r="A207" s="1" t="s">
        <v>163</v>
      </c>
      <c r="B207" s="4" t="s">
        <v>74</v>
      </c>
      <c r="C207" s="26" t="s">
        <v>16</v>
      </c>
      <c r="D207" s="31">
        <v>165000</v>
      </c>
      <c r="E207" s="31">
        <v>-165000</v>
      </c>
      <c r="F207" s="31">
        <f t="shared" si="136"/>
        <v>0</v>
      </c>
      <c r="G207" s="31"/>
      <c r="H207" s="31">
        <f t="shared" si="135"/>
        <v>0</v>
      </c>
      <c r="I207" s="31"/>
      <c r="J207" s="31">
        <f t="shared" si="137"/>
        <v>0</v>
      </c>
      <c r="K207" s="31"/>
      <c r="L207" s="31">
        <f t="shared" si="138"/>
        <v>0</v>
      </c>
      <c r="M207" s="31"/>
      <c r="N207" s="31">
        <f t="shared" si="139"/>
        <v>0</v>
      </c>
      <c r="O207" s="32"/>
      <c r="P207" s="31">
        <f t="shared" si="140"/>
        <v>0</v>
      </c>
      <c r="Q207" s="22" t="s">
        <v>78</v>
      </c>
      <c r="R207" s="8">
        <v>0</v>
      </c>
    </row>
    <row r="208" spans="1:18" ht="56.25" x14ac:dyDescent="0.25">
      <c r="A208" s="1" t="s">
        <v>217</v>
      </c>
      <c r="B208" s="4" t="s">
        <v>75</v>
      </c>
      <c r="C208" s="60" t="s">
        <v>48</v>
      </c>
      <c r="D208" s="31">
        <v>26626.5</v>
      </c>
      <c r="E208" s="31"/>
      <c r="F208" s="31">
        <f t="shared" si="136"/>
        <v>26626.5</v>
      </c>
      <c r="G208" s="31"/>
      <c r="H208" s="31">
        <f t="shared" si="135"/>
        <v>26626.5</v>
      </c>
      <c r="I208" s="31"/>
      <c r="J208" s="31">
        <f t="shared" si="137"/>
        <v>26626.5</v>
      </c>
      <c r="K208" s="31">
        <v>-842.97900000000004</v>
      </c>
      <c r="L208" s="31">
        <f t="shared" si="138"/>
        <v>25783.521000000001</v>
      </c>
      <c r="M208" s="31"/>
      <c r="N208" s="31">
        <f t="shared" si="139"/>
        <v>25783.521000000001</v>
      </c>
      <c r="O208" s="32"/>
      <c r="P208" s="31">
        <f t="shared" si="140"/>
        <v>25783.521000000001</v>
      </c>
      <c r="Q208" s="22" t="s">
        <v>79</v>
      </c>
    </row>
    <row r="209" spans="1:18" ht="56.25" x14ac:dyDescent="0.25">
      <c r="A209" s="1" t="s">
        <v>218</v>
      </c>
      <c r="B209" s="4" t="s">
        <v>76</v>
      </c>
      <c r="C209" s="60" t="s">
        <v>48</v>
      </c>
      <c r="D209" s="31">
        <v>23373.5</v>
      </c>
      <c r="E209" s="31"/>
      <c r="F209" s="31">
        <f t="shared" si="136"/>
        <v>23373.5</v>
      </c>
      <c r="G209" s="31"/>
      <c r="H209" s="31">
        <f t="shared" si="135"/>
        <v>23373.5</v>
      </c>
      <c r="I209" s="31"/>
      <c r="J209" s="31">
        <f t="shared" si="137"/>
        <v>23373.5</v>
      </c>
      <c r="K209" s="31"/>
      <c r="L209" s="31">
        <f t="shared" si="138"/>
        <v>23373.5</v>
      </c>
      <c r="M209" s="31"/>
      <c r="N209" s="31">
        <f t="shared" si="139"/>
        <v>23373.5</v>
      </c>
      <c r="O209" s="32"/>
      <c r="P209" s="31">
        <f t="shared" si="140"/>
        <v>23373.5</v>
      </c>
      <c r="Q209" s="22" t="s">
        <v>80</v>
      </c>
    </row>
    <row r="210" spans="1:18" ht="75" x14ac:dyDescent="0.25">
      <c r="A210" s="1" t="s">
        <v>232</v>
      </c>
      <c r="B210" s="4" t="s">
        <v>264</v>
      </c>
      <c r="C210" s="60" t="s">
        <v>72</v>
      </c>
      <c r="D210" s="31"/>
      <c r="E210" s="31"/>
      <c r="F210" s="31"/>
      <c r="G210" s="31"/>
      <c r="H210" s="31"/>
      <c r="I210" s="31"/>
      <c r="J210" s="31"/>
      <c r="K210" s="31">
        <v>3874</v>
      </c>
      <c r="L210" s="31">
        <f t="shared" si="138"/>
        <v>3874</v>
      </c>
      <c r="M210" s="31"/>
      <c r="N210" s="31">
        <f t="shared" si="139"/>
        <v>3874</v>
      </c>
      <c r="O210" s="32"/>
      <c r="P210" s="31">
        <f t="shared" si="140"/>
        <v>3874</v>
      </c>
      <c r="Q210" s="22" t="s">
        <v>265</v>
      </c>
    </row>
    <row r="211" spans="1:18" ht="19.5" customHeight="1" x14ac:dyDescent="0.25">
      <c r="A211" s="1"/>
      <c r="B211" s="4" t="s">
        <v>20</v>
      </c>
      <c r="C211" s="60"/>
      <c r="D211" s="30">
        <f>D212+D213+D214</f>
        <v>134891.20000000001</v>
      </c>
      <c r="E211" s="30">
        <f>E212+E213+E214</f>
        <v>1016.4930000000002</v>
      </c>
      <c r="F211" s="30">
        <f t="shared" si="136"/>
        <v>135907.693</v>
      </c>
      <c r="G211" s="30">
        <f>G212+G213+G214+G215</f>
        <v>3070.806</v>
      </c>
      <c r="H211" s="30">
        <f t="shared" si="135"/>
        <v>138978.49900000001</v>
      </c>
      <c r="I211" s="30">
        <f>I212+I213+I214+I215</f>
        <v>0</v>
      </c>
      <c r="J211" s="30">
        <f t="shared" si="137"/>
        <v>138978.49900000001</v>
      </c>
      <c r="K211" s="30">
        <f>K212+K213+K214+K215</f>
        <v>-25.863</v>
      </c>
      <c r="L211" s="30">
        <f t="shared" si="138"/>
        <v>138952.636</v>
      </c>
      <c r="M211" s="30">
        <f>M212+M213+M214+M215</f>
        <v>0</v>
      </c>
      <c r="N211" s="30">
        <f t="shared" si="139"/>
        <v>138952.636</v>
      </c>
      <c r="O211" s="30">
        <f>O212+O213+O214+O215</f>
        <v>1153.5899999999999</v>
      </c>
      <c r="P211" s="31">
        <f t="shared" si="140"/>
        <v>140106.226</v>
      </c>
    </row>
    <row r="212" spans="1:18" ht="56.25" x14ac:dyDescent="0.25">
      <c r="A212" s="1" t="s">
        <v>233</v>
      </c>
      <c r="B212" s="4" t="s">
        <v>63</v>
      </c>
      <c r="C212" s="60" t="s">
        <v>48</v>
      </c>
      <c r="D212" s="31">
        <v>9933.7000000000007</v>
      </c>
      <c r="E212" s="31">
        <v>2890.1930000000002</v>
      </c>
      <c r="F212" s="31">
        <f t="shared" si="136"/>
        <v>12823.893</v>
      </c>
      <c r="G212" s="31"/>
      <c r="H212" s="31">
        <f t="shared" si="135"/>
        <v>12823.893</v>
      </c>
      <c r="I212" s="31"/>
      <c r="J212" s="31">
        <f t="shared" si="137"/>
        <v>12823.893</v>
      </c>
      <c r="K212" s="31">
        <v>-25.863</v>
      </c>
      <c r="L212" s="31">
        <f t="shared" si="138"/>
        <v>12798.03</v>
      </c>
      <c r="M212" s="31"/>
      <c r="N212" s="31">
        <f t="shared" si="139"/>
        <v>12798.03</v>
      </c>
      <c r="O212" s="32">
        <v>1153.5899999999999</v>
      </c>
      <c r="P212" s="31">
        <f t="shared" si="140"/>
        <v>13951.62</v>
      </c>
      <c r="Q212" s="22" t="s">
        <v>66</v>
      </c>
    </row>
    <row r="213" spans="1:18" ht="56.25" x14ac:dyDescent="0.25">
      <c r="A213" s="1" t="s">
        <v>234</v>
      </c>
      <c r="B213" s="4" t="s">
        <v>64</v>
      </c>
      <c r="C213" s="60" t="s">
        <v>48</v>
      </c>
      <c r="D213" s="31">
        <v>55416.7</v>
      </c>
      <c r="E213" s="31"/>
      <c r="F213" s="31">
        <f t="shared" si="136"/>
        <v>55416.7</v>
      </c>
      <c r="G213" s="31"/>
      <c r="H213" s="31">
        <f t="shared" si="135"/>
        <v>55416.7</v>
      </c>
      <c r="I213" s="31"/>
      <c r="J213" s="31">
        <f t="shared" si="137"/>
        <v>55416.7</v>
      </c>
      <c r="K213" s="31"/>
      <c r="L213" s="31">
        <f t="shared" si="138"/>
        <v>55416.7</v>
      </c>
      <c r="M213" s="31"/>
      <c r="N213" s="31">
        <f t="shared" si="139"/>
        <v>55416.7</v>
      </c>
      <c r="O213" s="32"/>
      <c r="P213" s="31">
        <f t="shared" si="140"/>
        <v>55416.7</v>
      </c>
      <c r="Q213" s="22" t="s">
        <v>67</v>
      </c>
    </row>
    <row r="214" spans="1:18" ht="75" x14ac:dyDescent="0.25">
      <c r="A214" s="1" t="s">
        <v>235</v>
      </c>
      <c r="B214" s="4" t="s">
        <v>65</v>
      </c>
      <c r="C214" s="4" t="s">
        <v>6</v>
      </c>
      <c r="D214" s="31">
        <v>69540.800000000003</v>
      </c>
      <c r="E214" s="31">
        <v>-1873.7</v>
      </c>
      <c r="F214" s="31">
        <f t="shared" si="136"/>
        <v>67667.100000000006</v>
      </c>
      <c r="G214" s="31"/>
      <c r="H214" s="31">
        <f t="shared" si="135"/>
        <v>67667.100000000006</v>
      </c>
      <c r="I214" s="31"/>
      <c r="J214" s="31">
        <f t="shared" si="137"/>
        <v>67667.100000000006</v>
      </c>
      <c r="K214" s="31"/>
      <c r="L214" s="31">
        <f t="shared" si="138"/>
        <v>67667.100000000006</v>
      </c>
      <c r="M214" s="31"/>
      <c r="N214" s="31">
        <f t="shared" si="139"/>
        <v>67667.100000000006</v>
      </c>
      <c r="O214" s="32"/>
      <c r="P214" s="31">
        <f t="shared" si="140"/>
        <v>67667.100000000006</v>
      </c>
      <c r="Q214" s="22" t="s">
        <v>68</v>
      </c>
    </row>
    <row r="215" spans="1:18" ht="56.25" x14ac:dyDescent="0.25">
      <c r="A215" s="1" t="s">
        <v>236</v>
      </c>
      <c r="B215" s="4" t="s">
        <v>242</v>
      </c>
      <c r="C215" s="60" t="s">
        <v>48</v>
      </c>
      <c r="D215" s="31"/>
      <c r="E215" s="31"/>
      <c r="F215" s="31"/>
      <c r="G215" s="31">
        <v>3070.806</v>
      </c>
      <c r="H215" s="31">
        <f t="shared" si="135"/>
        <v>3070.806</v>
      </c>
      <c r="I215" s="31"/>
      <c r="J215" s="31">
        <f t="shared" si="137"/>
        <v>3070.806</v>
      </c>
      <c r="K215" s="31"/>
      <c r="L215" s="31">
        <f t="shared" si="138"/>
        <v>3070.806</v>
      </c>
      <c r="M215" s="31"/>
      <c r="N215" s="31">
        <f t="shared" si="139"/>
        <v>3070.806</v>
      </c>
      <c r="O215" s="32"/>
      <c r="P215" s="31">
        <f t="shared" si="140"/>
        <v>3070.806</v>
      </c>
      <c r="Q215" s="22" t="s">
        <v>243</v>
      </c>
    </row>
    <row r="216" spans="1:18" x14ac:dyDescent="0.25">
      <c r="A216" s="1"/>
      <c r="B216" s="4" t="s">
        <v>26</v>
      </c>
      <c r="C216" s="60"/>
      <c r="D216" s="30">
        <f>D217</f>
        <v>36453</v>
      </c>
      <c r="E216" s="30">
        <f>E217</f>
        <v>0</v>
      </c>
      <c r="F216" s="30">
        <f t="shared" si="136"/>
        <v>36453</v>
      </c>
      <c r="G216" s="30">
        <f>G217</f>
        <v>0</v>
      </c>
      <c r="H216" s="30">
        <f t="shared" si="135"/>
        <v>36453</v>
      </c>
      <c r="I216" s="30">
        <f>I217</f>
        <v>0</v>
      </c>
      <c r="J216" s="30">
        <f t="shared" si="137"/>
        <v>36453</v>
      </c>
      <c r="K216" s="30">
        <f>K217</f>
        <v>0</v>
      </c>
      <c r="L216" s="30">
        <f t="shared" si="138"/>
        <v>36453</v>
      </c>
      <c r="M216" s="30">
        <f>M217</f>
        <v>0</v>
      </c>
      <c r="N216" s="30">
        <f t="shared" si="139"/>
        <v>36453</v>
      </c>
      <c r="O216" s="30">
        <f>O217</f>
        <v>0</v>
      </c>
      <c r="P216" s="31">
        <f>N216+O216</f>
        <v>36453</v>
      </c>
    </row>
    <row r="217" spans="1:18" ht="56.25" x14ac:dyDescent="0.25">
      <c r="A217" s="1" t="s">
        <v>237</v>
      </c>
      <c r="B217" s="4" t="s">
        <v>178</v>
      </c>
      <c r="C217" s="60" t="s">
        <v>48</v>
      </c>
      <c r="D217" s="31">
        <v>36453</v>
      </c>
      <c r="E217" s="31"/>
      <c r="F217" s="31">
        <f t="shared" si="136"/>
        <v>36453</v>
      </c>
      <c r="G217" s="31"/>
      <c r="H217" s="31">
        <f t="shared" si="135"/>
        <v>36453</v>
      </c>
      <c r="I217" s="31"/>
      <c r="J217" s="31">
        <f t="shared" si="137"/>
        <v>36453</v>
      </c>
      <c r="K217" s="31"/>
      <c r="L217" s="31">
        <f t="shared" si="138"/>
        <v>36453</v>
      </c>
      <c r="M217" s="31"/>
      <c r="N217" s="31">
        <f t="shared" si="139"/>
        <v>36453</v>
      </c>
      <c r="O217" s="32"/>
      <c r="P217" s="31">
        <f t="shared" si="140"/>
        <v>36453</v>
      </c>
      <c r="Q217" s="22" t="s">
        <v>186</v>
      </c>
    </row>
    <row r="218" spans="1:18" x14ac:dyDescent="0.25">
      <c r="A218" s="1"/>
      <c r="B218" s="4" t="s">
        <v>280</v>
      </c>
      <c r="C218" s="6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>
        <f>O220+O221</f>
        <v>300000</v>
      </c>
      <c r="P218" s="31">
        <f>N218+O218</f>
        <v>300000</v>
      </c>
    </row>
    <row r="219" spans="1:18" x14ac:dyDescent="0.25">
      <c r="A219" s="1"/>
      <c r="B219" s="4" t="s">
        <v>2</v>
      </c>
      <c r="C219" s="60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</row>
    <row r="220" spans="1:18" hidden="1" x14ac:dyDescent="0.25">
      <c r="A220" s="1"/>
      <c r="B220" s="4" t="s">
        <v>3</v>
      </c>
      <c r="C220" s="53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>
        <f>O224</f>
        <v>15000</v>
      </c>
      <c r="P220" s="31"/>
      <c r="R220" s="8">
        <v>0</v>
      </c>
    </row>
    <row r="221" spans="1:18" x14ac:dyDescent="0.25">
      <c r="A221" s="1"/>
      <c r="B221" s="4" t="s">
        <v>17</v>
      </c>
      <c r="C221" s="60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>
        <f>O225</f>
        <v>285000</v>
      </c>
      <c r="P221" s="31">
        <f>N221+O221</f>
        <v>285000</v>
      </c>
    </row>
    <row r="222" spans="1:18" ht="99" customHeight="1" x14ac:dyDescent="0.25">
      <c r="A222" s="1" t="s">
        <v>279</v>
      </c>
      <c r="B222" s="4" t="s">
        <v>277</v>
      </c>
      <c r="C222" s="60" t="s">
        <v>16</v>
      </c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2">
        <f>O224+O225</f>
        <v>300000</v>
      </c>
      <c r="P222" s="31">
        <f t="shared" si="140"/>
        <v>300000</v>
      </c>
    </row>
    <row r="223" spans="1:18" x14ac:dyDescent="0.25">
      <c r="A223" s="1"/>
      <c r="B223" s="4" t="s">
        <v>2</v>
      </c>
      <c r="C223" s="60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2"/>
      <c r="P223" s="31"/>
    </row>
    <row r="224" spans="1:18" hidden="1" x14ac:dyDescent="0.25">
      <c r="A224" s="1"/>
      <c r="B224" s="4" t="s">
        <v>3</v>
      </c>
      <c r="C224" s="53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2">
        <v>15000</v>
      </c>
      <c r="P224" s="31">
        <f t="shared" si="140"/>
        <v>15000</v>
      </c>
      <c r="Q224" s="22" t="s">
        <v>278</v>
      </c>
      <c r="R224" s="8">
        <v>0</v>
      </c>
    </row>
    <row r="225" spans="1:17" x14ac:dyDescent="0.25">
      <c r="A225" s="1"/>
      <c r="B225" s="4" t="s">
        <v>17</v>
      </c>
      <c r="C225" s="60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2">
        <v>285000</v>
      </c>
      <c r="P225" s="31">
        <f t="shared" si="140"/>
        <v>285000</v>
      </c>
      <c r="Q225" s="22" t="s">
        <v>278</v>
      </c>
    </row>
    <row r="226" spans="1:17" x14ac:dyDescent="0.25">
      <c r="A226" s="1"/>
      <c r="B226" s="88" t="s">
        <v>10</v>
      </c>
      <c r="C226" s="89"/>
      <c r="D226" s="31">
        <f>D16+D74+D116+D137+D197+D211+D216+D194</f>
        <v>4781178.4000000004</v>
      </c>
      <c r="E226" s="31">
        <f>E16+E74+E116+E137+E197+E211+E216+E194</f>
        <v>-16936.260999999988</v>
      </c>
      <c r="F226" s="31">
        <f t="shared" si="136"/>
        <v>4764242.1390000004</v>
      </c>
      <c r="G226" s="31">
        <f>G16+G74+G116+G137+G197+G211+G216+G194</f>
        <v>287474.32</v>
      </c>
      <c r="H226" s="31">
        <f>F226+G226</f>
        <v>5051716.4590000007</v>
      </c>
      <c r="I226" s="31">
        <f>I16+I74+I116+I137+I197+I211+I216+I194</f>
        <v>0</v>
      </c>
      <c r="J226" s="31">
        <f>H226+I226</f>
        <v>5051716.4590000007</v>
      </c>
      <c r="K226" s="31">
        <f>K16+K74+K116+K137+K197+K211+K216+K194</f>
        <v>263381.408</v>
      </c>
      <c r="L226" s="31">
        <f>J226+K226</f>
        <v>5315097.8670000006</v>
      </c>
      <c r="M226" s="31">
        <f>M16+M74+M116+M137+M197+M211+M216+M194</f>
        <v>-23185.34</v>
      </c>
      <c r="N226" s="31">
        <f>L226+M226</f>
        <v>5291912.5270000007</v>
      </c>
      <c r="O226" s="32">
        <f>O16+O74+O116+O137+O197+O211+O216+O194+O218</f>
        <v>1401404.1689999998</v>
      </c>
      <c r="P226" s="31">
        <f>N226+O226</f>
        <v>6693316.6960000005</v>
      </c>
    </row>
    <row r="227" spans="1:17" x14ac:dyDescent="0.25">
      <c r="A227" s="1"/>
      <c r="B227" s="88" t="s">
        <v>11</v>
      </c>
      <c r="C227" s="90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2"/>
      <c r="P227" s="31"/>
    </row>
    <row r="228" spans="1:17" x14ac:dyDescent="0.25">
      <c r="A228" s="1"/>
      <c r="B228" s="91" t="s">
        <v>25</v>
      </c>
      <c r="C228" s="92"/>
      <c r="D228" s="31">
        <f>D140</f>
        <v>958419.5</v>
      </c>
      <c r="E228" s="31">
        <f>E140</f>
        <v>100000</v>
      </c>
      <c r="F228" s="31">
        <f t="shared" si="136"/>
        <v>1058419.5</v>
      </c>
      <c r="G228" s="31">
        <f>G140</f>
        <v>0</v>
      </c>
      <c r="H228" s="31">
        <f t="shared" ref="H228:H230" si="141">F228+G228</f>
        <v>1058419.5</v>
      </c>
      <c r="I228" s="31">
        <f>I140</f>
        <v>0</v>
      </c>
      <c r="J228" s="31">
        <f t="shared" ref="J228:J230" si="142">H228+I228</f>
        <v>1058419.5</v>
      </c>
      <c r="K228" s="31">
        <f>K140</f>
        <v>212800</v>
      </c>
      <c r="L228" s="31">
        <f t="shared" ref="L228:L230" si="143">J228+K228</f>
        <v>1271219.5</v>
      </c>
      <c r="M228" s="31">
        <f>M140</f>
        <v>0</v>
      </c>
      <c r="N228" s="31">
        <f t="shared" ref="N228:N230" si="144">L228+M228</f>
        <v>1271219.5</v>
      </c>
      <c r="O228" s="32">
        <f>O140</f>
        <v>-231585</v>
      </c>
      <c r="P228" s="31">
        <f t="shared" ref="P228:P231" si="145">N228+O228</f>
        <v>1039634.5</v>
      </c>
    </row>
    <row r="229" spans="1:17" x14ac:dyDescent="0.25">
      <c r="A229" s="1"/>
      <c r="B229" s="58" t="s">
        <v>17</v>
      </c>
      <c r="C229" s="59"/>
      <c r="D229" s="31">
        <f>D77+D19+D119+D200</f>
        <v>1120929.5999999999</v>
      </c>
      <c r="E229" s="31">
        <f>E77+E19+E119+E200</f>
        <v>-683.3</v>
      </c>
      <c r="F229" s="31">
        <f t="shared" si="136"/>
        <v>1120246.2999999998</v>
      </c>
      <c r="G229" s="31">
        <f>G77+G19+G119+G200</f>
        <v>0</v>
      </c>
      <c r="H229" s="31">
        <f t="shared" si="141"/>
        <v>1120246.2999999998</v>
      </c>
      <c r="I229" s="31">
        <f>I77+I19+I119+I200</f>
        <v>0</v>
      </c>
      <c r="J229" s="31">
        <f t="shared" si="142"/>
        <v>1120246.2999999998</v>
      </c>
      <c r="K229" s="31">
        <f>K77+K19+K119+K200</f>
        <v>-83064.659</v>
      </c>
      <c r="L229" s="31">
        <f t="shared" si="143"/>
        <v>1037181.6409999998</v>
      </c>
      <c r="M229" s="31">
        <f>M77+M19+M119+M200</f>
        <v>0</v>
      </c>
      <c r="N229" s="31">
        <f t="shared" si="144"/>
        <v>1037181.6409999998</v>
      </c>
      <c r="O229" s="32">
        <f>O77+O19+O119+O200</f>
        <v>194038.59600000002</v>
      </c>
      <c r="P229" s="31">
        <f t="shared" si="145"/>
        <v>1231220.2369999997</v>
      </c>
    </row>
    <row r="230" spans="1:17" x14ac:dyDescent="0.25">
      <c r="A230" s="1"/>
      <c r="B230" s="58" t="s">
        <v>21</v>
      </c>
      <c r="C230" s="59"/>
      <c r="D230" s="31">
        <f>D20</f>
        <v>50494.8</v>
      </c>
      <c r="E230" s="31">
        <f>E20+E78</f>
        <v>131739.79999999999</v>
      </c>
      <c r="F230" s="31">
        <f t="shared" si="136"/>
        <v>182234.59999999998</v>
      </c>
      <c r="G230" s="31">
        <f>G20+G78</f>
        <v>0</v>
      </c>
      <c r="H230" s="31">
        <f t="shared" si="141"/>
        <v>182234.59999999998</v>
      </c>
      <c r="I230" s="31">
        <f>I20+I78</f>
        <v>0</v>
      </c>
      <c r="J230" s="31">
        <f t="shared" si="142"/>
        <v>182234.59999999998</v>
      </c>
      <c r="K230" s="31">
        <f>K20+K78</f>
        <v>182598.3</v>
      </c>
      <c r="L230" s="31">
        <f t="shared" si="143"/>
        <v>364832.89999999997</v>
      </c>
      <c r="M230" s="31">
        <f>M20+M78</f>
        <v>0</v>
      </c>
      <c r="N230" s="31">
        <f t="shared" si="144"/>
        <v>364832.89999999997</v>
      </c>
      <c r="O230" s="32">
        <f>O20+O78</f>
        <v>0</v>
      </c>
      <c r="P230" s="31">
        <f t="shared" si="145"/>
        <v>364832.89999999997</v>
      </c>
    </row>
    <row r="231" spans="1:17" x14ac:dyDescent="0.25">
      <c r="A231" s="1"/>
      <c r="B231" s="91" t="s">
        <v>270</v>
      </c>
      <c r="C231" s="89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2">
        <f>O79</f>
        <v>1177740.0319999999</v>
      </c>
      <c r="P231" s="31">
        <f t="shared" si="145"/>
        <v>1177740.0319999999</v>
      </c>
    </row>
    <row r="232" spans="1:17" x14ac:dyDescent="0.25">
      <c r="A232" s="1"/>
      <c r="B232" s="81" t="s">
        <v>15</v>
      </c>
      <c r="C232" s="93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2"/>
      <c r="P232" s="31"/>
    </row>
    <row r="233" spans="1:17" x14ac:dyDescent="0.25">
      <c r="A233" s="1"/>
      <c r="B233" s="81" t="s">
        <v>12</v>
      </c>
      <c r="C233" s="80"/>
      <c r="D233" s="31">
        <f>D36+D37+D52+D64+D65+D66+D67</f>
        <v>91162</v>
      </c>
      <c r="E233" s="31">
        <f>E36+E37+E52+E64+E65+E66+E67</f>
        <v>0</v>
      </c>
      <c r="F233" s="31">
        <f t="shared" si="136"/>
        <v>91162</v>
      </c>
      <c r="G233" s="31">
        <f>G36+G37+G52+G64+G65+G66+G67</f>
        <v>0</v>
      </c>
      <c r="H233" s="31">
        <f t="shared" ref="H233:H239" si="146">F233+G233</f>
        <v>91162</v>
      </c>
      <c r="I233" s="31">
        <f>I36+I37+I52+I64+I65+I66+I67</f>
        <v>0</v>
      </c>
      <c r="J233" s="31">
        <f t="shared" ref="J233:J239" si="147">H233+I233</f>
        <v>91162</v>
      </c>
      <c r="K233" s="31">
        <f>K36+K37+K52+K64+K65+K66+K67+K73</f>
        <v>8008.2999999999993</v>
      </c>
      <c r="L233" s="31">
        <f t="shared" ref="L233:L239" si="148">J233+K233</f>
        <v>99170.3</v>
      </c>
      <c r="M233" s="31">
        <f>M36+M37+M52+M64+M65+M66+M67+M73</f>
        <v>0</v>
      </c>
      <c r="N233" s="31">
        <f t="shared" ref="N233:N239" si="149">L233+M233</f>
        <v>99170.3</v>
      </c>
      <c r="O233" s="32">
        <f>O36+O37+O52+O64+O65+O66+O67+O73+O42</f>
        <v>10205.543</v>
      </c>
      <c r="P233" s="31">
        <f t="shared" ref="P233:P239" si="150">N233+O233</f>
        <v>109375.84300000001</v>
      </c>
    </row>
    <row r="234" spans="1:17" x14ac:dyDescent="0.25">
      <c r="A234" s="1"/>
      <c r="B234" s="86" t="s">
        <v>19</v>
      </c>
      <c r="C234" s="87"/>
      <c r="D234" s="31">
        <f>D80+D82+D83+D84+D85+D86+D87+D88+D89+D90+D92+D94+D95+D202+D206+D208+D209+D212+D213+D217+D195+D21+D26+D31+D43+D47+D48+D56+D61+D62+D63</f>
        <v>1471905.2000000002</v>
      </c>
      <c r="E234" s="31">
        <f>E80+E82+E83+E84+E85+E86+E87+E88+E89+E90+E92+E94+E95+E202+E206+E208+E209+E212+E213+E217+E195+E21+E26+E31+E43+E47+E48+E56+E61+E62+E63</f>
        <v>-81119.061000000002</v>
      </c>
      <c r="F234" s="31">
        <f t="shared" si="136"/>
        <v>1390786.1390000002</v>
      </c>
      <c r="G234" s="31">
        <f>G80+G82+G83+G84+G85+G86+G87+G88+G89+G90+G92+G94+G95+G202+G206+G208+G209+G212+G213+G217+G195+G21+G26+G31+G43+G47+G48+G56+G61+G62+G63+G196+G215</f>
        <v>22737.729000000003</v>
      </c>
      <c r="H234" s="31">
        <f t="shared" si="146"/>
        <v>1413523.8680000002</v>
      </c>
      <c r="I234" s="31">
        <f>I80+I82+I83+I84+I85+I86+I87+I88+I89+I90+I92+I94+I95+I202+I206+I208+I209+I212+I213+I217+I195+I21+I26+I31+I43+I47+I48+I56+I61+I62+I63+I196+I215</f>
        <v>0</v>
      </c>
      <c r="J234" s="31">
        <f t="shared" si="147"/>
        <v>1413523.8680000002</v>
      </c>
      <c r="K234" s="31">
        <f>K80+K82+K83+K84+K85+K86+K87+K88+K89+K90+K92+K94+K95+K202+K206+K208+K209+K212+K213+K217+K195+K21+K26+K31+K43+K47+K48+K56+K61+K62+K63+K196+K215+K68</f>
        <v>-32234.291999999958</v>
      </c>
      <c r="L234" s="31">
        <f t="shared" si="148"/>
        <v>1381289.5760000004</v>
      </c>
      <c r="M234" s="31">
        <f>M80+M82+M83+M84+M85+M86+M87+M88+M89+M90+M92+M94+M95+M202+M206+M208+M209+M212+M213+M217+M195+M21+M26+M31+M43+M47+M48+M56+M61+M62+M63+M196+M215+M68</f>
        <v>-23185.34</v>
      </c>
      <c r="N234" s="31">
        <f t="shared" si="149"/>
        <v>1358104.2360000003</v>
      </c>
      <c r="O234" s="32">
        <f>O80+O82+O83+O84+O85+O86+O87+O88+O89+O90+O92+O94+O95+O202+O206+O208+O209+O212+O213+O217+O195+O21+O26+O31+O43+O47+O48+O56+O61+O62+O63+O196+O215+O68+O112</f>
        <v>4701.2790000000005</v>
      </c>
      <c r="P234" s="31">
        <f t="shared" si="150"/>
        <v>1362805.5150000004</v>
      </c>
    </row>
    <row r="235" spans="1:17" x14ac:dyDescent="0.25">
      <c r="A235" s="1"/>
      <c r="B235" s="77" t="s">
        <v>13</v>
      </c>
      <c r="C235" s="78"/>
      <c r="D235" s="31">
        <f>D102+D105+D96</f>
        <v>1173733.3</v>
      </c>
      <c r="E235" s="31">
        <f>E102+E105+E96</f>
        <v>131056.5</v>
      </c>
      <c r="F235" s="31">
        <f t="shared" si="136"/>
        <v>1304789.8</v>
      </c>
      <c r="G235" s="31">
        <f>G102+G105+G96</f>
        <v>0</v>
      </c>
      <c r="H235" s="31">
        <f t="shared" si="146"/>
        <v>1304789.8</v>
      </c>
      <c r="I235" s="31">
        <f>I102+I105+I96</f>
        <v>0</v>
      </c>
      <c r="J235" s="31">
        <f t="shared" si="147"/>
        <v>1304789.8</v>
      </c>
      <c r="K235" s="31">
        <f>K102+K105+K96</f>
        <v>0</v>
      </c>
      <c r="L235" s="31">
        <f t="shared" si="148"/>
        <v>1304789.8</v>
      </c>
      <c r="M235" s="31">
        <f>M102+M105+M96</f>
        <v>0</v>
      </c>
      <c r="N235" s="31">
        <f t="shared" si="149"/>
        <v>1304789.8</v>
      </c>
      <c r="O235" s="32">
        <f>O102+O105+O96</f>
        <v>1414443.6209999998</v>
      </c>
      <c r="P235" s="31">
        <f t="shared" si="150"/>
        <v>2719233.4210000001</v>
      </c>
    </row>
    <row r="236" spans="1:17" x14ac:dyDescent="0.25">
      <c r="A236" s="1"/>
      <c r="B236" s="81" t="s">
        <v>6</v>
      </c>
      <c r="C236" s="80"/>
      <c r="D236" s="31">
        <f>D120+D121+D122+D123+D124+D125+D126+D127+D131+D132+D141+D145+D149+D153+D157+D161+D165+D169+D170+D171+D172+D176+D214</f>
        <v>1870190.6</v>
      </c>
      <c r="E236" s="31">
        <f>E120+E121+E122+E123+E124+E125+E126+E127+E131+E132+E141+E145+E149+E153+E157+E161+E165+E169+E170+E171+E172+E176+E214</f>
        <v>98126.3</v>
      </c>
      <c r="F236" s="31">
        <f t="shared" si="136"/>
        <v>1968316.9000000001</v>
      </c>
      <c r="G236" s="31">
        <f>G120+G121+G122+G123+G124+G125+G126+G127+G131+G132+G141+G145+G149+G153+G157+G161+G165+G169+G170+G171+G172+G176+G214+G180+G181+G182+G183+G184+G133+G134+G135+G136</f>
        <v>216238.28499999997</v>
      </c>
      <c r="H236" s="31">
        <f t="shared" si="146"/>
        <v>2184555.1850000001</v>
      </c>
      <c r="I236" s="31">
        <f>I120+I121+I122+I123+I124+I125+I126+I127+I131+I132+I141+I145+I149+I153+I157+I161+I165+I169+I170+I171+I172+I176+I214+I180+I181+I182+I183+I184+I133+I134+I135+I136</f>
        <v>0</v>
      </c>
      <c r="J236" s="31">
        <f t="shared" si="147"/>
        <v>2184555.1850000001</v>
      </c>
      <c r="K236" s="31">
        <f>K120+K121+K122+K123+K124+K125+K126+K127+K131+K132+K141+K145+K149+K153+K157+K161+K165+K169+K170+K171+K172+K176+K214+K180+K181+K182+K183+K184+K133+K134+K135+K136+K185+K189</f>
        <v>283733.40000000002</v>
      </c>
      <c r="L236" s="31">
        <f t="shared" si="148"/>
        <v>2468288.585</v>
      </c>
      <c r="M236" s="31">
        <f>M120+M121+M122+M123+M124+M125+M126+M127+M131+M132+M141+M145+M149+M153+M157+M161+M165+M169+M170+M171+M172+M176+M214+M180+M181+M182+M183+M184+M133+M134+M135+M136+M185+M189</f>
        <v>0</v>
      </c>
      <c r="N236" s="31">
        <f t="shared" si="149"/>
        <v>2468288.585</v>
      </c>
      <c r="O236" s="32">
        <f>O120+O121+O122+O123+O124+O125+O126+O127+O131+O132+O141+O145+O149+O153+O157+O161+O165+O169+O170+O171+O172+O176+O214+O180+O181+O182+O183+O184+O133+O134+O135+O136+O185+O189+O193</f>
        <v>-319391.85400000005</v>
      </c>
      <c r="P236" s="31">
        <f t="shared" si="150"/>
        <v>2148896.7309999997</v>
      </c>
    </row>
    <row r="237" spans="1:17" x14ac:dyDescent="0.25">
      <c r="A237" s="1"/>
      <c r="B237" s="79" t="s">
        <v>9</v>
      </c>
      <c r="C237" s="80"/>
      <c r="D237" s="31">
        <f>D201</f>
        <v>9187.2999999999993</v>
      </c>
      <c r="E237" s="31">
        <f>E201</f>
        <v>0</v>
      </c>
      <c r="F237" s="31">
        <f t="shared" si="136"/>
        <v>9187.2999999999993</v>
      </c>
      <c r="G237" s="31">
        <f>G201</f>
        <v>0</v>
      </c>
      <c r="H237" s="31">
        <f t="shared" si="146"/>
        <v>9187.2999999999993</v>
      </c>
      <c r="I237" s="31">
        <f>I201</f>
        <v>0</v>
      </c>
      <c r="J237" s="31">
        <f t="shared" si="147"/>
        <v>9187.2999999999993</v>
      </c>
      <c r="K237" s="31">
        <f>K201+K210</f>
        <v>3874</v>
      </c>
      <c r="L237" s="31">
        <f t="shared" si="148"/>
        <v>13061.3</v>
      </c>
      <c r="M237" s="31">
        <f>M201+M210</f>
        <v>0</v>
      </c>
      <c r="N237" s="31">
        <f t="shared" si="149"/>
        <v>13061.3</v>
      </c>
      <c r="O237" s="32">
        <f>O201+O210</f>
        <v>0</v>
      </c>
      <c r="P237" s="31">
        <f t="shared" si="150"/>
        <v>13061.3</v>
      </c>
    </row>
    <row r="238" spans="1:17" x14ac:dyDescent="0.25">
      <c r="A238" s="11"/>
      <c r="B238" s="77" t="s">
        <v>16</v>
      </c>
      <c r="C238" s="78"/>
      <c r="D238" s="31">
        <f>D207</f>
        <v>165000</v>
      </c>
      <c r="E238" s="31">
        <f>E207</f>
        <v>-165000</v>
      </c>
      <c r="F238" s="31">
        <f t="shared" si="136"/>
        <v>0</v>
      </c>
      <c r="G238" s="31">
        <f>G207</f>
        <v>0</v>
      </c>
      <c r="H238" s="31">
        <f t="shared" si="146"/>
        <v>0</v>
      </c>
      <c r="I238" s="31">
        <f>I207</f>
        <v>0</v>
      </c>
      <c r="J238" s="31">
        <f t="shared" si="147"/>
        <v>0</v>
      </c>
      <c r="K238" s="31">
        <f>K207</f>
        <v>0</v>
      </c>
      <c r="L238" s="31">
        <f t="shared" si="148"/>
        <v>0</v>
      </c>
      <c r="M238" s="31">
        <f>M207</f>
        <v>0</v>
      </c>
      <c r="N238" s="31">
        <f t="shared" si="149"/>
        <v>0</v>
      </c>
      <c r="O238" s="32">
        <f>O207+O222</f>
        <v>300000</v>
      </c>
      <c r="P238" s="31">
        <f t="shared" si="150"/>
        <v>300000</v>
      </c>
    </row>
    <row r="239" spans="1:17" x14ac:dyDescent="0.25">
      <c r="A239" s="11"/>
      <c r="B239" s="77" t="s">
        <v>221</v>
      </c>
      <c r="C239" s="78"/>
      <c r="D239" s="45"/>
      <c r="E239" s="45"/>
      <c r="F239" s="45"/>
      <c r="G239" s="31">
        <f>G81+G91+G93+G109+G110+G111+G113+G114+G115</f>
        <v>48498.305999999997</v>
      </c>
      <c r="H239" s="31">
        <f t="shared" si="146"/>
        <v>48498.305999999997</v>
      </c>
      <c r="I239" s="31">
        <f>I81+I91+I93+I109+I110+I111+I113+I114+I115</f>
        <v>0</v>
      </c>
      <c r="J239" s="31">
        <f t="shared" si="147"/>
        <v>48498.305999999997</v>
      </c>
      <c r="K239" s="31">
        <f>K81+K91+K93+K109+K110+K111+K113+K114+K115</f>
        <v>0</v>
      </c>
      <c r="L239" s="31">
        <f t="shared" si="148"/>
        <v>48498.305999999997</v>
      </c>
      <c r="M239" s="31">
        <f>M81+M91+M93+M109+M110+M111+M113+M114+M115</f>
        <v>0</v>
      </c>
      <c r="N239" s="31">
        <f t="shared" si="149"/>
        <v>48498.305999999997</v>
      </c>
      <c r="O239" s="32">
        <f>O81+O91+O93+O109+O110+O111+O113+O114+O115</f>
        <v>-8554.42</v>
      </c>
      <c r="P239" s="31">
        <f t="shared" si="150"/>
        <v>39943.885999999999</v>
      </c>
    </row>
    <row r="240" spans="1:17" x14ac:dyDescent="0.25">
      <c r="D240" s="25"/>
    </row>
  </sheetData>
  <autoFilter ref="A15:R240">
    <filterColumn colId="17">
      <filters blank="1"/>
    </filterColumn>
  </autoFilter>
  <mergeCells count="35">
    <mergeCell ref="A80:A81"/>
    <mergeCell ref="A201:A202"/>
    <mergeCell ref="B234:C234"/>
    <mergeCell ref="B226:C226"/>
    <mergeCell ref="B227:C227"/>
    <mergeCell ref="B228:C228"/>
    <mergeCell ref="B232:C232"/>
    <mergeCell ref="B233:C233"/>
    <mergeCell ref="B231:C231"/>
    <mergeCell ref="E14:E15"/>
    <mergeCell ref="K14:K15"/>
    <mergeCell ref="L14:L15"/>
    <mergeCell ref="B239:C239"/>
    <mergeCell ref="B237:C237"/>
    <mergeCell ref="B236:C236"/>
    <mergeCell ref="B235:C235"/>
    <mergeCell ref="B238:C238"/>
    <mergeCell ref="B80:B81"/>
    <mergeCell ref="B42:B43"/>
    <mergeCell ref="A42:A43"/>
    <mergeCell ref="O14:O15"/>
    <mergeCell ref="P14:P15"/>
    <mergeCell ref="A10:P10"/>
    <mergeCell ref="A11:P12"/>
    <mergeCell ref="M14:M15"/>
    <mergeCell ref="N14:N15"/>
    <mergeCell ref="F14:F15"/>
    <mergeCell ref="I14:I15"/>
    <mergeCell ref="J14:J15"/>
    <mergeCell ref="G14:G15"/>
    <mergeCell ref="H14:H15"/>
    <mergeCell ref="A14:A15"/>
    <mergeCell ref="B14:B15"/>
    <mergeCell ref="C14:C15"/>
    <mergeCell ref="D14:D15"/>
  </mergeCells>
  <pageMargins left="0.98425196850393704" right="0.39370078740157483" top="0.78740157480314965" bottom="0.78740157480314965" header="0.31496062992125984" footer="0.31496062992125984"/>
  <pageSetup paperSize="9" scale="74" fitToHeight="0" orientation="portrait" horizontalDpi="4294967294" verticalDpi="4294967294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2019</vt:lpstr>
      <vt:lpstr>'2019'!Заголовки_для_печати</vt:lpstr>
      <vt:lpstr>'2019'!Область_печати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Назмудинова Татьяна Викторовна</cp:lastModifiedBy>
  <cp:lastPrinted>2019-06-04T12:20:29Z</cp:lastPrinted>
  <dcterms:created xsi:type="dcterms:W3CDTF">2013-10-12T06:09:22Z</dcterms:created>
  <dcterms:modified xsi:type="dcterms:W3CDTF">2019-06-04T12:20:50Z</dcterms:modified>
</cp:coreProperties>
</file>