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9 год\Октябрь\"/>
    </mc:Choice>
  </mc:AlternateContent>
  <bookViews>
    <workbookView xWindow="0" yWindow="0" windowWidth="28800" windowHeight="12135"/>
  </bookViews>
  <sheets>
    <sheet name="2019" sheetId="2" r:id="rId1"/>
  </sheets>
  <definedNames>
    <definedName name="_xlnm._FilterDatabase" localSheetId="0" hidden="1">'2019'!$A$15:$Z$254</definedName>
    <definedName name="_xlnm.Print_Titles" localSheetId="0">'2019'!$14:$15</definedName>
    <definedName name="_xlnm.Print_Area" localSheetId="0">'2019'!$A$1:$X$255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9" i="2" l="1"/>
  <c r="W242" i="2" s="1"/>
  <c r="W148" i="2"/>
  <c r="W28" i="2"/>
  <c r="W129" i="2" l="1"/>
  <c r="W160" i="2" l="1"/>
  <c r="W161" i="2"/>
  <c r="W198" i="2" l="1"/>
  <c r="X198" i="2" s="1"/>
  <c r="X200" i="2"/>
  <c r="X201" i="2"/>
  <c r="W254" i="2" l="1"/>
  <c r="X254" i="2" s="1"/>
  <c r="W18" i="2"/>
  <c r="X77" i="2"/>
  <c r="X78" i="2"/>
  <c r="X76" i="2" l="1"/>
  <c r="W253" i="2" l="1"/>
  <c r="W81" i="2" l="1"/>
  <c r="X94" i="2"/>
  <c r="X92" i="2"/>
  <c r="W251" i="2" l="1"/>
  <c r="W235" i="2"/>
  <c r="W252" i="2" s="1"/>
  <c r="W234" i="2"/>
  <c r="W233" i="2"/>
  <c r="W229" i="2"/>
  <c r="W224" i="2"/>
  <c r="W215" i="2"/>
  <c r="W213" i="2"/>
  <c r="W212" i="2"/>
  <c r="W207" i="2"/>
  <c r="W202" i="2"/>
  <c r="W194" i="2"/>
  <c r="W185" i="2"/>
  <c r="W181" i="2"/>
  <c r="W174" i="2"/>
  <c r="W170" i="2"/>
  <c r="W166" i="2"/>
  <c r="W162" i="2"/>
  <c r="W158" i="2"/>
  <c r="W154" i="2"/>
  <c r="W150" i="2"/>
  <c r="W136" i="2"/>
  <c r="W128" i="2"/>
  <c r="W127" i="2"/>
  <c r="W112" i="2"/>
  <c r="W109" i="2"/>
  <c r="W103" i="2"/>
  <c r="W84" i="2"/>
  <c r="W245" i="2" s="1"/>
  <c r="W83" i="2"/>
  <c r="W82" i="2"/>
  <c r="W68" i="2"/>
  <c r="W56" i="2"/>
  <c r="W52" i="2"/>
  <c r="W48" i="2"/>
  <c r="W43" i="2"/>
  <c r="W37" i="2"/>
  <c r="W31" i="2"/>
  <c r="W26" i="2"/>
  <c r="W21" i="2"/>
  <c r="W20" i="2"/>
  <c r="W19" i="2"/>
  <c r="W250" i="2" l="1"/>
  <c r="W243" i="2"/>
  <c r="W231" i="2"/>
  <c r="W210" i="2"/>
  <c r="W248" i="2"/>
  <c r="W146" i="2"/>
  <c r="W249" i="2"/>
  <c r="W16" i="2"/>
  <c r="W79" i="2"/>
  <c r="W125" i="2"/>
  <c r="W244" i="2"/>
  <c r="W247" i="2"/>
  <c r="U253" i="2"/>
  <c r="U251" i="2"/>
  <c r="U235" i="2"/>
  <c r="U252" i="2" s="1"/>
  <c r="U234" i="2"/>
  <c r="U233" i="2"/>
  <c r="U229" i="2"/>
  <c r="U224" i="2"/>
  <c r="U215" i="2"/>
  <c r="U210" i="2" s="1"/>
  <c r="U213" i="2"/>
  <c r="U212" i="2"/>
  <c r="U207" i="2"/>
  <c r="U202" i="2"/>
  <c r="U194" i="2"/>
  <c r="U185" i="2"/>
  <c r="U181" i="2"/>
  <c r="U174" i="2"/>
  <c r="U170" i="2"/>
  <c r="U166" i="2"/>
  <c r="U162" i="2"/>
  <c r="U158" i="2"/>
  <c r="U154" i="2"/>
  <c r="U150" i="2"/>
  <c r="U149" i="2"/>
  <c r="U242" i="2" s="1"/>
  <c r="U136" i="2"/>
  <c r="U128" i="2"/>
  <c r="U127" i="2"/>
  <c r="U112" i="2"/>
  <c r="U109" i="2"/>
  <c r="U103" i="2"/>
  <c r="U84" i="2"/>
  <c r="U245" i="2" s="1"/>
  <c r="U83" i="2"/>
  <c r="U82" i="2"/>
  <c r="U68" i="2"/>
  <c r="U56" i="2"/>
  <c r="U52" i="2"/>
  <c r="U48" i="2"/>
  <c r="U43" i="2"/>
  <c r="U37" i="2"/>
  <c r="U31" i="2"/>
  <c r="U26" i="2"/>
  <c r="U21" i="2"/>
  <c r="U20" i="2"/>
  <c r="U19" i="2"/>
  <c r="U18" i="2"/>
  <c r="U247" i="2" l="1"/>
  <c r="U231" i="2"/>
  <c r="U16" i="2"/>
  <c r="W240" i="2"/>
  <c r="U243" i="2"/>
  <c r="U125" i="2"/>
  <c r="U249" i="2"/>
  <c r="U250" i="2"/>
  <c r="U81" i="2"/>
  <c r="U248" i="2"/>
  <c r="U148" i="2"/>
  <c r="U244" i="2"/>
  <c r="S81" i="2"/>
  <c r="T122" i="2"/>
  <c r="V122" i="2" s="1"/>
  <c r="X122" i="2" s="1"/>
  <c r="U146" i="2" l="1"/>
  <c r="U79" i="2"/>
  <c r="S63" i="2"/>
  <c r="U240" i="2" l="1"/>
  <c r="S160" i="2"/>
  <c r="T124" i="2" l="1"/>
  <c r="V124" i="2" s="1"/>
  <c r="X124" i="2" s="1"/>
  <c r="S97" i="2"/>
  <c r="S33" i="2" l="1"/>
  <c r="S105" i="2" l="1"/>
  <c r="S18" i="2" l="1"/>
  <c r="T75" i="2" l="1"/>
  <c r="V75" i="2" s="1"/>
  <c r="X75" i="2" s="1"/>
  <c r="T74" i="2"/>
  <c r="V74" i="2" s="1"/>
  <c r="X74" i="2" s="1"/>
  <c r="S233" i="2" l="1"/>
  <c r="T239" i="2"/>
  <c r="V239" i="2" s="1"/>
  <c r="X239" i="2" s="1"/>
  <c r="S68" i="2" l="1"/>
  <c r="S253" i="2" l="1"/>
  <c r="S251" i="2"/>
  <c r="S235" i="2"/>
  <c r="S252" i="2" s="1"/>
  <c r="S234" i="2"/>
  <c r="S229" i="2"/>
  <c r="S224" i="2"/>
  <c r="S215" i="2"/>
  <c r="S213" i="2"/>
  <c r="S212" i="2"/>
  <c r="S207" i="2"/>
  <c r="S202" i="2"/>
  <c r="S194" i="2"/>
  <c r="S185" i="2"/>
  <c r="S181" i="2"/>
  <c r="S174" i="2"/>
  <c r="S170" i="2"/>
  <c r="S166" i="2"/>
  <c r="S162" i="2"/>
  <c r="S158" i="2"/>
  <c r="S154" i="2"/>
  <c r="S150" i="2"/>
  <c r="S149" i="2"/>
  <c r="S148" i="2"/>
  <c r="S136" i="2"/>
  <c r="S128" i="2"/>
  <c r="S127" i="2"/>
  <c r="S112" i="2"/>
  <c r="S109" i="2"/>
  <c r="S103" i="2"/>
  <c r="S84" i="2"/>
  <c r="S83" i="2"/>
  <c r="S82" i="2"/>
  <c r="S56" i="2"/>
  <c r="S52" i="2"/>
  <c r="S48" i="2"/>
  <c r="S43" i="2"/>
  <c r="S37" i="2"/>
  <c r="S31" i="2"/>
  <c r="S26" i="2"/>
  <c r="S21" i="2"/>
  <c r="S20" i="2"/>
  <c r="S19" i="2"/>
  <c r="S248" i="2" l="1"/>
  <c r="S210" i="2"/>
  <c r="S125" i="2"/>
  <c r="S243" i="2"/>
  <c r="S244" i="2"/>
  <c r="S247" i="2"/>
  <c r="S250" i="2"/>
  <c r="S249" i="2"/>
  <c r="S242" i="2"/>
  <c r="S16" i="2"/>
  <c r="S79" i="2"/>
  <c r="S146" i="2"/>
  <c r="S245" i="2"/>
  <c r="S231" i="2"/>
  <c r="S240" i="2" l="1"/>
  <c r="Q253" i="2"/>
  <c r="Q251" i="2"/>
  <c r="Q235" i="2"/>
  <c r="Q234" i="2"/>
  <c r="Q233" i="2"/>
  <c r="Q229" i="2"/>
  <c r="Q224" i="2"/>
  <c r="Q215" i="2"/>
  <c r="Q210" i="2" s="1"/>
  <c r="Q213" i="2"/>
  <c r="Q212" i="2"/>
  <c r="Q207" i="2"/>
  <c r="Q202" i="2"/>
  <c r="Q194" i="2"/>
  <c r="Q185" i="2"/>
  <c r="Q181" i="2"/>
  <c r="Q174" i="2"/>
  <c r="Q170" i="2"/>
  <c r="Q166" i="2"/>
  <c r="Q162" i="2"/>
  <c r="Q158" i="2"/>
  <c r="Q154" i="2"/>
  <c r="Q148" i="2"/>
  <c r="Q127" i="2"/>
  <c r="Q128" i="2"/>
  <c r="Q112" i="2"/>
  <c r="Q109" i="2"/>
  <c r="Q103" i="2"/>
  <c r="Q84" i="2"/>
  <c r="Q83" i="2"/>
  <c r="Q82" i="2"/>
  <c r="Q81" i="2"/>
  <c r="Q68" i="2"/>
  <c r="Q56" i="2"/>
  <c r="Q52" i="2"/>
  <c r="Q48" i="2"/>
  <c r="Q43" i="2"/>
  <c r="Q37" i="2"/>
  <c r="Q31" i="2"/>
  <c r="Q26" i="2"/>
  <c r="Q21" i="2"/>
  <c r="Q20" i="2"/>
  <c r="Q244" i="2" s="1"/>
  <c r="Q19" i="2"/>
  <c r="Q18" i="2"/>
  <c r="Q243" i="2" l="1"/>
  <c r="Q249" i="2"/>
  <c r="Q247" i="2"/>
  <c r="Q231" i="2"/>
  <c r="Q16" i="2"/>
  <c r="Q248" i="2"/>
  <c r="Q245" i="2"/>
  <c r="Q79" i="2"/>
  <c r="Q125" i="2"/>
  <c r="Q252" i="2"/>
  <c r="Q149" i="2"/>
  <c r="Q136" i="2"/>
  <c r="Q150" i="2"/>
  <c r="O187" i="2"/>
  <c r="Q242" i="2" l="1"/>
  <c r="Q146" i="2"/>
  <c r="Q240" i="2" s="1"/>
  <c r="Q250" i="2"/>
  <c r="O235" i="2"/>
  <c r="P235" i="2" s="1"/>
  <c r="R235" i="2" s="1"/>
  <c r="T235" i="2" s="1"/>
  <c r="V235" i="2" s="1"/>
  <c r="X235" i="2" s="1"/>
  <c r="O234" i="2"/>
  <c r="P234" i="2" s="1"/>
  <c r="R234" i="2" s="1"/>
  <c r="T234" i="2" s="1"/>
  <c r="V234" i="2" s="1"/>
  <c r="X234" i="2" s="1"/>
  <c r="O233" i="2"/>
  <c r="P233" i="2" s="1"/>
  <c r="R233" i="2" s="1"/>
  <c r="T233" i="2" s="1"/>
  <c r="V233" i="2" s="1"/>
  <c r="X233" i="2" s="1"/>
  <c r="P237" i="2"/>
  <c r="R237" i="2" s="1"/>
  <c r="T237" i="2" s="1"/>
  <c r="V237" i="2" s="1"/>
  <c r="X237" i="2" s="1"/>
  <c r="P238" i="2"/>
  <c r="R238" i="2" s="1"/>
  <c r="T238" i="2" s="1"/>
  <c r="V238" i="2" s="1"/>
  <c r="X238" i="2" s="1"/>
  <c r="O252" i="2" l="1"/>
  <c r="O231" i="2"/>
  <c r="P231" i="2" s="1"/>
  <c r="O138" i="2"/>
  <c r="R231" i="2" l="1"/>
  <c r="T231" i="2" s="1"/>
  <c r="V231" i="2" s="1"/>
  <c r="X231" i="2" s="1"/>
  <c r="O148" i="2"/>
  <c r="O84" i="2"/>
  <c r="P84" i="2" l="1"/>
  <c r="R84" i="2" s="1"/>
  <c r="T84" i="2" s="1"/>
  <c r="V84" i="2" s="1"/>
  <c r="X84" i="2" s="1"/>
  <c r="O245" i="2"/>
  <c r="P245" i="2" s="1"/>
  <c r="R245" i="2" s="1"/>
  <c r="T245" i="2" s="1"/>
  <c r="V245" i="2" s="1"/>
  <c r="X245" i="2" s="1"/>
  <c r="O18" i="2"/>
  <c r="P42" i="2"/>
  <c r="R42" i="2" s="1"/>
  <c r="T42" i="2" s="1"/>
  <c r="V42" i="2" s="1"/>
  <c r="X42" i="2" s="1"/>
  <c r="O153" i="2" l="1"/>
  <c r="O149" i="2" s="1"/>
  <c r="O105" i="2" l="1"/>
  <c r="O106" i="2"/>
  <c r="O103" i="2" s="1"/>
  <c r="P108" i="2"/>
  <c r="R108" i="2" s="1"/>
  <c r="T108" i="2" s="1"/>
  <c r="V108" i="2" s="1"/>
  <c r="X108" i="2" s="1"/>
  <c r="P206" i="2" l="1"/>
  <c r="R206" i="2" s="1"/>
  <c r="T206" i="2" s="1"/>
  <c r="V206" i="2" s="1"/>
  <c r="X206" i="2" s="1"/>
  <c r="O81" i="2" l="1"/>
  <c r="P119" i="2"/>
  <c r="R119" i="2" s="1"/>
  <c r="T119" i="2" s="1"/>
  <c r="V119" i="2" s="1"/>
  <c r="X119" i="2" s="1"/>
  <c r="O253" i="2" l="1"/>
  <c r="O251" i="2"/>
  <c r="O229" i="2"/>
  <c r="O224" i="2"/>
  <c r="O215" i="2"/>
  <c r="O213" i="2"/>
  <c r="O212" i="2"/>
  <c r="O207" i="2"/>
  <c r="O202" i="2"/>
  <c r="O194" i="2"/>
  <c r="O185" i="2"/>
  <c r="O181" i="2"/>
  <c r="O174" i="2"/>
  <c r="O170" i="2"/>
  <c r="O166" i="2"/>
  <c r="O162" i="2"/>
  <c r="O158" i="2"/>
  <c r="O154" i="2"/>
  <c r="O150" i="2"/>
  <c r="O242" i="2"/>
  <c r="O146" i="2"/>
  <c r="O136" i="2"/>
  <c r="O128" i="2"/>
  <c r="O127" i="2"/>
  <c r="O112" i="2"/>
  <c r="O109" i="2"/>
  <c r="O83" i="2"/>
  <c r="O82" i="2"/>
  <c r="O68" i="2"/>
  <c r="O56" i="2"/>
  <c r="O52" i="2"/>
  <c r="O48" i="2"/>
  <c r="O43" i="2"/>
  <c r="O37" i="2"/>
  <c r="O31" i="2"/>
  <c r="O26" i="2"/>
  <c r="O21" i="2"/>
  <c r="O20" i="2"/>
  <c r="O19" i="2"/>
  <c r="O243" i="2" l="1"/>
  <c r="O79" i="2"/>
  <c r="O247" i="2"/>
  <c r="O250" i="2"/>
  <c r="O16" i="2"/>
  <c r="O248" i="2"/>
  <c r="O244" i="2"/>
  <c r="O249" i="2"/>
  <c r="O125" i="2"/>
  <c r="O210" i="2"/>
  <c r="M253" i="2"/>
  <c r="M252" i="2"/>
  <c r="M251" i="2"/>
  <c r="M229" i="2"/>
  <c r="M224" i="2"/>
  <c r="M215" i="2"/>
  <c r="M210" i="2" s="1"/>
  <c r="M213" i="2"/>
  <c r="M212" i="2"/>
  <c r="M207" i="2"/>
  <c r="M202" i="2"/>
  <c r="M194" i="2"/>
  <c r="M185" i="2"/>
  <c r="M181" i="2"/>
  <c r="M174" i="2"/>
  <c r="M170" i="2"/>
  <c r="M166" i="2"/>
  <c r="M162" i="2"/>
  <c r="M158" i="2"/>
  <c r="M154" i="2"/>
  <c r="M150" i="2"/>
  <c r="M149" i="2"/>
  <c r="M242" i="2" s="1"/>
  <c r="M136" i="2"/>
  <c r="M128" i="2"/>
  <c r="M127" i="2"/>
  <c r="M112" i="2"/>
  <c r="M109" i="2"/>
  <c r="M103" i="2"/>
  <c r="M83" i="2"/>
  <c r="M82" i="2"/>
  <c r="M81" i="2"/>
  <c r="M56" i="2"/>
  <c r="M52" i="2"/>
  <c r="M48" i="2"/>
  <c r="M43" i="2"/>
  <c r="M37" i="2"/>
  <c r="M31" i="2"/>
  <c r="M21" i="2"/>
  <c r="M20" i="2"/>
  <c r="O240" i="2" l="1"/>
  <c r="M244" i="2"/>
  <c r="M125" i="2"/>
  <c r="M79" i="2"/>
  <c r="M249" i="2"/>
  <c r="M247" i="2"/>
  <c r="M18" i="2"/>
  <c r="M26" i="2"/>
  <c r="M68" i="2"/>
  <c r="M250" i="2"/>
  <c r="M19" i="2"/>
  <c r="M148" i="2"/>
  <c r="K251" i="2"/>
  <c r="K212" i="2"/>
  <c r="L223" i="2"/>
  <c r="N223" i="2" s="1"/>
  <c r="P223" i="2" s="1"/>
  <c r="R223" i="2" s="1"/>
  <c r="T223" i="2" s="1"/>
  <c r="V223" i="2" s="1"/>
  <c r="X223" i="2" s="1"/>
  <c r="L73" i="2"/>
  <c r="N73" i="2" s="1"/>
  <c r="P73" i="2" s="1"/>
  <c r="R73" i="2" s="1"/>
  <c r="T73" i="2" s="1"/>
  <c r="V73" i="2" s="1"/>
  <c r="X73" i="2" s="1"/>
  <c r="K58" i="2"/>
  <c r="K61" i="2"/>
  <c r="K51" i="2"/>
  <c r="K50" i="2"/>
  <c r="K70" i="2"/>
  <c r="L70" i="2" s="1"/>
  <c r="N70" i="2" s="1"/>
  <c r="P70" i="2" s="1"/>
  <c r="R70" i="2" s="1"/>
  <c r="T70" i="2" s="1"/>
  <c r="V70" i="2" s="1"/>
  <c r="X70" i="2" s="1"/>
  <c r="L71" i="2"/>
  <c r="N71" i="2" s="1"/>
  <c r="P71" i="2" s="1"/>
  <c r="R71" i="2" s="1"/>
  <c r="T71" i="2" s="1"/>
  <c r="V71" i="2" s="1"/>
  <c r="X71" i="2" s="1"/>
  <c r="L72" i="2"/>
  <c r="N72" i="2" s="1"/>
  <c r="P72" i="2" s="1"/>
  <c r="R72" i="2" s="1"/>
  <c r="T72" i="2" s="1"/>
  <c r="V72" i="2" s="1"/>
  <c r="X72" i="2" s="1"/>
  <c r="K68" i="2" l="1"/>
  <c r="L68" i="2" s="1"/>
  <c r="N68" i="2" s="1"/>
  <c r="P68" i="2" s="1"/>
  <c r="R68" i="2" s="1"/>
  <c r="T68" i="2" s="1"/>
  <c r="V68" i="2" s="1"/>
  <c r="X68" i="2" s="1"/>
  <c r="M243" i="2"/>
  <c r="M16" i="2"/>
  <c r="M146" i="2"/>
  <c r="M248" i="2"/>
  <c r="K56" i="2"/>
  <c r="D56" i="2"/>
  <c r="K35" i="2"/>
  <c r="K20" i="2" s="1"/>
  <c r="K34" i="2"/>
  <c r="K19" i="2" s="1"/>
  <c r="K33" i="2"/>
  <c r="M240" i="2" l="1"/>
  <c r="K31" i="2"/>
  <c r="K28" i="2"/>
  <c r="K18" i="2" s="1"/>
  <c r="L29" i="2"/>
  <c r="N29" i="2" s="1"/>
  <c r="P29" i="2" s="1"/>
  <c r="R29" i="2" s="1"/>
  <c r="T29" i="2" s="1"/>
  <c r="V29" i="2" s="1"/>
  <c r="X29" i="2" s="1"/>
  <c r="L30" i="2"/>
  <c r="N30" i="2" s="1"/>
  <c r="P30" i="2" s="1"/>
  <c r="R30" i="2" s="1"/>
  <c r="T30" i="2" s="1"/>
  <c r="V30" i="2" s="1"/>
  <c r="X30" i="2" s="1"/>
  <c r="F28" i="2"/>
  <c r="H28" i="2" s="1"/>
  <c r="J28" i="2" s="1"/>
  <c r="K23" i="2"/>
  <c r="L28" i="2" l="1"/>
  <c r="N28" i="2" s="1"/>
  <c r="P28" i="2" s="1"/>
  <c r="R28" i="2" s="1"/>
  <c r="T28" i="2" s="1"/>
  <c r="V28" i="2" s="1"/>
  <c r="X28" i="2" s="1"/>
  <c r="K26" i="2"/>
  <c r="F183" i="2"/>
  <c r="H183" i="2" s="1"/>
  <c r="J183" i="2" s="1"/>
  <c r="F39" i="2"/>
  <c r="H39" i="2" s="1"/>
  <c r="J39" i="2" s="1"/>
  <c r="F23" i="2"/>
  <c r="H23" i="2" s="1"/>
  <c r="J23" i="2" s="1"/>
  <c r="L23" i="2" s="1"/>
  <c r="N23" i="2" s="1"/>
  <c r="P23" i="2" s="1"/>
  <c r="R23" i="2" s="1"/>
  <c r="T23" i="2" s="1"/>
  <c r="V23" i="2" s="1"/>
  <c r="X23" i="2" s="1"/>
  <c r="D21" i="2"/>
  <c r="L24" i="2"/>
  <c r="N24" i="2" s="1"/>
  <c r="P24" i="2" s="1"/>
  <c r="R24" i="2" s="1"/>
  <c r="T24" i="2" s="1"/>
  <c r="V24" i="2" s="1"/>
  <c r="X24" i="2" s="1"/>
  <c r="L25" i="2"/>
  <c r="N25" i="2" s="1"/>
  <c r="P25" i="2" s="1"/>
  <c r="R25" i="2" s="1"/>
  <c r="T25" i="2" s="1"/>
  <c r="V25" i="2" s="1"/>
  <c r="X25" i="2" s="1"/>
  <c r="K21" i="2"/>
  <c r="K37" i="2" l="1"/>
  <c r="L41" i="2"/>
  <c r="N41" i="2" s="1"/>
  <c r="P41" i="2" s="1"/>
  <c r="R41" i="2" s="1"/>
  <c r="T41" i="2" s="1"/>
  <c r="V41" i="2" s="1"/>
  <c r="X41" i="2" s="1"/>
  <c r="L39" i="2"/>
  <c r="N39" i="2" s="1"/>
  <c r="P39" i="2" s="1"/>
  <c r="R39" i="2" s="1"/>
  <c r="T39" i="2" s="1"/>
  <c r="V39" i="2" s="1"/>
  <c r="X39" i="2" s="1"/>
  <c r="L40" i="2"/>
  <c r="N40" i="2" s="1"/>
  <c r="P40" i="2" s="1"/>
  <c r="R40" i="2" s="1"/>
  <c r="T40" i="2" s="1"/>
  <c r="V40" i="2" s="1"/>
  <c r="X40" i="2" s="1"/>
  <c r="K152" i="2" l="1"/>
  <c r="K153" i="2"/>
  <c r="K149" i="2" s="1"/>
  <c r="K202" i="2" l="1"/>
  <c r="L202" i="2" s="1"/>
  <c r="N202" i="2" s="1"/>
  <c r="P202" i="2" s="1"/>
  <c r="R202" i="2" s="1"/>
  <c r="T202" i="2" s="1"/>
  <c r="V202" i="2" s="1"/>
  <c r="X202" i="2" s="1"/>
  <c r="L204" i="2"/>
  <c r="N204" i="2" s="1"/>
  <c r="P204" i="2" s="1"/>
  <c r="R204" i="2" s="1"/>
  <c r="T204" i="2" s="1"/>
  <c r="V204" i="2" s="1"/>
  <c r="X204" i="2" s="1"/>
  <c r="L205" i="2"/>
  <c r="N205" i="2" s="1"/>
  <c r="P205" i="2" s="1"/>
  <c r="R205" i="2" s="1"/>
  <c r="T205" i="2" s="1"/>
  <c r="V205" i="2" s="1"/>
  <c r="X205" i="2" s="1"/>
  <c r="K183" i="2"/>
  <c r="K148" i="2" s="1"/>
  <c r="L184" i="2"/>
  <c r="N184" i="2" s="1"/>
  <c r="P184" i="2" s="1"/>
  <c r="R184" i="2" s="1"/>
  <c r="T184" i="2" s="1"/>
  <c r="V184" i="2" s="1"/>
  <c r="X184" i="2" s="1"/>
  <c r="K194" i="2"/>
  <c r="L194" i="2" s="1"/>
  <c r="N194" i="2" s="1"/>
  <c r="P194" i="2" s="1"/>
  <c r="R194" i="2" s="1"/>
  <c r="T194" i="2" s="1"/>
  <c r="V194" i="2" s="1"/>
  <c r="X194" i="2" s="1"/>
  <c r="L196" i="2"/>
  <c r="N196" i="2" s="1"/>
  <c r="P196" i="2" s="1"/>
  <c r="R196" i="2" s="1"/>
  <c r="T196" i="2" s="1"/>
  <c r="V196" i="2" s="1"/>
  <c r="X196" i="2" s="1"/>
  <c r="L197" i="2"/>
  <c r="N197" i="2" s="1"/>
  <c r="P197" i="2" s="1"/>
  <c r="R197" i="2" s="1"/>
  <c r="T197" i="2" s="1"/>
  <c r="V197" i="2" s="1"/>
  <c r="X197" i="2" s="1"/>
  <c r="K181" i="2" l="1"/>
  <c r="L183" i="2"/>
  <c r="N183" i="2" s="1"/>
  <c r="P183" i="2" s="1"/>
  <c r="R183" i="2" s="1"/>
  <c r="T183" i="2" s="1"/>
  <c r="V183" i="2" s="1"/>
  <c r="X183" i="2" s="1"/>
  <c r="K253" i="2"/>
  <c r="K252" i="2"/>
  <c r="K229" i="2"/>
  <c r="K224" i="2"/>
  <c r="K213" i="2"/>
  <c r="K207" i="2"/>
  <c r="K185" i="2"/>
  <c r="K174" i="2"/>
  <c r="K170" i="2"/>
  <c r="K166" i="2"/>
  <c r="K162" i="2"/>
  <c r="K158" i="2"/>
  <c r="K154" i="2"/>
  <c r="K150" i="2"/>
  <c r="K146" i="2"/>
  <c r="K136" i="2"/>
  <c r="K128" i="2"/>
  <c r="K127" i="2"/>
  <c r="K112" i="2"/>
  <c r="K109" i="2"/>
  <c r="K103" i="2"/>
  <c r="K83" i="2"/>
  <c r="K82" i="2"/>
  <c r="K81" i="2"/>
  <c r="K52" i="2"/>
  <c r="K247" i="2" s="1"/>
  <c r="K48" i="2"/>
  <c r="K43" i="2"/>
  <c r="K125" i="2" l="1"/>
  <c r="K250" i="2"/>
  <c r="K243" i="2"/>
  <c r="K16" i="2"/>
  <c r="K215" i="2"/>
  <c r="K242" i="2"/>
  <c r="K244" i="2"/>
  <c r="K79" i="2"/>
  <c r="K249" i="2"/>
  <c r="I217" i="2"/>
  <c r="I215" i="2" s="1"/>
  <c r="I253" i="2"/>
  <c r="I252" i="2"/>
  <c r="I251" i="2"/>
  <c r="I229" i="2"/>
  <c r="I224" i="2"/>
  <c r="I213" i="2"/>
  <c r="I207" i="2"/>
  <c r="I185" i="2"/>
  <c r="I174" i="2"/>
  <c r="I170" i="2"/>
  <c r="I166" i="2"/>
  <c r="I162" i="2"/>
  <c r="I158" i="2"/>
  <c r="I154" i="2"/>
  <c r="I150" i="2"/>
  <c r="I149" i="2"/>
  <c r="I136" i="2"/>
  <c r="I128" i="2"/>
  <c r="I127" i="2"/>
  <c r="I112" i="2"/>
  <c r="I109" i="2"/>
  <c r="I103" i="2"/>
  <c r="I83" i="2"/>
  <c r="I82" i="2"/>
  <c r="I81" i="2"/>
  <c r="I56" i="2"/>
  <c r="I52" i="2"/>
  <c r="I247" i="2" s="1"/>
  <c r="I48" i="2"/>
  <c r="I43" i="2"/>
  <c r="I20" i="2"/>
  <c r="I18" i="2"/>
  <c r="K248" i="2" l="1"/>
  <c r="K210" i="2"/>
  <c r="K240" i="2" s="1"/>
  <c r="I212" i="2"/>
  <c r="I125" i="2"/>
  <c r="I249" i="2"/>
  <c r="I79" i="2"/>
  <c r="I250" i="2"/>
  <c r="I244" i="2"/>
  <c r="I19" i="2"/>
  <c r="I243" i="2" s="1"/>
  <c r="I242" i="2"/>
  <c r="I31" i="2"/>
  <c r="I210" i="2"/>
  <c r="I148" i="2"/>
  <c r="G145" i="2"/>
  <c r="I146" i="2" l="1"/>
  <c r="I248" i="2"/>
  <c r="I16" i="2"/>
  <c r="I240" i="2" s="1"/>
  <c r="G253" i="2"/>
  <c r="G224" i="2" l="1"/>
  <c r="H228" i="2"/>
  <c r="J228" i="2" s="1"/>
  <c r="L228" i="2" s="1"/>
  <c r="N228" i="2" s="1"/>
  <c r="P228" i="2" s="1"/>
  <c r="R228" i="2" s="1"/>
  <c r="T228" i="2" s="1"/>
  <c r="V228" i="2" s="1"/>
  <c r="X228" i="2" s="1"/>
  <c r="G156" i="2" l="1"/>
  <c r="G160" i="2"/>
  <c r="G127" i="2"/>
  <c r="H145" i="2"/>
  <c r="J145" i="2" s="1"/>
  <c r="L145" i="2" s="1"/>
  <c r="N145" i="2" s="1"/>
  <c r="P145" i="2" s="1"/>
  <c r="R145" i="2" s="1"/>
  <c r="T145" i="2" s="1"/>
  <c r="V145" i="2" s="1"/>
  <c r="X145" i="2" s="1"/>
  <c r="G81" i="2" l="1"/>
  <c r="G18" i="2"/>
  <c r="G172" i="2"/>
  <c r="G168" i="2"/>
  <c r="G209" i="2"/>
  <c r="H123" i="2"/>
  <c r="J123" i="2" s="1"/>
  <c r="L123" i="2" s="1"/>
  <c r="N123" i="2" s="1"/>
  <c r="P123" i="2" s="1"/>
  <c r="R123" i="2" s="1"/>
  <c r="T123" i="2" s="1"/>
  <c r="V123" i="2" s="1"/>
  <c r="X123" i="2" s="1"/>
  <c r="H116" i="2" l="1"/>
  <c r="J116" i="2" s="1"/>
  <c r="L116" i="2" s="1"/>
  <c r="N116" i="2" s="1"/>
  <c r="P116" i="2" s="1"/>
  <c r="R116" i="2" s="1"/>
  <c r="T116" i="2" s="1"/>
  <c r="V116" i="2" s="1"/>
  <c r="X116" i="2" s="1"/>
  <c r="H117" i="2"/>
  <c r="J117" i="2" s="1"/>
  <c r="L117" i="2" s="1"/>
  <c r="N117" i="2" s="1"/>
  <c r="P117" i="2" s="1"/>
  <c r="R117" i="2" s="1"/>
  <c r="T117" i="2" s="1"/>
  <c r="V117" i="2" s="1"/>
  <c r="X117" i="2" s="1"/>
  <c r="H118" i="2"/>
  <c r="J118" i="2" s="1"/>
  <c r="L118" i="2" s="1"/>
  <c r="N118" i="2" s="1"/>
  <c r="P118" i="2" s="1"/>
  <c r="R118" i="2" s="1"/>
  <c r="T118" i="2" s="1"/>
  <c r="V118" i="2" s="1"/>
  <c r="X118" i="2" s="1"/>
  <c r="H120" i="2"/>
  <c r="J120" i="2" s="1"/>
  <c r="L120" i="2" s="1"/>
  <c r="N120" i="2" s="1"/>
  <c r="P120" i="2" s="1"/>
  <c r="R120" i="2" s="1"/>
  <c r="T120" i="2" s="1"/>
  <c r="V120" i="2" s="1"/>
  <c r="X120" i="2" s="1"/>
  <c r="H121" i="2"/>
  <c r="J121" i="2" s="1"/>
  <c r="L121" i="2" s="1"/>
  <c r="N121" i="2" s="1"/>
  <c r="P121" i="2" s="1"/>
  <c r="R121" i="2" s="1"/>
  <c r="T121" i="2" s="1"/>
  <c r="V121" i="2" s="1"/>
  <c r="X121" i="2" s="1"/>
  <c r="H253" i="2"/>
  <c r="J253" i="2" s="1"/>
  <c r="L253" i="2" s="1"/>
  <c r="N253" i="2" s="1"/>
  <c r="P253" i="2" s="1"/>
  <c r="R253" i="2" s="1"/>
  <c r="T253" i="2" s="1"/>
  <c r="V253" i="2" s="1"/>
  <c r="X253" i="2" s="1"/>
  <c r="H100" i="2"/>
  <c r="J100" i="2" s="1"/>
  <c r="L100" i="2" s="1"/>
  <c r="N100" i="2" s="1"/>
  <c r="P100" i="2" s="1"/>
  <c r="R100" i="2" s="1"/>
  <c r="T100" i="2" s="1"/>
  <c r="V100" i="2" s="1"/>
  <c r="X100" i="2" s="1"/>
  <c r="H98" i="2"/>
  <c r="J98" i="2" s="1"/>
  <c r="L98" i="2" s="1"/>
  <c r="N98" i="2" s="1"/>
  <c r="P98" i="2" s="1"/>
  <c r="R98" i="2" s="1"/>
  <c r="T98" i="2" s="1"/>
  <c r="V98" i="2" s="1"/>
  <c r="X98" i="2" s="1"/>
  <c r="H86" i="2"/>
  <c r="J86" i="2" s="1"/>
  <c r="L86" i="2" s="1"/>
  <c r="N86" i="2" s="1"/>
  <c r="P86" i="2" s="1"/>
  <c r="R86" i="2" s="1"/>
  <c r="T86" i="2" s="1"/>
  <c r="V86" i="2" s="1"/>
  <c r="X86" i="2" s="1"/>
  <c r="G152" i="2" l="1"/>
  <c r="G148" i="2" s="1"/>
  <c r="H142" i="2"/>
  <c r="J142" i="2" s="1"/>
  <c r="L142" i="2" s="1"/>
  <c r="N142" i="2" s="1"/>
  <c r="P142" i="2" s="1"/>
  <c r="R142" i="2" s="1"/>
  <c r="T142" i="2" s="1"/>
  <c r="V142" i="2" s="1"/>
  <c r="X142" i="2" s="1"/>
  <c r="H143" i="2"/>
  <c r="J143" i="2" s="1"/>
  <c r="L143" i="2" s="1"/>
  <c r="N143" i="2" s="1"/>
  <c r="P143" i="2" s="1"/>
  <c r="R143" i="2" s="1"/>
  <c r="T143" i="2" s="1"/>
  <c r="V143" i="2" s="1"/>
  <c r="X143" i="2" s="1"/>
  <c r="H144" i="2"/>
  <c r="J144" i="2" s="1"/>
  <c r="L144" i="2" s="1"/>
  <c r="N144" i="2" s="1"/>
  <c r="P144" i="2" s="1"/>
  <c r="R144" i="2" s="1"/>
  <c r="T144" i="2" s="1"/>
  <c r="V144" i="2" s="1"/>
  <c r="X144" i="2" s="1"/>
  <c r="H189" i="2"/>
  <c r="J189" i="2" s="1"/>
  <c r="L189" i="2" s="1"/>
  <c r="N189" i="2" s="1"/>
  <c r="P189" i="2" s="1"/>
  <c r="R189" i="2" s="1"/>
  <c r="T189" i="2" s="1"/>
  <c r="V189" i="2" s="1"/>
  <c r="X189" i="2" s="1"/>
  <c r="H190" i="2"/>
  <c r="J190" i="2" s="1"/>
  <c r="L190" i="2" s="1"/>
  <c r="N190" i="2" s="1"/>
  <c r="P190" i="2" s="1"/>
  <c r="R190" i="2" s="1"/>
  <c r="T190" i="2" s="1"/>
  <c r="V190" i="2" s="1"/>
  <c r="X190" i="2" s="1"/>
  <c r="H191" i="2"/>
  <c r="J191" i="2" s="1"/>
  <c r="L191" i="2" s="1"/>
  <c r="N191" i="2" s="1"/>
  <c r="P191" i="2" s="1"/>
  <c r="R191" i="2" s="1"/>
  <c r="T191" i="2" s="1"/>
  <c r="V191" i="2" s="1"/>
  <c r="X191" i="2" s="1"/>
  <c r="H192" i="2"/>
  <c r="J192" i="2" s="1"/>
  <c r="L192" i="2" s="1"/>
  <c r="N192" i="2" s="1"/>
  <c r="P192" i="2" s="1"/>
  <c r="R192" i="2" s="1"/>
  <c r="T192" i="2" s="1"/>
  <c r="V192" i="2" s="1"/>
  <c r="X192" i="2" s="1"/>
  <c r="H193" i="2"/>
  <c r="J193" i="2" s="1"/>
  <c r="L193" i="2" s="1"/>
  <c r="N193" i="2" s="1"/>
  <c r="P193" i="2" s="1"/>
  <c r="R193" i="2" s="1"/>
  <c r="T193" i="2" s="1"/>
  <c r="V193" i="2" s="1"/>
  <c r="X193" i="2" s="1"/>
  <c r="G34" i="2" l="1"/>
  <c r="G35" i="2"/>
  <c r="H209" i="2" l="1"/>
  <c r="J209" i="2" s="1"/>
  <c r="L209" i="2" s="1"/>
  <c r="N209" i="2" s="1"/>
  <c r="P209" i="2" s="1"/>
  <c r="R209" i="2" s="1"/>
  <c r="T209" i="2" s="1"/>
  <c r="V209" i="2" s="1"/>
  <c r="X209" i="2" s="1"/>
  <c r="G207" i="2"/>
  <c r="G252" i="2" l="1"/>
  <c r="G251" i="2"/>
  <c r="G229" i="2"/>
  <c r="G215" i="2"/>
  <c r="G213" i="2"/>
  <c r="G212" i="2"/>
  <c r="G185" i="2"/>
  <c r="G174" i="2"/>
  <c r="G170" i="2"/>
  <c r="G166" i="2"/>
  <c r="G162" i="2"/>
  <c r="G158" i="2"/>
  <c r="G154" i="2"/>
  <c r="G150" i="2"/>
  <c r="G149" i="2"/>
  <c r="G136" i="2"/>
  <c r="G128" i="2"/>
  <c r="G112" i="2"/>
  <c r="G109" i="2"/>
  <c r="G103" i="2"/>
  <c r="G83" i="2"/>
  <c r="G82" i="2"/>
  <c r="G56" i="2"/>
  <c r="G43" i="2"/>
  <c r="G31" i="2"/>
  <c r="G20" i="2"/>
  <c r="G250" i="2" l="1"/>
  <c r="G125" i="2"/>
  <c r="G210" i="2"/>
  <c r="G242" i="2"/>
  <c r="G48" i="2"/>
  <c r="G248" i="2" s="1"/>
  <c r="G79" i="2"/>
  <c r="G146" i="2"/>
  <c r="G249" i="2"/>
  <c r="G19" i="2"/>
  <c r="G52" i="2"/>
  <c r="G244" i="2"/>
  <c r="E83" i="2"/>
  <c r="F115" i="2"/>
  <c r="H115" i="2" s="1"/>
  <c r="J115" i="2" s="1"/>
  <c r="L115" i="2" s="1"/>
  <c r="N115" i="2" s="1"/>
  <c r="P115" i="2" s="1"/>
  <c r="R115" i="2" s="1"/>
  <c r="T115" i="2" s="1"/>
  <c r="V115" i="2" s="1"/>
  <c r="X115" i="2" s="1"/>
  <c r="G16" i="2" l="1"/>
  <c r="G240" i="2" s="1"/>
  <c r="G243" i="2"/>
  <c r="G247" i="2"/>
  <c r="D19" i="2"/>
  <c r="E55" i="2" l="1"/>
  <c r="E51" i="2"/>
  <c r="E50" i="2"/>
  <c r="E58" i="2"/>
  <c r="E149" i="2"/>
  <c r="E148" i="2"/>
  <c r="E185" i="2"/>
  <c r="F187" i="2"/>
  <c r="H187" i="2" s="1"/>
  <c r="J187" i="2" s="1"/>
  <c r="L187" i="2" s="1"/>
  <c r="N187" i="2" s="1"/>
  <c r="P187" i="2" s="1"/>
  <c r="R187" i="2" s="1"/>
  <c r="T187" i="2" s="1"/>
  <c r="V187" i="2" s="1"/>
  <c r="X187" i="2" s="1"/>
  <c r="F188" i="2"/>
  <c r="H188" i="2" s="1"/>
  <c r="J188" i="2" s="1"/>
  <c r="L188" i="2" s="1"/>
  <c r="N188" i="2" s="1"/>
  <c r="P188" i="2" s="1"/>
  <c r="R188" i="2" s="1"/>
  <c r="T188" i="2" s="1"/>
  <c r="V188" i="2" s="1"/>
  <c r="X188" i="2" s="1"/>
  <c r="D185" i="2"/>
  <c r="F105" i="2" l="1"/>
  <c r="H105" i="2" s="1"/>
  <c r="J105" i="2" s="1"/>
  <c r="L105" i="2" s="1"/>
  <c r="N105" i="2" s="1"/>
  <c r="P105" i="2" s="1"/>
  <c r="R105" i="2" s="1"/>
  <c r="T105" i="2" s="1"/>
  <c r="V105" i="2" s="1"/>
  <c r="X105" i="2" s="1"/>
  <c r="F83" i="2"/>
  <c r="H83" i="2" s="1"/>
  <c r="J83" i="2" s="1"/>
  <c r="L83" i="2" s="1"/>
  <c r="N83" i="2" s="1"/>
  <c r="P83" i="2" s="1"/>
  <c r="R83" i="2" s="1"/>
  <c r="T83" i="2" s="1"/>
  <c r="V83" i="2" s="1"/>
  <c r="X83" i="2" s="1"/>
  <c r="E103" i="2"/>
  <c r="F107" i="2"/>
  <c r="H107" i="2" s="1"/>
  <c r="J107" i="2" s="1"/>
  <c r="L107" i="2" s="1"/>
  <c r="N107" i="2" s="1"/>
  <c r="P107" i="2" s="1"/>
  <c r="R107" i="2" s="1"/>
  <c r="T107" i="2" s="1"/>
  <c r="V107" i="2" s="1"/>
  <c r="X107" i="2" s="1"/>
  <c r="E61" i="2" l="1"/>
  <c r="E252" i="2"/>
  <c r="E251" i="2"/>
  <c r="E229" i="2"/>
  <c r="E224" i="2"/>
  <c r="E215" i="2"/>
  <c r="E210" i="2" s="1"/>
  <c r="E213" i="2"/>
  <c r="E212" i="2"/>
  <c r="E207" i="2"/>
  <c r="E174" i="2"/>
  <c r="E170" i="2"/>
  <c r="E166" i="2"/>
  <c r="E162" i="2"/>
  <c r="E158" i="2"/>
  <c r="E154" i="2"/>
  <c r="E150" i="2"/>
  <c r="E242" i="2"/>
  <c r="E136" i="2"/>
  <c r="E128" i="2"/>
  <c r="E127" i="2"/>
  <c r="E109" i="2"/>
  <c r="E81" i="2"/>
  <c r="E56" i="2"/>
  <c r="E52" i="2"/>
  <c r="E247" i="2" s="1"/>
  <c r="E48" i="2"/>
  <c r="E43" i="2"/>
  <c r="E31" i="2"/>
  <c r="E20" i="2"/>
  <c r="E244" i="2" s="1"/>
  <c r="E19" i="2"/>
  <c r="E18" i="2"/>
  <c r="F21" i="2"/>
  <c r="H21" i="2" s="1"/>
  <c r="J21" i="2" s="1"/>
  <c r="L21" i="2" s="1"/>
  <c r="N21" i="2" s="1"/>
  <c r="P21" i="2" s="1"/>
  <c r="R21" i="2" s="1"/>
  <c r="T21" i="2" s="1"/>
  <c r="V21" i="2" s="1"/>
  <c r="X21" i="2" s="1"/>
  <c r="F26" i="2"/>
  <c r="H26" i="2" s="1"/>
  <c r="J26" i="2" s="1"/>
  <c r="L26" i="2" s="1"/>
  <c r="N26" i="2" s="1"/>
  <c r="P26" i="2" s="1"/>
  <c r="R26" i="2" s="1"/>
  <c r="T26" i="2" s="1"/>
  <c r="V26" i="2" s="1"/>
  <c r="X26" i="2" s="1"/>
  <c r="F33" i="2"/>
  <c r="H33" i="2" s="1"/>
  <c r="J33" i="2" s="1"/>
  <c r="L33" i="2" s="1"/>
  <c r="N33" i="2" s="1"/>
  <c r="P33" i="2" s="1"/>
  <c r="R33" i="2" s="1"/>
  <c r="T33" i="2" s="1"/>
  <c r="V33" i="2" s="1"/>
  <c r="X33" i="2" s="1"/>
  <c r="F34" i="2"/>
  <c r="H34" i="2" s="1"/>
  <c r="J34" i="2" s="1"/>
  <c r="L34" i="2" s="1"/>
  <c r="N34" i="2" s="1"/>
  <c r="P34" i="2" s="1"/>
  <c r="R34" i="2" s="1"/>
  <c r="T34" i="2" s="1"/>
  <c r="V34" i="2" s="1"/>
  <c r="X34" i="2" s="1"/>
  <c r="F35" i="2"/>
  <c r="H35" i="2" s="1"/>
  <c r="J35" i="2" s="1"/>
  <c r="L35" i="2" s="1"/>
  <c r="N35" i="2" s="1"/>
  <c r="P35" i="2" s="1"/>
  <c r="R35" i="2" s="1"/>
  <c r="T35" i="2" s="1"/>
  <c r="V35" i="2" s="1"/>
  <c r="X35" i="2" s="1"/>
  <c r="F36" i="2"/>
  <c r="H36" i="2" s="1"/>
  <c r="J36" i="2" s="1"/>
  <c r="L36" i="2" s="1"/>
  <c r="N36" i="2" s="1"/>
  <c r="P36" i="2" s="1"/>
  <c r="R36" i="2" s="1"/>
  <c r="T36" i="2" s="1"/>
  <c r="V36" i="2" s="1"/>
  <c r="X36" i="2" s="1"/>
  <c r="F37" i="2"/>
  <c r="H37" i="2" s="1"/>
  <c r="J37" i="2" s="1"/>
  <c r="L37" i="2" s="1"/>
  <c r="N37" i="2" s="1"/>
  <c r="P37" i="2" s="1"/>
  <c r="R37" i="2" s="1"/>
  <c r="T37" i="2" s="1"/>
  <c r="V37" i="2" s="1"/>
  <c r="X37" i="2" s="1"/>
  <c r="F45" i="2"/>
  <c r="H45" i="2" s="1"/>
  <c r="J45" i="2" s="1"/>
  <c r="L45" i="2" s="1"/>
  <c r="N45" i="2" s="1"/>
  <c r="P45" i="2" s="1"/>
  <c r="R45" i="2" s="1"/>
  <c r="T45" i="2" s="1"/>
  <c r="V45" i="2" s="1"/>
  <c r="X45" i="2" s="1"/>
  <c r="F46" i="2"/>
  <c r="H46" i="2" s="1"/>
  <c r="J46" i="2" s="1"/>
  <c r="L46" i="2" s="1"/>
  <c r="N46" i="2" s="1"/>
  <c r="P46" i="2" s="1"/>
  <c r="R46" i="2" s="1"/>
  <c r="T46" i="2" s="1"/>
  <c r="V46" i="2" s="1"/>
  <c r="X46" i="2" s="1"/>
  <c r="F47" i="2"/>
  <c r="H47" i="2" s="1"/>
  <c r="J47" i="2" s="1"/>
  <c r="L47" i="2" s="1"/>
  <c r="N47" i="2" s="1"/>
  <c r="P47" i="2" s="1"/>
  <c r="R47" i="2" s="1"/>
  <c r="T47" i="2" s="1"/>
  <c r="V47" i="2" s="1"/>
  <c r="X47" i="2" s="1"/>
  <c r="F50" i="2"/>
  <c r="H50" i="2" s="1"/>
  <c r="J50" i="2" s="1"/>
  <c r="L50" i="2" s="1"/>
  <c r="N50" i="2" s="1"/>
  <c r="P50" i="2" s="1"/>
  <c r="R50" i="2" s="1"/>
  <c r="T50" i="2" s="1"/>
  <c r="V50" i="2" s="1"/>
  <c r="X50" i="2" s="1"/>
  <c r="F51" i="2"/>
  <c r="H51" i="2" s="1"/>
  <c r="J51" i="2" s="1"/>
  <c r="L51" i="2" s="1"/>
  <c r="N51" i="2" s="1"/>
  <c r="P51" i="2" s="1"/>
  <c r="R51" i="2" s="1"/>
  <c r="T51" i="2" s="1"/>
  <c r="V51" i="2" s="1"/>
  <c r="X51" i="2" s="1"/>
  <c r="F54" i="2"/>
  <c r="H54" i="2" s="1"/>
  <c r="J54" i="2" s="1"/>
  <c r="L54" i="2" s="1"/>
  <c r="N54" i="2" s="1"/>
  <c r="P54" i="2" s="1"/>
  <c r="R54" i="2" s="1"/>
  <c r="T54" i="2" s="1"/>
  <c r="V54" i="2" s="1"/>
  <c r="X54" i="2" s="1"/>
  <c r="F55" i="2"/>
  <c r="H55" i="2" s="1"/>
  <c r="J55" i="2" s="1"/>
  <c r="L55" i="2" s="1"/>
  <c r="N55" i="2" s="1"/>
  <c r="P55" i="2" s="1"/>
  <c r="R55" i="2" s="1"/>
  <c r="T55" i="2" s="1"/>
  <c r="V55" i="2" s="1"/>
  <c r="X55" i="2" s="1"/>
  <c r="F58" i="2"/>
  <c r="H58" i="2" s="1"/>
  <c r="J58" i="2" s="1"/>
  <c r="L58" i="2" s="1"/>
  <c r="N58" i="2" s="1"/>
  <c r="P58" i="2" s="1"/>
  <c r="R58" i="2" s="1"/>
  <c r="T58" i="2" s="1"/>
  <c r="V58" i="2" s="1"/>
  <c r="X58" i="2" s="1"/>
  <c r="F59" i="2"/>
  <c r="H59" i="2" s="1"/>
  <c r="J59" i="2" s="1"/>
  <c r="L59" i="2" s="1"/>
  <c r="N59" i="2" s="1"/>
  <c r="P59" i="2" s="1"/>
  <c r="R59" i="2" s="1"/>
  <c r="T59" i="2" s="1"/>
  <c r="V59" i="2" s="1"/>
  <c r="X59" i="2" s="1"/>
  <c r="F61" i="2"/>
  <c r="H61" i="2" s="1"/>
  <c r="J61" i="2" s="1"/>
  <c r="L61" i="2" s="1"/>
  <c r="N61" i="2" s="1"/>
  <c r="P61" i="2" s="1"/>
  <c r="R61" i="2" s="1"/>
  <c r="T61" i="2" s="1"/>
  <c r="V61" i="2" s="1"/>
  <c r="X61" i="2" s="1"/>
  <c r="F62" i="2"/>
  <c r="H62" i="2" s="1"/>
  <c r="J62" i="2" s="1"/>
  <c r="L62" i="2" s="1"/>
  <c r="N62" i="2" s="1"/>
  <c r="P62" i="2" s="1"/>
  <c r="R62" i="2" s="1"/>
  <c r="T62" i="2" s="1"/>
  <c r="V62" i="2" s="1"/>
  <c r="X62" i="2" s="1"/>
  <c r="F63" i="2"/>
  <c r="H63" i="2" s="1"/>
  <c r="J63" i="2" s="1"/>
  <c r="L63" i="2" s="1"/>
  <c r="N63" i="2" s="1"/>
  <c r="P63" i="2" s="1"/>
  <c r="R63" i="2" s="1"/>
  <c r="T63" i="2" s="1"/>
  <c r="V63" i="2" s="1"/>
  <c r="X63" i="2" s="1"/>
  <c r="F64" i="2"/>
  <c r="H64" i="2" s="1"/>
  <c r="J64" i="2" s="1"/>
  <c r="L64" i="2" s="1"/>
  <c r="N64" i="2" s="1"/>
  <c r="P64" i="2" s="1"/>
  <c r="R64" i="2" s="1"/>
  <c r="T64" i="2" s="1"/>
  <c r="V64" i="2" s="1"/>
  <c r="X64" i="2" s="1"/>
  <c r="F65" i="2"/>
  <c r="H65" i="2" s="1"/>
  <c r="J65" i="2" s="1"/>
  <c r="L65" i="2" s="1"/>
  <c r="N65" i="2" s="1"/>
  <c r="P65" i="2" s="1"/>
  <c r="R65" i="2" s="1"/>
  <c r="T65" i="2" s="1"/>
  <c r="V65" i="2" s="1"/>
  <c r="X65" i="2" s="1"/>
  <c r="F66" i="2"/>
  <c r="H66" i="2" s="1"/>
  <c r="J66" i="2" s="1"/>
  <c r="L66" i="2" s="1"/>
  <c r="N66" i="2" s="1"/>
  <c r="P66" i="2" s="1"/>
  <c r="R66" i="2" s="1"/>
  <c r="T66" i="2" s="1"/>
  <c r="V66" i="2" s="1"/>
  <c r="X66" i="2" s="1"/>
  <c r="F67" i="2"/>
  <c r="H67" i="2" s="1"/>
  <c r="J67" i="2" s="1"/>
  <c r="L67" i="2" s="1"/>
  <c r="N67" i="2" s="1"/>
  <c r="P67" i="2" s="1"/>
  <c r="R67" i="2" s="1"/>
  <c r="T67" i="2" s="1"/>
  <c r="V67" i="2" s="1"/>
  <c r="X67" i="2" s="1"/>
  <c r="F85" i="2"/>
  <c r="H85" i="2" s="1"/>
  <c r="J85" i="2" s="1"/>
  <c r="L85" i="2" s="1"/>
  <c r="N85" i="2" s="1"/>
  <c r="P85" i="2" s="1"/>
  <c r="R85" i="2" s="1"/>
  <c r="T85" i="2" s="1"/>
  <c r="V85" i="2" s="1"/>
  <c r="X85" i="2" s="1"/>
  <c r="F87" i="2"/>
  <c r="H87" i="2" s="1"/>
  <c r="J87" i="2" s="1"/>
  <c r="L87" i="2" s="1"/>
  <c r="N87" i="2" s="1"/>
  <c r="P87" i="2" s="1"/>
  <c r="R87" i="2" s="1"/>
  <c r="T87" i="2" s="1"/>
  <c r="V87" i="2" s="1"/>
  <c r="X87" i="2" s="1"/>
  <c r="F88" i="2"/>
  <c r="H88" i="2" s="1"/>
  <c r="J88" i="2" s="1"/>
  <c r="L88" i="2" s="1"/>
  <c r="N88" i="2" s="1"/>
  <c r="P88" i="2" s="1"/>
  <c r="R88" i="2" s="1"/>
  <c r="T88" i="2" s="1"/>
  <c r="V88" i="2" s="1"/>
  <c r="X88" i="2" s="1"/>
  <c r="F89" i="2"/>
  <c r="H89" i="2" s="1"/>
  <c r="J89" i="2" s="1"/>
  <c r="L89" i="2" s="1"/>
  <c r="N89" i="2" s="1"/>
  <c r="P89" i="2" s="1"/>
  <c r="R89" i="2" s="1"/>
  <c r="T89" i="2" s="1"/>
  <c r="V89" i="2" s="1"/>
  <c r="X89" i="2" s="1"/>
  <c r="F90" i="2"/>
  <c r="H90" i="2" s="1"/>
  <c r="J90" i="2" s="1"/>
  <c r="L90" i="2" s="1"/>
  <c r="N90" i="2" s="1"/>
  <c r="P90" i="2" s="1"/>
  <c r="R90" i="2" s="1"/>
  <c r="T90" i="2" s="1"/>
  <c r="V90" i="2" s="1"/>
  <c r="X90" i="2" s="1"/>
  <c r="F91" i="2"/>
  <c r="H91" i="2" s="1"/>
  <c r="J91" i="2" s="1"/>
  <c r="L91" i="2" s="1"/>
  <c r="N91" i="2" s="1"/>
  <c r="P91" i="2" s="1"/>
  <c r="R91" i="2" s="1"/>
  <c r="T91" i="2" s="1"/>
  <c r="V91" i="2" s="1"/>
  <c r="X91" i="2" s="1"/>
  <c r="F93" i="2"/>
  <c r="H93" i="2" s="1"/>
  <c r="J93" i="2" s="1"/>
  <c r="L93" i="2" s="1"/>
  <c r="N93" i="2" s="1"/>
  <c r="P93" i="2" s="1"/>
  <c r="R93" i="2" s="1"/>
  <c r="T93" i="2" s="1"/>
  <c r="V93" i="2" s="1"/>
  <c r="X93" i="2" s="1"/>
  <c r="F95" i="2"/>
  <c r="H95" i="2" s="1"/>
  <c r="J95" i="2" s="1"/>
  <c r="L95" i="2" s="1"/>
  <c r="N95" i="2" s="1"/>
  <c r="P95" i="2" s="1"/>
  <c r="R95" i="2" s="1"/>
  <c r="T95" i="2" s="1"/>
  <c r="V95" i="2" s="1"/>
  <c r="X95" i="2" s="1"/>
  <c r="F96" i="2"/>
  <c r="H96" i="2" s="1"/>
  <c r="J96" i="2" s="1"/>
  <c r="L96" i="2" s="1"/>
  <c r="N96" i="2" s="1"/>
  <c r="P96" i="2" s="1"/>
  <c r="R96" i="2" s="1"/>
  <c r="T96" i="2" s="1"/>
  <c r="V96" i="2" s="1"/>
  <c r="X96" i="2" s="1"/>
  <c r="F97" i="2"/>
  <c r="H97" i="2" s="1"/>
  <c r="J97" i="2" s="1"/>
  <c r="L97" i="2" s="1"/>
  <c r="N97" i="2" s="1"/>
  <c r="P97" i="2" s="1"/>
  <c r="R97" i="2" s="1"/>
  <c r="T97" i="2" s="1"/>
  <c r="V97" i="2" s="1"/>
  <c r="X97" i="2" s="1"/>
  <c r="F99" i="2"/>
  <c r="H99" i="2" s="1"/>
  <c r="J99" i="2" s="1"/>
  <c r="L99" i="2" s="1"/>
  <c r="N99" i="2" s="1"/>
  <c r="P99" i="2" s="1"/>
  <c r="R99" i="2" s="1"/>
  <c r="T99" i="2" s="1"/>
  <c r="V99" i="2" s="1"/>
  <c r="X99" i="2" s="1"/>
  <c r="F101" i="2"/>
  <c r="H101" i="2" s="1"/>
  <c r="J101" i="2" s="1"/>
  <c r="L101" i="2" s="1"/>
  <c r="N101" i="2" s="1"/>
  <c r="P101" i="2" s="1"/>
  <c r="R101" i="2" s="1"/>
  <c r="T101" i="2" s="1"/>
  <c r="V101" i="2" s="1"/>
  <c r="X101" i="2" s="1"/>
  <c r="F102" i="2"/>
  <c r="H102" i="2" s="1"/>
  <c r="J102" i="2" s="1"/>
  <c r="L102" i="2" s="1"/>
  <c r="N102" i="2" s="1"/>
  <c r="P102" i="2" s="1"/>
  <c r="R102" i="2" s="1"/>
  <c r="T102" i="2" s="1"/>
  <c r="V102" i="2" s="1"/>
  <c r="X102" i="2" s="1"/>
  <c r="F106" i="2"/>
  <c r="H106" i="2" s="1"/>
  <c r="J106" i="2" s="1"/>
  <c r="L106" i="2" s="1"/>
  <c r="N106" i="2" s="1"/>
  <c r="P106" i="2" s="1"/>
  <c r="R106" i="2" s="1"/>
  <c r="T106" i="2" s="1"/>
  <c r="V106" i="2" s="1"/>
  <c r="X106" i="2" s="1"/>
  <c r="F111" i="2"/>
  <c r="H111" i="2" s="1"/>
  <c r="J111" i="2" s="1"/>
  <c r="L111" i="2" s="1"/>
  <c r="N111" i="2" s="1"/>
  <c r="P111" i="2" s="1"/>
  <c r="R111" i="2" s="1"/>
  <c r="T111" i="2" s="1"/>
  <c r="V111" i="2" s="1"/>
  <c r="X111" i="2" s="1"/>
  <c r="F129" i="2"/>
  <c r="H129" i="2" s="1"/>
  <c r="J129" i="2" s="1"/>
  <c r="L129" i="2" s="1"/>
  <c r="N129" i="2" s="1"/>
  <c r="P129" i="2" s="1"/>
  <c r="R129" i="2" s="1"/>
  <c r="T129" i="2" s="1"/>
  <c r="V129" i="2" s="1"/>
  <c r="X129" i="2" s="1"/>
  <c r="F130" i="2"/>
  <c r="H130" i="2" s="1"/>
  <c r="J130" i="2" s="1"/>
  <c r="L130" i="2" s="1"/>
  <c r="N130" i="2" s="1"/>
  <c r="P130" i="2" s="1"/>
  <c r="R130" i="2" s="1"/>
  <c r="T130" i="2" s="1"/>
  <c r="V130" i="2" s="1"/>
  <c r="X130" i="2" s="1"/>
  <c r="F131" i="2"/>
  <c r="H131" i="2" s="1"/>
  <c r="J131" i="2" s="1"/>
  <c r="L131" i="2" s="1"/>
  <c r="N131" i="2" s="1"/>
  <c r="P131" i="2" s="1"/>
  <c r="R131" i="2" s="1"/>
  <c r="T131" i="2" s="1"/>
  <c r="V131" i="2" s="1"/>
  <c r="X131" i="2" s="1"/>
  <c r="F132" i="2"/>
  <c r="H132" i="2" s="1"/>
  <c r="J132" i="2" s="1"/>
  <c r="L132" i="2" s="1"/>
  <c r="N132" i="2" s="1"/>
  <c r="P132" i="2" s="1"/>
  <c r="R132" i="2" s="1"/>
  <c r="T132" i="2" s="1"/>
  <c r="V132" i="2" s="1"/>
  <c r="X132" i="2" s="1"/>
  <c r="F133" i="2"/>
  <c r="H133" i="2" s="1"/>
  <c r="J133" i="2" s="1"/>
  <c r="L133" i="2" s="1"/>
  <c r="N133" i="2" s="1"/>
  <c r="P133" i="2" s="1"/>
  <c r="R133" i="2" s="1"/>
  <c r="T133" i="2" s="1"/>
  <c r="V133" i="2" s="1"/>
  <c r="X133" i="2" s="1"/>
  <c r="F134" i="2"/>
  <c r="H134" i="2" s="1"/>
  <c r="J134" i="2" s="1"/>
  <c r="L134" i="2" s="1"/>
  <c r="N134" i="2" s="1"/>
  <c r="P134" i="2" s="1"/>
  <c r="R134" i="2" s="1"/>
  <c r="T134" i="2" s="1"/>
  <c r="V134" i="2" s="1"/>
  <c r="X134" i="2" s="1"/>
  <c r="F135" i="2"/>
  <c r="H135" i="2" s="1"/>
  <c r="J135" i="2" s="1"/>
  <c r="L135" i="2" s="1"/>
  <c r="N135" i="2" s="1"/>
  <c r="P135" i="2" s="1"/>
  <c r="R135" i="2" s="1"/>
  <c r="T135" i="2" s="1"/>
  <c r="V135" i="2" s="1"/>
  <c r="X135" i="2" s="1"/>
  <c r="F138" i="2"/>
  <c r="H138" i="2" s="1"/>
  <c r="J138" i="2" s="1"/>
  <c r="L138" i="2" s="1"/>
  <c r="N138" i="2" s="1"/>
  <c r="P138" i="2" s="1"/>
  <c r="R138" i="2" s="1"/>
  <c r="T138" i="2" s="1"/>
  <c r="V138" i="2" s="1"/>
  <c r="X138" i="2" s="1"/>
  <c r="F139" i="2"/>
  <c r="H139" i="2" s="1"/>
  <c r="J139" i="2" s="1"/>
  <c r="L139" i="2" s="1"/>
  <c r="N139" i="2" s="1"/>
  <c r="P139" i="2" s="1"/>
  <c r="R139" i="2" s="1"/>
  <c r="T139" i="2" s="1"/>
  <c r="V139" i="2" s="1"/>
  <c r="X139" i="2" s="1"/>
  <c r="F140" i="2"/>
  <c r="H140" i="2" s="1"/>
  <c r="J140" i="2" s="1"/>
  <c r="L140" i="2" s="1"/>
  <c r="N140" i="2" s="1"/>
  <c r="P140" i="2" s="1"/>
  <c r="R140" i="2" s="1"/>
  <c r="T140" i="2" s="1"/>
  <c r="V140" i="2" s="1"/>
  <c r="X140" i="2" s="1"/>
  <c r="F141" i="2"/>
  <c r="H141" i="2" s="1"/>
  <c r="J141" i="2" s="1"/>
  <c r="L141" i="2" s="1"/>
  <c r="N141" i="2" s="1"/>
  <c r="P141" i="2" s="1"/>
  <c r="R141" i="2" s="1"/>
  <c r="T141" i="2" s="1"/>
  <c r="V141" i="2" s="1"/>
  <c r="X141" i="2" s="1"/>
  <c r="F152" i="2"/>
  <c r="H152" i="2" s="1"/>
  <c r="J152" i="2" s="1"/>
  <c r="L152" i="2" s="1"/>
  <c r="N152" i="2" s="1"/>
  <c r="P152" i="2" s="1"/>
  <c r="R152" i="2" s="1"/>
  <c r="T152" i="2" s="1"/>
  <c r="V152" i="2" s="1"/>
  <c r="X152" i="2" s="1"/>
  <c r="F153" i="2"/>
  <c r="H153" i="2" s="1"/>
  <c r="J153" i="2" s="1"/>
  <c r="L153" i="2" s="1"/>
  <c r="N153" i="2" s="1"/>
  <c r="P153" i="2" s="1"/>
  <c r="R153" i="2" s="1"/>
  <c r="T153" i="2" s="1"/>
  <c r="V153" i="2" s="1"/>
  <c r="X153" i="2" s="1"/>
  <c r="F156" i="2"/>
  <c r="H156" i="2" s="1"/>
  <c r="J156" i="2" s="1"/>
  <c r="L156" i="2" s="1"/>
  <c r="N156" i="2" s="1"/>
  <c r="P156" i="2" s="1"/>
  <c r="R156" i="2" s="1"/>
  <c r="T156" i="2" s="1"/>
  <c r="V156" i="2" s="1"/>
  <c r="X156" i="2" s="1"/>
  <c r="F157" i="2"/>
  <c r="H157" i="2" s="1"/>
  <c r="J157" i="2" s="1"/>
  <c r="L157" i="2" s="1"/>
  <c r="N157" i="2" s="1"/>
  <c r="P157" i="2" s="1"/>
  <c r="R157" i="2" s="1"/>
  <c r="T157" i="2" s="1"/>
  <c r="V157" i="2" s="1"/>
  <c r="X157" i="2" s="1"/>
  <c r="F160" i="2"/>
  <c r="H160" i="2" s="1"/>
  <c r="J160" i="2" s="1"/>
  <c r="L160" i="2" s="1"/>
  <c r="N160" i="2" s="1"/>
  <c r="P160" i="2" s="1"/>
  <c r="R160" i="2" s="1"/>
  <c r="T160" i="2" s="1"/>
  <c r="V160" i="2" s="1"/>
  <c r="X160" i="2" s="1"/>
  <c r="F161" i="2"/>
  <c r="H161" i="2" s="1"/>
  <c r="J161" i="2" s="1"/>
  <c r="L161" i="2" s="1"/>
  <c r="N161" i="2" s="1"/>
  <c r="P161" i="2" s="1"/>
  <c r="R161" i="2" s="1"/>
  <c r="T161" i="2" s="1"/>
  <c r="V161" i="2" s="1"/>
  <c r="X161" i="2" s="1"/>
  <c r="F164" i="2"/>
  <c r="H164" i="2" s="1"/>
  <c r="J164" i="2" s="1"/>
  <c r="L164" i="2" s="1"/>
  <c r="N164" i="2" s="1"/>
  <c r="P164" i="2" s="1"/>
  <c r="R164" i="2" s="1"/>
  <c r="T164" i="2" s="1"/>
  <c r="V164" i="2" s="1"/>
  <c r="X164" i="2" s="1"/>
  <c r="F165" i="2"/>
  <c r="H165" i="2" s="1"/>
  <c r="J165" i="2" s="1"/>
  <c r="L165" i="2" s="1"/>
  <c r="N165" i="2" s="1"/>
  <c r="P165" i="2" s="1"/>
  <c r="R165" i="2" s="1"/>
  <c r="T165" i="2" s="1"/>
  <c r="V165" i="2" s="1"/>
  <c r="X165" i="2" s="1"/>
  <c r="F168" i="2"/>
  <c r="H168" i="2" s="1"/>
  <c r="J168" i="2" s="1"/>
  <c r="L168" i="2" s="1"/>
  <c r="N168" i="2" s="1"/>
  <c r="P168" i="2" s="1"/>
  <c r="R168" i="2" s="1"/>
  <c r="T168" i="2" s="1"/>
  <c r="V168" i="2" s="1"/>
  <c r="X168" i="2" s="1"/>
  <c r="F169" i="2"/>
  <c r="H169" i="2" s="1"/>
  <c r="J169" i="2" s="1"/>
  <c r="L169" i="2" s="1"/>
  <c r="N169" i="2" s="1"/>
  <c r="P169" i="2" s="1"/>
  <c r="R169" i="2" s="1"/>
  <c r="T169" i="2" s="1"/>
  <c r="V169" i="2" s="1"/>
  <c r="X169" i="2" s="1"/>
  <c r="F172" i="2"/>
  <c r="H172" i="2" s="1"/>
  <c r="J172" i="2" s="1"/>
  <c r="L172" i="2" s="1"/>
  <c r="N172" i="2" s="1"/>
  <c r="P172" i="2" s="1"/>
  <c r="R172" i="2" s="1"/>
  <c r="T172" i="2" s="1"/>
  <c r="V172" i="2" s="1"/>
  <c r="X172" i="2" s="1"/>
  <c r="F173" i="2"/>
  <c r="H173" i="2" s="1"/>
  <c r="J173" i="2" s="1"/>
  <c r="L173" i="2" s="1"/>
  <c r="N173" i="2" s="1"/>
  <c r="P173" i="2" s="1"/>
  <c r="R173" i="2" s="1"/>
  <c r="T173" i="2" s="1"/>
  <c r="V173" i="2" s="1"/>
  <c r="X173" i="2" s="1"/>
  <c r="F176" i="2"/>
  <c r="H176" i="2" s="1"/>
  <c r="J176" i="2" s="1"/>
  <c r="L176" i="2" s="1"/>
  <c r="N176" i="2" s="1"/>
  <c r="P176" i="2" s="1"/>
  <c r="R176" i="2" s="1"/>
  <c r="T176" i="2" s="1"/>
  <c r="V176" i="2" s="1"/>
  <c r="X176" i="2" s="1"/>
  <c r="F177" i="2"/>
  <c r="H177" i="2" s="1"/>
  <c r="J177" i="2" s="1"/>
  <c r="L177" i="2" s="1"/>
  <c r="N177" i="2" s="1"/>
  <c r="P177" i="2" s="1"/>
  <c r="R177" i="2" s="1"/>
  <c r="T177" i="2" s="1"/>
  <c r="V177" i="2" s="1"/>
  <c r="X177" i="2" s="1"/>
  <c r="F178" i="2"/>
  <c r="H178" i="2" s="1"/>
  <c r="J178" i="2" s="1"/>
  <c r="L178" i="2" s="1"/>
  <c r="N178" i="2" s="1"/>
  <c r="P178" i="2" s="1"/>
  <c r="R178" i="2" s="1"/>
  <c r="T178" i="2" s="1"/>
  <c r="V178" i="2" s="1"/>
  <c r="X178" i="2" s="1"/>
  <c r="F179" i="2"/>
  <c r="H179" i="2" s="1"/>
  <c r="J179" i="2" s="1"/>
  <c r="L179" i="2" s="1"/>
  <c r="N179" i="2" s="1"/>
  <c r="P179" i="2" s="1"/>
  <c r="R179" i="2" s="1"/>
  <c r="T179" i="2" s="1"/>
  <c r="V179" i="2" s="1"/>
  <c r="X179" i="2" s="1"/>
  <c r="F180" i="2"/>
  <c r="H180" i="2" s="1"/>
  <c r="J180" i="2" s="1"/>
  <c r="L180" i="2" s="1"/>
  <c r="N180" i="2" s="1"/>
  <c r="P180" i="2" s="1"/>
  <c r="R180" i="2" s="1"/>
  <c r="T180" i="2" s="1"/>
  <c r="V180" i="2" s="1"/>
  <c r="X180" i="2" s="1"/>
  <c r="F181" i="2"/>
  <c r="H181" i="2" s="1"/>
  <c r="J181" i="2" s="1"/>
  <c r="L181" i="2" s="1"/>
  <c r="N181" i="2" s="1"/>
  <c r="P181" i="2" s="1"/>
  <c r="R181" i="2" s="1"/>
  <c r="T181" i="2" s="1"/>
  <c r="V181" i="2" s="1"/>
  <c r="X181" i="2" s="1"/>
  <c r="F185" i="2"/>
  <c r="H185" i="2" s="1"/>
  <c r="J185" i="2" s="1"/>
  <c r="L185" i="2" s="1"/>
  <c r="N185" i="2" s="1"/>
  <c r="P185" i="2" s="1"/>
  <c r="R185" i="2" s="1"/>
  <c r="T185" i="2" s="1"/>
  <c r="V185" i="2" s="1"/>
  <c r="X185" i="2" s="1"/>
  <c r="F208" i="2"/>
  <c r="H208" i="2" s="1"/>
  <c r="J208" i="2" s="1"/>
  <c r="L208" i="2" s="1"/>
  <c r="N208" i="2" s="1"/>
  <c r="P208" i="2" s="1"/>
  <c r="R208" i="2" s="1"/>
  <c r="T208" i="2" s="1"/>
  <c r="V208" i="2" s="1"/>
  <c r="X208" i="2" s="1"/>
  <c r="F214" i="2"/>
  <c r="H214" i="2" s="1"/>
  <c r="J214" i="2" s="1"/>
  <c r="L214" i="2" s="1"/>
  <c r="N214" i="2" s="1"/>
  <c r="P214" i="2" s="1"/>
  <c r="R214" i="2" s="1"/>
  <c r="T214" i="2" s="1"/>
  <c r="V214" i="2" s="1"/>
  <c r="X214" i="2" s="1"/>
  <c r="F217" i="2"/>
  <c r="H217" i="2" s="1"/>
  <c r="J217" i="2" s="1"/>
  <c r="L217" i="2" s="1"/>
  <c r="N217" i="2" s="1"/>
  <c r="P217" i="2" s="1"/>
  <c r="R217" i="2" s="1"/>
  <c r="T217" i="2" s="1"/>
  <c r="V217" i="2" s="1"/>
  <c r="X217" i="2" s="1"/>
  <c r="F218" i="2"/>
  <c r="H218" i="2" s="1"/>
  <c r="J218" i="2" s="1"/>
  <c r="L218" i="2" s="1"/>
  <c r="N218" i="2" s="1"/>
  <c r="P218" i="2" s="1"/>
  <c r="R218" i="2" s="1"/>
  <c r="T218" i="2" s="1"/>
  <c r="V218" i="2" s="1"/>
  <c r="X218" i="2" s="1"/>
  <c r="F219" i="2"/>
  <c r="H219" i="2" s="1"/>
  <c r="J219" i="2" s="1"/>
  <c r="L219" i="2" s="1"/>
  <c r="N219" i="2" s="1"/>
  <c r="P219" i="2" s="1"/>
  <c r="R219" i="2" s="1"/>
  <c r="T219" i="2" s="1"/>
  <c r="V219" i="2" s="1"/>
  <c r="X219" i="2" s="1"/>
  <c r="F220" i="2"/>
  <c r="H220" i="2" s="1"/>
  <c r="J220" i="2" s="1"/>
  <c r="L220" i="2" s="1"/>
  <c r="N220" i="2" s="1"/>
  <c r="P220" i="2" s="1"/>
  <c r="R220" i="2" s="1"/>
  <c r="T220" i="2" s="1"/>
  <c r="V220" i="2" s="1"/>
  <c r="X220" i="2" s="1"/>
  <c r="F221" i="2"/>
  <c r="H221" i="2" s="1"/>
  <c r="J221" i="2" s="1"/>
  <c r="L221" i="2" s="1"/>
  <c r="N221" i="2" s="1"/>
  <c r="P221" i="2" s="1"/>
  <c r="R221" i="2" s="1"/>
  <c r="T221" i="2" s="1"/>
  <c r="V221" i="2" s="1"/>
  <c r="X221" i="2" s="1"/>
  <c r="F222" i="2"/>
  <c r="H222" i="2" s="1"/>
  <c r="J222" i="2" s="1"/>
  <c r="L222" i="2" s="1"/>
  <c r="N222" i="2" s="1"/>
  <c r="P222" i="2" s="1"/>
  <c r="R222" i="2" s="1"/>
  <c r="T222" i="2" s="1"/>
  <c r="V222" i="2" s="1"/>
  <c r="X222" i="2" s="1"/>
  <c r="F225" i="2"/>
  <c r="H225" i="2" s="1"/>
  <c r="J225" i="2" s="1"/>
  <c r="L225" i="2" s="1"/>
  <c r="N225" i="2" s="1"/>
  <c r="P225" i="2" s="1"/>
  <c r="R225" i="2" s="1"/>
  <c r="T225" i="2" s="1"/>
  <c r="V225" i="2" s="1"/>
  <c r="X225" i="2" s="1"/>
  <c r="F226" i="2"/>
  <c r="H226" i="2" s="1"/>
  <c r="J226" i="2" s="1"/>
  <c r="L226" i="2" s="1"/>
  <c r="N226" i="2" s="1"/>
  <c r="P226" i="2" s="1"/>
  <c r="R226" i="2" s="1"/>
  <c r="T226" i="2" s="1"/>
  <c r="V226" i="2" s="1"/>
  <c r="X226" i="2" s="1"/>
  <c r="F227" i="2"/>
  <c r="H227" i="2" s="1"/>
  <c r="J227" i="2" s="1"/>
  <c r="L227" i="2" s="1"/>
  <c r="N227" i="2" s="1"/>
  <c r="P227" i="2" s="1"/>
  <c r="R227" i="2" s="1"/>
  <c r="T227" i="2" s="1"/>
  <c r="V227" i="2" s="1"/>
  <c r="X227" i="2" s="1"/>
  <c r="F230" i="2"/>
  <c r="H230" i="2" s="1"/>
  <c r="J230" i="2" s="1"/>
  <c r="L230" i="2" s="1"/>
  <c r="N230" i="2" s="1"/>
  <c r="P230" i="2" s="1"/>
  <c r="R230" i="2" s="1"/>
  <c r="T230" i="2" s="1"/>
  <c r="V230" i="2" s="1"/>
  <c r="X230" i="2" s="1"/>
  <c r="E146" i="2" l="1"/>
  <c r="E125" i="2"/>
  <c r="E248" i="2"/>
  <c r="E250" i="2"/>
  <c r="E16" i="2"/>
  <c r="D20" i="2"/>
  <c r="F19" i="2"/>
  <c r="H19" i="2" s="1"/>
  <c r="J19" i="2" s="1"/>
  <c r="L19" i="2" s="1"/>
  <c r="N19" i="2" s="1"/>
  <c r="P19" i="2" s="1"/>
  <c r="R19" i="2" s="1"/>
  <c r="T19" i="2" s="1"/>
  <c r="V19" i="2" s="1"/>
  <c r="X19" i="2" s="1"/>
  <c r="D18" i="2"/>
  <c r="F18" i="2" s="1"/>
  <c r="H18" i="2" s="1"/>
  <c r="J18" i="2" s="1"/>
  <c r="L18" i="2" s="1"/>
  <c r="N18" i="2" s="1"/>
  <c r="P18" i="2" s="1"/>
  <c r="R18" i="2" s="1"/>
  <c r="T18" i="2" s="1"/>
  <c r="V18" i="2" s="1"/>
  <c r="X18" i="2" s="1"/>
  <c r="F56" i="2"/>
  <c r="H56" i="2" s="1"/>
  <c r="J56" i="2" s="1"/>
  <c r="L56" i="2" s="1"/>
  <c r="N56" i="2" s="1"/>
  <c r="P56" i="2" s="1"/>
  <c r="R56" i="2" s="1"/>
  <c r="T56" i="2" s="1"/>
  <c r="V56" i="2" s="1"/>
  <c r="X56" i="2" s="1"/>
  <c r="D52" i="2"/>
  <c r="D247" i="2" s="1"/>
  <c r="F247" i="2" s="1"/>
  <c r="H247" i="2" s="1"/>
  <c r="J247" i="2" s="1"/>
  <c r="L247" i="2" s="1"/>
  <c r="N247" i="2" s="1"/>
  <c r="P247" i="2" s="1"/>
  <c r="R247" i="2" s="1"/>
  <c r="T247" i="2" s="1"/>
  <c r="V247" i="2" s="1"/>
  <c r="X247" i="2" s="1"/>
  <c r="D48" i="2"/>
  <c r="F48" i="2" s="1"/>
  <c r="H48" i="2" s="1"/>
  <c r="J48" i="2" s="1"/>
  <c r="L48" i="2" s="1"/>
  <c r="N48" i="2" s="1"/>
  <c r="P48" i="2" s="1"/>
  <c r="R48" i="2" s="1"/>
  <c r="T48" i="2" s="1"/>
  <c r="V48" i="2" s="1"/>
  <c r="X48" i="2" s="1"/>
  <c r="D43" i="2"/>
  <c r="F43" i="2" s="1"/>
  <c r="H43" i="2" s="1"/>
  <c r="J43" i="2" s="1"/>
  <c r="L43" i="2" s="1"/>
  <c r="N43" i="2" s="1"/>
  <c r="P43" i="2" s="1"/>
  <c r="R43" i="2" s="1"/>
  <c r="T43" i="2" s="1"/>
  <c r="V43" i="2" s="1"/>
  <c r="X43" i="2" s="1"/>
  <c r="D31" i="2"/>
  <c r="F31" i="2" s="1"/>
  <c r="H31" i="2" s="1"/>
  <c r="J31" i="2" s="1"/>
  <c r="L31" i="2" s="1"/>
  <c r="N31" i="2" s="1"/>
  <c r="P31" i="2" s="1"/>
  <c r="R31" i="2" s="1"/>
  <c r="T31" i="2" s="1"/>
  <c r="V31" i="2" s="1"/>
  <c r="X31" i="2" s="1"/>
  <c r="F52" i="2" l="1"/>
  <c r="H52" i="2" s="1"/>
  <c r="J52" i="2" s="1"/>
  <c r="L52" i="2" s="1"/>
  <c r="N52" i="2" s="1"/>
  <c r="P52" i="2" s="1"/>
  <c r="R52" i="2" s="1"/>
  <c r="T52" i="2" s="1"/>
  <c r="V52" i="2" s="1"/>
  <c r="X52" i="2" s="1"/>
  <c r="D244" i="2"/>
  <c r="F244" i="2" s="1"/>
  <c r="H244" i="2" s="1"/>
  <c r="J244" i="2" s="1"/>
  <c r="L244" i="2" s="1"/>
  <c r="N244" i="2" s="1"/>
  <c r="P244" i="2" s="1"/>
  <c r="R244" i="2" s="1"/>
  <c r="T244" i="2" s="1"/>
  <c r="V244" i="2" s="1"/>
  <c r="X244" i="2" s="1"/>
  <c r="F20" i="2"/>
  <c r="H20" i="2" s="1"/>
  <c r="J20" i="2" s="1"/>
  <c r="L20" i="2" s="1"/>
  <c r="N20" i="2" s="1"/>
  <c r="P20" i="2" s="1"/>
  <c r="R20" i="2" s="1"/>
  <c r="T20" i="2" s="1"/>
  <c r="V20" i="2" s="1"/>
  <c r="X20" i="2" s="1"/>
  <c r="D16" i="2"/>
  <c r="D252" i="2"/>
  <c r="F252" i="2" s="1"/>
  <c r="H252" i="2" s="1"/>
  <c r="J252" i="2" s="1"/>
  <c r="L252" i="2" s="1"/>
  <c r="N252" i="2" s="1"/>
  <c r="P252" i="2" s="1"/>
  <c r="R252" i="2" s="1"/>
  <c r="T252" i="2" s="1"/>
  <c r="V252" i="2" s="1"/>
  <c r="X252" i="2" s="1"/>
  <c r="D251" i="2"/>
  <c r="F251" i="2" s="1"/>
  <c r="H251" i="2" s="1"/>
  <c r="J251" i="2" s="1"/>
  <c r="L251" i="2" s="1"/>
  <c r="N251" i="2" s="1"/>
  <c r="P251" i="2" s="1"/>
  <c r="R251" i="2" s="1"/>
  <c r="T251" i="2" s="1"/>
  <c r="V251" i="2" s="1"/>
  <c r="X251" i="2" s="1"/>
  <c r="D82" i="2"/>
  <c r="D81" i="2"/>
  <c r="F81" i="2" s="1"/>
  <c r="H81" i="2" s="1"/>
  <c r="J81" i="2" s="1"/>
  <c r="L81" i="2" s="1"/>
  <c r="N81" i="2" s="1"/>
  <c r="P81" i="2" s="1"/>
  <c r="R81" i="2" s="1"/>
  <c r="T81" i="2" s="1"/>
  <c r="V81" i="2" s="1"/>
  <c r="X81" i="2" s="1"/>
  <c r="D112" i="2"/>
  <c r="D109" i="2"/>
  <c r="F109" i="2" s="1"/>
  <c r="H109" i="2" s="1"/>
  <c r="J109" i="2" s="1"/>
  <c r="L109" i="2" s="1"/>
  <c r="N109" i="2" s="1"/>
  <c r="P109" i="2" s="1"/>
  <c r="R109" i="2" s="1"/>
  <c r="T109" i="2" s="1"/>
  <c r="V109" i="2" s="1"/>
  <c r="X109" i="2" s="1"/>
  <c r="D103" i="2"/>
  <c r="F103" i="2" s="1"/>
  <c r="H103" i="2" s="1"/>
  <c r="J103" i="2" s="1"/>
  <c r="L103" i="2" s="1"/>
  <c r="N103" i="2" s="1"/>
  <c r="P103" i="2" s="1"/>
  <c r="R103" i="2" s="1"/>
  <c r="T103" i="2" s="1"/>
  <c r="V103" i="2" s="1"/>
  <c r="X103" i="2" s="1"/>
  <c r="F16" i="2" l="1"/>
  <c r="H16" i="2" s="1"/>
  <c r="J16" i="2" s="1"/>
  <c r="L16" i="2" s="1"/>
  <c r="N16" i="2" s="1"/>
  <c r="P16" i="2" s="1"/>
  <c r="R16" i="2" s="1"/>
  <c r="T16" i="2" s="1"/>
  <c r="V16" i="2" s="1"/>
  <c r="X16" i="2" s="1"/>
  <c r="D79" i="2"/>
  <c r="D249" i="2"/>
  <c r="D213" i="2" l="1"/>
  <c r="F213" i="2" s="1"/>
  <c r="H213" i="2" s="1"/>
  <c r="J213" i="2" s="1"/>
  <c r="L213" i="2" s="1"/>
  <c r="N213" i="2" s="1"/>
  <c r="P213" i="2" s="1"/>
  <c r="R213" i="2" s="1"/>
  <c r="T213" i="2" s="1"/>
  <c r="V213" i="2" s="1"/>
  <c r="X213" i="2" s="1"/>
  <c r="D212" i="2"/>
  <c r="F212" i="2" s="1"/>
  <c r="H212" i="2" s="1"/>
  <c r="J212" i="2" s="1"/>
  <c r="L212" i="2" s="1"/>
  <c r="N212" i="2" s="1"/>
  <c r="P212" i="2" s="1"/>
  <c r="R212" i="2" s="1"/>
  <c r="T212" i="2" s="1"/>
  <c r="V212" i="2" s="1"/>
  <c r="X212" i="2" s="1"/>
  <c r="D215" i="2"/>
  <c r="D248" i="2" l="1"/>
  <c r="F248" i="2" s="1"/>
  <c r="H248" i="2" s="1"/>
  <c r="J248" i="2" s="1"/>
  <c r="L248" i="2" s="1"/>
  <c r="N248" i="2" s="1"/>
  <c r="P248" i="2" s="1"/>
  <c r="R248" i="2" s="1"/>
  <c r="T248" i="2" s="1"/>
  <c r="V248" i="2" s="1"/>
  <c r="X248" i="2" s="1"/>
  <c r="F215" i="2"/>
  <c r="H215" i="2" s="1"/>
  <c r="J215" i="2" s="1"/>
  <c r="L215" i="2" s="1"/>
  <c r="N215" i="2" s="1"/>
  <c r="P215" i="2" s="1"/>
  <c r="R215" i="2" s="1"/>
  <c r="T215" i="2" s="1"/>
  <c r="V215" i="2" s="1"/>
  <c r="X215" i="2" s="1"/>
  <c r="D210" i="2"/>
  <c r="F210" i="2" s="1"/>
  <c r="H210" i="2" s="1"/>
  <c r="J210" i="2" s="1"/>
  <c r="L210" i="2" s="1"/>
  <c r="N210" i="2" s="1"/>
  <c r="P210" i="2" s="1"/>
  <c r="R210" i="2" s="1"/>
  <c r="T210" i="2" s="1"/>
  <c r="V210" i="2" s="1"/>
  <c r="X210" i="2" s="1"/>
  <c r="D224" i="2" l="1"/>
  <c r="F224" i="2" s="1"/>
  <c r="H224" i="2" s="1"/>
  <c r="J224" i="2" s="1"/>
  <c r="L224" i="2" s="1"/>
  <c r="N224" i="2" s="1"/>
  <c r="P224" i="2" s="1"/>
  <c r="R224" i="2" s="1"/>
  <c r="T224" i="2" s="1"/>
  <c r="V224" i="2" s="1"/>
  <c r="X224" i="2" s="1"/>
  <c r="D149" i="2" l="1"/>
  <c r="D148" i="2"/>
  <c r="F148" i="2" s="1"/>
  <c r="H148" i="2" s="1"/>
  <c r="J148" i="2" s="1"/>
  <c r="L148" i="2" s="1"/>
  <c r="N148" i="2" s="1"/>
  <c r="P148" i="2" s="1"/>
  <c r="R148" i="2" s="1"/>
  <c r="T148" i="2" s="1"/>
  <c r="V148" i="2" s="1"/>
  <c r="X148" i="2" s="1"/>
  <c r="D128" i="2"/>
  <c r="F128" i="2" s="1"/>
  <c r="H128" i="2" s="1"/>
  <c r="J128" i="2" s="1"/>
  <c r="L128" i="2" s="1"/>
  <c r="N128" i="2" s="1"/>
  <c r="P128" i="2" s="1"/>
  <c r="R128" i="2" s="1"/>
  <c r="T128" i="2" s="1"/>
  <c r="V128" i="2" s="1"/>
  <c r="X128" i="2" s="1"/>
  <c r="D127" i="2"/>
  <c r="F127" i="2" s="1"/>
  <c r="H127" i="2" s="1"/>
  <c r="J127" i="2" s="1"/>
  <c r="L127" i="2" s="1"/>
  <c r="N127" i="2" s="1"/>
  <c r="P127" i="2" s="1"/>
  <c r="R127" i="2" s="1"/>
  <c r="T127" i="2" s="1"/>
  <c r="V127" i="2" s="1"/>
  <c r="X127" i="2" s="1"/>
  <c r="D242" i="2" l="1"/>
  <c r="F242" i="2" s="1"/>
  <c r="H242" i="2" s="1"/>
  <c r="J242" i="2" s="1"/>
  <c r="L242" i="2" s="1"/>
  <c r="N242" i="2" s="1"/>
  <c r="P242" i="2" s="1"/>
  <c r="R242" i="2" s="1"/>
  <c r="T242" i="2" s="1"/>
  <c r="V242" i="2" s="1"/>
  <c r="X242" i="2" s="1"/>
  <c r="F149" i="2"/>
  <c r="H149" i="2" s="1"/>
  <c r="J149" i="2" s="1"/>
  <c r="L149" i="2" s="1"/>
  <c r="N149" i="2" s="1"/>
  <c r="P149" i="2" s="1"/>
  <c r="R149" i="2" s="1"/>
  <c r="T149" i="2" s="1"/>
  <c r="V149" i="2" s="1"/>
  <c r="X149" i="2" s="1"/>
  <c r="D125" i="2"/>
  <c r="D136" i="2"/>
  <c r="F136" i="2" s="1"/>
  <c r="H136" i="2" s="1"/>
  <c r="J136" i="2" s="1"/>
  <c r="L136" i="2" s="1"/>
  <c r="N136" i="2" s="1"/>
  <c r="P136" i="2" s="1"/>
  <c r="R136" i="2" s="1"/>
  <c r="T136" i="2" s="1"/>
  <c r="V136" i="2" s="1"/>
  <c r="X136" i="2" s="1"/>
  <c r="F125" i="2" l="1"/>
  <c r="H125" i="2" s="1"/>
  <c r="J125" i="2" s="1"/>
  <c r="L125" i="2" s="1"/>
  <c r="N125" i="2" s="1"/>
  <c r="P125" i="2" s="1"/>
  <c r="R125" i="2" s="1"/>
  <c r="T125" i="2" s="1"/>
  <c r="V125" i="2" s="1"/>
  <c r="X125" i="2" s="1"/>
  <c r="D174" i="2"/>
  <c r="F174" i="2" s="1"/>
  <c r="H174" i="2" s="1"/>
  <c r="J174" i="2" s="1"/>
  <c r="L174" i="2" s="1"/>
  <c r="N174" i="2" s="1"/>
  <c r="P174" i="2" s="1"/>
  <c r="R174" i="2" s="1"/>
  <c r="T174" i="2" s="1"/>
  <c r="V174" i="2" s="1"/>
  <c r="X174" i="2" s="1"/>
  <c r="D170" i="2"/>
  <c r="F170" i="2" s="1"/>
  <c r="H170" i="2" s="1"/>
  <c r="J170" i="2" s="1"/>
  <c r="L170" i="2" s="1"/>
  <c r="N170" i="2" s="1"/>
  <c r="P170" i="2" s="1"/>
  <c r="R170" i="2" s="1"/>
  <c r="T170" i="2" s="1"/>
  <c r="V170" i="2" s="1"/>
  <c r="X170" i="2" s="1"/>
  <c r="D166" i="2"/>
  <c r="F166" i="2" s="1"/>
  <c r="H166" i="2" s="1"/>
  <c r="J166" i="2" s="1"/>
  <c r="L166" i="2" s="1"/>
  <c r="N166" i="2" s="1"/>
  <c r="P166" i="2" s="1"/>
  <c r="R166" i="2" s="1"/>
  <c r="T166" i="2" s="1"/>
  <c r="V166" i="2" s="1"/>
  <c r="X166" i="2" s="1"/>
  <c r="D162" i="2"/>
  <c r="F162" i="2" s="1"/>
  <c r="H162" i="2" s="1"/>
  <c r="J162" i="2" s="1"/>
  <c r="L162" i="2" s="1"/>
  <c r="N162" i="2" s="1"/>
  <c r="P162" i="2" s="1"/>
  <c r="R162" i="2" s="1"/>
  <c r="T162" i="2" s="1"/>
  <c r="V162" i="2" s="1"/>
  <c r="X162" i="2" s="1"/>
  <c r="D158" i="2"/>
  <c r="F158" i="2" s="1"/>
  <c r="H158" i="2" s="1"/>
  <c r="J158" i="2" s="1"/>
  <c r="L158" i="2" s="1"/>
  <c r="N158" i="2" s="1"/>
  <c r="P158" i="2" s="1"/>
  <c r="R158" i="2" s="1"/>
  <c r="T158" i="2" s="1"/>
  <c r="V158" i="2" s="1"/>
  <c r="X158" i="2" s="1"/>
  <c r="D150" i="2"/>
  <c r="F150" i="2" s="1"/>
  <c r="H150" i="2" s="1"/>
  <c r="J150" i="2" s="1"/>
  <c r="L150" i="2" s="1"/>
  <c r="N150" i="2" s="1"/>
  <c r="P150" i="2" s="1"/>
  <c r="R150" i="2" s="1"/>
  <c r="T150" i="2" s="1"/>
  <c r="V150" i="2" s="1"/>
  <c r="X150" i="2" s="1"/>
  <c r="D154" i="2"/>
  <c r="F154" i="2" s="1"/>
  <c r="H154" i="2" s="1"/>
  <c r="J154" i="2" s="1"/>
  <c r="L154" i="2" s="1"/>
  <c r="N154" i="2" s="1"/>
  <c r="P154" i="2" s="1"/>
  <c r="R154" i="2" s="1"/>
  <c r="T154" i="2" s="1"/>
  <c r="V154" i="2" s="1"/>
  <c r="X154" i="2" s="1"/>
  <c r="D250" i="2" l="1"/>
  <c r="F250" i="2" s="1"/>
  <c r="H250" i="2" s="1"/>
  <c r="J250" i="2" s="1"/>
  <c r="L250" i="2" s="1"/>
  <c r="N250" i="2" s="1"/>
  <c r="P250" i="2" s="1"/>
  <c r="R250" i="2" s="1"/>
  <c r="T250" i="2" s="1"/>
  <c r="V250" i="2" s="1"/>
  <c r="X250" i="2" s="1"/>
  <c r="D207" i="2" l="1"/>
  <c r="F207" i="2" s="1"/>
  <c r="H207" i="2" s="1"/>
  <c r="J207" i="2" s="1"/>
  <c r="L207" i="2" s="1"/>
  <c r="N207" i="2" s="1"/>
  <c r="P207" i="2" s="1"/>
  <c r="R207" i="2" s="1"/>
  <c r="T207" i="2" s="1"/>
  <c r="V207" i="2" s="1"/>
  <c r="X207" i="2" s="1"/>
  <c r="D243" i="2" l="1"/>
  <c r="D146" i="2" l="1"/>
  <c r="F146" i="2" l="1"/>
  <c r="H146" i="2" s="1"/>
  <c r="J146" i="2" s="1"/>
  <c r="L146" i="2" s="1"/>
  <c r="N146" i="2" s="1"/>
  <c r="P146" i="2" s="1"/>
  <c r="R146" i="2" s="1"/>
  <c r="T146" i="2" s="1"/>
  <c r="V146" i="2" s="1"/>
  <c r="X146" i="2" s="1"/>
  <c r="D229" i="2"/>
  <c r="F229" i="2" s="1"/>
  <c r="H229" i="2" s="1"/>
  <c r="J229" i="2" s="1"/>
  <c r="L229" i="2" s="1"/>
  <c r="N229" i="2" s="1"/>
  <c r="P229" i="2" s="1"/>
  <c r="R229" i="2" s="1"/>
  <c r="T229" i="2" s="1"/>
  <c r="V229" i="2" s="1"/>
  <c r="X229" i="2" s="1"/>
  <c r="D240" i="2" l="1"/>
  <c r="F114" i="2"/>
  <c r="H114" i="2" s="1"/>
  <c r="J114" i="2" s="1"/>
  <c r="L114" i="2" s="1"/>
  <c r="N114" i="2" s="1"/>
  <c r="P114" i="2" s="1"/>
  <c r="R114" i="2" s="1"/>
  <c r="T114" i="2" s="1"/>
  <c r="V114" i="2" s="1"/>
  <c r="X114" i="2" s="1"/>
  <c r="E112" i="2"/>
  <c r="E249" i="2" s="1"/>
  <c r="F249" i="2" s="1"/>
  <c r="H249" i="2" s="1"/>
  <c r="J249" i="2" s="1"/>
  <c r="L249" i="2" s="1"/>
  <c r="N249" i="2" s="1"/>
  <c r="P249" i="2" s="1"/>
  <c r="R249" i="2" s="1"/>
  <c r="T249" i="2" s="1"/>
  <c r="V249" i="2" s="1"/>
  <c r="X249" i="2" s="1"/>
  <c r="E82" i="2"/>
  <c r="E79" i="2" s="1"/>
  <c r="E240" i="2" s="1"/>
  <c r="F240" i="2" s="1"/>
  <c r="H240" i="2" s="1"/>
  <c r="J240" i="2" s="1"/>
  <c r="L240" i="2" s="1"/>
  <c r="N240" i="2" s="1"/>
  <c r="P240" i="2" s="1"/>
  <c r="R240" i="2" s="1"/>
  <c r="T240" i="2" s="1"/>
  <c r="V240" i="2" s="1"/>
  <c r="X240" i="2" s="1"/>
  <c r="F79" i="2" l="1"/>
  <c r="H79" i="2" s="1"/>
  <c r="J79" i="2" s="1"/>
  <c r="L79" i="2" s="1"/>
  <c r="N79" i="2" s="1"/>
  <c r="P79" i="2" s="1"/>
  <c r="R79" i="2" s="1"/>
  <c r="T79" i="2" s="1"/>
  <c r="V79" i="2" s="1"/>
  <c r="X79" i="2" s="1"/>
  <c r="F112" i="2"/>
  <c r="H112" i="2" s="1"/>
  <c r="J112" i="2" s="1"/>
  <c r="L112" i="2" s="1"/>
  <c r="N112" i="2" s="1"/>
  <c r="P112" i="2" s="1"/>
  <c r="R112" i="2" s="1"/>
  <c r="T112" i="2" s="1"/>
  <c r="V112" i="2" s="1"/>
  <c r="X112" i="2" s="1"/>
  <c r="F82" i="2"/>
  <c r="H82" i="2" s="1"/>
  <c r="J82" i="2" s="1"/>
  <c r="L82" i="2" s="1"/>
  <c r="N82" i="2" s="1"/>
  <c r="P82" i="2" s="1"/>
  <c r="R82" i="2" s="1"/>
  <c r="T82" i="2" s="1"/>
  <c r="V82" i="2" s="1"/>
  <c r="X82" i="2" s="1"/>
  <c r="E243" i="2"/>
  <c r="F243" i="2" s="1"/>
  <c r="H243" i="2" s="1"/>
  <c r="J243" i="2" s="1"/>
  <c r="L243" i="2" s="1"/>
  <c r="N243" i="2" s="1"/>
  <c r="P243" i="2" s="1"/>
  <c r="R243" i="2" s="1"/>
  <c r="T243" i="2" s="1"/>
  <c r="V243" i="2" s="1"/>
  <c r="X243" i="2" s="1"/>
</calcChain>
</file>

<file path=xl/sharedStrings.xml><?xml version="1.0" encoding="utf-8"?>
<sst xmlns="http://schemas.openxmlformats.org/spreadsheetml/2006/main" count="584" uniqueCount="302">
  <si>
    <t>№ п/п</t>
  </si>
  <si>
    <t>Образование</t>
  </si>
  <si>
    <t>в том числе:</t>
  </si>
  <si>
    <t>местный бюджет</t>
  </si>
  <si>
    <t>Жилищно-коммунальное хозяйство</t>
  </si>
  <si>
    <t>Внешнее благоустройство</t>
  </si>
  <si>
    <t>Дорожное хозяйство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</si>
  <si>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</si>
  <si>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</si>
  <si>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</si>
  <si>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</si>
  <si>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</si>
  <si>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Управление жилищных отношений</t>
  </si>
  <si>
    <t>Исполнитель</t>
  </si>
  <si>
    <t>в разрезе исполнителей</t>
  </si>
  <si>
    <t>Департамент имущественных отношений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</si>
  <si>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</si>
  <si>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</si>
  <si>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</si>
  <si>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</si>
  <si>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</si>
  <si>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 решению</t>
  </si>
  <si>
    <t>Пермской городской Думы</t>
  </si>
  <si>
    <t>тыс. руб.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</si>
  <si>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</si>
  <si>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</si>
  <si>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</si>
  <si>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ПЕРЕЧЕНЬ</t>
  </si>
  <si>
    <t xml:space="preserve">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2019 год</t>
  </si>
  <si>
    <t xml:space="preserve">Реконструкция ул. Героев Хасана от ул. Хлебозаводская до ул. Василия Васильева 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</si>
  <si>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</si>
  <si>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Карпинского от ул. Архитектора Свиязева до ул. Советской Армии</t>
  </si>
  <si>
    <t xml:space="preserve">Строительство сквера на ул. Краснополянской, 12 </t>
  </si>
  <si>
    <t>Строительство сквера  по ул. Гашкова, 20</t>
  </si>
  <si>
    <t xml:space="preserve">Строительство сквера по ул. Корсуньской, 31 </t>
  </si>
  <si>
    <t xml:space="preserve">Строительство сквера по ул. Генерала Черняховского </t>
  </si>
  <si>
    <t>Строительство (реконструкция) сетей наружного освещения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</si>
  <si>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</si>
  <si>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1020141280,10201ST04I</t>
  </si>
  <si>
    <t>1020141270,10201ST04J</t>
  </si>
  <si>
    <t>10201ST04Q</t>
  </si>
  <si>
    <t>1020143630,10201ST04V</t>
  </si>
  <si>
    <t>1020143640,10201ST04V</t>
  </si>
  <si>
    <t xml:space="preserve">Реконструкция сквера в 68 квартале, эспланада </t>
  </si>
  <si>
    <t xml:space="preserve">Реконструкция сада им. Н.В. Гоголя </t>
  </si>
  <si>
    <t>Управление капитального строительства</t>
  </si>
  <si>
    <t>Расширение и реконструкция (3 очередь) канализации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</si>
  <si>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</si>
  <si>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</si>
  <si>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</si>
  <si>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</si>
  <si>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</si>
  <si>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</si>
  <si>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</si>
  <si>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</si>
  <si>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</si>
  <si>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Реконструкция пересечения ул. Героев Хасана и Транссибирской магистрали (включая тоннель)</t>
  </si>
  <si>
    <t xml:space="preserve">Реконструкция кладбища «Северное» </t>
  </si>
  <si>
    <t>Строительство кладбища «Лесное»</t>
  </si>
  <si>
    <t xml:space="preserve">Строительство источников противопожарного водоснабжения </t>
  </si>
  <si>
    <t>Строительство противооползневого сооружения в районе жилых домов по ул. КИМ, 5, 7, ул. Ивановской, 19 и ул. Чехова, 2, 4, 6, 8, 10</t>
  </si>
  <si>
    <t>Строительство берегоукрепительного сооружения в районе жилых домов по ул. Куфонина 30, 32</t>
  </si>
  <si>
    <t>0230241020</t>
  </si>
  <si>
    <t>0220241030</t>
  </si>
  <si>
    <t>0220241410</t>
  </si>
  <si>
    <t>Реконструкция здания МАУК «Театр юного зрителя»</t>
  </si>
  <si>
    <t>0330242500</t>
  </si>
  <si>
    <t>Строительство спортивной базы «Летающий лыжник» г. Перми, ул. Тихая, 22</t>
  </si>
  <si>
    <t>Комитет физической культуры и спорта</t>
  </si>
  <si>
    <t>Строительство объектов недвижимого имущества и инженерной инфраструктуры на территории Экстрим-парка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</si>
  <si>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</si>
  <si>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</si>
  <si>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</si>
  <si>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0510141430</t>
  </si>
  <si>
    <t>0510141460</t>
  </si>
  <si>
    <t>0510141470</t>
  </si>
  <si>
    <t>0510141490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</si>
  <si>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</si>
  <si>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</si>
  <si>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153022С080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</si>
  <si>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</si>
  <si>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15302R0820</t>
  </si>
  <si>
    <t>Реконструкция ул. Революции от ЦКР до ул. Сибирской с обустройством трамвайной линии. 1 этап</t>
  </si>
  <si>
    <t>2019 год</t>
  </si>
  <si>
    <t>Строительство здания для размещения дошкольного образовательного учреждения по ул. Желябова, 16б</t>
  </si>
  <si>
    <t>Оснащение безвозмездно переданного в муниципальную собственность здания для размещения дошкольной образовательной организации по ул. Агатовая, 26</t>
  </si>
  <si>
    <t>Реконструкция здания МАОУ «СОШ № 93» г. Перми (пристройка нового корпуса)</t>
  </si>
  <si>
    <t xml:space="preserve">Строительство нового корпуса МАОУ «Гимназия № 3» г. Перми
</t>
  </si>
  <si>
    <t>Строительство здания общеобразовательного учреждения по ул. Юнг Прикамья, 3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</si>
  <si>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</si>
  <si>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</si>
  <si>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 xml:space="preserve">Строительство спортивной площадки МАОУ «СОШ № 82» г. Перми
</t>
  </si>
  <si>
    <t>Строительство здания для размещения дошкольного образовательного учреждения по ул. Плеханова, 63</t>
  </si>
  <si>
    <t>Строительство спортивной площадки МАОУ «СОШ № 41» г. Перми</t>
  </si>
  <si>
    <t>0810143530</t>
  </si>
  <si>
    <t>0810143540</t>
  </si>
  <si>
    <t>0820141160</t>
  </si>
  <si>
    <t>0820141300</t>
  </si>
  <si>
    <t>0820142110</t>
  </si>
  <si>
    <t>0820241730</t>
  </si>
  <si>
    <t>0820241760</t>
  </si>
  <si>
    <t>0820241770</t>
  </si>
  <si>
    <t>0820241550</t>
  </si>
  <si>
    <t>1.</t>
  </si>
  <si>
    <t>6.</t>
  </si>
  <si>
    <t>2.</t>
  </si>
  <si>
    <t>5.</t>
  </si>
  <si>
    <t>7.</t>
  </si>
  <si>
    <t>3.</t>
  </si>
  <si>
    <t>4.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</si>
  <si>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</si>
  <si>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</si>
  <si>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</si>
  <si>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</si>
  <si>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</si>
  <si>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</si>
  <si>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</si>
  <si>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</si>
  <si>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</si>
  <si>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</si>
  <si>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</si>
  <si>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</si>
  <si>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</si>
  <si>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</si>
  <si>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</si>
  <si>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</si>
  <si>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</si>
  <si>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</si>
  <si>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</si>
  <si>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</si>
  <si>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</si>
  <si>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</si>
  <si>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</si>
  <si>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</si>
  <si>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</si>
  <si>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</si>
  <si>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</si>
  <si>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</si>
  <si>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55.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</si>
  <si>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</si>
  <si>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</si>
  <si>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</si>
  <si>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</si>
  <si>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</si>
  <si>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</si>
  <si>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</si>
  <si>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</si>
  <si>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</si>
  <si>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</si>
  <si>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</si>
  <si>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</si>
  <si>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</si>
  <si>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</si>
  <si>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</si>
  <si>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</si>
  <si>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</si>
  <si>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</si>
  <si>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</si>
  <si>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56.</t>
  </si>
  <si>
    <t>59.</t>
  </si>
  <si>
    <t>05101SP040</t>
  </si>
  <si>
    <t>08201SP040</t>
  </si>
  <si>
    <t>10201SТ040</t>
  </si>
  <si>
    <t>Строительство сетей водоснабжения в микрорайонах города Перми</t>
  </si>
  <si>
    <t xml:space="preserve">Строительство автомобильной дороги по ул. Маршала Жукова </t>
  </si>
  <si>
    <t xml:space="preserve"> Строительство автомобильной дороги по ул. Углеуральской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</si>
  <si>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</si>
  <si>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Реконструкция ул. Революции: 2 очередь моста через реку Егошиху</t>
  </si>
  <si>
    <t>Реконструкция шоссе Космонавтов от ул. Плеханова до площади ЦКР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</si>
  <si>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</si>
  <si>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</si>
  <si>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</si>
  <si>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Реконструкция ледовой арены МАУ ДО  «ДЮЦ «Здоровье»</t>
  </si>
  <si>
    <t>Реконструкция здания МБОУ  «Гимназия № 17» г. Перми (пристройка нового корпуса)</t>
  </si>
  <si>
    <t>Строительство приюта для содержания безнадзорных животных по ул. Верхне-Муллинской, 106а г. Перми</t>
  </si>
  <si>
    <t>Строительство парка Победы</t>
  </si>
  <si>
    <t>Поправки</t>
  </si>
  <si>
    <t>1510109502</t>
  </si>
  <si>
    <t>0820142120, 08201SH072</t>
  </si>
  <si>
    <t>0820141590, 08201SН071, 08201SР04В</t>
  </si>
  <si>
    <t>08201SР040, 08201SH070</t>
  </si>
  <si>
    <t>08201SН071</t>
  </si>
  <si>
    <t>08201SН070</t>
  </si>
  <si>
    <t>Уточнение февраль</t>
  </si>
  <si>
    <t>Реконструкция здания МАУ «Дворец молодежи» г. Перми</t>
  </si>
  <si>
    <t>0410241910</t>
  </si>
  <si>
    <t>Строительство здания для размещения дошкольного образовательного учреждения по ул. Евгения Пермяка, 8а</t>
  </si>
  <si>
    <t>Реконструкция здания под размещение общеобразовательной организации по ул. Целинной, 15</t>
  </si>
  <si>
    <t>Реконструкция ул. Социалистической от ПК7 до ПК10+50 с разворотным кольцом</t>
  </si>
  <si>
    <t xml:space="preserve">Реконструкция ул. Карпинского от ул. Мира до шоссе Космонавтов
</t>
  </si>
  <si>
    <t>Строительство автомобильной дороги Переход ул. Строителей – площадь Гайдара</t>
  </si>
  <si>
    <t>1020141930</t>
  </si>
  <si>
    <t>10201ST04N</t>
  </si>
  <si>
    <t>10201ST045</t>
  </si>
  <si>
    <t>1020341290</t>
  </si>
  <si>
    <t>1020141790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</si>
  <si>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</si>
  <si>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Строительство сквера по ул. Калгановской, 62</t>
  </si>
  <si>
    <t>Строительство сквера по ул. Екатерининской, 171</t>
  </si>
  <si>
    <t>1110541710</t>
  </si>
  <si>
    <t>1110541810</t>
  </si>
  <si>
    <t>1110541840</t>
  </si>
  <si>
    <t>10201ST04G, 1020141510</t>
  </si>
  <si>
    <t>08101L1590</t>
  </si>
  <si>
    <t>08101L1590, 08101SР040</t>
  </si>
  <si>
    <t>57.</t>
  </si>
  <si>
    <t>58.</t>
  </si>
  <si>
    <t>60.</t>
  </si>
  <si>
    <t>61.</t>
  </si>
  <si>
    <t>62.</t>
  </si>
  <si>
    <t>63.</t>
  </si>
  <si>
    <t>64.</t>
  </si>
  <si>
    <t>65.</t>
  </si>
  <si>
    <t>08201SР047, 082041390</t>
  </si>
  <si>
    <t>05101SР043, 0510141440</t>
  </si>
  <si>
    <t>Департамент жилищно-коммунального хозяйства</t>
  </si>
  <si>
    <t>Строительство резервуара для воды емкостью 5000 кубических метров на территории насосной станции «Заречная» города Перми</t>
  </si>
  <si>
    <t>Реконструкция системы очистки сточных вод в микрорайоне «Крым» Кировского района города Перми</t>
  </si>
  <si>
    <t>Санация и строительство 2-й нитки водовода Гайва - Заозерье</t>
  </si>
  <si>
    <t>Строительство водопроводных сетей в микрорайоне «Висим» Мотовилихинского района города Перми</t>
  </si>
  <si>
    <t>1710141150</t>
  </si>
  <si>
    <t>1710141090</t>
  </si>
  <si>
    <t>1710142260</t>
  </si>
  <si>
    <t>1710141210</t>
  </si>
  <si>
    <t>1710442380</t>
  </si>
  <si>
    <t>1710141320</t>
  </si>
  <si>
    <t>66.</t>
  </si>
  <si>
    <t>67.</t>
  </si>
  <si>
    <t>68.</t>
  </si>
  <si>
    <t>69.</t>
  </si>
  <si>
    <t>70.</t>
  </si>
  <si>
    <t>71.</t>
  </si>
  <si>
    <t>1020142320, 10201ST04Z</t>
  </si>
  <si>
    <t>Строительство тротуара по ул. Таежной в микрорайоне Соболи</t>
  </si>
  <si>
    <t>Реконструкция сквера на нижней части набережной реки Кама</t>
  </si>
  <si>
    <t>1320243710</t>
  </si>
  <si>
    <t xml:space="preserve">Реконструкция здания по ул. Ижевская, 25 </t>
  </si>
  <si>
    <t>0220443720</t>
  </si>
  <si>
    <t>ПРИЛОЖЕНИЕ 9</t>
  </si>
  <si>
    <t>от 18.12.2018 № 270</t>
  </si>
  <si>
    <t>Комитет февраль</t>
  </si>
  <si>
    <t>Уточнение апрель</t>
  </si>
  <si>
    <t>10201ST200</t>
  </si>
  <si>
    <t>Изъятие земельных участков и объектов недвижимости, имущества для реконструкции дорожных объектов города Перми</t>
  </si>
  <si>
    <t>1020142310, 10201ST04T</t>
  </si>
  <si>
    <t>Строительство автомобильной дороги «Соединение ул. Старцева – проспект Октябрят – ул. Восстания»</t>
  </si>
  <si>
    <t>10201ST04R</t>
  </si>
  <si>
    <t>10201ST040</t>
  </si>
  <si>
    <t>081P252320</t>
  </si>
  <si>
    <t>Оснащение безвозмездно переданного в муниципальную собственность здания для размещения дошкольной образовательной организации по ул. Революции</t>
  </si>
  <si>
    <t>0810141600, 081P252320</t>
  </si>
  <si>
    <t>0810141610, 081P252320</t>
  </si>
  <si>
    <t>0810141640, 08101SР04А, 081P252320</t>
  </si>
  <si>
    <t>Строительство здания для размещения дошкольного образовательного учреждения по ул. Байкальской, 26а</t>
  </si>
  <si>
    <t>0810141680, 081P252320</t>
  </si>
  <si>
    <t>0820141720, 08201SН073, 08201SP045</t>
  </si>
  <si>
    <t>0820241970</t>
  </si>
  <si>
    <t>Реконструкция стадиона «Юность»</t>
  </si>
  <si>
    <t>0510142140</t>
  </si>
  <si>
    <t>Комитет апрель</t>
  </si>
  <si>
    <t>Уточнение июнь</t>
  </si>
  <si>
    <t>Строительство системы очистных сооружений и водоотвода ливневых стоков на набережной реки Камы</t>
  </si>
  <si>
    <t>1020142520</t>
  </si>
  <si>
    <t>средства Фонда содействия реформированию жилищно-коммунального хозяйства</t>
  </si>
  <si>
    <t>151F309502</t>
  </si>
  <si>
    <t>15101SЖ160, 151F309602</t>
  </si>
  <si>
    <t>15101SЖ160, 1510142010, 1530100000, 1510121480, 151F309602</t>
  </si>
  <si>
    <t>13202SЖ240, 13202SP040</t>
  </si>
  <si>
    <t>1320242020, 13202SЖ241, 13202SP049</t>
  </si>
  <si>
    <t>0820141390</t>
  </si>
  <si>
    <t>Приобретение объектов недвижимого имущества по адресу: г. Пермь, ул. Барамзиной, 31, находящихся на земельном участке с кадастровым номером 59:01:4415053:25, расположенных в коридоре проектируемых дорог по ул. Барамзиной, ул. Углеуральской и ул. Гатчинской</t>
  </si>
  <si>
    <t>91900SЦ550</t>
  </si>
  <si>
    <t>Прочие объекты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</si>
  <si>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</si>
  <si>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Комитет июнь</t>
  </si>
  <si>
    <t>Уточнение август</t>
  </si>
  <si>
    <t>10201SТ040, 102R1ST040</t>
  </si>
  <si>
    <t>0210441040</t>
  </si>
  <si>
    <t>Строительство нового корпуса МАОУ «СОШ № 129» г. Перми</t>
  </si>
  <si>
    <t>0820141580</t>
  </si>
  <si>
    <t>0820142510</t>
  </si>
  <si>
    <t xml:space="preserve">Приобретение нежилого помещения для размещения участкового пункта полиции </t>
  </si>
  <si>
    <t>1020142570,10201ST04A</t>
  </si>
  <si>
    <t>0510141440</t>
  </si>
  <si>
    <t xml:space="preserve">Строительство блочной модульной котельной в микрорайоне «Южный» </t>
  </si>
  <si>
    <t>Строительство нового корпуса МАОУ «Техно-школа имени лётчика космонавта СССР, дважды героя советского союза В. П. Савиных» г. Перми</t>
  </si>
  <si>
    <t>081P251590</t>
  </si>
  <si>
    <t>Комитет август</t>
  </si>
  <si>
    <t>Строительство спортивной площадки МАОУ  «СОШ № 122» г. Перми</t>
  </si>
  <si>
    <t>Уточнение октябрь</t>
  </si>
  <si>
    <t>Строительство здания общеобразовательного учреждения по ул. Карпинского, 77а</t>
  </si>
  <si>
    <t>0820142550</t>
  </si>
  <si>
    <t>Строительство нового корпуса здания МАОУ «СОШ № 42» г. Перми по адресу: ул. Нестерова, 18 в г. Перми</t>
  </si>
  <si>
    <t>0820141180</t>
  </si>
  <si>
    <t>0810141690</t>
  </si>
  <si>
    <t xml:space="preserve">Департамент  дорог и благоустройства </t>
  </si>
  <si>
    <t>Департамент земельных отношений</t>
  </si>
  <si>
    <t>1020141500, 10201ST04D, 102R1ST04D</t>
  </si>
  <si>
    <t>9190041010</t>
  </si>
  <si>
    <t>Реконструкция здания МАДОУ «Детский сад  «IT мир» г. Перми</t>
  </si>
  <si>
    <t>ПРИЛОЖЕНИЕ 8</t>
  </si>
  <si>
    <t xml:space="preserve">Департамент дорог и благоустройства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</si>
</sst>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6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1" fillId="2" borderId="0" xfId="0" applyFont="1" applyFill="1"/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/>
    <xf numFmtId="164" fontId="3" fillId="2" borderId="2" xfId="0" applyNumberFormat="1" applyFont="1" applyFill="1" applyBorder="1" applyAlignment="1">
      <alignment horizontal="left" vertical="top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65" fontId="1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top"/>
    </xf>
    <xf numFmtId="49" fontId="4" fillId="3" borderId="0" xfId="0" applyNumberFormat="1" applyFont="1" applyFill="1" applyAlignment="1">
      <alignment horizontal="left" vertical="center"/>
    </xf>
    <xf numFmtId="164" fontId="3" fillId="2" borderId="4" xfId="0" applyNumberFormat="1" applyFont="1" applyFill="1" applyBorder="1" applyAlignment="1">
      <alignment horizontal="left" vertical="center" wrapText="1"/>
    </xf>
    <xf numFmtId="164" fontId="3" fillId="2" borderId="8" xfId="0" applyNumberFormat="1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164" fontId="3" fillId="2" borderId="12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164" fontId="3" fillId="2" borderId="7" xfId="0" applyNumberFormat="1" applyFont="1" applyFill="1" applyBorder="1" applyAlignment="1">
      <alignment horizontal="left" vertical="center" wrapText="1"/>
    </xf>
    <xf numFmtId="164" fontId="3" fillId="2" borderId="7" xfId="0" applyNumberFormat="1" applyFont="1" applyFill="1" applyBorder="1" applyAlignment="1">
      <alignment horizontal="left" vertical="top" wrapText="1"/>
    </xf>
    <xf numFmtId="49" fontId="4" fillId="4" borderId="0" xfId="0" applyNumberFormat="1" applyFont="1" applyFill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3" fillId="2" borderId="3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vertical="top" wrapText="1"/>
    </xf>
    <xf numFmtId="164" fontId="3" fillId="2" borderId="4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Z254"/>
  <sheetViews>
    <sheetView tabSelected="1" topLeftCell="A35" zoomScale="70" zoomScaleNormal="70" workbookViewId="0">
      <selection activeCell="AC12" sqref="AC12"/>
    </sheetView>
  </sheetViews>
  <sheetFormatPr defaultColWidth="9.140625" defaultRowHeight="18.75" x14ac:dyDescent="0.25"/>
  <cols>
    <col min="1" max="1" width="5.42578125" style="2" customWidth="1"/>
    <col min="2" max="2" width="76.85546875" style="18" customWidth="1"/>
    <col min="3" max="3" width="20.28515625" style="6" customWidth="1"/>
    <col min="4" max="22" width="17.5703125" style="20" hidden="1" customWidth="1"/>
    <col min="23" max="23" width="17.5703125" style="25" hidden="1" customWidth="1"/>
    <col min="24" max="24" width="17.5703125" style="20" customWidth="1"/>
    <col min="25" max="25" width="27.85546875" style="22" hidden="1" customWidth="1"/>
    <col min="26" max="26" width="6.140625" style="8" hidden="1" customWidth="1"/>
    <col min="27" max="44" width="20.85546875" style="2" customWidth="1"/>
    <col min="45" max="16384" width="9.140625" style="2"/>
  </cols>
  <sheetData>
    <row r="1" spans="1:26" x14ac:dyDescent="0.25">
      <c r="X1" s="20" t="s">
        <v>300</v>
      </c>
    </row>
    <row r="2" spans="1:26" x14ac:dyDescent="0.25">
      <c r="X2" s="20" t="s">
        <v>21</v>
      </c>
    </row>
    <row r="3" spans="1:26" x14ac:dyDescent="0.25">
      <c r="X3" s="20" t="s">
        <v>22</v>
      </c>
    </row>
    <row r="5" spans="1:26" x14ac:dyDescent="0.25">
      <c r="X5" s="20" t="s">
        <v>238</v>
      </c>
    </row>
    <row r="6" spans="1:26" x14ac:dyDescent="0.25">
      <c r="X6" s="20" t="s">
        <v>21</v>
      </c>
    </row>
    <row r="7" spans="1:26" x14ac:dyDescent="0.25">
      <c r="D7" s="21"/>
      <c r="E7" s="21"/>
      <c r="F7" s="21"/>
      <c r="G7" s="21"/>
      <c r="I7" s="21"/>
      <c r="K7" s="21"/>
      <c r="M7" s="21"/>
      <c r="O7" s="21"/>
      <c r="Q7" s="21"/>
      <c r="S7" s="21"/>
      <c r="U7" s="21"/>
      <c r="W7" s="26"/>
      <c r="X7" s="20" t="s">
        <v>22</v>
      </c>
    </row>
    <row r="8" spans="1:26" x14ac:dyDescent="0.25">
      <c r="D8" s="21"/>
      <c r="E8" s="21"/>
      <c r="F8" s="21"/>
      <c r="G8" s="21"/>
      <c r="I8" s="21"/>
      <c r="K8" s="21"/>
      <c r="M8" s="21"/>
      <c r="O8" s="21"/>
      <c r="Q8" s="21"/>
      <c r="S8" s="21"/>
      <c r="U8" s="21"/>
      <c r="W8" s="26"/>
      <c r="X8" s="20" t="s">
        <v>239</v>
      </c>
    </row>
    <row r="9" spans="1:26" x14ac:dyDescent="0.25">
      <c r="D9" s="21"/>
      <c r="E9" s="21"/>
      <c r="F9" s="21"/>
      <c r="G9" s="21"/>
      <c r="I9" s="21"/>
      <c r="K9" s="21"/>
      <c r="M9" s="21"/>
      <c r="O9" s="21"/>
      <c r="Q9" s="21"/>
      <c r="S9" s="21"/>
      <c r="U9" s="21"/>
      <c r="W9" s="26"/>
    </row>
    <row r="10" spans="1:26" ht="18.75" customHeight="1" x14ac:dyDescent="0.25">
      <c r="A10" s="76" t="s">
        <v>27</v>
      </c>
      <c r="B10" s="77"/>
      <c r="C10" s="78"/>
      <c r="D10" s="79"/>
      <c r="E10" s="80"/>
      <c r="F10" s="81"/>
      <c r="G10" s="80"/>
      <c r="H10" s="81"/>
      <c r="I10" s="80"/>
      <c r="J10" s="80"/>
      <c r="K10" s="80"/>
      <c r="L10" s="81"/>
      <c r="M10" s="80"/>
      <c r="N10" s="80"/>
      <c r="O10" s="80"/>
      <c r="P10" s="81"/>
      <c r="Q10" s="80"/>
      <c r="R10" s="80"/>
      <c r="S10" s="80"/>
      <c r="T10" s="81"/>
      <c r="U10" s="80"/>
      <c r="V10" s="80"/>
      <c r="W10" s="80"/>
      <c r="X10" s="81"/>
    </row>
    <row r="11" spans="1:26" ht="15.75" customHeight="1" x14ac:dyDescent="0.25">
      <c r="A11" s="76" t="s">
        <v>28</v>
      </c>
      <c r="B11" s="77"/>
      <c r="C11" s="78"/>
      <c r="D11" s="79"/>
      <c r="E11" s="80"/>
      <c r="F11" s="81"/>
      <c r="G11" s="80"/>
      <c r="H11" s="81"/>
      <c r="I11" s="80"/>
      <c r="J11" s="80"/>
      <c r="K11" s="80"/>
      <c r="L11" s="81"/>
      <c r="M11" s="80"/>
      <c r="N11" s="80"/>
      <c r="O11" s="80"/>
      <c r="P11" s="81"/>
      <c r="Q11" s="80"/>
      <c r="R11" s="80"/>
      <c r="S11" s="80"/>
      <c r="T11" s="81"/>
      <c r="U11" s="80"/>
      <c r="V11" s="80"/>
      <c r="W11" s="80"/>
      <c r="X11" s="81"/>
    </row>
    <row r="12" spans="1:26" ht="19.5" customHeight="1" x14ac:dyDescent="0.25">
      <c r="A12" s="82"/>
      <c r="B12" s="77"/>
      <c r="C12" s="78"/>
      <c r="D12" s="79"/>
      <c r="E12" s="80"/>
      <c r="F12" s="81"/>
      <c r="G12" s="80"/>
      <c r="H12" s="81"/>
      <c r="I12" s="80"/>
      <c r="J12" s="80"/>
      <c r="K12" s="80"/>
      <c r="L12" s="81"/>
      <c r="M12" s="80"/>
      <c r="N12" s="80"/>
      <c r="O12" s="80"/>
      <c r="P12" s="81"/>
      <c r="Q12" s="80"/>
      <c r="R12" s="80"/>
      <c r="S12" s="80"/>
      <c r="T12" s="81"/>
      <c r="U12" s="80"/>
      <c r="V12" s="80"/>
      <c r="W12" s="80"/>
      <c r="X12" s="81"/>
    </row>
    <row r="13" spans="1:26" x14ac:dyDescent="0.25">
      <c r="A13" s="7"/>
      <c r="B13" s="19"/>
      <c r="T13" s="20" t="s">
        <v>23</v>
      </c>
      <c r="X13" s="20" t="s">
        <v>23</v>
      </c>
      <c r="Y13" s="23"/>
    </row>
    <row r="14" spans="1:26" ht="21" customHeight="1" x14ac:dyDescent="0.25">
      <c r="A14" s="83" t="s">
        <v>0</v>
      </c>
      <c r="B14" s="83" t="s">
        <v>17</v>
      </c>
      <c r="C14" s="83" t="s">
        <v>13</v>
      </c>
      <c r="D14" s="74" t="s">
        <v>83</v>
      </c>
      <c r="E14" s="74" t="s">
        <v>176</v>
      </c>
      <c r="F14" s="74" t="s">
        <v>83</v>
      </c>
      <c r="G14" s="74" t="s">
        <v>183</v>
      </c>
      <c r="H14" s="74" t="s">
        <v>83</v>
      </c>
      <c r="I14" s="74" t="s">
        <v>240</v>
      </c>
      <c r="J14" s="74" t="s">
        <v>83</v>
      </c>
      <c r="K14" s="74" t="s">
        <v>241</v>
      </c>
      <c r="L14" s="74" t="s">
        <v>83</v>
      </c>
      <c r="M14" s="74" t="s">
        <v>259</v>
      </c>
      <c r="N14" s="74" t="s">
        <v>83</v>
      </c>
      <c r="O14" s="74" t="s">
        <v>260</v>
      </c>
      <c r="P14" s="74" t="s">
        <v>83</v>
      </c>
      <c r="Q14" s="74" t="s">
        <v>274</v>
      </c>
      <c r="R14" s="74" t="s">
        <v>83</v>
      </c>
      <c r="S14" s="74" t="s">
        <v>275</v>
      </c>
      <c r="T14" s="74" t="s">
        <v>83</v>
      </c>
      <c r="U14" s="74" t="s">
        <v>287</v>
      </c>
      <c r="V14" s="74" t="s">
        <v>83</v>
      </c>
      <c r="W14" s="72" t="s">
        <v>289</v>
      </c>
      <c r="X14" s="74" t="s">
        <v>83</v>
      </c>
    </row>
    <row r="15" spans="1:26" ht="21" customHeight="1" x14ac:dyDescent="0.25">
      <c r="A15" s="84"/>
      <c r="B15" s="84"/>
      <c r="C15" s="84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3"/>
      <c r="X15" s="75"/>
    </row>
    <row r="16" spans="1:26" x14ac:dyDescent="0.25">
      <c r="A16" s="1"/>
      <c r="B16" s="10" t="s">
        <v>1</v>
      </c>
      <c r="C16" s="9"/>
      <c r="D16" s="28">
        <f>D18+D19+D20</f>
        <v>1120344.9000000001</v>
      </c>
      <c r="E16" s="28">
        <f>E18+E19+E20</f>
        <v>22156.135000000002</v>
      </c>
      <c r="F16" s="28">
        <f>D16+E16</f>
        <v>1142501.0350000001</v>
      </c>
      <c r="G16" s="28">
        <f>G18+G19+G20</f>
        <v>-39422.465000000004</v>
      </c>
      <c r="H16" s="28">
        <f>F16+G16</f>
        <v>1103078.57</v>
      </c>
      <c r="I16" s="28">
        <f>I18+I19+I20</f>
        <v>0</v>
      </c>
      <c r="J16" s="28">
        <f>H16+I16</f>
        <v>1103078.57</v>
      </c>
      <c r="K16" s="28">
        <f>K18+K19+K20</f>
        <v>4797.804999999993</v>
      </c>
      <c r="L16" s="28">
        <f>J16+K16</f>
        <v>1107876.375</v>
      </c>
      <c r="M16" s="28">
        <f>M18+M19+M20</f>
        <v>-8185.34</v>
      </c>
      <c r="N16" s="28">
        <f>L16+M16</f>
        <v>1099691.0349999999</v>
      </c>
      <c r="O16" s="28">
        <f>O18+O19+O20</f>
        <v>5586.3119999999999</v>
      </c>
      <c r="P16" s="28">
        <f>N16+O16</f>
        <v>1105277.3469999998</v>
      </c>
      <c r="Q16" s="28">
        <f>Q18+Q19+Q20</f>
        <v>0</v>
      </c>
      <c r="R16" s="28">
        <f>P16+Q16</f>
        <v>1105277.3469999998</v>
      </c>
      <c r="S16" s="28">
        <f>S18+S19+S20</f>
        <v>-125034.534</v>
      </c>
      <c r="T16" s="28">
        <f>R16+S16</f>
        <v>980242.81299999985</v>
      </c>
      <c r="U16" s="28">
        <f>U18+U19+U20</f>
        <v>-2266.5940000000001</v>
      </c>
      <c r="V16" s="28">
        <f>T16+U16</f>
        <v>977976.21899999981</v>
      </c>
      <c r="W16" s="28">
        <f>W18+W19+W20</f>
        <v>-62243.261000000006</v>
      </c>
      <c r="X16" s="29">
        <f>V16+W16</f>
        <v>915732.95799999975</v>
      </c>
      <c r="Y16" s="61"/>
      <c r="Z16" s="62"/>
    </row>
    <row r="17" spans="1:26" x14ac:dyDescent="0.25">
      <c r="A17" s="1"/>
      <c r="B17" s="12" t="s">
        <v>2</v>
      </c>
      <c r="C17" s="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30"/>
      <c r="X17" s="29"/>
    </row>
    <row r="18" spans="1:26" hidden="1" x14ac:dyDescent="0.3">
      <c r="A18" s="1"/>
      <c r="B18" s="12" t="s">
        <v>3</v>
      </c>
      <c r="C18" s="10"/>
      <c r="D18" s="31">
        <f>D21+D26+D33+D36+D37+D45+D47+D50+D54+D58+D61+D62+D63+D64+D65+D66+D67</f>
        <v>691494.9</v>
      </c>
      <c r="E18" s="31">
        <f>E21+E26+E33+E36+E37+E45+E47+E50+E54+E58+E61+E62+E63+E64+E65+E66+E67</f>
        <v>22156.135000000002</v>
      </c>
      <c r="F18" s="29">
        <f t="shared" ref="F18:F115" si="0">D18+E18</f>
        <v>713651.03500000003</v>
      </c>
      <c r="G18" s="31">
        <f>G21+G26+G33+G36+G37+G45+G47+G50+G54+G58+G61+G62+G63+G64+G65+G66+G67</f>
        <v>-39422.465000000004</v>
      </c>
      <c r="H18" s="29">
        <f t="shared" ref="H18:H31" si="1">F18+G18</f>
        <v>674228.57000000007</v>
      </c>
      <c r="I18" s="31">
        <f>I21+I26+I33+I36+I37+I45+I47+I50+I54+I58+I61+I62+I63+I64+I65+I66+I67</f>
        <v>0</v>
      </c>
      <c r="J18" s="29">
        <f t="shared" ref="J18:J31" si="2">H18+I18</f>
        <v>674228.57000000007</v>
      </c>
      <c r="K18" s="31">
        <f>K33+K36+K45+K47+K50+K54+K58+K61+K62+K63+K64+K65+K66+K67+K39+K28+K23+K70+K73</f>
        <v>-94735.835999999981</v>
      </c>
      <c r="L18" s="29">
        <f t="shared" ref="L18:L31" si="3">J18+K18</f>
        <v>579492.73400000005</v>
      </c>
      <c r="M18" s="31">
        <f>M33+M36+M45+M47+M50+M54+M58+M61+M62+M63+M64+M65+M66+M67+M39+M28+M23+M70+M73</f>
        <v>-8185.34</v>
      </c>
      <c r="N18" s="29">
        <f t="shared" ref="N18:N21" si="4">L18+M18</f>
        <v>571307.39400000009</v>
      </c>
      <c r="O18" s="31">
        <f>O33+O36+O45+O47+O50+O54+O58+O61+O62+O63+O64+O65+O66+O67+O39+O28+O23+O70+O73+O42</f>
        <v>5586.3119999999999</v>
      </c>
      <c r="P18" s="29">
        <f t="shared" ref="P18:P21" si="5">N18+O18</f>
        <v>576893.70600000012</v>
      </c>
      <c r="Q18" s="31">
        <f>Q33+Q36+Q45+Q47+Q50+Q54+Q58+Q61+Q62+Q63+Q64+Q65+Q66+Q67+Q39+Q28+Q23+Q70+Q73+Q42</f>
        <v>0</v>
      </c>
      <c r="R18" s="29">
        <f t="shared" ref="R18:R21" si="6">P18+Q18</f>
        <v>576893.70600000012</v>
      </c>
      <c r="S18" s="31">
        <f>S33+S36+S45+S47+S50+S54+S58+S61+S62+S63+S64+S65+S66+S67+S39+S28+S23+S70+S73+S42+S74+S75</f>
        <v>-125034.534</v>
      </c>
      <c r="T18" s="29">
        <f t="shared" ref="T18:T21" si="7">R18+S18</f>
        <v>451859.17200000014</v>
      </c>
      <c r="U18" s="31">
        <f>U33+U36+U45+U47+U50+U54+U58+U61+U62+U63+U64+U65+U66+U67+U39+U28+U23+U70+U73+U42+U74+U75</f>
        <v>-2266.5940000000001</v>
      </c>
      <c r="V18" s="29">
        <f t="shared" ref="V18:V21" si="8">T18+U18</f>
        <v>449592.57800000015</v>
      </c>
      <c r="W18" s="32">
        <f>W33+W36+W45+W47+W50+W54+W58+W61+W62+W63+W64+W65+W66+W67+W39+W28+W23+W70+W73+W42+W74+W75+W76+W77+W78</f>
        <v>-62243.261000000006</v>
      </c>
      <c r="X18" s="29">
        <f t="shared" ref="X18:X21" si="9">V18+W18</f>
        <v>387349.31700000016</v>
      </c>
      <c r="Z18" s="8">
        <v>0</v>
      </c>
    </row>
    <row r="19" spans="1:26" x14ac:dyDescent="0.25">
      <c r="A19" s="1"/>
      <c r="B19" s="12" t="s">
        <v>16</v>
      </c>
      <c r="C19" s="9"/>
      <c r="D19" s="29">
        <f>D34+D46+D51+D55+D59</f>
        <v>378355.19999999995</v>
      </c>
      <c r="E19" s="29">
        <f>E34+E46+E51+E55+E59</f>
        <v>0</v>
      </c>
      <c r="F19" s="29">
        <f t="shared" si="0"/>
        <v>378355.19999999995</v>
      </c>
      <c r="G19" s="29">
        <f>G34+G46+G51+G55+G59</f>
        <v>0</v>
      </c>
      <c r="H19" s="29">
        <f t="shared" si="1"/>
        <v>378355.19999999995</v>
      </c>
      <c r="I19" s="29">
        <f>I34+I46+I51+I55+I59</f>
        <v>0</v>
      </c>
      <c r="J19" s="29">
        <f t="shared" si="2"/>
        <v>378355.19999999995</v>
      </c>
      <c r="K19" s="29">
        <f>K34+K46+K51+K55+K59+K40+K24+K29+K71</f>
        <v>-83064.659</v>
      </c>
      <c r="L19" s="29">
        <f t="shared" si="3"/>
        <v>295290.54099999997</v>
      </c>
      <c r="M19" s="29">
        <f>M34+M46+M51+M55+M59+M40+M24+M29+M71</f>
        <v>0</v>
      </c>
      <c r="N19" s="29">
        <f t="shared" si="4"/>
        <v>295290.54099999997</v>
      </c>
      <c r="O19" s="29">
        <f>O34+O46+O51+O55+O59+O40+O24+O29+O71</f>
        <v>0</v>
      </c>
      <c r="P19" s="29">
        <f t="shared" si="5"/>
        <v>295290.54099999997</v>
      </c>
      <c r="Q19" s="29">
        <f>Q34+Q46+Q51+Q55+Q59+Q40+Q24+Q29+Q71</f>
        <v>0</v>
      </c>
      <c r="R19" s="29">
        <f t="shared" si="6"/>
        <v>295290.54099999997</v>
      </c>
      <c r="S19" s="29">
        <f>S34+S46+S51+S55+S59+S40+S24+S29+S71</f>
        <v>0</v>
      </c>
      <c r="T19" s="29">
        <f t="shared" si="7"/>
        <v>295290.54099999997</v>
      </c>
      <c r="U19" s="29">
        <f>U34+U46+U51+U55+U59+U40+U24+U29+U71</f>
        <v>0</v>
      </c>
      <c r="V19" s="29">
        <f t="shared" si="8"/>
        <v>295290.54099999997</v>
      </c>
      <c r="W19" s="30">
        <f>W34+W46+W51+W55+W59+W40+W24+W29+W71</f>
        <v>0</v>
      </c>
      <c r="X19" s="29">
        <f t="shared" si="9"/>
        <v>295290.54099999997</v>
      </c>
    </row>
    <row r="20" spans="1:26" x14ac:dyDescent="0.25">
      <c r="A20" s="1"/>
      <c r="B20" s="12" t="s">
        <v>20</v>
      </c>
      <c r="C20" s="9"/>
      <c r="D20" s="29">
        <f>D35</f>
        <v>50494.8</v>
      </c>
      <c r="E20" s="29">
        <f>E35</f>
        <v>0</v>
      </c>
      <c r="F20" s="29">
        <f t="shared" si="0"/>
        <v>50494.8</v>
      </c>
      <c r="G20" s="29">
        <f>G35</f>
        <v>0</v>
      </c>
      <c r="H20" s="29">
        <f t="shared" si="1"/>
        <v>50494.8</v>
      </c>
      <c r="I20" s="29">
        <f>I35</f>
        <v>0</v>
      </c>
      <c r="J20" s="29">
        <f t="shared" si="2"/>
        <v>50494.8</v>
      </c>
      <c r="K20" s="29">
        <f>K35+K41+K25+K30+K72</f>
        <v>182598.3</v>
      </c>
      <c r="L20" s="29">
        <f t="shared" si="3"/>
        <v>233093.09999999998</v>
      </c>
      <c r="M20" s="29">
        <f>M35+M41+M25+M30+M72</f>
        <v>0</v>
      </c>
      <c r="N20" s="29">
        <f t="shared" si="4"/>
        <v>233093.09999999998</v>
      </c>
      <c r="O20" s="29">
        <f>O35+O41+O25+O30+O72</f>
        <v>0</v>
      </c>
      <c r="P20" s="29">
        <f t="shared" si="5"/>
        <v>233093.09999999998</v>
      </c>
      <c r="Q20" s="29">
        <f>Q35+Q41+Q25+Q30+Q72</f>
        <v>0</v>
      </c>
      <c r="R20" s="29">
        <f t="shared" si="6"/>
        <v>233093.09999999998</v>
      </c>
      <c r="S20" s="29">
        <f>S35+S41+S25+S30+S72</f>
        <v>0</v>
      </c>
      <c r="T20" s="29">
        <f t="shared" si="7"/>
        <v>233093.09999999998</v>
      </c>
      <c r="U20" s="29">
        <f>U35+U41+U25+U30+U72</f>
        <v>0</v>
      </c>
      <c r="V20" s="29">
        <f t="shared" si="8"/>
        <v>233093.09999999998</v>
      </c>
      <c r="W20" s="30">
        <f>W35+W41+W25+W30+W72</f>
        <v>0</v>
      </c>
      <c r="X20" s="29">
        <f t="shared" si="9"/>
        <v>233093.09999999998</v>
      </c>
    </row>
    <row r="21" spans="1:26" ht="66" customHeight="1" x14ac:dyDescent="0.25">
      <c r="A21" s="1" t="s">
        <v>103</v>
      </c>
      <c r="B21" s="70" t="s">
        <v>186</v>
      </c>
      <c r="C21" s="69" t="s">
        <v>45</v>
      </c>
      <c r="D21" s="29">
        <f>D23</f>
        <v>11540.8</v>
      </c>
      <c r="E21" s="29"/>
      <c r="F21" s="29">
        <f t="shared" si="0"/>
        <v>11540.8</v>
      </c>
      <c r="G21" s="29"/>
      <c r="H21" s="29">
        <f t="shared" si="1"/>
        <v>11540.8</v>
      </c>
      <c r="I21" s="29"/>
      <c r="J21" s="29">
        <f t="shared" si="2"/>
        <v>11540.8</v>
      </c>
      <c r="K21" s="29">
        <f>K23+K24+K25</f>
        <v>82182.080000000002</v>
      </c>
      <c r="L21" s="29">
        <f t="shared" si="3"/>
        <v>93722.880000000005</v>
      </c>
      <c r="M21" s="29">
        <f>M23+M24+M25</f>
        <v>0</v>
      </c>
      <c r="N21" s="29">
        <f t="shared" si="4"/>
        <v>93722.880000000005</v>
      </c>
      <c r="O21" s="29">
        <f>O23+O24+O25</f>
        <v>0</v>
      </c>
      <c r="P21" s="29">
        <f t="shared" si="5"/>
        <v>93722.880000000005</v>
      </c>
      <c r="Q21" s="29">
        <f>Q23+Q24+Q25</f>
        <v>0</v>
      </c>
      <c r="R21" s="29">
        <f t="shared" si="6"/>
        <v>93722.880000000005</v>
      </c>
      <c r="S21" s="29">
        <f>S23+S24+S25</f>
        <v>0</v>
      </c>
      <c r="T21" s="29">
        <f t="shared" si="7"/>
        <v>93722.880000000005</v>
      </c>
      <c r="U21" s="29">
        <f>U23+U24+U25</f>
        <v>0</v>
      </c>
      <c r="V21" s="29">
        <f t="shared" si="8"/>
        <v>93722.880000000005</v>
      </c>
      <c r="W21" s="30">
        <f>W23+W24+W25</f>
        <v>-15088.441000000001</v>
      </c>
      <c r="X21" s="29">
        <f t="shared" si="9"/>
        <v>78634.438999999998</v>
      </c>
    </row>
    <row r="22" spans="1:26" x14ac:dyDescent="0.3">
      <c r="A22" s="1"/>
      <c r="B22" s="12" t="s">
        <v>2</v>
      </c>
      <c r="C22" s="10"/>
      <c r="D22" s="31"/>
      <c r="E22" s="31"/>
      <c r="F22" s="29"/>
      <c r="G22" s="31"/>
      <c r="H22" s="29"/>
      <c r="I22" s="31"/>
      <c r="J22" s="29"/>
      <c r="K22" s="31"/>
      <c r="L22" s="29"/>
      <c r="M22" s="31"/>
      <c r="N22" s="29"/>
      <c r="O22" s="31"/>
      <c r="P22" s="29"/>
      <c r="Q22" s="31"/>
      <c r="R22" s="29"/>
      <c r="S22" s="31"/>
      <c r="T22" s="29"/>
      <c r="U22" s="31"/>
      <c r="V22" s="29"/>
      <c r="W22" s="32"/>
      <c r="X22" s="29"/>
    </row>
    <row r="23" spans="1:26" hidden="1" x14ac:dyDescent="0.3">
      <c r="A23" s="1"/>
      <c r="B23" s="12" t="s">
        <v>3</v>
      </c>
      <c r="C23" s="10"/>
      <c r="D23" s="31">
        <v>11540.8</v>
      </c>
      <c r="E23" s="31"/>
      <c r="F23" s="29">
        <f t="shared" si="0"/>
        <v>11540.8</v>
      </c>
      <c r="G23" s="31"/>
      <c r="H23" s="29">
        <f t="shared" si="1"/>
        <v>11540.8</v>
      </c>
      <c r="I23" s="31"/>
      <c r="J23" s="29">
        <f t="shared" si="2"/>
        <v>11540.8</v>
      </c>
      <c r="K23" s="31">
        <f>15264.83+66.85</f>
        <v>15331.68</v>
      </c>
      <c r="L23" s="29">
        <f t="shared" si="3"/>
        <v>26872.48</v>
      </c>
      <c r="M23" s="31"/>
      <c r="N23" s="29">
        <f t="shared" ref="N23:N25" si="10">L23+M23</f>
        <v>26872.48</v>
      </c>
      <c r="O23" s="31"/>
      <c r="P23" s="29">
        <f t="shared" ref="P23:P25" si="11">N23+O23</f>
        <v>26872.48</v>
      </c>
      <c r="Q23" s="31"/>
      <c r="R23" s="29">
        <f t="shared" ref="R23:R25" si="12">P23+Q23</f>
        <v>26872.48</v>
      </c>
      <c r="S23" s="31"/>
      <c r="T23" s="29">
        <f t="shared" ref="T23:T25" si="13">R23+S23</f>
        <v>26872.48</v>
      </c>
      <c r="U23" s="31"/>
      <c r="V23" s="29">
        <f t="shared" ref="V23:V25" si="14">T23+U23</f>
        <v>26872.48</v>
      </c>
      <c r="W23" s="32">
        <v>-15088.441000000001</v>
      </c>
      <c r="X23" s="29">
        <f t="shared" ref="X23:X25" si="15">V23+W23</f>
        <v>11784.038999999999</v>
      </c>
      <c r="Y23" s="22" t="s">
        <v>250</v>
      </c>
      <c r="Z23" s="8">
        <v>0</v>
      </c>
    </row>
    <row r="24" spans="1:26" x14ac:dyDescent="0.3">
      <c r="A24" s="1"/>
      <c r="B24" s="12" t="s">
        <v>16</v>
      </c>
      <c r="C24" s="10"/>
      <c r="D24" s="31"/>
      <c r="E24" s="31"/>
      <c r="F24" s="29"/>
      <c r="G24" s="31"/>
      <c r="H24" s="29"/>
      <c r="I24" s="31"/>
      <c r="J24" s="29"/>
      <c r="K24" s="31">
        <v>3342.5</v>
      </c>
      <c r="L24" s="29">
        <f t="shared" si="3"/>
        <v>3342.5</v>
      </c>
      <c r="M24" s="31"/>
      <c r="N24" s="29">
        <f t="shared" si="10"/>
        <v>3342.5</v>
      </c>
      <c r="O24" s="31"/>
      <c r="P24" s="29">
        <f t="shared" si="11"/>
        <v>3342.5</v>
      </c>
      <c r="Q24" s="31"/>
      <c r="R24" s="29">
        <f t="shared" si="12"/>
        <v>3342.5</v>
      </c>
      <c r="S24" s="31"/>
      <c r="T24" s="29">
        <f t="shared" si="13"/>
        <v>3342.5</v>
      </c>
      <c r="U24" s="31"/>
      <c r="V24" s="29">
        <f t="shared" si="14"/>
        <v>3342.5</v>
      </c>
      <c r="W24" s="32"/>
      <c r="X24" s="29">
        <f t="shared" si="15"/>
        <v>3342.5</v>
      </c>
      <c r="Y24" s="22" t="s">
        <v>248</v>
      </c>
    </row>
    <row r="25" spans="1:26" x14ac:dyDescent="0.3">
      <c r="A25" s="1"/>
      <c r="B25" s="12" t="s">
        <v>20</v>
      </c>
      <c r="C25" s="10"/>
      <c r="D25" s="31"/>
      <c r="E25" s="31"/>
      <c r="F25" s="29"/>
      <c r="G25" s="31"/>
      <c r="H25" s="29"/>
      <c r="I25" s="31"/>
      <c r="J25" s="29"/>
      <c r="K25" s="31">
        <v>63507.9</v>
      </c>
      <c r="L25" s="29">
        <f t="shared" si="3"/>
        <v>63507.9</v>
      </c>
      <c r="M25" s="31"/>
      <c r="N25" s="29">
        <f t="shared" si="10"/>
        <v>63507.9</v>
      </c>
      <c r="O25" s="31"/>
      <c r="P25" s="29">
        <f t="shared" si="11"/>
        <v>63507.9</v>
      </c>
      <c r="Q25" s="31"/>
      <c r="R25" s="29">
        <f t="shared" si="12"/>
        <v>63507.9</v>
      </c>
      <c r="S25" s="31"/>
      <c r="T25" s="29">
        <f t="shared" si="13"/>
        <v>63507.9</v>
      </c>
      <c r="U25" s="31"/>
      <c r="V25" s="29">
        <f t="shared" si="14"/>
        <v>63507.9</v>
      </c>
      <c r="W25" s="32"/>
      <c r="X25" s="29">
        <f t="shared" si="15"/>
        <v>63507.9</v>
      </c>
      <c r="Y25" s="22" t="s">
        <v>248</v>
      </c>
    </row>
    <row r="26" spans="1:26" ht="66" customHeight="1" x14ac:dyDescent="0.25">
      <c r="A26" s="1" t="s">
        <v>105</v>
      </c>
      <c r="B26" s="70" t="s">
        <v>84</v>
      </c>
      <c r="C26" s="69" t="s">
        <v>45</v>
      </c>
      <c r="D26" s="33">
        <v>68901</v>
      </c>
      <c r="E26" s="33"/>
      <c r="F26" s="29">
        <f t="shared" si="0"/>
        <v>68901</v>
      </c>
      <c r="G26" s="33"/>
      <c r="H26" s="29">
        <f t="shared" si="1"/>
        <v>68901</v>
      </c>
      <c r="I26" s="33"/>
      <c r="J26" s="29">
        <f t="shared" si="2"/>
        <v>68901</v>
      </c>
      <c r="K26" s="33">
        <f>K28+K29+K30</f>
        <v>37604.76</v>
      </c>
      <c r="L26" s="29">
        <f>J26+K26</f>
        <v>106505.76000000001</v>
      </c>
      <c r="M26" s="33">
        <f>M28+M29+M30</f>
        <v>0</v>
      </c>
      <c r="N26" s="29">
        <f>L26+M26</f>
        <v>106505.76000000001</v>
      </c>
      <c r="O26" s="33">
        <f>O28+O29+O30</f>
        <v>0</v>
      </c>
      <c r="P26" s="29">
        <f>N26+O26</f>
        <v>106505.76000000001</v>
      </c>
      <c r="Q26" s="33">
        <f>Q28+Q29+Q30</f>
        <v>0</v>
      </c>
      <c r="R26" s="29">
        <f>P26+Q26</f>
        <v>106505.76000000001</v>
      </c>
      <c r="S26" s="33">
        <f>S28+S29+S30</f>
        <v>0</v>
      </c>
      <c r="T26" s="29">
        <f>R26+S26</f>
        <v>106505.76000000001</v>
      </c>
      <c r="U26" s="33">
        <f>U28+U29+U30</f>
        <v>0</v>
      </c>
      <c r="V26" s="29">
        <f>T26+U26</f>
        <v>106505.76000000001</v>
      </c>
      <c r="W26" s="37">
        <f>W28+W29+W30</f>
        <v>-32110.240999999998</v>
      </c>
      <c r="X26" s="29">
        <f>V26+W26</f>
        <v>74395.519000000015</v>
      </c>
      <c r="Z26" s="15"/>
    </row>
    <row r="27" spans="1:26" x14ac:dyDescent="0.3">
      <c r="A27" s="1"/>
      <c r="B27" s="12" t="s">
        <v>2</v>
      </c>
      <c r="C27" s="10"/>
      <c r="D27" s="31"/>
      <c r="E27" s="31"/>
      <c r="F27" s="29"/>
      <c r="G27" s="31"/>
      <c r="H27" s="29"/>
      <c r="I27" s="31"/>
      <c r="J27" s="29"/>
      <c r="K27" s="31"/>
      <c r="L27" s="29"/>
      <c r="M27" s="31"/>
      <c r="N27" s="29"/>
      <c r="O27" s="31"/>
      <c r="P27" s="29"/>
      <c r="Q27" s="31"/>
      <c r="R27" s="29"/>
      <c r="S27" s="31"/>
      <c r="T27" s="29"/>
      <c r="U27" s="31"/>
      <c r="V27" s="29"/>
      <c r="W27" s="32"/>
      <c r="X27" s="29"/>
    </row>
    <row r="28" spans="1:26" hidden="1" x14ac:dyDescent="0.3">
      <c r="A28" s="1"/>
      <c r="B28" s="12" t="s">
        <v>3</v>
      </c>
      <c r="C28" s="10"/>
      <c r="D28" s="33">
        <v>68901</v>
      </c>
      <c r="E28" s="31"/>
      <c r="F28" s="29">
        <f t="shared" si="0"/>
        <v>68901</v>
      </c>
      <c r="G28" s="31"/>
      <c r="H28" s="29">
        <f t="shared" si="1"/>
        <v>68901</v>
      </c>
      <c r="I28" s="31"/>
      <c r="J28" s="29">
        <f t="shared" si="2"/>
        <v>68901</v>
      </c>
      <c r="K28" s="33">
        <f>-1315.78-6091.027+44.967</f>
        <v>-7361.84</v>
      </c>
      <c r="L28" s="29">
        <f t="shared" ref="L28:L30" si="16">J28+K28</f>
        <v>61539.16</v>
      </c>
      <c r="M28" s="33"/>
      <c r="N28" s="29">
        <f t="shared" ref="N28:N31" si="17">L28+M28</f>
        <v>61539.16</v>
      </c>
      <c r="O28" s="33"/>
      <c r="P28" s="29">
        <f t="shared" ref="P28:P31" si="18">N28+O28</f>
        <v>61539.16</v>
      </c>
      <c r="Q28" s="33"/>
      <c r="R28" s="29">
        <f t="shared" ref="R28:R31" si="19">P28+Q28</f>
        <v>61539.16</v>
      </c>
      <c r="S28" s="33"/>
      <c r="T28" s="29">
        <f t="shared" ref="T28:T31" si="20">R28+S28</f>
        <v>61539.16</v>
      </c>
      <c r="U28" s="33"/>
      <c r="V28" s="29">
        <f t="shared" ref="V28:V31" si="21">T28+U28</f>
        <v>61539.16</v>
      </c>
      <c r="W28" s="37">
        <f>-31947.332-162.909</f>
        <v>-32110.240999999998</v>
      </c>
      <c r="X28" s="29">
        <f t="shared" ref="X28:X31" si="22">V28+W28</f>
        <v>29428.919000000005</v>
      </c>
      <c r="Y28" s="22" t="s">
        <v>251</v>
      </c>
      <c r="Z28" s="8">
        <v>0</v>
      </c>
    </row>
    <row r="29" spans="1:26" x14ac:dyDescent="0.3">
      <c r="A29" s="1"/>
      <c r="B29" s="12" t="s">
        <v>16</v>
      </c>
      <c r="C29" s="10"/>
      <c r="D29" s="31"/>
      <c r="E29" s="31"/>
      <c r="F29" s="29"/>
      <c r="G29" s="31"/>
      <c r="H29" s="29"/>
      <c r="I29" s="31"/>
      <c r="J29" s="29"/>
      <c r="K29" s="31">
        <v>2248.3000000000002</v>
      </c>
      <c r="L29" s="29">
        <f t="shared" si="16"/>
        <v>2248.3000000000002</v>
      </c>
      <c r="M29" s="31"/>
      <c r="N29" s="29">
        <f t="shared" si="17"/>
        <v>2248.3000000000002</v>
      </c>
      <c r="O29" s="31"/>
      <c r="P29" s="29">
        <f t="shared" si="18"/>
        <v>2248.3000000000002</v>
      </c>
      <c r="Q29" s="31"/>
      <c r="R29" s="29">
        <f t="shared" si="19"/>
        <v>2248.3000000000002</v>
      </c>
      <c r="S29" s="31"/>
      <c r="T29" s="29">
        <f t="shared" si="20"/>
        <v>2248.3000000000002</v>
      </c>
      <c r="U29" s="31"/>
      <c r="V29" s="29">
        <f t="shared" si="21"/>
        <v>2248.3000000000002</v>
      </c>
      <c r="W29" s="32"/>
      <c r="X29" s="29">
        <f t="shared" si="22"/>
        <v>2248.3000000000002</v>
      </c>
      <c r="Y29" s="22" t="s">
        <v>248</v>
      </c>
    </row>
    <row r="30" spans="1:26" x14ac:dyDescent="0.3">
      <c r="A30" s="1"/>
      <c r="B30" s="12" t="s">
        <v>20</v>
      </c>
      <c r="C30" s="10"/>
      <c r="D30" s="31"/>
      <c r="E30" s="31"/>
      <c r="F30" s="29"/>
      <c r="G30" s="31"/>
      <c r="H30" s="29"/>
      <c r="I30" s="31"/>
      <c r="J30" s="29"/>
      <c r="K30" s="31">
        <v>42718.3</v>
      </c>
      <c r="L30" s="29">
        <f t="shared" si="16"/>
        <v>42718.3</v>
      </c>
      <c r="M30" s="31"/>
      <c r="N30" s="29">
        <f t="shared" si="17"/>
        <v>42718.3</v>
      </c>
      <c r="O30" s="31"/>
      <c r="P30" s="29">
        <f t="shared" si="18"/>
        <v>42718.3</v>
      </c>
      <c r="Q30" s="31"/>
      <c r="R30" s="29">
        <f t="shared" si="19"/>
        <v>42718.3</v>
      </c>
      <c r="S30" s="31"/>
      <c r="T30" s="29">
        <f t="shared" si="20"/>
        <v>42718.3</v>
      </c>
      <c r="U30" s="31"/>
      <c r="V30" s="29">
        <f t="shared" si="21"/>
        <v>42718.3</v>
      </c>
      <c r="W30" s="32"/>
      <c r="X30" s="29">
        <f t="shared" si="22"/>
        <v>42718.3</v>
      </c>
      <c r="Y30" s="22" t="s">
        <v>248</v>
      </c>
    </row>
    <row r="31" spans="1:26" ht="60.75" customHeight="1" x14ac:dyDescent="0.25">
      <c r="A31" s="1" t="s">
        <v>108</v>
      </c>
      <c r="B31" s="70" t="s">
        <v>92</v>
      </c>
      <c r="C31" s="69" t="s">
        <v>45</v>
      </c>
      <c r="D31" s="29">
        <f>D33+D34+D35</f>
        <v>218445.8</v>
      </c>
      <c r="E31" s="29">
        <f>E33+E34+E35</f>
        <v>-6258.5</v>
      </c>
      <c r="F31" s="29">
        <f t="shared" si="0"/>
        <v>212187.3</v>
      </c>
      <c r="G31" s="29">
        <f>G33+G34+G35</f>
        <v>0</v>
      </c>
      <c r="H31" s="29">
        <f t="shared" si="1"/>
        <v>212187.3</v>
      </c>
      <c r="I31" s="29">
        <f>I33+I34+I35</f>
        <v>0</v>
      </c>
      <c r="J31" s="29">
        <f t="shared" si="2"/>
        <v>212187.3</v>
      </c>
      <c r="K31" s="29">
        <f>K33+K34+K35</f>
        <v>-61398.193999999989</v>
      </c>
      <c r="L31" s="29">
        <f t="shared" si="3"/>
        <v>150789.106</v>
      </c>
      <c r="M31" s="29">
        <f>M33+M34+M35</f>
        <v>0</v>
      </c>
      <c r="N31" s="29">
        <f t="shared" si="17"/>
        <v>150789.106</v>
      </c>
      <c r="O31" s="29">
        <f>O33+O34+O35</f>
        <v>-4619.2309999999998</v>
      </c>
      <c r="P31" s="29">
        <f t="shared" si="18"/>
        <v>146169.875</v>
      </c>
      <c r="Q31" s="29">
        <f>Q33+Q34+Q35</f>
        <v>0</v>
      </c>
      <c r="R31" s="29">
        <f t="shared" si="19"/>
        <v>146169.875</v>
      </c>
      <c r="S31" s="29">
        <f>S33+S34+S35</f>
        <v>0</v>
      </c>
      <c r="T31" s="29">
        <f t="shared" si="20"/>
        <v>146169.875</v>
      </c>
      <c r="U31" s="29">
        <f>U33+U34+U35</f>
        <v>0</v>
      </c>
      <c r="V31" s="29">
        <f t="shared" si="21"/>
        <v>146169.875</v>
      </c>
      <c r="W31" s="30">
        <f>W33+W34+W35</f>
        <v>0</v>
      </c>
      <c r="X31" s="29">
        <f t="shared" si="22"/>
        <v>146169.875</v>
      </c>
    </row>
    <row r="32" spans="1:26" x14ac:dyDescent="0.25">
      <c r="A32" s="1"/>
      <c r="B32" s="10" t="s">
        <v>2</v>
      </c>
      <c r="C32" s="4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30"/>
      <c r="X32" s="29"/>
    </row>
    <row r="33" spans="1:26" hidden="1" x14ac:dyDescent="0.25">
      <c r="A33" s="1"/>
      <c r="B33" s="4" t="s">
        <v>3</v>
      </c>
      <c r="C33" s="4"/>
      <c r="D33" s="29">
        <v>40266.699999999997</v>
      </c>
      <c r="E33" s="29">
        <v>-6258.5</v>
      </c>
      <c r="F33" s="29">
        <f t="shared" si="0"/>
        <v>34008.199999999997</v>
      </c>
      <c r="G33" s="29"/>
      <c r="H33" s="29">
        <f t="shared" ref="H33:H43" si="23">F33+G33</f>
        <v>34008.199999999997</v>
      </c>
      <c r="I33" s="29"/>
      <c r="J33" s="29">
        <f t="shared" ref="J33:J43" si="24">H33+I33</f>
        <v>34008.199999999997</v>
      </c>
      <c r="K33" s="29">
        <f>15742.085+85.946-23500.281</f>
        <v>-7672.25</v>
      </c>
      <c r="L33" s="29">
        <f t="shared" ref="L33:L43" si="25">J33+K33</f>
        <v>26335.949999999997</v>
      </c>
      <c r="M33" s="29"/>
      <c r="N33" s="29">
        <f t="shared" ref="N33:N37" si="26">L33+M33</f>
        <v>26335.949999999997</v>
      </c>
      <c r="O33" s="29">
        <v>-4619.2309999999998</v>
      </c>
      <c r="P33" s="29">
        <f t="shared" ref="P33:P37" si="27">N33+O33</f>
        <v>21716.718999999997</v>
      </c>
      <c r="Q33" s="29"/>
      <c r="R33" s="29">
        <f t="shared" ref="R33:R37" si="28">P33+Q33</f>
        <v>21716.718999999997</v>
      </c>
      <c r="S33" s="29">
        <f>6258.533-6258.533</f>
        <v>0</v>
      </c>
      <c r="T33" s="29">
        <f t="shared" ref="T33:T37" si="29">R33+S33</f>
        <v>21716.718999999997</v>
      </c>
      <c r="U33" s="29"/>
      <c r="V33" s="29">
        <f t="shared" ref="V33:V37" si="30">T33+U33</f>
        <v>21716.718999999997</v>
      </c>
      <c r="W33" s="30"/>
      <c r="X33" s="29">
        <f t="shared" ref="X33:X37" si="31">V33+W33</f>
        <v>21716.718999999997</v>
      </c>
      <c r="Y33" s="22" t="s">
        <v>252</v>
      </c>
      <c r="Z33" s="8">
        <v>0</v>
      </c>
    </row>
    <row r="34" spans="1:26" x14ac:dyDescent="0.25">
      <c r="A34" s="1"/>
      <c r="B34" s="4" t="s">
        <v>16</v>
      </c>
      <c r="C34" s="4"/>
      <c r="D34" s="29">
        <v>127684.3</v>
      </c>
      <c r="E34" s="29"/>
      <c r="F34" s="29">
        <f t="shared" si="0"/>
        <v>127684.3</v>
      </c>
      <c r="G34" s="29">
        <f>-18676+18676</f>
        <v>0</v>
      </c>
      <c r="H34" s="29">
        <f t="shared" si="23"/>
        <v>127684.3</v>
      </c>
      <c r="I34" s="29"/>
      <c r="J34" s="29">
        <f t="shared" si="24"/>
        <v>127684.3</v>
      </c>
      <c r="K34" s="29">
        <f>-18676.2-70500.844+4297.3</f>
        <v>-84879.743999999992</v>
      </c>
      <c r="L34" s="29">
        <f t="shared" si="25"/>
        <v>42804.556000000011</v>
      </c>
      <c r="M34" s="29"/>
      <c r="N34" s="29">
        <f t="shared" si="26"/>
        <v>42804.556000000011</v>
      </c>
      <c r="O34" s="29"/>
      <c r="P34" s="29">
        <f t="shared" si="27"/>
        <v>42804.556000000011</v>
      </c>
      <c r="Q34" s="29"/>
      <c r="R34" s="29">
        <f t="shared" si="28"/>
        <v>42804.556000000011</v>
      </c>
      <c r="S34" s="29"/>
      <c r="T34" s="29">
        <f t="shared" si="29"/>
        <v>42804.556000000011</v>
      </c>
      <c r="U34" s="29"/>
      <c r="V34" s="29">
        <f t="shared" si="30"/>
        <v>42804.556000000011</v>
      </c>
      <c r="W34" s="30"/>
      <c r="X34" s="29">
        <f t="shared" si="31"/>
        <v>42804.556000000011</v>
      </c>
      <c r="Y34" s="22" t="s">
        <v>204</v>
      </c>
    </row>
    <row r="35" spans="1:26" x14ac:dyDescent="0.25">
      <c r="A35" s="1"/>
      <c r="B35" s="12" t="s">
        <v>20</v>
      </c>
      <c r="C35" s="4"/>
      <c r="D35" s="29">
        <v>50494.8</v>
      </c>
      <c r="E35" s="29"/>
      <c r="F35" s="29">
        <f t="shared" si="0"/>
        <v>50494.8</v>
      </c>
      <c r="G35" s="29">
        <f>-50495+50495</f>
        <v>0</v>
      </c>
      <c r="H35" s="29">
        <f t="shared" si="23"/>
        <v>50494.8</v>
      </c>
      <c r="I35" s="29"/>
      <c r="J35" s="29">
        <f t="shared" si="24"/>
        <v>50494.8</v>
      </c>
      <c r="K35" s="29">
        <f>-50494.8+81648.6</f>
        <v>31153.800000000003</v>
      </c>
      <c r="L35" s="29">
        <f t="shared" si="25"/>
        <v>81648.600000000006</v>
      </c>
      <c r="M35" s="29"/>
      <c r="N35" s="29">
        <f t="shared" si="26"/>
        <v>81648.600000000006</v>
      </c>
      <c r="O35" s="29"/>
      <c r="P35" s="29">
        <f t="shared" si="27"/>
        <v>81648.600000000006</v>
      </c>
      <c r="Q35" s="29"/>
      <c r="R35" s="29">
        <f t="shared" si="28"/>
        <v>81648.600000000006</v>
      </c>
      <c r="S35" s="29"/>
      <c r="T35" s="29">
        <f t="shared" si="29"/>
        <v>81648.600000000006</v>
      </c>
      <c r="U35" s="29"/>
      <c r="V35" s="29">
        <f t="shared" si="30"/>
        <v>81648.600000000006</v>
      </c>
      <c r="W35" s="30"/>
      <c r="X35" s="29">
        <f t="shared" si="31"/>
        <v>81648.600000000006</v>
      </c>
      <c r="Y35" s="22" t="s">
        <v>203</v>
      </c>
    </row>
    <row r="36" spans="1:26" ht="62.25" customHeight="1" x14ac:dyDescent="0.25">
      <c r="A36" s="1" t="s">
        <v>109</v>
      </c>
      <c r="B36" s="70" t="s">
        <v>85</v>
      </c>
      <c r="C36" s="4" t="s">
        <v>11</v>
      </c>
      <c r="D36" s="29">
        <v>16047.4</v>
      </c>
      <c r="E36" s="29"/>
      <c r="F36" s="29">
        <f t="shared" si="0"/>
        <v>16047.4</v>
      </c>
      <c r="G36" s="29"/>
      <c r="H36" s="29">
        <f t="shared" si="23"/>
        <v>16047.4</v>
      </c>
      <c r="I36" s="29"/>
      <c r="J36" s="29">
        <f t="shared" si="24"/>
        <v>16047.4</v>
      </c>
      <c r="K36" s="29"/>
      <c r="L36" s="29">
        <f t="shared" si="25"/>
        <v>16047.4</v>
      </c>
      <c r="M36" s="29"/>
      <c r="N36" s="29">
        <f t="shared" si="26"/>
        <v>16047.4</v>
      </c>
      <c r="O36" s="29"/>
      <c r="P36" s="29">
        <f t="shared" si="27"/>
        <v>16047.4</v>
      </c>
      <c r="Q36" s="29"/>
      <c r="R36" s="29">
        <f t="shared" si="28"/>
        <v>16047.4</v>
      </c>
      <c r="S36" s="29"/>
      <c r="T36" s="29">
        <f t="shared" si="29"/>
        <v>16047.4</v>
      </c>
      <c r="U36" s="29"/>
      <c r="V36" s="29">
        <f t="shared" si="30"/>
        <v>16047.4</v>
      </c>
      <c r="W36" s="30"/>
      <c r="X36" s="29">
        <f t="shared" si="31"/>
        <v>16047.4</v>
      </c>
      <c r="Y36" s="22" t="s">
        <v>94</v>
      </c>
    </row>
    <row r="37" spans="1:26" ht="64.5" customHeight="1" x14ac:dyDescent="0.25">
      <c r="A37" s="1" t="s">
        <v>106</v>
      </c>
      <c r="B37" s="70" t="s">
        <v>249</v>
      </c>
      <c r="C37" s="4" t="s">
        <v>11</v>
      </c>
      <c r="D37" s="29">
        <v>7183.8</v>
      </c>
      <c r="E37" s="29"/>
      <c r="F37" s="29">
        <f t="shared" si="0"/>
        <v>7183.8</v>
      </c>
      <c r="G37" s="29"/>
      <c r="H37" s="29">
        <f t="shared" si="23"/>
        <v>7183.8</v>
      </c>
      <c r="I37" s="29"/>
      <c r="J37" s="29">
        <f t="shared" si="24"/>
        <v>7183.8</v>
      </c>
      <c r="K37" s="29">
        <f>K39+K40+K41</f>
        <v>12816.2</v>
      </c>
      <c r="L37" s="29">
        <f t="shared" si="25"/>
        <v>20000</v>
      </c>
      <c r="M37" s="29">
        <f>M39+M40+M41</f>
        <v>0</v>
      </c>
      <c r="N37" s="29">
        <f t="shared" si="26"/>
        <v>20000</v>
      </c>
      <c r="O37" s="29">
        <f>O39+O40+O41</f>
        <v>0</v>
      </c>
      <c r="P37" s="29">
        <f t="shared" si="27"/>
        <v>20000</v>
      </c>
      <c r="Q37" s="29">
        <f>Q39+Q40+Q41</f>
        <v>0</v>
      </c>
      <c r="R37" s="29">
        <f t="shared" si="28"/>
        <v>20000</v>
      </c>
      <c r="S37" s="29">
        <f>S39+S40+S41</f>
        <v>0</v>
      </c>
      <c r="T37" s="29">
        <f t="shared" si="29"/>
        <v>20000</v>
      </c>
      <c r="U37" s="29">
        <f>U39+U40+U41</f>
        <v>0</v>
      </c>
      <c r="V37" s="29">
        <f t="shared" si="30"/>
        <v>20000</v>
      </c>
      <c r="W37" s="30">
        <f>W39+W40+W41</f>
        <v>0</v>
      </c>
      <c r="X37" s="29">
        <f t="shared" si="31"/>
        <v>20000</v>
      </c>
    </row>
    <row r="38" spans="1:26" x14ac:dyDescent="0.25">
      <c r="A38" s="1"/>
      <c r="B38" s="10" t="s">
        <v>2</v>
      </c>
      <c r="C38" s="4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30"/>
      <c r="X38" s="29"/>
    </row>
    <row r="39" spans="1:26" hidden="1" x14ac:dyDescent="0.25">
      <c r="A39" s="1"/>
      <c r="B39" s="4" t="s">
        <v>3</v>
      </c>
      <c r="C39" s="4"/>
      <c r="D39" s="29">
        <v>7183.8</v>
      </c>
      <c r="E39" s="29"/>
      <c r="F39" s="29">
        <f t="shared" si="0"/>
        <v>7183.8</v>
      </c>
      <c r="G39" s="29"/>
      <c r="H39" s="29">
        <f t="shared" si="23"/>
        <v>7183.8</v>
      </c>
      <c r="I39" s="29"/>
      <c r="J39" s="29">
        <f t="shared" si="24"/>
        <v>7183.8</v>
      </c>
      <c r="K39" s="29">
        <v>-7183.8</v>
      </c>
      <c r="L39" s="29">
        <f t="shared" si="25"/>
        <v>0</v>
      </c>
      <c r="M39" s="29"/>
      <c r="N39" s="29">
        <f t="shared" ref="N39:N43" si="32">L39+M39</f>
        <v>0</v>
      </c>
      <c r="O39" s="29"/>
      <c r="P39" s="29">
        <f t="shared" ref="P39:P43" si="33">N39+O39</f>
        <v>0</v>
      </c>
      <c r="Q39" s="29"/>
      <c r="R39" s="29">
        <f t="shared" ref="R39:R43" si="34">P39+Q39</f>
        <v>0</v>
      </c>
      <c r="S39" s="29"/>
      <c r="T39" s="29">
        <f t="shared" ref="T39:T43" si="35">R39+S39</f>
        <v>0</v>
      </c>
      <c r="U39" s="29"/>
      <c r="V39" s="29">
        <f t="shared" ref="V39:V43" si="36">T39+U39</f>
        <v>0</v>
      </c>
      <c r="W39" s="30"/>
      <c r="X39" s="29">
        <f t="shared" ref="X39:X43" si="37">V39+W39</f>
        <v>0</v>
      </c>
      <c r="Y39" s="22" t="s">
        <v>95</v>
      </c>
      <c r="Z39" s="8">
        <v>0</v>
      </c>
    </row>
    <row r="40" spans="1:26" x14ac:dyDescent="0.25">
      <c r="A40" s="1"/>
      <c r="B40" s="4" t="s">
        <v>16</v>
      </c>
      <c r="C40" s="4"/>
      <c r="D40" s="29"/>
      <c r="E40" s="29"/>
      <c r="F40" s="29"/>
      <c r="G40" s="29"/>
      <c r="H40" s="29"/>
      <c r="I40" s="29"/>
      <c r="J40" s="29"/>
      <c r="K40" s="29">
        <v>5400</v>
      </c>
      <c r="L40" s="29">
        <f t="shared" si="25"/>
        <v>5400</v>
      </c>
      <c r="M40" s="29"/>
      <c r="N40" s="29">
        <f t="shared" si="32"/>
        <v>5400</v>
      </c>
      <c r="O40" s="29"/>
      <c r="P40" s="29">
        <f t="shared" si="33"/>
        <v>5400</v>
      </c>
      <c r="Q40" s="29"/>
      <c r="R40" s="29">
        <f t="shared" si="34"/>
        <v>5400</v>
      </c>
      <c r="S40" s="29"/>
      <c r="T40" s="29">
        <f t="shared" si="35"/>
        <v>5400</v>
      </c>
      <c r="U40" s="29"/>
      <c r="V40" s="29">
        <f t="shared" si="36"/>
        <v>5400</v>
      </c>
      <c r="W40" s="30"/>
      <c r="X40" s="29">
        <f t="shared" si="37"/>
        <v>5400</v>
      </c>
      <c r="Y40" s="22" t="s">
        <v>286</v>
      </c>
    </row>
    <row r="41" spans="1:26" x14ac:dyDescent="0.25">
      <c r="A41" s="1"/>
      <c r="B41" s="12" t="s">
        <v>20</v>
      </c>
      <c r="C41" s="4"/>
      <c r="D41" s="29"/>
      <c r="E41" s="29"/>
      <c r="F41" s="29"/>
      <c r="G41" s="29"/>
      <c r="H41" s="29"/>
      <c r="I41" s="29"/>
      <c r="J41" s="29"/>
      <c r="K41" s="29">
        <v>14600</v>
      </c>
      <c r="L41" s="29">
        <f t="shared" si="25"/>
        <v>14600</v>
      </c>
      <c r="M41" s="29"/>
      <c r="N41" s="29">
        <f t="shared" si="32"/>
        <v>14600</v>
      </c>
      <c r="O41" s="29"/>
      <c r="P41" s="29">
        <f t="shared" si="33"/>
        <v>14600</v>
      </c>
      <c r="Q41" s="29"/>
      <c r="R41" s="29">
        <f t="shared" si="34"/>
        <v>14600</v>
      </c>
      <c r="S41" s="29"/>
      <c r="T41" s="29">
        <f t="shared" si="35"/>
        <v>14600</v>
      </c>
      <c r="U41" s="29"/>
      <c r="V41" s="29">
        <f t="shared" si="36"/>
        <v>14600</v>
      </c>
      <c r="W41" s="30"/>
      <c r="X41" s="29">
        <f t="shared" si="37"/>
        <v>14600</v>
      </c>
      <c r="Y41" s="22" t="s">
        <v>286</v>
      </c>
    </row>
    <row r="42" spans="1:26" ht="37.5" x14ac:dyDescent="0.25">
      <c r="A42" s="85" t="s">
        <v>104</v>
      </c>
      <c r="B42" s="102" t="s">
        <v>171</v>
      </c>
      <c r="C42" s="4" t="s">
        <v>11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>
        <v>13783.942999999999</v>
      </c>
      <c r="P42" s="29">
        <f t="shared" si="33"/>
        <v>13783.942999999999</v>
      </c>
      <c r="Q42" s="29"/>
      <c r="R42" s="29">
        <f t="shared" si="34"/>
        <v>13783.942999999999</v>
      </c>
      <c r="S42" s="29"/>
      <c r="T42" s="29">
        <f t="shared" si="35"/>
        <v>13783.942999999999</v>
      </c>
      <c r="U42" s="29"/>
      <c r="V42" s="29">
        <f t="shared" si="36"/>
        <v>13783.942999999999</v>
      </c>
      <c r="W42" s="30"/>
      <c r="X42" s="29">
        <f t="shared" si="37"/>
        <v>13783.942999999999</v>
      </c>
      <c r="Y42" s="22" t="s">
        <v>269</v>
      </c>
    </row>
    <row r="43" spans="1:26" ht="59.25" customHeight="1" x14ac:dyDescent="0.25">
      <c r="A43" s="87"/>
      <c r="B43" s="104"/>
      <c r="C43" s="69" t="s">
        <v>45</v>
      </c>
      <c r="D43" s="29">
        <f>D45+D46</f>
        <v>54466.3</v>
      </c>
      <c r="E43" s="29">
        <f>E45+E46</f>
        <v>0</v>
      </c>
      <c r="F43" s="29">
        <f t="shared" si="0"/>
        <v>54466.3</v>
      </c>
      <c r="G43" s="29">
        <f>G45+G46</f>
        <v>76.576999999999998</v>
      </c>
      <c r="H43" s="29">
        <f t="shared" si="23"/>
        <v>54542.877</v>
      </c>
      <c r="I43" s="29">
        <f>I45+I46</f>
        <v>0</v>
      </c>
      <c r="J43" s="29">
        <f t="shared" si="24"/>
        <v>54542.877</v>
      </c>
      <c r="K43" s="29">
        <f>K45+K46</f>
        <v>922.12800000000004</v>
      </c>
      <c r="L43" s="29">
        <f t="shared" si="25"/>
        <v>55465.004999999997</v>
      </c>
      <c r="M43" s="29">
        <f>M45+M46</f>
        <v>0</v>
      </c>
      <c r="N43" s="29">
        <f t="shared" si="32"/>
        <v>55465.004999999997</v>
      </c>
      <c r="O43" s="29">
        <f>O45+O46</f>
        <v>0</v>
      </c>
      <c r="P43" s="29">
        <f t="shared" si="33"/>
        <v>55465.004999999997</v>
      </c>
      <c r="Q43" s="29">
        <f>Q45+Q46</f>
        <v>0</v>
      </c>
      <c r="R43" s="29">
        <f t="shared" si="34"/>
        <v>55465.004999999997</v>
      </c>
      <c r="S43" s="29">
        <f>S45+S46</f>
        <v>0</v>
      </c>
      <c r="T43" s="29">
        <f t="shared" si="35"/>
        <v>55465.004999999997</v>
      </c>
      <c r="U43" s="29">
        <f>U45+U46</f>
        <v>0</v>
      </c>
      <c r="V43" s="29">
        <f t="shared" si="36"/>
        <v>55465.004999999997</v>
      </c>
      <c r="W43" s="30">
        <f>W45+W46</f>
        <v>0</v>
      </c>
      <c r="X43" s="29">
        <f t="shared" si="37"/>
        <v>55465.004999999997</v>
      </c>
    </row>
    <row r="44" spans="1:26" x14ac:dyDescent="0.25">
      <c r="A44" s="1"/>
      <c r="B44" s="10" t="s">
        <v>2</v>
      </c>
      <c r="C44" s="4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30"/>
      <c r="X44" s="29"/>
    </row>
    <row r="45" spans="1:26" hidden="1" x14ac:dyDescent="0.25">
      <c r="A45" s="1"/>
      <c r="B45" s="4" t="s">
        <v>3</v>
      </c>
      <c r="C45" s="4"/>
      <c r="D45" s="29"/>
      <c r="E45" s="29">
        <v>13605.1</v>
      </c>
      <c r="F45" s="29">
        <f t="shared" si="0"/>
        <v>13605.1</v>
      </c>
      <c r="G45" s="29">
        <v>76.576999999999998</v>
      </c>
      <c r="H45" s="29">
        <f t="shared" ref="H45:H48" si="38">F45+G45</f>
        <v>13681.677</v>
      </c>
      <c r="I45" s="29"/>
      <c r="J45" s="29">
        <f t="shared" ref="J45:J48" si="39">H45+I45</f>
        <v>13681.677</v>
      </c>
      <c r="K45" s="29">
        <v>922.12800000000004</v>
      </c>
      <c r="L45" s="29">
        <f t="shared" ref="L45:L48" si="40">J45+K45</f>
        <v>14603.805</v>
      </c>
      <c r="M45" s="29"/>
      <c r="N45" s="29">
        <f t="shared" ref="N45:N48" si="41">L45+M45</f>
        <v>14603.805</v>
      </c>
      <c r="O45" s="29"/>
      <c r="P45" s="29">
        <f t="shared" ref="P45:P48" si="42">N45+O45</f>
        <v>14603.805</v>
      </c>
      <c r="Q45" s="29"/>
      <c r="R45" s="29">
        <f t="shared" ref="R45:R48" si="43">P45+Q45</f>
        <v>14603.805</v>
      </c>
      <c r="S45" s="29"/>
      <c r="T45" s="29">
        <f t="shared" ref="T45:T48" si="44">R45+S45</f>
        <v>14603.805</v>
      </c>
      <c r="U45" s="29"/>
      <c r="V45" s="29">
        <f t="shared" ref="V45:V48" si="45">T45+U45</f>
        <v>14603.805</v>
      </c>
      <c r="W45" s="30"/>
      <c r="X45" s="29">
        <f t="shared" ref="X45:X48" si="46">V45+W45</f>
        <v>14603.805</v>
      </c>
      <c r="Y45" s="22" t="s">
        <v>213</v>
      </c>
      <c r="Z45" s="8">
        <v>0</v>
      </c>
    </row>
    <row r="46" spans="1:26" x14ac:dyDescent="0.25">
      <c r="A46" s="1"/>
      <c r="B46" s="4" t="s">
        <v>16</v>
      </c>
      <c r="C46" s="4"/>
      <c r="D46" s="29">
        <v>54466.3</v>
      </c>
      <c r="E46" s="29">
        <v>-13605.1</v>
      </c>
      <c r="F46" s="29">
        <f t="shared" si="0"/>
        <v>40861.200000000004</v>
      </c>
      <c r="G46" s="29"/>
      <c r="H46" s="29">
        <f t="shared" si="38"/>
        <v>40861.200000000004</v>
      </c>
      <c r="I46" s="29"/>
      <c r="J46" s="29">
        <f t="shared" si="39"/>
        <v>40861.200000000004</v>
      </c>
      <c r="K46" s="29"/>
      <c r="L46" s="29">
        <f t="shared" si="40"/>
        <v>40861.200000000004</v>
      </c>
      <c r="M46" s="29"/>
      <c r="N46" s="29">
        <f t="shared" si="41"/>
        <v>40861.200000000004</v>
      </c>
      <c r="O46" s="29"/>
      <c r="P46" s="29">
        <f t="shared" si="42"/>
        <v>40861.200000000004</v>
      </c>
      <c r="Q46" s="29"/>
      <c r="R46" s="29">
        <f t="shared" si="43"/>
        <v>40861.200000000004</v>
      </c>
      <c r="S46" s="29"/>
      <c r="T46" s="29">
        <f t="shared" si="44"/>
        <v>40861.200000000004</v>
      </c>
      <c r="U46" s="29"/>
      <c r="V46" s="29">
        <f t="shared" si="45"/>
        <v>40861.200000000004</v>
      </c>
      <c r="W46" s="30"/>
      <c r="X46" s="29">
        <f t="shared" si="46"/>
        <v>40861.200000000004</v>
      </c>
      <c r="Y46" s="22" t="s">
        <v>161</v>
      </c>
    </row>
    <row r="47" spans="1:26" ht="61.5" customHeight="1" x14ac:dyDescent="0.25">
      <c r="A47" s="1" t="s">
        <v>107</v>
      </c>
      <c r="B47" s="70" t="s">
        <v>187</v>
      </c>
      <c r="C47" s="69" t="s">
        <v>45</v>
      </c>
      <c r="D47" s="29">
        <v>128574.9</v>
      </c>
      <c r="E47" s="29"/>
      <c r="F47" s="29">
        <f t="shared" si="0"/>
        <v>128574.9</v>
      </c>
      <c r="G47" s="29">
        <v>-60684.112000000001</v>
      </c>
      <c r="H47" s="29">
        <f t="shared" si="38"/>
        <v>67890.788</v>
      </c>
      <c r="I47" s="29"/>
      <c r="J47" s="29">
        <f t="shared" si="39"/>
        <v>67890.788</v>
      </c>
      <c r="K47" s="29"/>
      <c r="L47" s="29">
        <f t="shared" si="40"/>
        <v>67890.788</v>
      </c>
      <c r="M47" s="29"/>
      <c r="N47" s="29">
        <f t="shared" si="41"/>
        <v>67890.788</v>
      </c>
      <c r="O47" s="29"/>
      <c r="P47" s="29">
        <f t="shared" si="42"/>
        <v>67890.788</v>
      </c>
      <c r="Q47" s="29"/>
      <c r="R47" s="29">
        <f t="shared" si="43"/>
        <v>67890.788</v>
      </c>
      <c r="S47" s="29">
        <v>-34200</v>
      </c>
      <c r="T47" s="29">
        <f t="shared" si="44"/>
        <v>33690.788</v>
      </c>
      <c r="U47" s="29"/>
      <c r="V47" s="29">
        <f t="shared" si="45"/>
        <v>33690.788</v>
      </c>
      <c r="W47" s="30"/>
      <c r="X47" s="29">
        <f t="shared" si="46"/>
        <v>33690.788</v>
      </c>
      <c r="Y47" s="22" t="s">
        <v>96</v>
      </c>
    </row>
    <row r="48" spans="1:26" ht="63" customHeight="1" x14ac:dyDescent="0.25">
      <c r="A48" s="1" t="s">
        <v>110</v>
      </c>
      <c r="B48" s="70" t="s">
        <v>86</v>
      </c>
      <c r="C48" s="69" t="s">
        <v>45</v>
      </c>
      <c r="D48" s="29">
        <f>D50+D51</f>
        <v>202475.1</v>
      </c>
      <c r="E48" s="29">
        <f>E50+E51</f>
        <v>28414.63499999998</v>
      </c>
      <c r="F48" s="29">
        <f t="shared" si="0"/>
        <v>230889.73499999999</v>
      </c>
      <c r="G48" s="29">
        <f>G50+G51</f>
        <v>32684.112000000001</v>
      </c>
      <c r="H48" s="29">
        <f t="shared" si="38"/>
        <v>263573.84700000001</v>
      </c>
      <c r="I48" s="29">
        <f>I50+I51</f>
        <v>0</v>
      </c>
      <c r="J48" s="29">
        <f t="shared" si="39"/>
        <v>263573.84700000001</v>
      </c>
      <c r="K48" s="29">
        <f>K50+K51</f>
        <v>-180013.61299999998</v>
      </c>
      <c r="L48" s="29">
        <f t="shared" si="40"/>
        <v>83560.234000000026</v>
      </c>
      <c r="M48" s="29">
        <f>M50+M51</f>
        <v>0</v>
      </c>
      <c r="N48" s="29">
        <f t="shared" si="41"/>
        <v>83560.234000000026</v>
      </c>
      <c r="O48" s="29">
        <f>O50+O51</f>
        <v>0</v>
      </c>
      <c r="P48" s="29">
        <f t="shared" si="42"/>
        <v>83560.234000000026</v>
      </c>
      <c r="Q48" s="29">
        <f>Q50+Q51</f>
        <v>0</v>
      </c>
      <c r="R48" s="29">
        <f t="shared" si="43"/>
        <v>83560.234000000026</v>
      </c>
      <c r="S48" s="29">
        <f>S50+S51</f>
        <v>0</v>
      </c>
      <c r="T48" s="29">
        <f t="shared" si="44"/>
        <v>83560.234000000026</v>
      </c>
      <c r="U48" s="29">
        <f>U50+U51</f>
        <v>0</v>
      </c>
      <c r="V48" s="29">
        <f t="shared" si="45"/>
        <v>83560.234000000026</v>
      </c>
      <c r="W48" s="30">
        <f>W50+W51</f>
        <v>1E-3</v>
      </c>
      <c r="X48" s="29">
        <f t="shared" si="46"/>
        <v>83560.23500000003</v>
      </c>
    </row>
    <row r="49" spans="1:26" x14ac:dyDescent="0.25">
      <c r="A49" s="1"/>
      <c r="B49" s="10" t="s">
        <v>2</v>
      </c>
      <c r="C49" s="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30"/>
      <c r="X49" s="29"/>
    </row>
    <row r="50" spans="1:26" hidden="1" x14ac:dyDescent="0.25">
      <c r="A50" s="1"/>
      <c r="B50" s="4" t="s">
        <v>3</v>
      </c>
      <c r="C50" s="4"/>
      <c r="D50" s="29">
        <v>69858.100000000006</v>
      </c>
      <c r="E50" s="29">
        <f>-69858.1+24442.7+3971.935</f>
        <v>-41443.465000000011</v>
      </c>
      <c r="F50" s="29">
        <f t="shared" si="0"/>
        <v>28414.634999999995</v>
      </c>
      <c r="G50" s="29">
        <v>32684.112000000001</v>
      </c>
      <c r="H50" s="29">
        <f t="shared" ref="H50:H52" si="47">F50+G50</f>
        <v>61098.746999999996</v>
      </c>
      <c r="I50" s="29"/>
      <c r="J50" s="29">
        <f t="shared" ref="J50:J52" si="48">H50+I50</f>
        <v>61098.746999999996</v>
      </c>
      <c r="K50" s="29">
        <f>-36656.047-13788.766</f>
        <v>-50444.812999999995</v>
      </c>
      <c r="L50" s="29">
        <f t="shared" ref="L50:L52" si="49">J50+K50</f>
        <v>10653.934000000001</v>
      </c>
      <c r="M50" s="29"/>
      <c r="N50" s="29">
        <f t="shared" ref="N50:N52" si="50">L50+M50</f>
        <v>10653.934000000001</v>
      </c>
      <c r="O50" s="29"/>
      <c r="P50" s="29">
        <f t="shared" ref="P50:P52" si="51">N50+O50</f>
        <v>10653.934000000001</v>
      </c>
      <c r="Q50" s="29"/>
      <c r="R50" s="29">
        <f t="shared" ref="R50:R52" si="52">P50+Q50</f>
        <v>10653.934000000001</v>
      </c>
      <c r="S50" s="29"/>
      <c r="T50" s="29">
        <f t="shared" ref="T50:T52" si="53">R50+S50</f>
        <v>10653.934000000001</v>
      </c>
      <c r="U50" s="29"/>
      <c r="V50" s="29">
        <f t="shared" ref="V50:V52" si="54">T50+U50</f>
        <v>10653.934000000001</v>
      </c>
      <c r="W50" s="30">
        <v>1E-3</v>
      </c>
      <c r="X50" s="29">
        <f t="shared" ref="X50:X52" si="55">V50+W50</f>
        <v>10653.935000000001</v>
      </c>
      <c r="Y50" s="22" t="s">
        <v>179</v>
      </c>
      <c r="Z50" s="8">
        <v>0</v>
      </c>
    </row>
    <row r="51" spans="1:26" x14ac:dyDescent="0.25">
      <c r="A51" s="1"/>
      <c r="B51" s="4" t="s">
        <v>16</v>
      </c>
      <c r="C51" s="4"/>
      <c r="D51" s="29">
        <v>132617</v>
      </c>
      <c r="E51" s="29">
        <f>73327.9-3469.8</f>
        <v>69858.099999999991</v>
      </c>
      <c r="F51" s="29">
        <f t="shared" si="0"/>
        <v>202475.09999999998</v>
      </c>
      <c r="G51" s="29"/>
      <c r="H51" s="29">
        <f t="shared" si="47"/>
        <v>202475.09999999998</v>
      </c>
      <c r="I51" s="29"/>
      <c r="J51" s="29">
        <f t="shared" si="48"/>
        <v>202475.09999999998</v>
      </c>
      <c r="K51" s="29">
        <f>-41366.1-88202.7</f>
        <v>-129568.79999999999</v>
      </c>
      <c r="L51" s="29">
        <f t="shared" si="49"/>
        <v>72906.299999999988</v>
      </c>
      <c r="M51" s="29"/>
      <c r="N51" s="29">
        <f t="shared" si="50"/>
        <v>72906.299999999988</v>
      </c>
      <c r="O51" s="29"/>
      <c r="P51" s="29">
        <f t="shared" si="51"/>
        <v>72906.299999999988</v>
      </c>
      <c r="Q51" s="29"/>
      <c r="R51" s="29">
        <f t="shared" si="52"/>
        <v>72906.299999999988</v>
      </c>
      <c r="S51" s="29"/>
      <c r="T51" s="29">
        <f t="shared" si="53"/>
        <v>72906.299999999988</v>
      </c>
      <c r="U51" s="29"/>
      <c r="V51" s="29">
        <f t="shared" si="54"/>
        <v>72906.299999999988</v>
      </c>
      <c r="W51" s="30"/>
      <c r="X51" s="29">
        <f t="shared" si="55"/>
        <v>72906.299999999988</v>
      </c>
      <c r="Y51" s="22" t="s">
        <v>180</v>
      </c>
    </row>
    <row r="52" spans="1:26" ht="42" hidden="1" customHeight="1" x14ac:dyDescent="0.25">
      <c r="A52" s="1" t="s">
        <v>111</v>
      </c>
      <c r="B52" s="13" t="s">
        <v>86</v>
      </c>
      <c r="C52" s="4" t="s">
        <v>11</v>
      </c>
      <c r="D52" s="29">
        <f>D54+D55</f>
        <v>20807.899999999998</v>
      </c>
      <c r="E52" s="29">
        <f>E54+E55</f>
        <v>0</v>
      </c>
      <c r="F52" s="29">
        <f t="shared" si="0"/>
        <v>20807.899999999998</v>
      </c>
      <c r="G52" s="29">
        <f>G54+G55</f>
        <v>0</v>
      </c>
      <c r="H52" s="29">
        <f t="shared" si="47"/>
        <v>20807.899999999998</v>
      </c>
      <c r="I52" s="29">
        <f>I54+I55</f>
        <v>0</v>
      </c>
      <c r="J52" s="29">
        <f t="shared" si="48"/>
        <v>20807.899999999998</v>
      </c>
      <c r="K52" s="29">
        <f>K54+K55</f>
        <v>-20807.900000000001</v>
      </c>
      <c r="L52" s="29">
        <f t="shared" si="49"/>
        <v>0</v>
      </c>
      <c r="M52" s="29">
        <f>M54+M55</f>
        <v>0</v>
      </c>
      <c r="N52" s="29">
        <f t="shared" si="50"/>
        <v>0</v>
      </c>
      <c r="O52" s="29">
        <f>O54+O55</f>
        <v>0</v>
      </c>
      <c r="P52" s="29">
        <f t="shared" si="51"/>
        <v>0</v>
      </c>
      <c r="Q52" s="29">
        <f>Q54+Q55</f>
        <v>0</v>
      </c>
      <c r="R52" s="29">
        <f t="shared" si="52"/>
        <v>0</v>
      </c>
      <c r="S52" s="29">
        <f>S54+S55</f>
        <v>0</v>
      </c>
      <c r="T52" s="29">
        <f t="shared" si="53"/>
        <v>0</v>
      </c>
      <c r="U52" s="29">
        <f>U54+U55</f>
        <v>0</v>
      </c>
      <c r="V52" s="29">
        <f t="shared" si="54"/>
        <v>0</v>
      </c>
      <c r="W52" s="30">
        <f>W54+W55</f>
        <v>0</v>
      </c>
      <c r="X52" s="29">
        <f t="shared" si="55"/>
        <v>0</v>
      </c>
      <c r="Z52" s="8">
        <v>0</v>
      </c>
    </row>
    <row r="53" spans="1:26" hidden="1" x14ac:dyDescent="0.25">
      <c r="A53" s="1"/>
      <c r="B53" s="10" t="s">
        <v>2</v>
      </c>
      <c r="C53" s="4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30"/>
      <c r="X53" s="29"/>
      <c r="Z53" s="8">
        <v>0</v>
      </c>
    </row>
    <row r="54" spans="1:26" hidden="1" x14ac:dyDescent="0.25">
      <c r="A54" s="1"/>
      <c r="B54" s="4" t="s">
        <v>3</v>
      </c>
      <c r="C54" s="4"/>
      <c r="D54" s="29">
        <v>16943.099999999999</v>
      </c>
      <c r="E54" s="29">
        <v>-3469.8</v>
      </c>
      <c r="F54" s="29">
        <f t="shared" si="0"/>
        <v>13473.3</v>
      </c>
      <c r="G54" s="29"/>
      <c r="H54" s="29">
        <f t="shared" ref="H54:H56" si="56">F54+G54</f>
        <v>13473.3</v>
      </c>
      <c r="I54" s="29"/>
      <c r="J54" s="29">
        <f t="shared" ref="J54:J56" si="57">H54+I54</f>
        <v>13473.3</v>
      </c>
      <c r="K54" s="29">
        <v>-13473.3</v>
      </c>
      <c r="L54" s="29">
        <f t="shared" ref="L54:L56" si="58">J54+K54</f>
        <v>0</v>
      </c>
      <c r="M54" s="29"/>
      <c r="N54" s="29">
        <f t="shared" ref="N54:N56" si="59">L54+M54</f>
        <v>0</v>
      </c>
      <c r="O54" s="29"/>
      <c r="P54" s="29">
        <f t="shared" ref="P54:P56" si="60">N54+O54</f>
        <v>0</v>
      </c>
      <c r="Q54" s="29"/>
      <c r="R54" s="29">
        <f t="shared" ref="R54:R56" si="61">P54+Q54</f>
        <v>0</v>
      </c>
      <c r="S54" s="29"/>
      <c r="T54" s="29">
        <f t="shared" ref="T54:T56" si="62">R54+S54</f>
        <v>0</v>
      </c>
      <c r="U54" s="29"/>
      <c r="V54" s="29">
        <f t="shared" ref="V54:V56" si="63">T54+U54</f>
        <v>0</v>
      </c>
      <c r="W54" s="30"/>
      <c r="X54" s="29">
        <f t="shared" ref="X54:X56" si="64">V54+W54</f>
        <v>0</v>
      </c>
      <c r="Y54" s="22" t="s">
        <v>181</v>
      </c>
      <c r="Z54" s="8">
        <v>0</v>
      </c>
    </row>
    <row r="55" spans="1:26" hidden="1" x14ac:dyDescent="0.25">
      <c r="A55" s="1"/>
      <c r="B55" s="4" t="s">
        <v>16</v>
      </c>
      <c r="C55" s="4"/>
      <c r="D55" s="29">
        <v>3864.8</v>
      </c>
      <c r="E55" s="29">
        <f>3469.8</f>
        <v>3469.8</v>
      </c>
      <c r="F55" s="29">
        <f t="shared" si="0"/>
        <v>7334.6</v>
      </c>
      <c r="G55" s="29"/>
      <c r="H55" s="29">
        <f t="shared" si="56"/>
        <v>7334.6</v>
      </c>
      <c r="I55" s="29"/>
      <c r="J55" s="29">
        <f t="shared" si="57"/>
        <v>7334.6</v>
      </c>
      <c r="K55" s="29">
        <v>-7334.6</v>
      </c>
      <c r="L55" s="29">
        <f t="shared" si="58"/>
        <v>0</v>
      </c>
      <c r="M55" s="29"/>
      <c r="N55" s="29">
        <f t="shared" si="59"/>
        <v>0</v>
      </c>
      <c r="O55" s="29"/>
      <c r="P55" s="29">
        <f t="shared" si="60"/>
        <v>0</v>
      </c>
      <c r="Q55" s="29"/>
      <c r="R55" s="29">
        <f t="shared" si="61"/>
        <v>0</v>
      </c>
      <c r="S55" s="29"/>
      <c r="T55" s="29">
        <f t="shared" si="62"/>
        <v>0</v>
      </c>
      <c r="U55" s="29"/>
      <c r="V55" s="29">
        <f t="shared" si="63"/>
        <v>0</v>
      </c>
      <c r="W55" s="30"/>
      <c r="X55" s="29">
        <f t="shared" si="64"/>
        <v>0</v>
      </c>
      <c r="Y55" s="22" t="s">
        <v>182</v>
      </c>
      <c r="Z55" s="8">
        <v>0</v>
      </c>
    </row>
    <row r="56" spans="1:26" ht="63.75" customHeight="1" x14ac:dyDescent="0.25">
      <c r="A56" s="1" t="s">
        <v>111</v>
      </c>
      <c r="B56" s="70" t="s">
        <v>87</v>
      </c>
      <c r="C56" s="69" t="s">
        <v>45</v>
      </c>
      <c r="D56" s="29">
        <f>D58+D59</f>
        <v>186468.6</v>
      </c>
      <c r="E56" s="29">
        <f>E58+E59</f>
        <v>0</v>
      </c>
      <c r="F56" s="29">
        <f t="shared" si="0"/>
        <v>186468.6</v>
      </c>
      <c r="G56" s="29">
        <f>G58+G59</f>
        <v>0</v>
      </c>
      <c r="H56" s="29">
        <f t="shared" si="56"/>
        <v>186468.6</v>
      </c>
      <c r="I56" s="29">
        <f>I58+I59</f>
        <v>0</v>
      </c>
      <c r="J56" s="29">
        <f t="shared" si="57"/>
        <v>186468.6</v>
      </c>
      <c r="K56" s="29">
        <f>K58+K59+K60</f>
        <v>-3.3999999985098839E-2</v>
      </c>
      <c r="L56" s="29">
        <f t="shared" si="58"/>
        <v>186468.56600000002</v>
      </c>
      <c r="M56" s="29">
        <f>M58+M59+M60</f>
        <v>0</v>
      </c>
      <c r="N56" s="29">
        <f t="shared" si="59"/>
        <v>186468.56600000002</v>
      </c>
      <c r="O56" s="29">
        <f>O58+O59+O60</f>
        <v>0</v>
      </c>
      <c r="P56" s="29">
        <f t="shared" si="60"/>
        <v>186468.56600000002</v>
      </c>
      <c r="Q56" s="29">
        <f>Q58+Q59+Q60</f>
        <v>0</v>
      </c>
      <c r="R56" s="29">
        <f t="shared" si="61"/>
        <v>186468.56600000002</v>
      </c>
      <c r="S56" s="29">
        <f>S58+S59+S60</f>
        <v>0</v>
      </c>
      <c r="T56" s="29">
        <f t="shared" si="62"/>
        <v>186468.56600000002</v>
      </c>
      <c r="U56" s="29">
        <f>U58+U59+U60</f>
        <v>0</v>
      </c>
      <c r="V56" s="29">
        <f t="shared" si="63"/>
        <v>186468.56600000002</v>
      </c>
      <c r="W56" s="30">
        <f>W58+W59+W60</f>
        <v>-16085.214</v>
      </c>
      <c r="X56" s="29">
        <f t="shared" si="64"/>
        <v>170383.35200000001</v>
      </c>
    </row>
    <row r="57" spans="1:26" x14ac:dyDescent="0.25">
      <c r="A57" s="1"/>
      <c r="B57" s="10" t="s">
        <v>2</v>
      </c>
      <c r="C57" s="4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30"/>
      <c r="X57" s="29"/>
    </row>
    <row r="58" spans="1:26" hidden="1" x14ac:dyDescent="0.25">
      <c r="A58" s="1"/>
      <c r="B58" s="4" t="s">
        <v>3</v>
      </c>
      <c r="C58" s="4"/>
      <c r="D58" s="29">
        <v>126745.8</v>
      </c>
      <c r="E58" s="29">
        <f>-19907.6-72378.8+152009.2</f>
        <v>59722.800000000017</v>
      </c>
      <c r="F58" s="29">
        <f t="shared" si="0"/>
        <v>186468.60000000003</v>
      </c>
      <c r="G58" s="29"/>
      <c r="H58" s="29">
        <f t="shared" ref="H58:H79" si="65">F58+G58</f>
        <v>186468.60000000003</v>
      </c>
      <c r="I58" s="29"/>
      <c r="J58" s="29">
        <f t="shared" ref="J58:J79" si="66">H58+I58</f>
        <v>186468.60000000003</v>
      </c>
      <c r="K58" s="29">
        <f>-34459.4-133695.547+42038.728</f>
        <v>-126116.21899999998</v>
      </c>
      <c r="L58" s="29">
        <f t="shared" ref="L58:L79" si="67">J58+K58</f>
        <v>60352.381000000052</v>
      </c>
      <c r="M58" s="29"/>
      <c r="N58" s="29">
        <f t="shared" ref="N58:N59" si="68">L58+M58</f>
        <v>60352.381000000052</v>
      </c>
      <c r="O58" s="29"/>
      <c r="P58" s="29">
        <f t="shared" ref="P58:P59" si="69">N58+O58</f>
        <v>60352.381000000052</v>
      </c>
      <c r="Q58" s="29"/>
      <c r="R58" s="29">
        <f t="shared" ref="R58:R59" si="70">P58+Q58</f>
        <v>60352.381000000052</v>
      </c>
      <c r="S58" s="29"/>
      <c r="T58" s="29">
        <f t="shared" ref="T58:T59" si="71">R58+S58</f>
        <v>60352.381000000052</v>
      </c>
      <c r="U58" s="29"/>
      <c r="V58" s="29">
        <f t="shared" ref="V58:V59" si="72">T58+U58</f>
        <v>60352.381000000052</v>
      </c>
      <c r="W58" s="30">
        <v>-16085.214</v>
      </c>
      <c r="X58" s="29">
        <f t="shared" ref="X58:X59" si="73">V58+W58</f>
        <v>44267.167000000052</v>
      </c>
      <c r="Y58" s="22" t="s">
        <v>255</v>
      </c>
      <c r="Z58" s="8">
        <v>0</v>
      </c>
    </row>
    <row r="59" spans="1:26" x14ac:dyDescent="0.25">
      <c r="A59" s="1"/>
      <c r="B59" s="4" t="s">
        <v>16</v>
      </c>
      <c r="C59" s="4"/>
      <c r="D59" s="29">
        <v>59722.8</v>
      </c>
      <c r="E59" s="29">
        <v>-59722.8</v>
      </c>
      <c r="F59" s="29">
        <f t="shared" si="0"/>
        <v>0</v>
      </c>
      <c r="G59" s="29"/>
      <c r="H59" s="29">
        <f t="shared" si="65"/>
        <v>0</v>
      </c>
      <c r="I59" s="29"/>
      <c r="J59" s="29">
        <f t="shared" si="66"/>
        <v>0</v>
      </c>
      <c r="K59" s="29">
        <v>126116.185</v>
      </c>
      <c r="L59" s="29">
        <f t="shared" si="67"/>
        <v>126116.185</v>
      </c>
      <c r="M59" s="29"/>
      <c r="N59" s="29">
        <f t="shared" si="68"/>
        <v>126116.185</v>
      </c>
      <c r="O59" s="29"/>
      <c r="P59" s="29">
        <f t="shared" si="69"/>
        <v>126116.185</v>
      </c>
      <c r="Q59" s="29"/>
      <c r="R59" s="29">
        <f t="shared" si="70"/>
        <v>126116.185</v>
      </c>
      <c r="S59" s="29"/>
      <c r="T59" s="29">
        <f t="shared" si="71"/>
        <v>126116.185</v>
      </c>
      <c r="U59" s="29"/>
      <c r="V59" s="29">
        <f t="shared" si="72"/>
        <v>126116.185</v>
      </c>
      <c r="W59" s="30"/>
      <c r="X59" s="29">
        <f t="shared" si="73"/>
        <v>126116.185</v>
      </c>
      <c r="Y59" s="22" t="s">
        <v>161</v>
      </c>
    </row>
    <row r="60" spans="1:26" hidden="1" x14ac:dyDescent="0.25">
      <c r="A60" s="1"/>
      <c r="B60" s="12" t="s">
        <v>20</v>
      </c>
      <c r="C60" s="4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30"/>
      <c r="X60" s="29"/>
      <c r="Z60" s="8">
        <v>0</v>
      </c>
    </row>
    <row r="61" spans="1:26" ht="60.75" customHeight="1" x14ac:dyDescent="0.25">
      <c r="A61" s="1" t="s">
        <v>112</v>
      </c>
      <c r="B61" s="70" t="s">
        <v>88</v>
      </c>
      <c r="C61" s="69" t="s">
        <v>45</v>
      </c>
      <c r="D61" s="29">
        <v>10287.200000000001</v>
      </c>
      <c r="E61" s="29">
        <f>-10287.2+10287.2</f>
        <v>0</v>
      </c>
      <c r="F61" s="29">
        <f t="shared" si="0"/>
        <v>10287.200000000001</v>
      </c>
      <c r="G61" s="29">
        <v>14483.197</v>
      </c>
      <c r="H61" s="29">
        <f t="shared" si="65"/>
        <v>24770.397000000001</v>
      </c>
      <c r="I61" s="29"/>
      <c r="J61" s="29">
        <f t="shared" si="66"/>
        <v>24770.397000000001</v>
      </c>
      <c r="K61" s="29">
        <f>62426.148-16000</f>
        <v>46426.148000000001</v>
      </c>
      <c r="L61" s="29">
        <f t="shared" si="67"/>
        <v>71196.544999999998</v>
      </c>
      <c r="M61" s="29"/>
      <c r="N61" s="29">
        <f t="shared" ref="N61:N68" si="74">L61+M61</f>
        <v>71196.544999999998</v>
      </c>
      <c r="O61" s="29"/>
      <c r="P61" s="29">
        <f t="shared" ref="P61:P68" si="75">N61+O61</f>
        <v>71196.544999999998</v>
      </c>
      <c r="Q61" s="29"/>
      <c r="R61" s="29">
        <f t="shared" ref="R61:R68" si="76">P61+Q61</f>
        <v>71196.544999999998</v>
      </c>
      <c r="S61" s="29">
        <v>-14389.197</v>
      </c>
      <c r="T61" s="29">
        <f t="shared" ref="T61:T68" si="77">R61+S61</f>
        <v>56807.347999999998</v>
      </c>
      <c r="U61" s="29"/>
      <c r="V61" s="29">
        <f t="shared" ref="V61:V68" si="78">T61+U61</f>
        <v>56807.347999999998</v>
      </c>
      <c r="W61" s="30">
        <v>-14822.95</v>
      </c>
      <c r="X61" s="29">
        <f t="shared" ref="X61:X68" si="79">V61+W61</f>
        <v>41984.398000000001</v>
      </c>
      <c r="Y61" s="22" t="s">
        <v>178</v>
      </c>
    </row>
    <row r="62" spans="1:26" ht="61.5" customHeight="1" x14ac:dyDescent="0.25">
      <c r="A62" s="1" t="s">
        <v>113</v>
      </c>
      <c r="B62" s="12" t="s">
        <v>172</v>
      </c>
      <c r="C62" s="69" t="s">
        <v>45</v>
      </c>
      <c r="D62" s="29">
        <v>7133.5</v>
      </c>
      <c r="E62" s="29"/>
      <c r="F62" s="29">
        <f t="shared" si="0"/>
        <v>7133.5</v>
      </c>
      <c r="G62" s="29"/>
      <c r="H62" s="29">
        <f t="shared" si="65"/>
        <v>7133.5</v>
      </c>
      <c r="I62" s="29"/>
      <c r="J62" s="29">
        <f t="shared" si="66"/>
        <v>7133.5</v>
      </c>
      <c r="K62" s="29"/>
      <c r="L62" s="29">
        <f t="shared" si="67"/>
        <v>7133.5</v>
      </c>
      <c r="M62" s="29"/>
      <c r="N62" s="29">
        <f t="shared" si="74"/>
        <v>7133.5</v>
      </c>
      <c r="O62" s="29"/>
      <c r="P62" s="29">
        <f t="shared" si="75"/>
        <v>7133.5</v>
      </c>
      <c r="Q62" s="29"/>
      <c r="R62" s="29">
        <f t="shared" si="76"/>
        <v>7133.5</v>
      </c>
      <c r="S62" s="29">
        <v>13048.159</v>
      </c>
      <c r="T62" s="29">
        <f t="shared" si="77"/>
        <v>20181.659</v>
      </c>
      <c r="U62" s="29"/>
      <c r="V62" s="29">
        <f t="shared" si="78"/>
        <v>20181.659</v>
      </c>
      <c r="W62" s="30"/>
      <c r="X62" s="29">
        <f t="shared" si="79"/>
        <v>20181.659</v>
      </c>
      <c r="Y62" s="22" t="s">
        <v>97</v>
      </c>
    </row>
    <row r="63" spans="1:26" ht="60.75" customHeight="1" x14ac:dyDescent="0.25">
      <c r="A63" s="1" t="s">
        <v>114</v>
      </c>
      <c r="B63" s="70" t="s">
        <v>173</v>
      </c>
      <c r="C63" s="69" t="s">
        <v>45</v>
      </c>
      <c r="D63" s="29">
        <v>140889.70000000001</v>
      </c>
      <c r="E63" s="29"/>
      <c r="F63" s="29">
        <f t="shared" si="0"/>
        <v>140889.70000000001</v>
      </c>
      <c r="G63" s="29">
        <v>-25982.239000000001</v>
      </c>
      <c r="H63" s="29">
        <f t="shared" si="65"/>
        <v>114907.46100000001</v>
      </c>
      <c r="I63" s="29"/>
      <c r="J63" s="29">
        <f t="shared" si="66"/>
        <v>114907.46100000001</v>
      </c>
      <c r="K63" s="29"/>
      <c r="L63" s="29">
        <f t="shared" si="67"/>
        <v>114907.46100000001</v>
      </c>
      <c r="M63" s="29"/>
      <c r="N63" s="29">
        <f t="shared" si="74"/>
        <v>114907.46100000001</v>
      </c>
      <c r="O63" s="29"/>
      <c r="P63" s="29">
        <f t="shared" si="75"/>
        <v>114907.46100000001</v>
      </c>
      <c r="Q63" s="29"/>
      <c r="R63" s="29">
        <f t="shared" si="76"/>
        <v>114907.46100000001</v>
      </c>
      <c r="S63" s="29">
        <f>-30546-59454</f>
        <v>-90000</v>
      </c>
      <c r="T63" s="29">
        <f t="shared" si="77"/>
        <v>24907.46100000001</v>
      </c>
      <c r="U63" s="29"/>
      <c r="V63" s="29">
        <f t="shared" si="78"/>
        <v>24907.46100000001</v>
      </c>
      <c r="W63" s="30">
        <v>-15.000999999999999</v>
      </c>
      <c r="X63" s="29">
        <f t="shared" si="79"/>
        <v>24892.46000000001</v>
      </c>
      <c r="Y63" s="22" t="s">
        <v>98</v>
      </c>
    </row>
    <row r="64" spans="1:26" ht="37.5" x14ac:dyDescent="0.25">
      <c r="A64" s="1" t="s">
        <v>115</v>
      </c>
      <c r="B64" s="70" t="s">
        <v>89</v>
      </c>
      <c r="C64" s="4" t="s">
        <v>11</v>
      </c>
      <c r="D64" s="29">
        <v>16000</v>
      </c>
      <c r="E64" s="29"/>
      <c r="F64" s="29">
        <f t="shared" si="0"/>
        <v>16000</v>
      </c>
      <c r="G64" s="29"/>
      <c r="H64" s="29">
        <f t="shared" si="65"/>
        <v>16000</v>
      </c>
      <c r="I64" s="29"/>
      <c r="J64" s="29">
        <f t="shared" si="66"/>
        <v>16000</v>
      </c>
      <c r="K64" s="29"/>
      <c r="L64" s="29">
        <f t="shared" si="67"/>
        <v>16000</v>
      </c>
      <c r="M64" s="29"/>
      <c r="N64" s="29">
        <f t="shared" si="74"/>
        <v>16000</v>
      </c>
      <c r="O64" s="29"/>
      <c r="P64" s="29">
        <f t="shared" si="75"/>
        <v>16000</v>
      </c>
      <c r="Q64" s="29"/>
      <c r="R64" s="29">
        <f t="shared" si="76"/>
        <v>16000</v>
      </c>
      <c r="S64" s="29">
        <v>-1760.09</v>
      </c>
      <c r="T64" s="29">
        <f t="shared" si="77"/>
        <v>14239.91</v>
      </c>
      <c r="U64" s="29"/>
      <c r="V64" s="29">
        <f t="shared" si="78"/>
        <v>14239.91</v>
      </c>
      <c r="W64" s="30"/>
      <c r="X64" s="29">
        <f t="shared" si="79"/>
        <v>14239.91</v>
      </c>
      <c r="Y64" s="22" t="s">
        <v>99</v>
      </c>
    </row>
    <row r="65" spans="1:26" ht="37.5" x14ac:dyDescent="0.25">
      <c r="A65" s="1" t="s">
        <v>116</v>
      </c>
      <c r="B65" s="70" t="s">
        <v>90</v>
      </c>
      <c r="C65" s="4" t="s">
        <v>11</v>
      </c>
      <c r="D65" s="29">
        <v>622.9</v>
      </c>
      <c r="E65" s="29"/>
      <c r="F65" s="29">
        <f t="shared" si="0"/>
        <v>622.9</v>
      </c>
      <c r="G65" s="29"/>
      <c r="H65" s="29">
        <f t="shared" si="65"/>
        <v>622.9</v>
      </c>
      <c r="I65" s="29"/>
      <c r="J65" s="29">
        <f t="shared" si="66"/>
        <v>622.9</v>
      </c>
      <c r="K65" s="29"/>
      <c r="L65" s="29">
        <f t="shared" si="67"/>
        <v>622.9</v>
      </c>
      <c r="M65" s="29"/>
      <c r="N65" s="29">
        <f t="shared" si="74"/>
        <v>622.9</v>
      </c>
      <c r="O65" s="29"/>
      <c r="P65" s="29">
        <f t="shared" si="75"/>
        <v>622.9</v>
      </c>
      <c r="Q65" s="29"/>
      <c r="R65" s="29">
        <f t="shared" si="76"/>
        <v>622.9</v>
      </c>
      <c r="S65" s="29"/>
      <c r="T65" s="29">
        <f t="shared" si="77"/>
        <v>622.9</v>
      </c>
      <c r="U65" s="29"/>
      <c r="V65" s="29">
        <f t="shared" si="78"/>
        <v>622.9</v>
      </c>
      <c r="W65" s="30"/>
      <c r="X65" s="29">
        <f t="shared" si="79"/>
        <v>622.9</v>
      </c>
      <c r="Y65" s="22" t="s">
        <v>100</v>
      </c>
    </row>
    <row r="66" spans="1:26" ht="49.5" customHeight="1" x14ac:dyDescent="0.25">
      <c r="A66" s="1" t="s">
        <v>117</v>
      </c>
      <c r="B66" s="70" t="s">
        <v>91</v>
      </c>
      <c r="C66" s="4" t="s">
        <v>11</v>
      </c>
      <c r="D66" s="29">
        <v>16000</v>
      </c>
      <c r="E66" s="29"/>
      <c r="F66" s="29">
        <f t="shared" si="0"/>
        <v>16000</v>
      </c>
      <c r="G66" s="29"/>
      <c r="H66" s="29">
        <f t="shared" si="65"/>
        <v>16000</v>
      </c>
      <c r="I66" s="29"/>
      <c r="J66" s="29">
        <f t="shared" si="66"/>
        <v>16000</v>
      </c>
      <c r="K66" s="29"/>
      <c r="L66" s="29">
        <f t="shared" si="67"/>
        <v>16000</v>
      </c>
      <c r="M66" s="29"/>
      <c r="N66" s="29">
        <f t="shared" si="74"/>
        <v>16000</v>
      </c>
      <c r="O66" s="29"/>
      <c r="P66" s="29">
        <f t="shared" si="75"/>
        <v>16000</v>
      </c>
      <c r="Q66" s="29"/>
      <c r="R66" s="29">
        <f t="shared" si="76"/>
        <v>16000</v>
      </c>
      <c r="S66" s="29"/>
      <c r="T66" s="29">
        <f t="shared" si="77"/>
        <v>16000</v>
      </c>
      <c r="U66" s="29"/>
      <c r="V66" s="29">
        <f t="shared" si="78"/>
        <v>16000</v>
      </c>
      <c r="W66" s="30"/>
      <c r="X66" s="29">
        <f t="shared" si="79"/>
        <v>16000</v>
      </c>
      <c r="Y66" s="22" t="s">
        <v>101</v>
      </c>
    </row>
    <row r="67" spans="1:26" ht="37.5" x14ac:dyDescent="0.25">
      <c r="A67" s="1" t="s">
        <v>118</v>
      </c>
      <c r="B67" s="70" t="s">
        <v>93</v>
      </c>
      <c r="C67" s="4" t="s">
        <v>11</v>
      </c>
      <c r="D67" s="29">
        <v>14500</v>
      </c>
      <c r="E67" s="29"/>
      <c r="F67" s="29">
        <f t="shared" si="0"/>
        <v>14500</v>
      </c>
      <c r="G67" s="29"/>
      <c r="H67" s="29">
        <f t="shared" si="65"/>
        <v>14500</v>
      </c>
      <c r="I67" s="29"/>
      <c r="J67" s="29">
        <f t="shared" si="66"/>
        <v>14500</v>
      </c>
      <c r="K67" s="29"/>
      <c r="L67" s="29">
        <f t="shared" si="67"/>
        <v>14500</v>
      </c>
      <c r="M67" s="29"/>
      <c r="N67" s="29">
        <f t="shared" si="74"/>
        <v>14500</v>
      </c>
      <c r="O67" s="29"/>
      <c r="P67" s="29">
        <f t="shared" si="75"/>
        <v>14500</v>
      </c>
      <c r="Q67" s="29"/>
      <c r="R67" s="29">
        <f t="shared" si="76"/>
        <v>14500</v>
      </c>
      <c r="S67" s="29"/>
      <c r="T67" s="29">
        <f t="shared" si="77"/>
        <v>14500</v>
      </c>
      <c r="U67" s="29"/>
      <c r="V67" s="29">
        <f t="shared" si="78"/>
        <v>14500</v>
      </c>
      <c r="W67" s="30"/>
      <c r="X67" s="29">
        <f t="shared" si="79"/>
        <v>14500</v>
      </c>
      <c r="Y67" s="22" t="s">
        <v>102</v>
      </c>
    </row>
    <row r="68" spans="1:26" ht="56.25" x14ac:dyDescent="0.25">
      <c r="A68" s="1" t="s">
        <v>119</v>
      </c>
      <c r="B68" s="70" t="s">
        <v>253</v>
      </c>
      <c r="C68" s="69" t="s">
        <v>45</v>
      </c>
      <c r="D68" s="29"/>
      <c r="E68" s="29"/>
      <c r="F68" s="29"/>
      <c r="G68" s="29"/>
      <c r="H68" s="29"/>
      <c r="I68" s="29"/>
      <c r="J68" s="29"/>
      <c r="K68" s="29">
        <f>K70+K71+K72</f>
        <v>71066.23</v>
      </c>
      <c r="L68" s="29">
        <f t="shared" si="67"/>
        <v>71066.23</v>
      </c>
      <c r="M68" s="29">
        <f>M70+M71+M72</f>
        <v>-8185.34</v>
      </c>
      <c r="N68" s="29">
        <f t="shared" si="74"/>
        <v>62880.89</v>
      </c>
      <c r="O68" s="29">
        <f>O70+O71+O72</f>
        <v>0</v>
      </c>
      <c r="P68" s="29">
        <f t="shared" si="75"/>
        <v>62880.89</v>
      </c>
      <c r="Q68" s="29">
        <f>Q70+Q71+Q72</f>
        <v>0</v>
      </c>
      <c r="R68" s="29">
        <f t="shared" si="76"/>
        <v>62880.89</v>
      </c>
      <c r="S68" s="29">
        <f>S70+S71+S72</f>
        <v>0</v>
      </c>
      <c r="T68" s="29">
        <f t="shared" si="77"/>
        <v>62880.89</v>
      </c>
      <c r="U68" s="29">
        <f>U70+U71+U72</f>
        <v>0</v>
      </c>
      <c r="V68" s="29">
        <f t="shared" si="78"/>
        <v>62880.89</v>
      </c>
      <c r="W68" s="30">
        <f>W70+W71+W72</f>
        <v>-16083.746999999999</v>
      </c>
      <c r="X68" s="29">
        <f t="shared" si="79"/>
        <v>46797.142999999996</v>
      </c>
    </row>
    <row r="69" spans="1:26" x14ac:dyDescent="0.25">
      <c r="A69" s="1"/>
      <c r="B69" s="10" t="s">
        <v>2</v>
      </c>
      <c r="C69" s="4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30"/>
      <c r="X69" s="29"/>
    </row>
    <row r="70" spans="1:26" hidden="1" x14ac:dyDescent="0.25">
      <c r="A70" s="1"/>
      <c r="B70" s="4" t="s">
        <v>3</v>
      </c>
      <c r="C70" s="4"/>
      <c r="D70" s="29"/>
      <c r="E70" s="29"/>
      <c r="F70" s="29"/>
      <c r="G70" s="29"/>
      <c r="H70" s="29"/>
      <c r="I70" s="29"/>
      <c r="J70" s="29"/>
      <c r="K70" s="29">
        <f>38804.2+32.23</f>
        <v>38836.43</v>
      </c>
      <c r="L70" s="29">
        <f t="shared" si="67"/>
        <v>38836.43</v>
      </c>
      <c r="M70" s="29">
        <v>-8185.34</v>
      </c>
      <c r="N70" s="29">
        <f t="shared" ref="N70:N79" si="80">L70+M70</f>
        <v>30651.09</v>
      </c>
      <c r="O70" s="29"/>
      <c r="P70" s="29">
        <f t="shared" ref="P70:P79" si="81">N70+O70</f>
        <v>30651.09</v>
      </c>
      <c r="Q70" s="29"/>
      <c r="R70" s="29">
        <f t="shared" ref="R70:R79" si="82">P70+Q70</f>
        <v>30651.09</v>
      </c>
      <c r="S70" s="29"/>
      <c r="T70" s="29">
        <f t="shared" ref="T70:T79" si="83">R70+S70</f>
        <v>30651.09</v>
      </c>
      <c r="U70" s="29"/>
      <c r="V70" s="29">
        <f t="shared" ref="V70:V79" si="84">T70+U70</f>
        <v>30651.09</v>
      </c>
      <c r="W70" s="30">
        <v>-16083.746999999999</v>
      </c>
      <c r="X70" s="29">
        <f t="shared" ref="X70:X79" si="85">V70+W70</f>
        <v>14567.343000000001</v>
      </c>
      <c r="Y70" s="22" t="s">
        <v>254</v>
      </c>
      <c r="Z70" s="8">
        <v>0</v>
      </c>
    </row>
    <row r="71" spans="1:26" x14ac:dyDescent="0.25">
      <c r="A71" s="1"/>
      <c r="B71" s="4" t="s">
        <v>16</v>
      </c>
      <c r="C71" s="4"/>
      <c r="D71" s="29"/>
      <c r="E71" s="29"/>
      <c r="F71" s="29"/>
      <c r="G71" s="29"/>
      <c r="H71" s="29"/>
      <c r="I71" s="29"/>
      <c r="J71" s="29"/>
      <c r="K71" s="29">
        <v>1611.5</v>
      </c>
      <c r="L71" s="29">
        <f t="shared" si="67"/>
        <v>1611.5</v>
      </c>
      <c r="M71" s="29"/>
      <c r="N71" s="29">
        <f t="shared" si="80"/>
        <v>1611.5</v>
      </c>
      <c r="O71" s="29"/>
      <c r="P71" s="29">
        <f t="shared" si="81"/>
        <v>1611.5</v>
      </c>
      <c r="Q71" s="29"/>
      <c r="R71" s="29">
        <f t="shared" si="82"/>
        <v>1611.5</v>
      </c>
      <c r="S71" s="29"/>
      <c r="T71" s="29">
        <f t="shared" si="83"/>
        <v>1611.5</v>
      </c>
      <c r="U71" s="29"/>
      <c r="V71" s="29">
        <f t="shared" si="84"/>
        <v>1611.5</v>
      </c>
      <c r="W71" s="30"/>
      <c r="X71" s="29">
        <f t="shared" si="85"/>
        <v>1611.5</v>
      </c>
      <c r="Y71" s="22" t="s">
        <v>248</v>
      </c>
    </row>
    <row r="72" spans="1:26" x14ac:dyDescent="0.25">
      <c r="A72" s="1"/>
      <c r="B72" s="12" t="s">
        <v>20</v>
      </c>
      <c r="C72" s="4"/>
      <c r="D72" s="29"/>
      <c r="E72" s="29"/>
      <c r="F72" s="29"/>
      <c r="G72" s="29"/>
      <c r="H72" s="29"/>
      <c r="I72" s="29"/>
      <c r="J72" s="29"/>
      <c r="K72" s="29">
        <v>30618.3</v>
      </c>
      <c r="L72" s="29">
        <f t="shared" si="67"/>
        <v>30618.3</v>
      </c>
      <c r="M72" s="29"/>
      <c r="N72" s="29">
        <f t="shared" si="80"/>
        <v>30618.3</v>
      </c>
      <c r="O72" s="29"/>
      <c r="P72" s="29">
        <f t="shared" si="81"/>
        <v>30618.3</v>
      </c>
      <c r="Q72" s="29"/>
      <c r="R72" s="29">
        <f t="shared" si="82"/>
        <v>30618.3</v>
      </c>
      <c r="S72" s="29"/>
      <c r="T72" s="29">
        <f t="shared" si="83"/>
        <v>30618.3</v>
      </c>
      <c r="U72" s="29"/>
      <c r="V72" s="29">
        <f t="shared" si="84"/>
        <v>30618.3</v>
      </c>
      <c r="W72" s="30"/>
      <c r="X72" s="29">
        <f t="shared" si="85"/>
        <v>30618.3</v>
      </c>
      <c r="Y72" s="22" t="s">
        <v>248</v>
      </c>
    </row>
    <row r="73" spans="1:26" ht="37.5" x14ac:dyDescent="0.25">
      <c r="A73" s="1" t="s">
        <v>120</v>
      </c>
      <c r="B73" s="70" t="s">
        <v>288</v>
      </c>
      <c r="C73" s="4" t="s">
        <v>11</v>
      </c>
      <c r="D73" s="29"/>
      <c r="E73" s="29"/>
      <c r="F73" s="29"/>
      <c r="G73" s="29"/>
      <c r="H73" s="29"/>
      <c r="I73" s="29"/>
      <c r="J73" s="29"/>
      <c r="K73" s="29">
        <v>16000</v>
      </c>
      <c r="L73" s="29">
        <f t="shared" si="67"/>
        <v>16000</v>
      </c>
      <c r="M73" s="29"/>
      <c r="N73" s="29">
        <f t="shared" si="80"/>
        <v>16000</v>
      </c>
      <c r="O73" s="29">
        <v>-3578.4</v>
      </c>
      <c r="P73" s="29">
        <f t="shared" si="81"/>
        <v>12421.6</v>
      </c>
      <c r="Q73" s="29"/>
      <c r="R73" s="29">
        <f t="shared" si="82"/>
        <v>12421.6</v>
      </c>
      <c r="S73" s="29"/>
      <c r="T73" s="29">
        <f t="shared" si="83"/>
        <v>12421.6</v>
      </c>
      <c r="U73" s="29"/>
      <c r="V73" s="29">
        <f t="shared" si="84"/>
        <v>12421.6</v>
      </c>
      <c r="W73" s="30"/>
      <c r="X73" s="29">
        <f t="shared" si="85"/>
        <v>12421.6</v>
      </c>
      <c r="Y73" s="22" t="s">
        <v>256</v>
      </c>
    </row>
    <row r="74" spans="1:26" ht="56.25" hidden="1" x14ac:dyDescent="0.25">
      <c r="A74" s="1" t="s">
        <v>121</v>
      </c>
      <c r="B74" s="54" t="s">
        <v>278</v>
      </c>
      <c r="C74" s="55" t="s">
        <v>45</v>
      </c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>
        <f t="shared" si="83"/>
        <v>0</v>
      </c>
      <c r="U74" s="29"/>
      <c r="V74" s="29">
        <f t="shared" si="84"/>
        <v>0</v>
      </c>
      <c r="W74" s="30"/>
      <c r="X74" s="29">
        <f t="shared" si="85"/>
        <v>0</v>
      </c>
      <c r="Y74" s="22" t="s">
        <v>279</v>
      </c>
      <c r="Z74" s="8">
        <v>0</v>
      </c>
    </row>
    <row r="75" spans="1:26" ht="56.25" hidden="1" x14ac:dyDescent="0.25">
      <c r="A75" s="1" t="s">
        <v>121</v>
      </c>
      <c r="B75" s="58" t="s">
        <v>285</v>
      </c>
      <c r="C75" s="57" t="s">
        <v>45</v>
      </c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>
        <v>2266.5940000000001</v>
      </c>
      <c r="T75" s="29">
        <f t="shared" si="83"/>
        <v>2266.5940000000001</v>
      </c>
      <c r="U75" s="29">
        <v>-2266.5940000000001</v>
      </c>
      <c r="V75" s="29">
        <f t="shared" si="84"/>
        <v>0</v>
      </c>
      <c r="W75" s="30"/>
      <c r="X75" s="29">
        <f t="shared" si="85"/>
        <v>0</v>
      </c>
      <c r="Y75" s="22" t="s">
        <v>280</v>
      </c>
      <c r="Z75" s="8">
        <v>0</v>
      </c>
    </row>
    <row r="76" spans="1:26" ht="56.25" x14ac:dyDescent="0.25">
      <c r="A76" s="1" t="s">
        <v>121</v>
      </c>
      <c r="B76" s="70" t="s">
        <v>290</v>
      </c>
      <c r="C76" s="69" t="s">
        <v>45</v>
      </c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30">
        <v>15</v>
      </c>
      <c r="X76" s="29">
        <f t="shared" si="85"/>
        <v>15</v>
      </c>
      <c r="Y76" s="22" t="s">
        <v>291</v>
      </c>
    </row>
    <row r="77" spans="1:26" ht="56.25" x14ac:dyDescent="0.25">
      <c r="A77" s="1" t="s">
        <v>122</v>
      </c>
      <c r="B77" s="70" t="s">
        <v>299</v>
      </c>
      <c r="C77" s="69" t="s">
        <v>45</v>
      </c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30">
        <v>1595.1410000000001</v>
      </c>
      <c r="X77" s="29">
        <f t="shared" si="85"/>
        <v>1595.1410000000001</v>
      </c>
      <c r="Y77" s="22" t="s">
        <v>294</v>
      </c>
    </row>
    <row r="78" spans="1:26" ht="56.25" x14ac:dyDescent="0.25">
      <c r="A78" s="1" t="s">
        <v>123</v>
      </c>
      <c r="B78" s="70" t="s">
        <v>292</v>
      </c>
      <c r="C78" s="69" t="s">
        <v>45</v>
      </c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30">
        <v>30352.190999999999</v>
      </c>
      <c r="X78" s="29">
        <f t="shared" si="85"/>
        <v>30352.190999999999</v>
      </c>
      <c r="Y78" s="22" t="s">
        <v>293</v>
      </c>
    </row>
    <row r="79" spans="1:26" x14ac:dyDescent="0.25">
      <c r="A79" s="1"/>
      <c r="B79" s="4" t="s">
        <v>4</v>
      </c>
      <c r="C79" s="69"/>
      <c r="D79" s="28">
        <f>D81+D82</f>
        <v>1387582.7000000002</v>
      </c>
      <c r="E79" s="28">
        <f>E81+E82+E83</f>
        <v>1231.5</v>
      </c>
      <c r="F79" s="28">
        <f t="shared" si="0"/>
        <v>1388814.2000000002</v>
      </c>
      <c r="G79" s="28">
        <f>G81+G82+G83</f>
        <v>63498.306000000004</v>
      </c>
      <c r="H79" s="28">
        <f t="shared" si="65"/>
        <v>1452312.5060000003</v>
      </c>
      <c r="I79" s="28">
        <f>I81+I82+I83</f>
        <v>0</v>
      </c>
      <c r="J79" s="28">
        <f t="shared" si="66"/>
        <v>1452312.5060000003</v>
      </c>
      <c r="K79" s="28">
        <f>K81+K82+K83</f>
        <v>-14206.919999999998</v>
      </c>
      <c r="L79" s="28">
        <f t="shared" si="67"/>
        <v>1438105.5860000004</v>
      </c>
      <c r="M79" s="28">
        <f>M81+M82+M83</f>
        <v>-15000</v>
      </c>
      <c r="N79" s="28">
        <f t="shared" si="80"/>
        <v>1423105.5860000004</v>
      </c>
      <c r="O79" s="28">
        <f>O81+O82+O83+O84</f>
        <v>1414056.1209999998</v>
      </c>
      <c r="P79" s="28">
        <f t="shared" si="81"/>
        <v>2837161.7070000004</v>
      </c>
      <c r="Q79" s="28">
        <f>Q81+Q82+Q83+Q84</f>
        <v>0</v>
      </c>
      <c r="R79" s="28">
        <f t="shared" si="82"/>
        <v>2837161.7070000004</v>
      </c>
      <c r="S79" s="28">
        <f>S81+S82+S83+S84</f>
        <v>6230.9400000000005</v>
      </c>
      <c r="T79" s="28">
        <f t="shared" si="83"/>
        <v>2843392.6470000003</v>
      </c>
      <c r="U79" s="29">
        <f>U81+U82+U83+U84</f>
        <v>0</v>
      </c>
      <c r="V79" s="28">
        <f t="shared" si="84"/>
        <v>2843392.6470000003</v>
      </c>
      <c r="W79" s="28">
        <f>W81+W82+W83+W84</f>
        <v>3361.4300000000003</v>
      </c>
      <c r="X79" s="29">
        <f t="shared" si="85"/>
        <v>2846754.0770000005</v>
      </c>
      <c r="Y79" s="61"/>
      <c r="Z79" s="62"/>
    </row>
    <row r="80" spans="1:26" x14ac:dyDescent="0.25">
      <c r="A80" s="1"/>
      <c r="B80" s="10" t="s">
        <v>2</v>
      </c>
      <c r="C80" s="6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30"/>
      <c r="X80" s="29"/>
    </row>
    <row r="81" spans="1:26" hidden="1" x14ac:dyDescent="0.3">
      <c r="A81" s="1"/>
      <c r="B81" s="4" t="s">
        <v>3</v>
      </c>
      <c r="C81" s="4"/>
      <c r="D81" s="31">
        <f>D85+D87+D88+D89+D90+D91+D93+D95+D96+D97+D99+D101+D102+D105</f>
        <v>820066.20000000007</v>
      </c>
      <c r="E81" s="31">
        <f>E85+E87+E88+E89+E90+E91+E93+E95+E96+E97+E99+E101+E102+E105</f>
        <v>-129824.99999999999</v>
      </c>
      <c r="F81" s="29">
        <f t="shared" si="0"/>
        <v>690241.20000000007</v>
      </c>
      <c r="G81" s="31">
        <f>G85+G87+G88+G89+G90+G91+G93+G95+G96+G97+G99+G101+G102+G105+G86+G98+G100+G123+G116+G117+G118+G120+G121</f>
        <v>63498.306000000004</v>
      </c>
      <c r="H81" s="29">
        <f t="shared" ref="H81:H102" si="86">F81+G81</f>
        <v>753739.50600000005</v>
      </c>
      <c r="I81" s="31">
        <f>I85+I87+I88+I89+I90+I91+I93+I95+I96+I97+I99+I101+I102+I105+I86+I98+I100+I123+I116+I117+I118+I120+I121</f>
        <v>0</v>
      </c>
      <c r="J81" s="29">
        <f t="shared" ref="J81:J102" si="87">H81+I81</f>
        <v>753739.50600000005</v>
      </c>
      <c r="K81" s="31">
        <f>K85+K87+K88+K89+K90+K91+K93+K95+K96+K97+K99+K101+K102+K105+K86+K98+K100+K123+K116+K117+K118+K120+K121</f>
        <v>-14206.919999999998</v>
      </c>
      <c r="L81" s="29">
        <f t="shared" ref="L81:L102" si="88">J81+K81</f>
        <v>739532.58600000001</v>
      </c>
      <c r="M81" s="31">
        <f>M85+M87+M88+M89+M90+M91+M93+M95+M96+M97+M99+M101+M102+M105+M86+M98+M100+M123+M116+M117+M118+M120+M121</f>
        <v>-15000</v>
      </c>
      <c r="N81" s="29">
        <f t="shared" ref="N81:N102" si="89">L81+M81</f>
        <v>724532.58600000001</v>
      </c>
      <c r="O81" s="31">
        <f>O85+O87+O88+O89+O90+O91+O93+O95+O96+O97+O99+O101+O102+O105+O86+O98+O100+O123+O116+O117+O118+O120+O121+O119</f>
        <v>42277.493000000017</v>
      </c>
      <c r="P81" s="29">
        <f t="shared" ref="P81:P102" si="90">N81+O81</f>
        <v>766810.07900000003</v>
      </c>
      <c r="Q81" s="31">
        <f>Q85+Q87+Q88+Q89+Q90+Q91+Q93+Q95+Q96+Q97+Q99+Q101+Q102+Q105+Q86+Q98+Q100+Q123+Q116+Q117+Q118+Q120+Q121+Q119</f>
        <v>0</v>
      </c>
      <c r="R81" s="29">
        <f t="shared" ref="R81:R102" si="91">P81+Q81</f>
        <v>766810.07900000003</v>
      </c>
      <c r="S81" s="31">
        <f>S85+S87+S88+S89+S90+S91+S93+S95+S96+S97+S99+S101+S102+S105+S86+S98+S100+S123+S116+S117+S118+S120+S121+S119+S124+S122</f>
        <v>6230.9400000000005</v>
      </c>
      <c r="T81" s="29">
        <f t="shared" ref="T81:T102" si="92">R81+S81</f>
        <v>773041.01899999997</v>
      </c>
      <c r="U81" s="31">
        <f>U85+U87+U88+U89+U90+U91+U93+U95+U96+U97+U99+U101+U102+U105+U86+U98+U100+U123+U116+U117+U118+U120+U121+U119+U124+U122</f>
        <v>0</v>
      </c>
      <c r="V81" s="29">
        <f t="shared" ref="V81:V102" si="93">T81+U81</f>
        <v>773041.01899999997</v>
      </c>
      <c r="W81" s="32">
        <f>W85+W87+W88+W89+W90+W91+W93+W95+W96+W97+W99+W101+W102+W105+W86+W98+W100+W123+W116+W117+W118+W120+W121+W119+W124+W122+W92+W94</f>
        <v>3361.4300000000003</v>
      </c>
      <c r="X81" s="29">
        <f t="shared" ref="X81:X102" si="94">V81+W81</f>
        <v>776402.44900000002</v>
      </c>
      <c r="Z81" s="8">
        <v>0</v>
      </c>
    </row>
    <row r="82" spans="1:26" x14ac:dyDescent="0.25">
      <c r="A82" s="64"/>
      <c r="B82" s="70" t="s">
        <v>16</v>
      </c>
      <c r="C82" s="69"/>
      <c r="D82" s="29">
        <f>D106+D111+D114</f>
        <v>567516.5</v>
      </c>
      <c r="E82" s="29">
        <f>E106+E111+E114</f>
        <v>-683.3</v>
      </c>
      <c r="F82" s="29">
        <f t="shared" si="0"/>
        <v>566833.19999999995</v>
      </c>
      <c r="G82" s="29">
        <f>G106+G111+G114</f>
        <v>0</v>
      </c>
      <c r="H82" s="29">
        <f t="shared" si="86"/>
        <v>566833.19999999995</v>
      </c>
      <c r="I82" s="29">
        <f>I106+I111+I114</f>
        <v>0</v>
      </c>
      <c r="J82" s="29">
        <f t="shared" si="87"/>
        <v>566833.19999999995</v>
      </c>
      <c r="K82" s="29">
        <f>K106+K111+K114</f>
        <v>0</v>
      </c>
      <c r="L82" s="29">
        <f t="shared" si="88"/>
        <v>566833.19999999995</v>
      </c>
      <c r="M82" s="29">
        <f>M106+M111+M114</f>
        <v>0</v>
      </c>
      <c r="N82" s="29">
        <f t="shared" si="89"/>
        <v>566833.19999999995</v>
      </c>
      <c r="O82" s="29">
        <f>O106+O111+O114</f>
        <v>194038.59600000002</v>
      </c>
      <c r="P82" s="29">
        <f t="shared" si="90"/>
        <v>760871.79599999997</v>
      </c>
      <c r="Q82" s="29">
        <f>Q106+Q111+Q114</f>
        <v>0</v>
      </c>
      <c r="R82" s="29">
        <f t="shared" si="91"/>
        <v>760871.79599999997</v>
      </c>
      <c r="S82" s="29">
        <f>S106+S111+S114</f>
        <v>0</v>
      </c>
      <c r="T82" s="29">
        <f t="shared" si="92"/>
        <v>760871.79599999997</v>
      </c>
      <c r="U82" s="29">
        <f>U106+U111+U114</f>
        <v>0</v>
      </c>
      <c r="V82" s="29">
        <f t="shared" si="93"/>
        <v>760871.79599999997</v>
      </c>
      <c r="W82" s="30">
        <f>W106+W111+W114</f>
        <v>0</v>
      </c>
      <c r="X82" s="29">
        <f t="shared" si="94"/>
        <v>760871.79599999997</v>
      </c>
    </row>
    <row r="83" spans="1:26" x14ac:dyDescent="0.25">
      <c r="A83" s="1"/>
      <c r="B83" s="4" t="s">
        <v>20</v>
      </c>
      <c r="C83" s="69"/>
      <c r="D83" s="29"/>
      <c r="E83" s="29">
        <f>E107+E115</f>
        <v>131739.79999999999</v>
      </c>
      <c r="F83" s="29">
        <f t="shared" si="0"/>
        <v>131739.79999999999</v>
      </c>
      <c r="G83" s="29">
        <f>G107+G115</f>
        <v>0</v>
      </c>
      <c r="H83" s="29">
        <f t="shared" si="86"/>
        <v>131739.79999999999</v>
      </c>
      <c r="I83" s="29">
        <f>I107+I115</f>
        <v>0</v>
      </c>
      <c r="J83" s="29">
        <f t="shared" si="87"/>
        <v>131739.79999999999</v>
      </c>
      <c r="K83" s="29">
        <f>K107+K115</f>
        <v>0</v>
      </c>
      <c r="L83" s="29">
        <f t="shared" si="88"/>
        <v>131739.79999999999</v>
      </c>
      <c r="M83" s="29">
        <f>M107+M115</f>
        <v>0</v>
      </c>
      <c r="N83" s="29">
        <f t="shared" si="89"/>
        <v>131739.79999999999</v>
      </c>
      <c r="O83" s="29">
        <f>O107+O115</f>
        <v>0</v>
      </c>
      <c r="P83" s="29">
        <f t="shared" si="90"/>
        <v>131739.79999999999</v>
      </c>
      <c r="Q83" s="29">
        <f>Q107+Q115</f>
        <v>0</v>
      </c>
      <c r="R83" s="29">
        <f t="shared" si="91"/>
        <v>131739.79999999999</v>
      </c>
      <c r="S83" s="29">
        <f>S107+S115</f>
        <v>0</v>
      </c>
      <c r="T83" s="29">
        <f t="shared" si="92"/>
        <v>131739.79999999999</v>
      </c>
      <c r="U83" s="29">
        <f>U107+U115</f>
        <v>0</v>
      </c>
      <c r="V83" s="29">
        <f t="shared" si="93"/>
        <v>131739.79999999999</v>
      </c>
      <c r="W83" s="30">
        <f>W107+W115</f>
        <v>0</v>
      </c>
      <c r="X83" s="29">
        <f t="shared" si="94"/>
        <v>131739.79999999999</v>
      </c>
    </row>
    <row r="84" spans="1:26" ht="37.5" x14ac:dyDescent="0.25">
      <c r="A84" s="1"/>
      <c r="B84" s="4" t="s">
        <v>263</v>
      </c>
      <c r="C84" s="41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>
        <f>O108</f>
        <v>1177740.0319999999</v>
      </c>
      <c r="P84" s="29">
        <f t="shared" si="90"/>
        <v>1177740.0319999999</v>
      </c>
      <c r="Q84" s="29">
        <f>Q108</f>
        <v>0</v>
      </c>
      <c r="R84" s="29">
        <f t="shared" si="91"/>
        <v>1177740.0319999999</v>
      </c>
      <c r="S84" s="29">
        <f>S108</f>
        <v>0</v>
      </c>
      <c r="T84" s="29">
        <f t="shared" si="92"/>
        <v>1177740.0319999999</v>
      </c>
      <c r="U84" s="29">
        <f>U108</f>
        <v>0</v>
      </c>
      <c r="V84" s="29">
        <f t="shared" si="93"/>
        <v>1177740.0319999999</v>
      </c>
      <c r="W84" s="30">
        <f>W108</f>
        <v>0</v>
      </c>
      <c r="X84" s="29">
        <f t="shared" si="94"/>
        <v>1177740.0319999999</v>
      </c>
    </row>
    <row r="85" spans="1:26" ht="56.25" hidden="1" x14ac:dyDescent="0.25">
      <c r="A85" s="85" t="s">
        <v>124</v>
      </c>
      <c r="B85" s="102" t="s">
        <v>46</v>
      </c>
      <c r="C85" s="41" t="s">
        <v>45</v>
      </c>
      <c r="D85" s="29">
        <v>79002.5</v>
      </c>
      <c r="E85" s="29">
        <v>-49000</v>
      </c>
      <c r="F85" s="29">
        <f t="shared" si="0"/>
        <v>30002.5</v>
      </c>
      <c r="G85" s="29"/>
      <c r="H85" s="29">
        <f t="shared" si="86"/>
        <v>30002.5</v>
      </c>
      <c r="I85" s="29"/>
      <c r="J85" s="29">
        <f t="shared" si="87"/>
        <v>30002.5</v>
      </c>
      <c r="K85" s="29">
        <v>-29206.92</v>
      </c>
      <c r="L85" s="29">
        <f t="shared" si="88"/>
        <v>795.58000000000175</v>
      </c>
      <c r="M85" s="29"/>
      <c r="N85" s="29">
        <f t="shared" si="89"/>
        <v>795.58000000000175</v>
      </c>
      <c r="O85" s="29">
        <v>-795.58</v>
      </c>
      <c r="P85" s="29">
        <f t="shared" si="90"/>
        <v>1.7053025658242404E-12</v>
      </c>
      <c r="Q85" s="29"/>
      <c r="R85" s="29">
        <f t="shared" si="91"/>
        <v>1.7053025658242404E-12</v>
      </c>
      <c r="S85" s="29"/>
      <c r="T85" s="29">
        <f t="shared" si="92"/>
        <v>1.7053025658242404E-12</v>
      </c>
      <c r="U85" s="29"/>
      <c r="V85" s="29">
        <f t="shared" si="93"/>
        <v>1.7053025658242404E-12</v>
      </c>
      <c r="W85" s="30"/>
      <c r="X85" s="29">
        <f t="shared" si="94"/>
        <v>1.7053025658242404E-12</v>
      </c>
      <c r="Y85" s="22">
        <v>1710141130</v>
      </c>
      <c r="Z85" s="8">
        <v>0</v>
      </c>
    </row>
    <row r="86" spans="1:26" ht="75" x14ac:dyDescent="0.25">
      <c r="A86" s="86"/>
      <c r="B86" s="103"/>
      <c r="C86" s="41" t="s">
        <v>215</v>
      </c>
      <c r="D86" s="29"/>
      <c r="E86" s="29"/>
      <c r="F86" s="29"/>
      <c r="G86" s="29">
        <v>7955.8180000000002</v>
      </c>
      <c r="H86" s="29">
        <f t="shared" si="86"/>
        <v>7955.8180000000002</v>
      </c>
      <c r="I86" s="29"/>
      <c r="J86" s="29">
        <f t="shared" si="87"/>
        <v>7955.8180000000002</v>
      </c>
      <c r="K86" s="29"/>
      <c r="L86" s="29">
        <f t="shared" si="88"/>
        <v>7955.8180000000002</v>
      </c>
      <c r="M86" s="29"/>
      <c r="N86" s="29">
        <f t="shared" si="89"/>
        <v>7955.8180000000002</v>
      </c>
      <c r="O86" s="29">
        <v>795.58</v>
      </c>
      <c r="P86" s="29">
        <f t="shared" si="90"/>
        <v>8751.398000000001</v>
      </c>
      <c r="Q86" s="29"/>
      <c r="R86" s="29">
        <f t="shared" si="91"/>
        <v>8751.398000000001</v>
      </c>
      <c r="S86" s="29"/>
      <c r="T86" s="29">
        <f t="shared" si="92"/>
        <v>8751.398000000001</v>
      </c>
      <c r="U86" s="29"/>
      <c r="V86" s="29">
        <f t="shared" si="93"/>
        <v>8751.398000000001</v>
      </c>
      <c r="W86" s="30"/>
      <c r="X86" s="29">
        <f t="shared" si="94"/>
        <v>8751.398000000001</v>
      </c>
      <c r="Y86" s="22">
        <v>1710141130</v>
      </c>
    </row>
    <row r="87" spans="1:26" ht="56.25" hidden="1" x14ac:dyDescent="0.25">
      <c r="A87" s="45" t="s">
        <v>122</v>
      </c>
      <c r="B87" s="42" t="s">
        <v>47</v>
      </c>
      <c r="C87" s="24" t="s">
        <v>45</v>
      </c>
      <c r="D87" s="29">
        <v>13479.7</v>
      </c>
      <c r="E87" s="29">
        <v>-13479.7</v>
      </c>
      <c r="F87" s="29">
        <f t="shared" si="0"/>
        <v>0</v>
      </c>
      <c r="G87" s="29"/>
      <c r="H87" s="29">
        <f t="shared" si="86"/>
        <v>0</v>
      </c>
      <c r="I87" s="29"/>
      <c r="J87" s="29">
        <f t="shared" si="87"/>
        <v>0</v>
      </c>
      <c r="K87" s="29"/>
      <c r="L87" s="29">
        <f t="shared" si="88"/>
        <v>0</v>
      </c>
      <c r="M87" s="29"/>
      <c r="N87" s="29">
        <f t="shared" si="89"/>
        <v>0</v>
      </c>
      <c r="O87" s="29"/>
      <c r="P87" s="29">
        <f t="shared" si="90"/>
        <v>0</v>
      </c>
      <c r="Q87" s="29"/>
      <c r="R87" s="29">
        <f t="shared" si="91"/>
        <v>0</v>
      </c>
      <c r="S87" s="29"/>
      <c r="T87" s="29">
        <f t="shared" si="92"/>
        <v>0</v>
      </c>
      <c r="U87" s="29"/>
      <c r="V87" s="29">
        <f t="shared" si="93"/>
        <v>0</v>
      </c>
      <c r="W87" s="30"/>
      <c r="X87" s="29">
        <f t="shared" si="94"/>
        <v>0</v>
      </c>
      <c r="Y87" s="22">
        <v>1710141220</v>
      </c>
      <c r="Z87" s="8">
        <v>0</v>
      </c>
    </row>
    <row r="88" spans="1:26" ht="56.25" hidden="1" x14ac:dyDescent="0.25">
      <c r="A88" s="1" t="s">
        <v>123</v>
      </c>
      <c r="B88" s="4" t="s">
        <v>48</v>
      </c>
      <c r="C88" s="24" t="s">
        <v>45</v>
      </c>
      <c r="D88" s="29">
        <v>9847.7000000000007</v>
      </c>
      <c r="E88" s="29">
        <v>-9847.7000000000007</v>
      </c>
      <c r="F88" s="29">
        <f t="shared" si="0"/>
        <v>0</v>
      </c>
      <c r="G88" s="29"/>
      <c r="H88" s="29">
        <f t="shared" si="86"/>
        <v>0</v>
      </c>
      <c r="I88" s="29"/>
      <c r="J88" s="29">
        <f t="shared" si="87"/>
        <v>0</v>
      </c>
      <c r="K88" s="29"/>
      <c r="L88" s="29">
        <f t="shared" si="88"/>
        <v>0</v>
      </c>
      <c r="M88" s="29"/>
      <c r="N88" s="29">
        <f t="shared" si="89"/>
        <v>0</v>
      </c>
      <c r="O88" s="29"/>
      <c r="P88" s="29">
        <f t="shared" si="90"/>
        <v>0</v>
      </c>
      <c r="Q88" s="29"/>
      <c r="R88" s="29">
        <f t="shared" si="91"/>
        <v>0</v>
      </c>
      <c r="S88" s="29"/>
      <c r="T88" s="29">
        <f t="shared" si="92"/>
        <v>0</v>
      </c>
      <c r="U88" s="29"/>
      <c r="V88" s="29">
        <f t="shared" si="93"/>
        <v>0</v>
      </c>
      <c r="W88" s="30"/>
      <c r="X88" s="29">
        <f t="shared" si="94"/>
        <v>0</v>
      </c>
      <c r="Y88" s="22">
        <v>1710141320</v>
      </c>
      <c r="Z88" s="8">
        <v>0</v>
      </c>
    </row>
    <row r="89" spans="1:26" ht="56.25" hidden="1" x14ac:dyDescent="0.25">
      <c r="A89" s="1" t="s">
        <v>124</v>
      </c>
      <c r="B89" s="4" t="s">
        <v>49</v>
      </c>
      <c r="C89" s="24" t="s">
        <v>45</v>
      </c>
      <c r="D89" s="29">
        <v>37555.4</v>
      </c>
      <c r="E89" s="29">
        <v>-37555.4</v>
      </c>
      <c r="F89" s="29">
        <f t="shared" si="0"/>
        <v>0</v>
      </c>
      <c r="G89" s="29"/>
      <c r="H89" s="29">
        <f t="shared" si="86"/>
        <v>0</v>
      </c>
      <c r="I89" s="29"/>
      <c r="J89" s="29">
        <f t="shared" si="87"/>
        <v>0</v>
      </c>
      <c r="K89" s="29"/>
      <c r="L89" s="29">
        <f t="shared" si="88"/>
        <v>0</v>
      </c>
      <c r="M89" s="29"/>
      <c r="N89" s="29">
        <f t="shared" si="89"/>
        <v>0</v>
      </c>
      <c r="O89" s="29"/>
      <c r="P89" s="29">
        <f t="shared" si="90"/>
        <v>0</v>
      </c>
      <c r="Q89" s="29"/>
      <c r="R89" s="29">
        <f t="shared" si="91"/>
        <v>0</v>
      </c>
      <c r="S89" s="29"/>
      <c r="T89" s="29">
        <f t="shared" si="92"/>
        <v>0</v>
      </c>
      <c r="U89" s="29"/>
      <c r="V89" s="29">
        <f t="shared" si="93"/>
        <v>0</v>
      </c>
      <c r="W89" s="30"/>
      <c r="X89" s="29">
        <f t="shared" si="94"/>
        <v>0</v>
      </c>
      <c r="Y89" s="22">
        <v>1710142260</v>
      </c>
      <c r="Z89" s="8">
        <v>0</v>
      </c>
    </row>
    <row r="90" spans="1:26" ht="56.25" hidden="1" x14ac:dyDescent="0.25">
      <c r="A90" s="1" t="s">
        <v>125</v>
      </c>
      <c r="B90" s="4" t="s">
        <v>50</v>
      </c>
      <c r="C90" s="24" t="s">
        <v>45</v>
      </c>
      <c r="D90" s="34">
        <v>2840</v>
      </c>
      <c r="E90" s="29">
        <v>-2840</v>
      </c>
      <c r="F90" s="29">
        <f t="shared" si="0"/>
        <v>0</v>
      </c>
      <c r="G90" s="29"/>
      <c r="H90" s="29">
        <f t="shared" si="86"/>
        <v>0</v>
      </c>
      <c r="I90" s="29"/>
      <c r="J90" s="29">
        <f t="shared" si="87"/>
        <v>0</v>
      </c>
      <c r="K90" s="29"/>
      <c r="L90" s="29">
        <f t="shared" si="88"/>
        <v>0</v>
      </c>
      <c r="M90" s="29"/>
      <c r="N90" s="29">
        <f t="shared" si="89"/>
        <v>0</v>
      </c>
      <c r="O90" s="29"/>
      <c r="P90" s="29">
        <f t="shared" si="90"/>
        <v>0</v>
      </c>
      <c r="Q90" s="29"/>
      <c r="R90" s="29">
        <f t="shared" si="91"/>
        <v>0</v>
      </c>
      <c r="S90" s="29"/>
      <c r="T90" s="29">
        <f t="shared" si="92"/>
        <v>0</v>
      </c>
      <c r="U90" s="29"/>
      <c r="V90" s="29">
        <f t="shared" si="93"/>
        <v>0</v>
      </c>
      <c r="W90" s="30"/>
      <c r="X90" s="29">
        <f t="shared" si="94"/>
        <v>0</v>
      </c>
      <c r="Y90" s="22">
        <v>1710142330</v>
      </c>
      <c r="Z90" s="8">
        <v>0</v>
      </c>
    </row>
    <row r="91" spans="1:26" ht="56.25" x14ac:dyDescent="0.25">
      <c r="A91" s="1" t="s">
        <v>125</v>
      </c>
      <c r="B91" s="4" t="s">
        <v>51</v>
      </c>
      <c r="C91" s="69" t="s">
        <v>45</v>
      </c>
      <c r="D91" s="34">
        <v>58</v>
      </c>
      <c r="E91" s="29"/>
      <c r="F91" s="29">
        <f t="shared" si="0"/>
        <v>58</v>
      </c>
      <c r="G91" s="29"/>
      <c r="H91" s="29">
        <f t="shared" si="86"/>
        <v>58</v>
      </c>
      <c r="I91" s="29"/>
      <c r="J91" s="29">
        <f t="shared" si="87"/>
        <v>58</v>
      </c>
      <c r="K91" s="29"/>
      <c r="L91" s="29">
        <f t="shared" si="88"/>
        <v>58</v>
      </c>
      <c r="M91" s="29"/>
      <c r="N91" s="29">
        <f t="shared" si="89"/>
        <v>58</v>
      </c>
      <c r="O91" s="29"/>
      <c r="P91" s="29">
        <f t="shared" si="90"/>
        <v>58</v>
      </c>
      <c r="Q91" s="29"/>
      <c r="R91" s="29">
        <f t="shared" si="91"/>
        <v>58</v>
      </c>
      <c r="S91" s="29"/>
      <c r="T91" s="29">
        <f t="shared" si="92"/>
        <v>58</v>
      </c>
      <c r="U91" s="29"/>
      <c r="V91" s="29">
        <f t="shared" si="93"/>
        <v>58</v>
      </c>
      <c r="W91" s="30"/>
      <c r="X91" s="29">
        <f t="shared" si="94"/>
        <v>58</v>
      </c>
      <c r="Y91" s="22">
        <v>1710142340</v>
      </c>
    </row>
    <row r="92" spans="1:26" ht="75" hidden="1" x14ac:dyDescent="0.25">
      <c r="A92" s="1" t="s">
        <v>122</v>
      </c>
      <c r="B92" s="4" t="s">
        <v>51</v>
      </c>
      <c r="C92" s="41" t="s">
        <v>215</v>
      </c>
      <c r="D92" s="34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30"/>
      <c r="X92" s="29">
        <f t="shared" si="94"/>
        <v>0</v>
      </c>
      <c r="Y92" s="22">
        <v>1710142340</v>
      </c>
      <c r="Z92" s="8">
        <v>0</v>
      </c>
    </row>
    <row r="93" spans="1:26" ht="56.25" x14ac:dyDescent="0.25">
      <c r="A93" s="1" t="s">
        <v>126</v>
      </c>
      <c r="B93" s="4" t="s">
        <v>52</v>
      </c>
      <c r="C93" s="69" t="s">
        <v>45</v>
      </c>
      <c r="D93" s="34">
        <v>433</v>
      </c>
      <c r="E93" s="29"/>
      <c r="F93" s="29">
        <f t="shared" si="0"/>
        <v>433</v>
      </c>
      <c r="G93" s="29"/>
      <c r="H93" s="29">
        <f t="shared" si="86"/>
        <v>433</v>
      </c>
      <c r="I93" s="29"/>
      <c r="J93" s="29">
        <f t="shared" si="87"/>
        <v>433</v>
      </c>
      <c r="K93" s="29"/>
      <c r="L93" s="29">
        <f t="shared" si="88"/>
        <v>433</v>
      </c>
      <c r="M93" s="29"/>
      <c r="N93" s="29">
        <f t="shared" si="89"/>
        <v>433</v>
      </c>
      <c r="O93" s="29"/>
      <c r="P93" s="29">
        <f t="shared" si="90"/>
        <v>433</v>
      </c>
      <c r="Q93" s="29"/>
      <c r="R93" s="29">
        <f t="shared" si="91"/>
        <v>433</v>
      </c>
      <c r="S93" s="29"/>
      <c r="T93" s="29">
        <f t="shared" si="92"/>
        <v>433</v>
      </c>
      <c r="U93" s="29"/>
      <c r="V93" s="29">
        <f t="shared" si="93"/>
        <v>433</v>
      </c>
      <c r="W93" s="30"/>
      <c r="X93" s="29">
        <f t="shared" si="94"/>
        <v>433</v>
      </c>
      <c r="Y93" s="22">
        <v>1710142350</v>
      </c>
    </row>
    <row r="94" spans="1:26" ht="75" hidden="1" x14ac:dyDescent="0.25">
      <c r="A94" s="1" t="s">
        <v>123</v>
      </c>
      <c r="B94" s="4" t="s">
        <v>52</v>
      </c>
      <c r="C94" s="41" t="s">
        <v>215</v>
      </c>
      <c r="D94" s="34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30"/>
      <c r="X94" s="29">
        <f t="shared" si="94"/>
        <v>0</v>
      </c>
      <c r="Y94" s="22">
        <v>1710142350</v>
      </c>
      <c r="Z94" s="8">
        <v>0</v>
      </c>
    </row>
    <row r="95" spans="1:26" ht="56.25" hidden="1" x14ac:dyDescent="0.25">
      <c r="A95" s="1" t="s">
        <v>127</v>
      </c>
      <c r="B95" s="4" t="s">
        <v>53</v>
      </c>
      <c r="C95" s="24" t="s">
        <v>45</v>
      </c>
      <c r="D95" s="34">
        <v>2500</v>
      </c>
      <c r="E95" s="29">
        <v>-2500</v>
      </c>
      <c r="F95" s="29">
        <f t="shared" si="0"/>
        <v>0</v>
      </c>
      <c r="G95" s="29"/>
      <c r="H95" s="29">
        <f t="shared" si="86"/>
        <v>0</v>
      </c>
      <c r="I95" s="29"/>
      <c r="J95" s="29">
        <f t="shared" si="87"/>
        <v>0</v>
      </c>
      <c r="K95" s="29"/>
      <c r="L95" s="29">
        <f t="shared" si="88"/>
        <v>0</v>
      </c>
      <c r="M95" s="29"/>
      <c r="N95" s="29">
        <f t="shared" si="89"/>
        <v>0</v>
      </c>
      <c r="O95" s="29"/>
      <c r="P95" s="29">
        <f t="shared" si="90"/>
        <v>0</v>
      </c>
      <c r="Q95" s="29"/>
      <c r="R95" s="29">
        <f t="shared" si="91"/>
        <v>0</v>
      </c>
      <c r="S95" s="29"/>
      <c r="T95" s="29">
        <f t="shared" si="92"/>
        <v>0</v>
      </c>
      <c r="U95" s="29"/>
      <c r="V95" s="29">
        <f t="shared" si="93"/>
        <v>0</v>
      </c>
      <c r="W95" s="30"/>
      <c r="X95" s="29">
        <f t="shared" si="94"/>
        <v>0</v>
      </c>
      <c r="Y95" s="22">
        <v>1710142360</v>
      </c>
      <c r="Z95" s="8">
        <v>0</v>
      </c>
    </row>
    <row r="96" spans="1:26" ht="56.25" hidden="1" x14ac:dyDescent="0.25">
      <c r="A96" s="39" t="s">
        <v>128</v>
      </c>
      <c r="B96" s="13" t="s">
        <v>54</v>
      </c>
      <c r="C96" s="24" t="s">
        <v>45</v>
      </c>
      <c r="D96" s="34">
        <v>6803</v>
      </c>
      <c r="E96" s="29">
        <v>-6803</v>
      </c>
      <c r="F96" s="29">
        <f t="shared" si="0"/>
        <v>0</v>
      </c>
      <c r="G96" s="29"/>
      <c r="H96" s="29">
        <f t="shared" si="86"/>
        <v>0</v>
      </c>
      <c r="I96" s="29"/>
      <c r="J96" s="29">
        <f t="shared" si="87"/>
        <v>0</v>
      </c>
      <c r="K96" s="29"/>
      <c r="L96" s="29">
        <f t="shared" si="88"/>
        <v>0</v>
      </c>
      <c r="M96" s="29"/>
      <c r="N96" s="29">
        <f t="shared" si="89"/>
        <v>0</v>
      </c>
      <c r="O96" s="29"/>
      <c r="P96" s="29">
        <f t="shared" si="90"/>
        <v>0</v>
      </c>
      <c r="Q96" s="29"/>
      <c r="R96" s="29">
        <f t="shared" si="91"/>
        <v>0</v>
      </c>
      <c r="S96" s="29"/>
      <c r="T96" s="29">
        <f t="shared" si="92"/>
        <v>0</v>
      </c>
      <c r="U96" s="29"/>
      <c r="V96" s="29">
        <f t="shared" si="93"/>
        <v>0</v>
      </c>
      <c r="W96" s="30"/>
      <c r="X96" s="29">
        <f t="shared" si="94"/>
        <v>0</v>
      </c>
      <c r="Y96" s="22">
        <v>1710142370</v>
      </c>
      <c r="Z96" s="8">
        <v>0</v>
      </c>
    </row>
    <row r="97" spans="1:26" ht="56.25" x14ac:dyDescent="0.25">
      <c r="A97" s="64" t="s">
        <v>127</v>
      </c>
      <c r="B97" s="44" t="s">
        <v>55</v>
      </c>
      <c r="C97" s="41" t="s">
        <v>45</v>
      </c>
      <c r="D97" s="34">
        <v>14238</v>
      </c>
      <c r="E97" s="29"/>
      <c r="F97" s="29">
        <f t="shared" si="0"/>
        <v>14238</v>
      </c>
      <c r="G97" s="29"/>
      <c r="H97" s="29">
        <f t="shared" si="86"/>
        <v>14238</v>
      </c>
      <c r="I97" s="29"/>
      <c r="J97" s="29">
        <f t="shared" si="87"/>
        <v>14238</v>
      </c>
      <c r="K97" s="29">
        <v>15000</v>
      </c>
      <c r="L97" s="29">
        <f t="shared" si="88"/>
        <v>29238</v>
      </c>
      <c r="M97" s="29">
        <v>-15000</v>
      </c>
      <c r="N97" s="29">
        <f t="shared" si="89"/>
        <v>14238</v>
      </c>
      <c r="O97" s="29">
        <v>-387.5</v>
      </c>
      <c r="P97" s="29">
        <f t="shared" si="90"/>
        <v>13850.5</v>
      </c>
      <c r="Q97" s="29"/>
      <c r="R97" s="29">
        <f t="shared" si="91"/>
        <v>13850.5</v>
      </c>
      <c r="S97" s="29">
        <f>1795.757-8667.8</f>
        <v>-6872.0429999999997</v>
      </c>
      <c r="T97" s="29">
        <f t="shared" si="92"/>
        <v>6978.4570000000003</v>
      </c>
      <c r="U97" s="29"/>
      <c r="V97" s="29">
        <f t="shared" si="93"/>
        <v>6978.4570000000003</v>
      </c>
      <c r="W97" s="30">
        <v>-1795.7570000000001</v>
      </c>
      <c r="X97" s="29">
        <f t="shared" si="94"/>
        <v>5182.7000000000007</v>
      </c>
      <c r="Y97" s="22">
        <v>1710241100</v>
      </c>
    </row>
    <row r="98" spans="1:26" ht="75" x14ac:dyDescent="0.25">
      <c r="A98" s="46"/>
      <c r="B98" s="49"/>
      <c r="C98" s="41" t="s">
        <v>215</v>
      </c>
      <c r="D98" s="34"/>
      <c r="E98" s="29"/>
      <c r="F98" s="29"/>
      <c r="G98" s="29">
        <v>19592.187000000002</v>
      </c>
      <c r="H98" s="29">
        <f t="shared" si="86"/>
        <v>19592.187000000002</v>
      </c>
      <c r="I98" s="29"/>
      <c r="J98" s="29">
        <f t="shared" si="87"/>
        <v>19592.187000000002</v>
      </c>
      <c r="K98" s="29"/>
      <c r="L98" s="29">
        <f t="shared" si="88"/>
        <v>19592.187000000002</v>
      </c>
      <c r="M98" s="29"/>
      <c r="N98" s="29">
        <f t="shared" si="89"/>
        <v>19592.187000000002</v>
      </c>
      <c r="O98" s="29"/>
      <c r="P98" s="29">
        <f t="shared" si="90"/>
        <v>19592.187000000002</v>
      </c>
      <c r="Q98" s="29"/>
      <c r="R98" s="29">
        <f t="shared" si="91"/>
        <v>19592.187000000002</v>
      </c>
      <c r="S98" s="29">
        <v>-1795.7570000000001</v>
      </c>
      <c r="T98" s="29">
        <f t="shared" si="92"/>
        <v>17796.43</v>
      </c>
      <c r="U98" s="29"/>
      <c r="V98" s="29">
        <f t="shared" si="93"/>
        <v>17796.43</v>
      </c>
      <c r="W98" s="30"/>
      <c r="X98" s="29">
        <f t="shared" si="94"/>
        <v>17796.43</v>
      </c>
      <c r="Y98" s="22">
        <v>1710241100</v>
      </c>
    </row>
    <row r="99" spans="1:26" ht="56.25" x14ac:dyDescent="0.25">
      <c r="A99" s="47" t="s">
        <v>128</v>
      </c>
      <c r="B99" s="70" t="s">
        <v>284</v>
      </c>
      <c r="C99" s="41" t="s">
        <v>45</v>
      </c>
      <c r="D99" s="34">
        <v>39292.9</v>
      </c>
      <c r="E99" s="29"/>
      <c r="F99" s="29">
        <f t="shared" si="0"/>
        <v>39292.9</v>
      </c>
      <c r="G99" s="29">
        <v>15000</v>
      </c>
      <c r="H99" s="29">
        <f t="shared" si="86"/>
        <v>54292.9</v>
      </c>
      <c r="I99" s="29"/>
      <c r="J99" s="29">
        <f t="shared" si="87"/>
        <v>54292.9</v>
      </c>
      <c r="K99" s="29"/>
      <c r="L99" s="29">
        <f t="shared" si="88"/>
        <v>54292.9</v>
      </c>
      <c r="M99" s="29"/>
      <c r="N99" s="29">
        <f t="shared" si="89"/>
        <v>54292.9</v>
      </c>
      <c r="O99" s="29"/>
      <c r="P99" s="29">
        <f t="shared" si="90"/>
        <v>54292.9</v>
      </c>
      <c r="Q99" s="29"/>
      <c r="R99" s="29">
        <f t="shared" si="91"/>
        <v>54292.9</v>
      </c>
      <c r="S99" s="29"/>
      <c r="T99" s="29">
        <f t="shared" si="92"/>
        <v>54292.9</v>
      </c>
      <c r="U99" s="29"/>
      <c r="V99" s="29">
        <f t="shared" si="93"/>
        <v>54292.9</v>
      </c>
      <c r="W99" s="30">
        <v>14615.137000000001</v>
      </c>
      <c r="X99" s="29">
        <f t="shared" si="94"/>
        <v>68908.036999999997</v>
      </c>
      <c r="Y99" s="22">
        <v>1710441240</v>
      </c>
    </row>
    <row r="100" spans="1:26" ht="75" x14ac:dyDescent="0.25">
      <c r="A100" s="48"/>
      <c r="B100" s="42"/>
      <c r="C100" s="41" t="s">
        <v>215</v>
      </c>
      <c r="D100" s="34"/>
      <c r="E100" s="29"/>
      <c r="F100" s="29"/>
      <c r="G100" s="29">
        <v>702.95799999999997</v>
      </c>
      <c r="H100" s="29">
        <f t="shared" si="86"/>
        <v>702.95799999999997</v>
      </c>
      <c r="I100" s="29"/>
      <c r="J100" s="29">
        <f t="shared" si="87"/>
        <v>702.95799999999997</v>
      </c>
      <c r="K100" s="29"/>
      <c r="L100" s="29">
        <f t="shared" si="88"/>
        <v>702.95799999999997</v>
      </c>
      <c r="M100" s="29"/>
      <c r="N100" s="29">
        <f t="shared" si="89"/>
        <v>702.95799999999997</v>
      </c>
      <c r="O100" s="29"/>
      <c r="P100" s="29">
        <f t="shared" si="90"/>
        <v>702.95799999999997</v>
      </c>
      <c r="Q100" s="29"/>
      <c r="R100" s="29">
        <f t="shared" si="91"/>
        <v>702.95799999999997</v>
      </c>
      <c r="S100" s="29"/>
      <c r="T100" s="29">
        <f t="shared" si="92"/>
        <v>702.95799999999997</v>
      </c>
      <c r="U100" s="29"/>
      <c r="V100" s="29">
        <f t="shared" si="93"/>
        <v>702.95799999999997</v>
      </c>
      <c r="W100" s="30"/>
      <c r="X100" s="29">
        <f t="shared" si="94"/>
        <v>702.95799999999997</v>
      </c>
      <c r="Y100" s="22">
        <v>1710441240</v>
      </c>
    </row>
    <row r="101" spans="1:26" ht="75" hidden="1" x14ac:dyDescent="0.25">
      <c r="A101" s="45" t="s">
        <v>131</v>
      </c>
      <c r="B101" s="42" t="s">
        <v>170</v>
      </c>
      <c r="C101" s="24" t="s">
        <v>45</v>
      </c>
      <c r="D101" s="34">
        <v>2799.2</v>
      </c>
      <c r="E101" s="29">
        <v>-2799.2</v>
      </c>
      <c r="F101" s="29">
        <f t="shared" si="0"/>
        <v>0</v>
      </c>
      <c r="G101" s="29"/>
      <c r="H101" s="29">
        <f t="shared" si="86"/>
        <v>0</v>
      </c>
      <c r="I101" s="29"/>
      <c r="J101" s="29">
        <f t="shared" si="87"/>
        <v>0</v>
      </c>
      <c r="K101" s="29"/>
      <c r="L101" s="29">
        <f t="shared" si="88"/>
        <v>0</v>
      </c>
      <c r="M101" s="29"/>
      <c r="N101" s="29">
        <f t="shared" si="89"/>
        <v>0</v>
      </c>
      <c r="O101" s="29"/>
      <c r="P101" s="29">
        <f t="shared" si="90"/>
        <v>0</v>
      </c>
      <c r="Q101" s="29"/>
      <c r="R101" s="29">
        <f t="shared" si="91"/>
        <v>0</v>
      </c>
      <c r="S101" s="29"/>
      <c r="T101" s="29">
        <f t="shared" si="92"/>
        <v>0</v>
      </c>
      <c r="U101" s="29"/>
      <c r="V101" s="29">
        <f t="shared" si="93"/>
        <v>0</v>
      </c>
      <c r="W101" s="30"/>
      <c r="X101" s="29">
        <f t="shared" si="94"/>
        <v>0</v>
      </c>
      <c r="Y101" s="22">
        <v>1710442380</v>
      </c>
      <c r="Z101" s="8">
        <v>0</v>
      </c>
    </row>
    <row r="102" spans="1:26" ht="56.25" hidden="1" x14ac:dyDescent="0.25">
      <c r="A102" s="1" t="s">
        <v>132</v>
      </c>
      <c r="B102" s="4" t="s">
        <v>163</v>
      </c>
      <c r="C102" s="27" t="s">
        <v>45</v>
      </c>
      <c r="D102" s="34">
        <v>5000</v>
      </c>
      <c r="E102" s="29">
        <v>-5000</v>
      </c>
      <c r="F102" s="29">
        <f t="shared" si="0"/>
        <v>0</v>
      </c>
      <c r="G102" s="29"/>
      <c r="H102" s="29">
        <f t="shared" si="86"/>
        <v>0</v>
      </c>
      <c r="I102" s="29"/>
      <c r="J102" s="29">
        <f t="shared" si="87"/>
        <v>0</v>
      </c>
      <c r="K102" s="29"/>
      <c r="L102" s="29">
        <f t="shared" si="88"/>
        <v>0</v>
      </c>
      <c r="M102" s="29"/>
      <c r="N102" s="29">
        <f t="shared" si="89"/>
        <v>0</v>
      </c>
      <c r="O102" s="29"/>
      <c r="P102" s="29">
        <f t="shared" si="90"/>
        <v>0</v>
      </c>
      <c r="Q102" s="29"/>
      <c r="R102" s="29">
        <f t="shared" si="91"/>
        <v>0</v>
      </c>
      <c r="S102" s="29"/>
      <c r="T102" s="29">
        <f t="shared" si="92"/>
        <v>0</v>
      </c>
      <c r="U102" s="29"/>
      <c r="V102" s="29">
        <f t="shared" si="93"/>
        <v>0</v>
      </c>
      <c r="W102" s="30"/>
      <c r="X102" s="29">
        <f t="shared" si="94"/>
        <v>0</v>
      </c>
      <c r="Y102" s="22">
        <v>1760142410</v>
      </c>
      <c r="Z102" s="8">
        <v>0</v>
      </c>
    </row>
    <row r="103" spans="1:26" ht="75" x14ac:dyDescent="0.25">
      <c r="A103" s="1" t="s">
        <v>129</v>
      </c>
      <c r="B103" s="4" t="s">
        <v>77</v>
      </c>
      <c r="C103" s="69" t="s">
        <v>12</v>
      </c>
      <c r="D103" s="34">
        <f>D105+D106</f>
        <v>1006877.2000000001</v>
      </c>
      <c r="E103" s="29">
        <f>E105+E106+E107</f>
        <v>0</v>
      </c>
      <c r="F103" s="29">
        <f>D103+E103</f>
        <v>1006877.2000000001</v>
      </c>
      <c r="G103" s="29">
        <f>G105+G106+G107</f>
        <v>0</v>
      </c>
      <c r="H103" s="29">
        <f>F103+G103</f>
        <v>1006877.2000000001</v>
      </c>
      <c r="I103" s="29">
        <f>I105+I106+I107</f>
        <v>0</v>
      </c>
      <c r="J103" s="29">
        <f>H103+I103</f>
        <v>1006877.2000000001</v>
      </c>
      <c r="K103" s="29">
        <f>K105+K106+K107</f>
        <v>0</v>
      </c>
      <c r="L103" s="29">
        <f>J103+K103</f>
        <v>1006877.2000000001</v>
      </c>
      <c r="M103" s="29">
        <f>M105+M106+M107</f>
        <v>0</v>
      </c>
      <c r="N103" s="29">
        <f>L103+M103</f>
        <v>1006877.2000000001</v>
      </c>
      <c r="O103" s="29">
        <f>O105+O106+O107+O108</f>
        <v>1414443.6209999998</v>
      </c>
      <c r="P103" s="29">
        <f>N103+O103</f>
        <v>2421320.821</v>
      </c>
      <c r="Q103" s="29">
        <f>Q105+Q106+Q107+Q108</f>
        <v>0</v>
      </c>
      <c r="R103" s="29">
        <f>P103+Q103</f>
        <v>2421320.821</v>
      </c>
      <c r="S103" s="29">
        <f>S105+S106+S107+S108</f>
        <v>14874.74</v>
      </c>
      <c r="T103" s="29">
        <f>R103+S103</f>
        <v>2436195.5610000002</v>
      </c>
      <c r="U103" s="29">
        <f>U105+U106+U107+U108</f>
        <v>0</v>
      </c>
      <c r="V103" s="29">
        <f>T103+U103</f>
        <v>2436195.5610000002</v>
      </c>
      <c r="W103" s="30">
        <f>W105+W106+W107+W108</f>
        <v>-107.95</v>
      </c>
      <c r="X103" s="29">
        <f>V103+W103</f>
        <v>2436087.611</v>
      </c>
    </row>
    <row r="104" spans="1:26" x14ac:dyDescent="0.25">
      <c r="A104" s="1"/>
      <c r="B104" s="4" t="s">
        <v>2</v>
      </c>
      <c r="C104" s="69"/>
      <c r="D104" s="34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30"/>
      <c r="X104" s="29"/>
    </row>
    <row r="105" spans="1:26" hidden="1" x14ac:dyDescent="0.25">
      <c r="A105" s="1"/>
      <c r="B105" s="4" t="s">
        <v>3</v>
      </c>
      <c r="C105" s="27"/>
      <c r="D105" s="34">
        <v>606216.80000000005</v>
      </c>
      <c r="E105" s="29"/>
      <c r="F105" s="29">
        <f>D105+E105</f>
        <v>606216.80000000005</v>
      </c>
      <c r="G105" s="29"/>
      <c r="H105" s="29">
        <f>F105+G105</f>
        <v>606216.80000000005</v>
      </c>
      <c r="I105" s="29"/>
      <c r="J105" s="29">
        <f>H105+I105</f>
        <v>606216.80000000005</v>
      </c>
      <c r="K105" s="29"/>
      <c r="L105" s="29">
        <f>J105+K105</f>
        <v>606216.80000000005</v>
      </c>
      <c r="M105" s="29"/>
      <c r="N105" s="29">
        <f>L105+M105</f>
        <v>606216.80000000005</v>
      </c>
      <c r="O105" s="29">
        <f>-95591.1-157382.403+109364.44+186274.056</f>
        <v>42664.993000000017</v>
      </c>
      <c r="P105" s="29">
        <f>N105+O105</f>
        <v>648881.79300000006</v>
      </c>
      <c r="Q105" s="29"/>
      <c r="R105" s="29">
        <f>P105+Q105</f>
        <v>648881.79300000006</v>
      </c>
      <c r="S105" s="29">
        <f>-125.26+15000</f>
        <v>14874.74</v>
      </c>
      <c r="T105" s="29">
        <f>R105+S105</f>
        <v>663756.53300000005</v>
      </c>
      <c r="U105" s="29"/>
      <c r="V105" s="29">
        <f>T105+U105</f>
        <v>663756.53300000005</v>
      </c>
      <c r="W105" s="30">
        <v>-107.95</v>
      </c>
      <c r="X105" s="29">
        <f>V105+W105</f>
        <v>663648.5830000001</v>
      </c>
      <c r="Y105" s="22" t="s">
        <v>266</v>
      </c>
      <c r="Z105" s="8">
        <v>0</v>
      </c>
    </row>
    <row r="106" spans="1:26" x14ac:dyDescent="0.25">
      <c r="A106" s="1"/>
      <c r="B106" s="4" t="s">
        <v>16</v>
      </c>
      <c r="C106" s="69"/>
      <c r="D106" s="34">
        <v>400660.4</v>
      </c>
      <c r="E106" s="29"/>
      <c r="F106" s="29">
        <f t="shared" si="0"/>
        <v>400660.4</v>
      </c>
      <c r="G106" s="29"/>
      <c r="H106" s="29">
        <f t="shared" ref="H106:H109" si="95">F106+G106</f>
        <v>400660.4</v>
      </c>
      <c r="I106" s="29"/>
      <c r="J106" s="29">
        <f t="shared" ref="J106:J109" si="96">H106+I106</f>
        <v>400660.4</v>
      </c>
      <c r="K106" s="29"/>
      <c r="L106" s="29">
        <f t="shared" ref="L106:L109" si="97">J106+K106</f>
        <v>400660.4</v>
      </c>
      <c r="M106" s="29"/>
      <c r="N106" s="29">
        <f t="shared" ref="N106:N109" si="98">L106+M106</f>
        <v>400660.4</v>
      </c>
      <c r="O106" s="29">
        <f>7764.54+186274.056</f>
        <v>194038.59600000002</v>
      </c>
      <c r="P106" s="29">
        <f t="shared" ref="P106:P109" si="99">N106+O106</f>
        <v>594698.99600000004</v>
      </c>
      <c r="Q106" s="29"/>
      <c r="R106" s="29">
        <f t="shared" ref="R106:R107" si="100">P106+Q106</f>
        <v>594698.99600000004</v>
      </c>
      <c r="S106" s="29"/>
      <c r="T106" s="29">
        <f t="shared" ref="T106:T107" si="101">R106+S106</f>
        <v>594698.99600000004</v>
      </c>
      <c r="U106" s="29"/>
      <c r="V106" s="29">
        <f t="shared" ref="V106:V107" si="102">T106+U106</f>
        <v>594698.99600000004</v>
      </c>
      <c r="W106" s="30"/>
      <c r="X106" s="29">
        <f t="shared" ref="X106:X107" si="103">V106+W106</f>
        <v>594698.99600000004</v>
      </c>
      <c r="Y106" s="22" t="s">
        <v>265</v>
      </c>
    </row>
    <row r="107" spans="1:26" hidden="1" x14ac:dyDescent="0.25">
      <c r="A107" s="1"/>
      <c r="B107" s="4" t="s">
        <v>20</v>
      </c>
      <c r="C107" s="27"/>
      <c r="D107" s="34">
        <v>0</v>
      </c>
      <c r="E107" s="29">
        <v>0</v>
      </c>
      <c r="F107" s="29">
        <f t="shared" si="0"/>
        <v>0</v>
      </c>
      <c r="G107" s="29">
        <v>0</v>
      </c>
      <c r="H107" s="29">
        <f t="shared" si="95"/>
        <v>0</v>
      </c>
      <c r="I107" s="29">
        <v>0</v>
      </c>
      <c r="J107" s="29">
        <f t="shared" si="96"/>
        <v>0</v>
      </c>
      <c r="K107" s="29">
        <v>0</v>
      </c>
      <c r="L107" s="29">
        <f t="shared" si="97"/>
        <v>0</v>
      </c>
      <c r="M107" s="29">
        <v>0</v>
      </c>
      <c r="N107" s="29">
        <f t="shared" si="98"/>
        <v>0</v>
      </c>
      <c r="O107" s="29">
        <v>0</v>
      </c>
      <c r="P107" s="29">
        <f t="shared" si="99"/>
        <v>0</v>
      </c>
      <c r="Q107" s="29"/>
      <c r="R107" s="29">
        <f t="shared" si="100"/>
        <v>0</v>
      </c>
      <c r="S107" s="29"/>
      <c r="T107" s="29">
        <f t="shared" si="101"/>
        <v>0</v>
      </c>
      <c r="U107" s="29"/>
      <c r="V107" s="29">
        <f t="shared" si="102"/>
        <v>0</v>
      </c>
      <c r="W107" s="30"/>
      <c r="X107" s="29">
        <f t="shared" si="103"/>
        <v>0</v>
      </c>
      <c r="Y107" s="22" t="s">
        <v>177</v>
      </c>
      <c r="Z107" s="8">
        <v>0</v>
      </c>
    </row>
    <row r="108" spans="1:26" ht="37.5" x14ac:dyDescent="0.25">
      <c r="A108" s="1"/>
      <c r="B108" s="4" t="s">
        <v>263</v>
      </c>
      <c r="C108" s="69"/>
      <c r="D108" s="34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>
        <v>1177740.0319999999</v>
      </c>
      <c r="P108" s="29">
        <f>N108+O108</f>
        <v>1177740.0319999999</v>
      </c>
      <c r="Q108" s="29"/>
      <c r="R108" s="29">
        <f>P108+Q108</f>
        <v>1177740.0319999999</v>
      </c>
      <c r="S108" s="29"/>
      <c r="T108" s="29">
        <f>R108+S108</f>
        <v>1177740.0319999999</v>
      </c>
      <c r="U108" s="29"/>
      <c r="V108" s="29">
        <f>T108+U108</f>
        <v>1177740.0319999999</v>
      </c>
      <c r="W108" s="30"/>
      <c r="X108" s="29">
        <f>V108+W108</f>
        <v>1177740.0319999999</v>
      </c>
      <c r="Y108" s="22" t="s">
        <v>264</v>
      </c>
    </row>
    <row r="109" spans="1:26" ht="127.5" customHeight="1" x14ac:dyDescent="0.25">
      <c r="A109" s="1" t="s">
        <v>130</v>
      </c>
      <c r="B109" s="4" t="s">
        <v>78</v>
      </c>
      <c r="C109" s="69" t="s">
        <v>12</v>
      </c>
      <c r="D109" s="34">
        <f>D111</f>
        <v>118383.2</v>
      </c>
      <c r="E109" s="29">
        <f>E111</f>
        <v>-936</v>
      </c>
      <c r="F109" s="29">
        <f t="shared" si="0"/>
        <v>117447.2</v>
      </c>
      <c r="G109" s="29">
        <f>G111</f>
        <v>0</v>
      </c>
      <c r="H109" s="29">
        <f t="shared" si="95"/>
        <v>117447.2</v>
      </c>
      <c r="I109" s="29">
        <f>I111</f>
        <v>0</v>
      </c>
      <c r="J109" s="29">
        <f t="shared" si="96"/>
        <v>117447.2</v>
      </c>
      <c r="K109" s="29">
        <f>K111</f>
        <v>0</v>
      </c>
      <c r="L109" s="29">
        <f t="shared" si="97"/>
        <v>117447.2</v>
      </c>
      <c r="M109" s="29">
        <f>M111</f>
        <v>0</v>
      </c>
      <c r="N109" s="29">
        <f t="shared" si="98"/>
        <v>117447.2</v>
      </c>
      <c r="O109" s="29">
        <f>O111</f>
        <v>0</v>
      </c>
      <c r="P109" s="29">
        <f t="shared" si="99"/>
        <v>117447.2</v>
      </c>
      <c r="Q109" s="29">
        <f>Q111</f>
        <v>0</v>
      </c>
      <c r="R109" s="29">
        <f t="shared" ref="R109" si="104">P109+Q109</f>
        <v>117447.2</v>
      </c>
      <c r="S109" s="29">
        <f>S111</f>
        <v>0</v>
      </c>
      <c r="T109" s="29">
        <f t="shared" ref="T109" si="105">R109+S109</f>
        <v>117447.2</v>
      </c>
      <c r="U109" s="29">
        <f>U111</f>
        <v>0</v>
      </c>
      <c r="V109" s="29">
        <f t="shared" ref="V109" si="106">T109+U109</f>
        <v>117447.2</v>
      </c>
      <c r="W109" s="30">
        <f>W111</f>
        <v>0</v>
      </c>
      <c r="X109" s="29">
        <f t="shared" ref="X109" si="107">V109+W109</f>
        <v>117447.2</v>
      </c>
    </row>
    <row r="110" spans="1:26" x14ac:dyDescent="0.25">
      <c r="A110" s="1"/>
      <c r="B110" s="4" t="s">
        <v>2</v>
      </c>
      <c r="C110" s="69"/>
      <c r="D110" s="34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30"/>
      <c r="X110" s="29"/>
    </row>
    <row r="111" spans="1:26" x14ac:dyDescent="0.25">
      <c r="A111" s="1"/>
      <c r="B111" s="4" t="s">
        <v>16</v>
      </c>
      <c r="C111" s="69"/>
      <c r="D111" s="34">
        <v>118383.2</v>
      </c>
      <c r="E111" s="29">
        <v>-936</v>
      </c>
      <c r="F111" s="29">
        <f t="shared" si="0"/>
        <v>117447.2</v>
      </c>
      <c r="G111" s="29"/>
      <c r="H111" s="29">
        <f t="shared" ref="H111:H112" si="108">F111+G111</f>
        <v>117447.2</v>
      </c>
      <c r="I111" s="29"/>
      <c r="J111" s="29">
        <f t="shared" ref="J111:J112" si="109">H111+I111</f>
        <v>117447.2</v>
      </c>
      <c r="K111" s="29"/>
      <c r="L111" s="29">
        <f t="shared" ref="L111:L112" si="110">J111+K111</f>
        <v>117447.2</v>
      </c>
      <c r="M111" s="29"/>
      <c r="N111" s="29">
        <f t="shared" ref="N111:N112" si="111">L111+M111</f>
        <v>117447.2</v>
      </c>
      <c r="O111" s="29"/>
      <c r="P111" s="29">
        <f t="shared" ref="P111:P112" si="112">N111+O111</f>
        <v>117447.2</v>
      </c>
      <c r="Q111" s="29"/>
      <c r="R111" s="29">
        <f t="shared" ref="R111:R112" si="113">P111+Q111</f>
        <v>117447.2</v>
      </c>
      <c r="S111" s="29"/>
      <c r="T111" s="29">
        <f t="shared" ref="T111:T112" si="114">R111+S111</f>
        <v>117447.2</v>
      </c>
      <c r="U111" s="29"/>
      <c r="V111" s="29">
        <f t="shared" ref="V111:V112" si="115">T111+U111</f>
        <v>117447.2</v>
      </c>
      <c r="W111" s="30"/>
      <c r="X111" s="29">
        <f t="shared" ref="X111:X112" si="116">V111+W111</f>
        <v>117447.2</v>
      </c>
      <c r="Y111" s="22" t="s">
        <v>79</v>
      </c>
    </row>
    <row r="112" spans="1:26" ht="68.25" customHeight="1" x14ac:dyDescent="0.25">
      <c r="A112" s="1" t="s">
        <v>131</v>
      </c>
      <c r="B112" s="4" t="s">
        <v>80</v>
      </c>
      <c r="C112" s="69" t="s">
        <v>12</v>
      </c>
      <c r="D112" s="34">
        <f>D114</f>
        <v>48472.9</v>
      </c>
      <c r="E112" s="29">
        <f>E114+E115</f>
        <v>131992.5</v>
      </c>
      <c r="F112" s="29">
        <f t="shared" si="0"/>
        <v>180465.4</v>
      </c>
      <c r="G112" s="29">
        <f>G114+G115</f>
        <v>0</v>
      </c>
      <c r="H112" s="29">
        <f t="shared" si="108"/>
        <v>180465.4</v>
      </c>
      <c r="I112" s="29">
        <f>I114+I115</f>
        <v>0</v>
      </c>
      <c r="J112" s="29">
        <f t="shared" si="109"/>
        <v>180465.4</v>
      </c>
      <c r="K112" s="29">
        <f>K114+K115</f>
        <v>0</v>
      </c>
      <c r="L112" s="29">
        <f t="shared" si="110"/>
        <v>180465.4</v>
      </c>
      <c r="M112" s="29">
        <f>M114+M115</f>
        <v>0</v>
      </c>
      <c r="N112" s="29">
        <f t="shared" si="111"/>
        <v>180465.4</v>
      </c>
      <c r="O112" s="29">
        <f>O114+O115</f>
        <v>0</v>
      </c>
      <c r="P112" s="29">
        <f t="shared" si="112"/>
        <v>180465.4</v>
      </c>
      <c r="Q112" s="29">
        <f>Q114+Q115</f>
        <v>0</v>
      </c>
      <c r="R112" s="29">
        <f t="shared" si="113"/>
        <v>180465.4</v>
      </c>
      <c r="S112" s="29">
        <f>S114+S115</f>
        <v>0</v>
      </c>
      <c r="T112" s="29">
        <f t="shared" si="114"/>
        <v>180465.4</v>
      </c>
      <c r="U112" s="29">
        <f>U114+U115</f>
        <v>0</v>
      </c>
      <c r="V112" s="29">
        <f t="shared" si="115"/>
        <v>180465.4</v>
      </c>
      <c r="W112" s="30">
        <f>W114+W115</f>
        <v>0</v>
      </c>
      <c r="X112" s="29">
        <f t="shared" si="116"/>
        <v>180465.4</v>
      </c>
    </row>
    <row r="113" spans="1:26" x14ac:dyDescent="0.25">
      <c r="A113" s="1"/>
      <c r="B113" s="4" t="s">
        <v>2</v>
      </c>
      <c r="C113" s="69"/>
      <c r="D113" s="34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30"/>
      <c r="X113" s="29"/>
    </row>
    <row r="114" spans="1:26" x14ac:dyDescent="0.25">
      <c r="A114" s="1"/>
      <c r="B114" s="4" t="s">
        <v>16</v>
      </c>
      <c r="C114" s="69"/>
      <c r="D114" s="34">
        <v>48472.9</v>
      </c>
      <c r="E114" s="29">
        <v>252.7</v>
      </c>
      <c r="F114" s="29">
        <f t="shared" si="0"/>
        <v>48725.599999999999</v>
      </c>
      <c r="G114" s="29"/>
      <c r="H114" s="29">
        <f t="shared" ref="H114:H125" si="117">F114+G114</f>
        <v>48725.599999999999</v>
      </c>
      <c r="I114" s="29"/>
      <c r="J114" s="29">
        <f t="shared" ref="J114:J125" si="118">H114+I114</f>
        <v>48725.599999999999</v>
      </c>
      <c r="K114" s="29"/>
      <c r="L114" s="29">
        <f t="shared" ref="L114:L125" si="119">J114+K114</f>
        <v>48725.599999999999</v>
      </c>
      <c r="M114" s="29"/>
      <c r="N114" s="29">
        <f t="shared" ref="N114:N125" si="120">L114+M114</f>
        <v>48725.599999999999</v>
      </c>
      <c r="O114" s="29"/>
      <c r="P114" s="29">
        <f t="shared" ref="P114:P125" si="121">N114+O114</f>
        <v>48725.599999999999</v>
      </c>
      <c r="Q114" s="29"/>
      <c r="R114" s="29">
        <f t="shared" ref="R114:R125" si="122">P114+Q114</f>
        <v>48725.599999999999</v>
      </c>
      <c r="S114" s="29"/>
      <c r="T114" s="29">
        <f t="shared" ref="T114:T125" si="123">R114+S114</f>
        <v>48725.599999999999</v>
      </c>
      <c r="U114" s="29"/>
      <c r="V114" s="29">
        <f t="shared" ref="V114:V125" si="124">T114+U114</f>
        <v>48725.599999999999</v>
      </c>
      <c r="W114" s="30"/>
      <c r="X114" s="29">
        <f t="shared" ref="X114:X125" si="125">V114+W114</f>
        <v>48725.599999999999</v>
      </c>
      <c r="Y114" s="22" t="s">
        <v>81</v>
      </c>
    </row>
    <row r="115" spans="1:26" x14ac:dyDescent="0.25">
      <c r="A115" s="1"/>
      <c r="B115" s="4" t="s">
        <v>20</v>
      </c>
      <c r="C115" s="69"/>
      <c r="D115" s="34"/>
      <c r="E115" s="29">
        <v>131739.79999999999</v>
      </c>
      <c r="F115" s="29">
        <f t="shared" si="0"/>
        <v>131739.79999999999</v>
      </c>
      <c r="G115" s="29"/>
      <c r="H115" s="29">
        <f t="shared" si="117"/>
        <v>131739.79999999999</v>
      </c>
      <c r="I115" s="29"/>
      <c r="J115" s="29">
        <f t="shared" si="118"/>
        <v>131739.79999999999</v>
      </c>
      <c r="K115" s="29"/>
      <c r="L115" s="29">
        <f t="shared" si="119"/>
        <v>131739.79999999999</v>
      </c>
      <c r="M115" s="29"/>
      <c r="N115" s="29">
        <f t="shared" si="120"/>
        <v>131739.79999999999</v>
      </c>
      <c r="O115" s="29"/>
      <c r="P115" s="29">
        <f t="shared" si="121"/>
        <v>131739.79999999999</v>
      </c>
      <c r="Q115" s="29"/>
      <c r="R115" s="29">
        <f t="shared" si="122"/>
        <v>131739.79999999999</v>
      </c>
      <c r="S115" s="29"/>
      <c r="T115" s="29">
        <f t="shared" si="123"/>
        <v>131739.79999999999</v>
      </c>
      <c r="U115" s="29"/>
      <c r="V115" s="29">
        <f t="shared" si="124"/>
        <v>131739.79999999999</v>
      </c>
      <c r="W115" s="30"/>
      <c r="X115" s="29">
        <f t="shared" si="125"/>
        <v>131739.79999999999</v>
      </c>
      <c r="Y115" s="22" t="s">
        <v>81</v>
      </c>
    </row>
    <row r="116" spans="1:26" ht="78" customHeight="1" x14ac:dyDescent="0.25">
      <c r="A116" s="1" t="s">
        <v>132</v>
      </c>
      <c r="B116" s="4" t="s">
        <v>216</v>
      </c>
      <c r="C116" s="41" t="s">
        <v>215</v>
      </c>
      <c r="D116" s="34"/>
      <c r="E116" s="29"/>
      <c r="F116" s="29"/>
      <c r="G116" s="29">
        <v>110.801</v>
      </c>
      <c r="H116" s="29">
        <f t="shared" si="117"/>
        <v>110.801</v>
      </c>
      <c r="I116" s="29"/>
      <c r="J116" s="29">
        <f t="shared" si="118"/>
        <v>110.801</v>
      </c>
      <c r="K116" s="29"/>
      <c r="L116" s="29">
        <f t="shared" si="119"/>
        <v>110.801</v>
      </c>
      <c r="M116" s="29"/>
      <c r="N116" s="29">
        <f t="shared" si="120"/>
        <v>110.801</v>
      </c>
      <c r="O116" s="29"/>
      <c r="P116" s="29">
        <f t="shared" si="121"/>
        <v>110.801</v>
      </c>
      <c r="Q116" s="29"/>
      <c r="R116" s="29">
        <f t="shared" si="122"/>
        <v>110.801</v>
      </c>
      <c r="S116" s="29"/>
      <c r="T116" s="29">
        <f t="shared" si="123"/>
        <v>110.801</v>
      </c>
      <c r="U116" s="29"/>
      <c r="V116" s="29">
        <f t="shared" si="124"/>
        <v>110.801</v>
      </c>
      <c r="W116" s="30"/>
      <c r="X116" s="29">
        <f t="shared" si="125"/>
        <v>110.801</v>
      </c>
      <c r="Y116" s="22" t="s">
        <v>220</v>
      </c>
    </row>
    <row r="117" spans="1:26" ht="79.5" customHeight="1" x14ac:dyDescent="0.25">
      <c r="A117" s="1" t="s">
        <v>133</v>
      </c>
      <c r="B117" s="4" t="s">
        <v>217</v>
      </c>
      <c r="C117" s="41" t="s">
        <v>215</v>
      </c>
      <c r="D117" s="34"/>
      <c r="E117" s="29"/>
      <c r="F117" s="29"/>
      <c r="G117" s="29">
        <v>6000</v>
      </c>
      <c r="H117" s="29">
        <f t="shared" si="117"/>
        <v>6000</v>
      </c>
      <c r="I117" s="29"/>
      <c r="J117" s="29">
        <f t="shared" si="118"/>
        <v>6000</v>
      </c>
      <c r="K117" s="29"/>
      <c r="L117" s="29">
        <f t="shared" si="119"/>
        <v>6000</v>
      </c>
      <c r="M117" s="29"/>
      <c r="N117" s="29">
        <f t="shared" si="120"/>
        <v>6000</v>
      </c>
      <c r="O117" s="29"/>
      <c r="P117" s="29">
        <f t="shared" si="121"/>
        <v>6000</v>
      </c>
      <c r="Q117" s="29"/>
      <c r="R117" s="29">
        <f t="shared" si="122"/>
        <v>6000</v>
      </c>
      <c r="S117" s="29"/>
      <c r="T117" s="29">
        <f t="shared" si="123"/>
        <v>6000</v>
      </c>
      <c r="U117" s="29"/>
      <c r="V117" s="29">
        <f t="shared" si="124"/>
        <v>6000</v>
      </c>
      <c r="W117" s="30"/>
      <c r="X117" s="29">
        <f t="shared" si="125"/>
        <v>6000</v>
      </c>
      <c r="Y117" s="22" t="s">
        <v>221</v>
      </c>
    </row>
    <row r="118" spans="1:26" ht="78" hidden="1" customHeight="1" x14ac:dyDescent="0.25">
      <c r="A118" s="1" t="s">
        <v>131</v>
      </c>
      <c r="B118" s="4" t="s">
        <v>218</v>
      </c>
      <c r="C118" s="41" t="s">
        <v>215</v>
      </c>
      <c r="D118" s="34"/>
      <c r="E118" s="29"/>
      <c r="F118" s="29"/>
      <c r="G118" s="29">
        <v>9350</v>
      </c>
      <c r="H118" s="29">
        <f t="shared" si="117"/>
        <v>9350</v>
      </c>
      <c r="I118" s="29"/>
      <c r="J118" s="29">
        <f t="shared" si="118"/>
        <v>9350</v>
      </c>
      <c r="K118" s="29"/>
      <c r="L118" s="29">
        <f t="shared" si="119"/>
        <v>9350</v>
      </c>
      <c r="M118" s="29"/>
      <c r="N118" s="29">
        <f t="shared" si="120"/>
        <v>9350</v>
      </c>
      <c r="O118" s="29">
        <v>-9350</v>
      </c>
      <c r="P118" s="29">
        <f t="shared" si="121"/>
        <v>0</v>
      </c>
      <c r="Q118" s="29"/>
      <c r="R118" s="29">
        <f t="shared" si="122"/>
        <v>0</v>
      </c>
      <c r="S118" s="29"/>
      <c r="T118" s="29">
        <f t="shared" si="123"/>
        <v>0</v>
      </c>
      <c r="U118" s="29"/>
      <c r="V118" s="29">
        <f t="shared" si="124"/>
        <v>0</v>
      </c>
      <c r="W118" s="30"/>
      <c r="X118" s="29">
        <f t="shared" si="125"/>
        <v>0</v>
      </c>
      <c r="Y118" s="22" t="s">
        <v>222</v>
      </c>
      <c r="Z118" s="8">
        <v>0</v>
      </c>
    </row>
    <row r="119" spans="1:26" ht="78" hidden="1" customHeight="1" x14ac:dyDescent="0.25">
      <c r="A119" s="1" t="s">
        <v>131</v>
      </c>
      <c r="B119" s="4" t="s">
        <v>218</v>
      </c>
      <c r="C119" s="57" t="s">
        <v>45</v>
      </c>
      <c r="D119" s="34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>
        <v>9350</v>
      </c>
      <c r="P119" s="29">
        <f t="shared" si="121"/>
        <v>9350</v>
      </c>
      <c r="Q119" s="29"/>
      <c r="R119" s="29">
        <f t="shared" si="122"/>
        <v>9350</v>
      </c>
      <c r="S119" s="29"/>
      <c r="T119" s="29">
        <f t="shared" si="123"/>
        <v>9350</v>
      </c>
      <c r="U119" s="29"/>
      <c r="V119" s="29">
        <f t="shared" si="124"/>
        <v>9350</v>
      </c>
      <c r="W119" s="30">
        <v>-9350</v>
      </c>
      <c r="X119" s="29">
        <f t="shared" si="125"/>
        <v>0</v>
      </c>
      <c r="Y119" s="22" t="s">
        <v>222</v>
      </c>
      <c r="Z119" s="8">
        <v>0</v>
      </c>
    </row>
    <row r="120" spans="1:26" ht="79.5" customHeight="1" x14ac:dyDescent="0.25">
      <c r="A120" s="64" t="s">
        <v>134</v>
      </c>
      <c r="B120" s="70" t="s">
        <v>219</v>
      </c>
      <c r="C120" s="41" t="s">
        <v>215</v>
      </c>
      <c r="D120" s="34"/>
      <c r="E120" s="29"/>
      <c r="F120" s="29"/>
      <c r="G120" s="29">
        <v>2284.5</v>
      </c>
      <c r="H120" s="29">
        <f t="shared" si="117"/>
        <v>2284.5</v>
      </c>
      <c r="I120" s="29"/>
      <c r="J120" s="29">
        <f t="shared" si="118"/>
        <v>2284.5</v>
      </c>
      <c r="K120" s="29"/>
      <c r="L120" s="29">
        <f t="shared" si="119"/>
        <v>2284.5</v>
      </c>
      <c r="M120" s="29"/>
      <c r="N120" s="29">
        <f t="shared" si="120"/>
        <v>2284.5</v>
      </c>
      <c r="O120" s="29"/>
      <c r="P120" s="29">
        <f t="shared" si="121"/>
        <v>2284.5</v>
      </c>
      <c r="Q120" s="29"/>
      <c r="R120" s="29">
        <f t="shared" si="122"/>
        <v>2284.5</v>
      </c>
      <c r="S120" s="29"/>
      <c r="T120" s="29">
        <f t="shared" si="123"/>
        <v>2284.5</v>
      </c>
      <c r="U120" s="29"/>
      <c r="V120" s="29">
        <f t="shared" si="124"/>
        <v>2284.5</v>
      </c>
      <c r="W120" s="30"/>
      <c r="X120" s="29">
        <f t="shared" si="125"/>
        <v>2284.5</v>
      </c>
      <c r="Y120" s="22" t="s">
        <v>223</v>
      </c>
    </row>
    <row r="121" spans="1:26" ht="82.5" customHeight="1" x14ac:dyDescent="0.25">
      <c r="A121" s="64" t="s">
        <v>135</v>
      </c>
      <c r="B121" s="70" t="s">
        <v>170</v>
      </c>
      <c r="C121" s="41" t="s">
        <v>215</v>
      </c>
      <c r="D121" s="34"/>
      <c r="E121" s="29"/>
      <c r="F121" s="29"/>
      <c r="G121" s="29">
        <v>1462.742</v>
      </c>
      <c r="H121" s="29">
        <f t="shared" si="117"/>
        <v>1462.742</v>
      </c>
      <c r="I121" s="29"/>
      <c r="J121" s="29">
        <f t="shared" si="118"/>
        <v>1462.742</v>
      </c>
      <c r="K121" s="29"/>
      <c r="L121" s="29">
        <f t="shared" si="119"/>
        <v>1462.742</v>
      </c>
      <c r="M121" s="29"/>
      <c r="N121" s="29">
        <f t="shared" si="120"/>
        <v>1462.742</v>
      </c>
      <c r="O121" s="29"/>
      <c r="P121" s="29">
        <f t="shared" si="121"/>
        <v>1462.742</v>
      </c>
      <c r="Q121" s="29"/>
      <c r="R121" s="29">
        <f t="shared" si="122"/>
        <v>1462.742</v>
      </c>
      <c r="S121" s="29"/>
      <c r="T121" s="29">
        <f t="shared" si="123"/>
        <v>1462.742</v>
      </c>
      <c r="U121" s="29"/>
      <c r="V121" s="29">
        <f t="shared" si="124"/>
        <v>1462.742</v>
      </c>
      <c r="W121" s="30"/>
      <c r="X121" s="29">
        <f t="shared" si="125"/>
        <v>1462.742</v>
      </c>
      <c r="Y121" s="22" t="s">
        <v>224</v>
      </c>
    </row>
    <row r="122" spans="1:26" ht="82.5" customHeight="1" x14ac:dyDescent="0.25">
      <c r="A122" s="45"/>
      <c r="B122" s="60"/>
      <c r="C122" s="69" t="s">
        <v>45</v>
      </c>
      <c r="D122" s="34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>
        <v>24</v>
      </c>
      <c r="T122" s="29">
        <f t="shared" si="123"/>
        <v>24</v>
      </c>
      <c r="U122" s="29"/>
      <c r="V122" s="29">
        <f t="shared" si="124"/>
        <v>24</v>
      </c>
      <c r="W122" s="30"/>
      <c r="X122" s="29">
        <f t="shared" si="125"/>
        <v>24</v>
      </c>
      <c r="Y122" s="22" t="s">
        <v>224</v>
      </c>
    </row>
    <row r="123" spans="1:26" ht="75" x14ac:dyDescent="0.25">
      <c r="A123" s="45" t="s">
        <v>136</v>
      </c>
      <c r="B123" s="42" t="s">
        <v>48</v>
      </c>
      <c r="C123" s="59" t="s">
        <v>215</v>
      </c>
      <c r="D123" s="34"/>
      <c r="E123" s="29"/>
      <c r="F123" s="29"/>
      <c r="G123" s="29">
        <v>1039.3</v>
      </c>
      <c r="H123" s="29">
        <f t="shared" si="117"/>
        <v>1039.3</v>
      </c>
      <c r="I123" s="29"/>
      <c r="J123" s="29">
        <f t="shared" si="118"/>
        <v>1039.3</v>
      </c>
      <c r="K123" s="29"/>
      <c r="L123" s="29">
        <f t="shared" si="119"/>
        <v>1039.3</v>
      </c>
      <c r="M123" s="29"/>
      <c r="N123" s="29">
        <f t="shared" si="120"/>
        <v>1039.3</v>
      </c>
      <c r="O123" s="29"/>
      <c r="P123" s="29">
        <f t="shared" si="121"/>
        <v>1039.3</v>
      </c>
      <c r="Q123" s="29"/>
      <c r="R123" s="29">
        <f t="shared" si="122"/>
        <v>1039.3</v>
      </c>
      <c r="S123" s="29"/>
      <c r="T123" s="29">
        <f t="shared" si="123"/>
        <v>1039.3</v>
      </c>
      <c r="U123" s="29"/>
      <c r="V123" s="29">
        <f t="shared" si="124"/>
        <v>1039.3</v>
      </c>
      <c r="W123" s="30"/>
      <c r="X123" s="29">
        <f t="shared" si="125"/>
        <v>1039.3</v>
      </c>
      <c r="Y123" s="22" t="s">
        <v>225</v>
      </c>
    </row>
    <row r="124" spans="1:26" ht="75" hidden="1" x14ac:dyDescent="0.25">
      <c r="A124" s="1" t="s">
        <v>135</v>
      </c>
      <c r="B124" s="4" t="s">
        <v>170</v>
      </c>
      <c r="C124" s="56" t="s">
        <v>45</v>
      </c>
      <c r="D124" s="34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>
        <f t="shared" si="123"/>
        <v>0</v>
      </c>
      <c r="U124" s="29"/>
      <c r="V124" s="29">
        <f t="shared" si="124"/>
        <v>0</v>
      </c>
      <c r="W124" s="30"/>
      <c r="X124" s="29">
        <f t="shared" si="125"/>
        <v>0</v>
      </c>
      <c r="Y124" s="22" t="s">
        <v>224</v>
      </c>
      <c r="Z124" s="8">
        <v>0</v>
      </c>
    </row>
    <row r="125" spans="1:26" x14ac:dyDescent="0.25">
      <c r="A125" s="1"/>
      <c r="B125" s="4" t="s">
        <v>5</v>
      </c>
      <c r="C125" s="69"/>
      <c r="D125" s="28">
        <f>D127+D128</f>
        <v>336334.7</v>
      </c>
      <c r="E125" s="28">
        <f>E127+E128</f>
        <v>0</v>
      </c>
      <c r="F125" s="28">
        <f t="shared" ref="F125:F217" si="126">D125+E125</f>
        <v>336334.7</v>
      </c>
      <c r="G125" s="28">
        <f>G127+G128</f>
        <v>76484.06</v>
      </c>
      <c r="H125" s="28">
        <f t="shared" si="117"/>
        <v>412818.76</v>
      </c>
      <c r="I125" s="28">
        <f>I127+I128</f>
        <v>0</v>
      </c>
      <c r="J125" s="28">
        <f t="shared" si="118"/>
        <v>412818.76</v>
      </c>
      <c r="K125" s="28">
        <f>K127+K128</f>
        <v>0</v>
      </c>
      <c r="L125" s="28">
        <f t="shared" si="119"/>
        <v>412818.76</v>
      </c>
      <c r="M125" s="28">
        <f>M127+M128</f>
        <v>0</v>
      </c>
      <c r="N125" s="28">
        <f t="shared" si="120"/>
        <v>412818.76</v>
      </c>
      <c r="O125" s="28">
        <f>O127+O128</f>
        <v>15360.392</v>
      </c>
      <c r="P125" s="28">
        <f t="shared" si="121"/>
        <v>428179.152</v>
      </c>
      <c r="Q125" s="28">
        <f>Q127+Q128</f>
        <v>0</v>
      </c>
      <c r="R125" s="28">
        <f t="shared" si="122"/>
        <v>428179.152</v>
      </c>
      <c r="S125" s="28">
        <f>S127+S128</f>
        <v>23030.558999999997</v>
      </c>
      <c r="T125" s="28">
        <f t="shared" si="123"/>
        <v>451209.71100000001</v>
      </c>
      <c r="U125" s="28">
        <f>U127+U128</f>
        <v>0</v>
      </c>
      <c r="V125" s="28">
        <f t="shared" si="124"/>
        <v>451209.71100000001</v>
      </c>
      <c r="W125" s="28">
        <f>W127+W128</f>
        <v>-68589.142999999996</v>
      </c>
      <c r="X125" s="29">
        <f t="shared" si="125"/>
        <v>382620.56800000003</v>
      </c>
      <c r="Y125" s="61"/>
      <c r="Z125" s="62"/>
    </row>
    <row r="126" spans="1:26" x14ac:dyDescent="0.25">
      <c r="A126" s="1"/>
      <c r="B126" s="4" t="s">
        <v>2</v>
      </c>
      <c r="C126" s="69"/>
      <c r="D126" s="34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30"/>
      <c r="X126" s="29"/>
    </row>
    <row r="127" spans="1:26" hidden="1" x14ac:dyDescent="0.3">
      <c r="A127" s="1"/>
      <c r="B127" s="4" t="s">
        <v>3</v>
      </c>
      <c r="C127" s="4"/>
      <c r="D127" s="35">
        <f>D129+D130+D131+D132+D133+D134+D135+D138+D140+D141</f>
        <v>201334.7</v>
      </c>
      <c r="E127" s="31">
        <f>E129+E130+E131+E132+E133+E134+E135+E138+E140+E141</f>
        <v>0</v>
      </c>
      <c r="F127" s="29">
        <f t="shared" si="126"/>
        <v>201334.7</v>
      </c>
      <c r="G127" s="31">
        <f>G129+G130+G131+G132+G133+G134+G135+G138+G140+G141+G142+G143+G144+G145</f>
        <v>76484.06</v>
      </c>
      <c r="H127" s="29">
        <f t="shared" ref="H127:H136" si="127">F127+G127</f>
        <v>277818.76</v>
      </c>
      <c r="I127" s="31">
        <f>I129+I130+I131+I132+I133+I134+I135+I138+I140+I141+I142+I143+I144+I145</f>
        <v>0</v>
      </c>
      <c r="J127" s="29">
        <f t="shared" ref="J127:J136" si="128">H127+I127</f>
        <v>277818.76</v>
      </c>
      <c r="K127" s="31">
        <f>K129+K130+K131+K132+K133+K134+K135+K138+K140+K141+K142+K143+K144+K145</f>
        <v>0</v>
      </c>
      <c r="L127" s="29">
        <f t="shared" ref="L127:L136" si="129">J127+K127</f>
        <v>277818.76</v>
      </c>
      <c r="M127" s="31">
        <f>M129+M130+M131+M132+M133+M134+M135+M138+M140+M141+M142+M143+M144+M145</f>
        <v>0</v>
      </c>
      <c r="N127" s="29">
        <f t="shared" ref="N127:N136" si="130">L127+M127</f>
        <v>277818.76</v>
      </c>
      <c r="O127" s="31">
        <f>O129+O130+O131+O132+O133+O134+O135+O138+O140+O141+O142+O143+O144+O145</f>
        <v>15360.392</v>
      </c>
      <c r="P127" s="29">
        <f t="shared" ref="P127:P136" si="131">N127+O127</f>
        <v>293179.152</v>
      </c>
      <c r="Q127" s="31">
        <f>Q129+Q130+Q131+Q132+Q133+Q134+Q135+Q138+Q140+Q141+Q142+Q143+Q144+Q145</f>
        <v>0</v>
      </c>
      <c r="R127" s="29">
        <f t="shared" ref="R127:R136" si="132">P127+Q127</f>
        <v>293179.152</v>
      </c>
      <c r="S127" s="31">
        <f>S129+S130+S131+S132+S133+S134+S135+S138+S140+S141+S142+S143+S144+S145</f>
        <v>23030.558999999997</v>
      </c>
      <c r="T127" s="29">
        <f t="shared" ref="T127:T136" si="133">R127+S127</f>
        <v>316209.71100000001</v>
      </c>
      <c r="U127" s="31">
        <f>U129+U130+U131+U132+U133+U134+U135+U138+U140+U141+U142+U143+U144+U145</f>
        <v>0</v>
      </c>
      <c r="V127" s="29">
        <f t="shared" ref="V127:V136" si="134">T127+U127</f>
        <v>316209.71100000001</v>
      </c>
      <c r="W127" s="32">
        <f>W129+W130+W131+W132+W133+W134+W135+W138+W140+W141+W142+W143+W144+W145</f>
        <v>-68589.142999999996</v>
      </c>
      <c r="X127" s="29">
        <f t="shared" ref="X127:X136" si="135">V127+W127</f>
        <v>247620.56800000003</v>
      </c>
      <c r="Z127" s="8">
        <v>0</v>
      </c>
    </row>
    <row r="128" spans="1:26" x14ac:dyDescent="0.25">
      <c r="A128" s="1"/>
      <c r="B128" s="4" t="s">
        <v>16</v>
      </c>
      <c r="C128" s="4"/>
      <c r="D128" s="34">
        <f>D139</f>
        <v>135000</v>
      </c>
      <c r="E128" s="29">
        <f>E139</f>
        <v>0</v>
      </c>
      <c r="F128" s="29">
        <f t="shared" si="126"/>
        <v>135000</v>
      </c>
      <c r="G128" s="29">
        <f>G139</f>
        <v>0</v>
      </c>
      <c r="H128" s="29">
        <f t="shared" si="127"/>
        <v>135000</v>
      </c>
      <c r="I128" s="29">
        <f>I139</f>
        <v>0</v>
      </c>
      <c r="J128" s="29">
        <f t="shared" si="128"/>
        <v>135000</v>
      </c>
      <c r="K128" s="29">
        <f>K139</f>
        <v>0</v>
      </c>
      <c r="L128" s="29">
        <f t="shared" si="129"/>
        <v>135000</v>
      </c>
      <c r="M128" s="29">
        <f>M139</f>
        <v>0</v>
      </c>
      <c r="N128" s="29">
        <f t="shared" si="130"/>
        <v>135000</v>
      </c>
      <c r="O128" s="29">
        <f>O139</f>
        <v>0</v>
      </c>
      <c r="P128" s="29">
        <f t="shared" si="131"/>
        <v>135000</v>
      </c>
      <c r="Q128" s="29">
        <f>Q139</f>
        <v>0</v>
      </c>
      <c r="R128" s="29">
        <f t="shared" si="132"/>
        <v>135000</v>
      </c>
      <c r="S128" s="29">
        <f>S139</f>
        <v>0</v>
      </c>
      <c r="T128" s="29">
        <f t="shared" si="133"/>
        <v>135000</v>
      </c>
      <c r="U128" s="29">
        <f>U139</f>
        <v>0</v>
      </c>
      <c r="V128" s="29">
        <f t="shared" si="134"/>
        <v>135000</v>
      </c>
      <c r="W128" s="30">
        <f>W139</f>
        <v>0</v>
      </c>
      <c r="X128" s="29">
        <f t="shared" si="135"/>
        <v>135000</v>
      </c>
    </row>
    <row r="129" spans="1:26" ht="75" x14ac:dyDescent="0.25">
      <c r="A129" s="1" t="s">
        <v>137</v>
      </c>
      <c r="B129" s="4" t="s">
        <v>36</v>
      </c>
      <c r="C129" s="4" t="s">
        <v>295</v>
      </c>
      <c r="D129" s="29">
        <v>36626.300000000003</v>
      </c>
      <c r="E129" s="29"/>
      <c r="F129" s="29">
        <f t="shared" si="126"/>
        <v>36626.300000000003</v>
      </c>
      <c r="G129" s="29">
        <v>12035.069</v>
      </c>
      <c r="H129" s="29">
        <f t="shared" si="127"/>
        <v>48661.369000000006</v>
      </c>
      <c r="I129" s="29"/>
      <c r="J129" s="29">
        <f t="shared" si="128"/>
        <v>48661.369000000006</v>
      </c>
      <c r="K129" s="29"/>
      <c r="L129" s="29">
        <f t="shared" si="129"/>
        <v>48661.369000000006</v>
      </c>
      <c r="M129" s="29"/>
      <c r="N129" s="29">
        <f t="shared" si="130"/>
        <v>48661.369000000006</v>
      </c>
      <c r="O129" s="29"/>
      <c r="P129" s="29">
        <f t="shared" si="131"/>
        <v>48661.369000000006</v>
      </c>
      <c r="Q129" s="29"/>
      <c r="R129" s="29">
        <f t="shared" si="132"/>
        <v>48661.369000000006</v>
      </c>
      <c r="S129" s="29"/>
      <c r="T129" s="29">
        <f t="shared" si="133"/>
        <v>48661.369000000006</v>
      </c>
      <c r="U129" s="29"/>
      <c r="V129" s="29">
        <f t="shared" si="134"/>
        <v>48661.369000000006</v>
      </c>
      <c r="W129" s="30">
        <f>-493.87-29505.63</f>
        <v>-29999.5</v>
      </c>
      <c r="X129" s="29">
        <f t="shared" si="135"/>
        <v>18661.869000000006</v>
      </c>
      <c r="Y129" s="22">
        <v>1020200000</v>
      </c>
    </row>
    <row r="130" spans="1:26" ht="75" x14ac:dyDescent="0.25">
      <c r="A130" s="1" t="s">
        <v>139</v>
      </c>
      <c r="B130" s="65" t="s">
        <v>32</v>
      </c>
      <c r="C130" s="4" t="s">
        <v>295</v>
      </c>
      <c r="D130" s="29">
        <v>7611.3</v>
      </c>
      <c r="E130" s="29"/>
      <c r="F130" s="29">
        <f t="shared" si="126"/>
        <v>7611.3</v>
      </c>
      <c r="G130" s="29">
        <v>1622.5709999999999</v>
      </c>
      <c r="H130" s="29">
        <f t="shared" si="127"/>
        <v>9233.8709999999992</v>
      </c>
      <c r="I130" s="29"/>
      <c r="J130" s="29">
        <f t="shared" si="128"/>
        <v>9233.8709999999992</v>
      </c>
      <c r="K130" s="29"/>
      <c r="L130" s="29">
        <f t="shared" si="129"/>
        <v>9233.8709999999992</v>
      </c>
      <c r="M130" s="29"/>
      <c r="N130" s="29">
        <f t="shared" si="130"/>
        <v>9233.8709999999992</v>
      </c>
      <c r="O130" s="29"/>
      <c r="P130" s="29">
        <f t="shared" si="131"/>
        <v>9233.8709999999992</v>
      </c>
      <c r="Q130" s="29"/>
      <c r="R130" s="29">
        <f t="shared" si="132"/>
        <v>9233.8709999999992</v>
      </c>
      <c r="S130" s="29"/>
      <c r="T130" s="29">
        <f t="shared" si="133"/>
        <v>9233.8709999999992</v>
      </c>
      <c r="U130" s="29"/>
      <c r="V130" s="29">
        <f t="shared" si="134"/>
        <v>9233.8709999999992</v>
      </c>
      <c r="W130" s="30"/>
      <c r="X130" s="29">
        <f t="shared" si="135"/>
        <v>9233.8709999999992</v>
      </c>
      <c r="Y130" s="22">
        <v>1110541750</v>
      </c>
    </row>
    <row r="131" spans="1:26" ht="75" x14ac:dyDescent="0.25">
      <c r="A131" s="1" t="s">
        <v>140</v>
      </c>
      <c r="B131" s="65" t="s">
        <v>33</v>
      </c>
      <c r="C131" s="4" t="s">
        <v>295</v>
      </c>
      <c r="D131" s="29">
        <v>22491.5</v>
      </c>
      <c r="E131" s="29"/>
      <c r="F131" s="29">
        <f t="shared" si="126"/>
        <v>22491.5</v>
      </c>
      <c r="G131" s="29">
        <v>9202.009</v>
      </c>
      <c r="H131" s="29">
        <f t="shared" si="127"/>
        <v>31693.508999999998</v>
      </c>
      <c r="I131" s="29"/>
      <c r="J131" s="29">
        <f t="shared" si="128"/>
        <v>31693.508999999998</v>
      </c>
      <c r="K131" s="29"/>
      <c r="L131" s="29">
        <f t="shared" si="129"/>
        <v>31693.508999999998</v>
      </c>
      <c r="M131" s="29"/>
      <c r="N131" s="29">
        <f t="shared" si="130"/>
        <v>31693.508999999998</v>
      </c>
      <c r="O131" s="29">
        <v>26.045999999999999</v>
      </c>
      <c r="P131" s="29">
        <f t="shared" si="131"/>
        <v>31719.554999999997</v>
      </c>
      <c r="Q131" s="29"/>
      <c r="R131" s="29">
        <f t="shared" si="132"/>
        <v>31719.554999999997</v>
      </c>
      <c r="S131" s="29"/>
      <c r="T131" s="29">
        <f t="shared" si="133"/>
        <v>31719.554999999997</v>
      </c>
      <c r="U131" s="29"/>
      <c r="V131" s="29">
        <f t="shared" si="134"/>
        <v>31719.554999999997</v>
      </c>
      <c r="W131" s="30">
        <v>-31451.737000000001</v>
      </c>
      <c r="X131" s="29">
        <f t="shared" si="135"/>
        <v>267.81799999999566</v>
      </c>
      <c r="Y131" s="22">
        <v>1110541780</v>
      </c>
    </row>
    <row r="132" spans="1:26" ht="75" x14ac:dyDescent="0.25">
      <c r="A132" s="1" t="s">
        <v>141</v>
      </c>
      <c r="B132" s="65" t="s">
        <v>44</v>
      </c>
      <c r="C132" s="4" t="s">
        <v>295</v>
      </c>
      <c r="D132" s="29">
        <v>2172.8000000000002</v>
      </c>
      <c r="E132" s="29"/>
      <c r="F132" s="29">
        <f t="shared" si="126"/>
        <v>2172.8000000000002</v>
      </c>
      <c r="G132" s="29"/>
      <c r="H132" s="29">
        <f t="shared" si="127"/>
        <v>2172.8000000000002</v>
      </c>
      <c r="I132" s="29"/>
      <c r="J132" s="29">
        <f t="shared" si="128"/>
        <v>2172.8000000000002</v>
      </c>
      <c r="K132" s="29"/>
      <c r="L132" s="29">
        <f t="shared" si="129"/>
        <v>2172.8000000000002</v>
      </c>
      <c r="M132" s="29"/>
      <c r="N132" s="29">
        <f t="shared" si="130"/>
        <v>2172.8000000000002</v>
      </c>
      <c r="O132" s="29"/>
      <c r="P132" s="29">
        <f t="shared" si="131"/>
        <v>2172.8000000000002</v>
      </c>
      <c r="Q132" s="29"/>
      <c r="R132" s="29">
        <f t="shared" si="132"/>
        <v>2172.8000000000002</v>
      </c>
      <c r="S132" s="29"/>
      <c r="T132" s="29">
        <f t="shared" si="133"/>
        <v>2172.8000000000002</v>
      </c>
      <c r="U132" s="29"/>
      <c r="V132" s="29">
        <f t="shared" si="134"/>
        <v>2172.8000000000002</v>
      </c>
      <c r="W132" s="30"/>
      <c r="X132" s="29">
        <f t="shared" si="135"/>
        <v>2172.8000000000002</v>
      </c>
      <c r="Y132" s="22">
        <v>1110541820</v>
      </c>
    </row>
    <row r="133" spans="1:26" ht="75" x14ac:dyDescent="0.25">
      <c r="A133" s="1" t="s">
        <v>142</v>
      </c>
      <c r="B133" s="65" t="s">
        <v>35</v>
      </c>
      <c r="C133" s="4" t="s">
        <v>295</v>
      </c>
      <c r="D133" s="29">
        <v>3309.4</v>
      </c>
      <c r="E133" s="29"/>
      <c r="F133" s="29">
        <f t="shared" si="126"/>
        <v>3309.4</v>
      </c>
      <c r="G133" s="29"/>
      <c r="H133" s="29">
        <f t="shared" si="127"/>
        <v>3309.4</v>
      </c>
      <c r="I133" s="29"/>
      <c r="J133" s="29">
        <f t="shared" si="128"/>
        <v>3309.4</v>
      </c>
      <c r="K133" s="29"/>
      <c r="L133" s="29">
        <f t="shared" si="129"/>
        <v>3309.4</v>
      </c>
      <c r="M133" s="29"/>
      <c r="N133" s="29">
        <f t="shared" si="130"/>
        <v>3309.4</v>
      </c>
      <c r="O133" s="29">
        <v>-49.281999999999996</v>
      </c>
      <c r="P133" s="29">
        <f t="shared" si="131"/>
        <v>3260.1179999999999</v>
      </c>
      <c r="Q133" s="29"/>
      <c r="R133" s="29">
        <f t="shared" si="132"/>
        <v>3260.1179999999999</v>
      </c>
      <c r="S133" s="29"/>
      <c r="T133" s="29">
        <f t="shared" si="133"/>
        <v>3260.1179999999999</v>
      </c>
      <c r="U133" s="29"/>
      <c r="V133" s="29">
        <f t="shared" si="134"/>
        <v>3260.1179999999999</v>
      </c>
      <c r="W133" s="30"/>
      <c r="X133" s="29">
        <f t="shared" si="135"/>
        <v>3260.1179999999999</v>
      </c>
      <c r="Y133" s="22">
        <v>1110541830</v>
      </c>
    </row>
    <row r="134" spans="1:26" ht="75" x14ac:dyDescent="0.25">
      <c r="A134" s="1" t="s">
        <v>143</v>
      </c>
      <c r="B134" s="65" t="s">
        <v>34</v>
      </c>
      <c r="C134" s="4" t="s">
        <v>295</v>
      </c>
      <c r="D134" s="29">
        <v>1820.1</v>
      </c>
      <c r="E134" s="29"/>
      <c r="F134" s="29">
        <f t="shared" si="126"/>
        <v>1820.1</v>
      </c>
      <c r="G134" s="29"/>
      <c r="H134" s="29">
        <f t="shared" si="127"/>
        <v>1820.1</v>
      </c>
      <c r="I134" s="29"/>
      <c r="J134" s="29">
        <f t="shared" si="128"/>
        <v>1820.1</v>
      </c>
      <c r="K134" s="29"/>
      <c r="L134" s="29">
        <f t="shared" si="129"/>
        <v>1820.1</v>
      </c>
      <c r="M134" s="29"/>
      <c r="N134" s="29">
        <f t="shared" si="130"/>
        <v>1820.1</v>
      </c>
      <c r="O134" s="29">
        <v>-36.402000000000001</v>
      </c>
      <c r="P134" s="29">
        <f t="shared" si="131"/>
        <v>1783.6979999999999</v>
      </c>
      <c r="Q134" s="29"/>
      <c r="R134" s="29">
        <f t="shared" si="132"/>
        <v>1783.6979999999999</v>
      </c>
      <c r="S134" s="29"/>
      <c r="T134" s="29">
        <f t="shared" si="133"/>
        <v>1783.6979999999999</v>
      </c>
      <c r="U134" s="29"/>
      <c r="V134" s="29">
        <f t="shared" si="134"/>
        <v>1783.6979999999999</v>
      </c>
      <c r="W134" s="30"/>
      <c r="X134" s="29">
        <f t="shared" si="135"/>
        <v>1783.6979999999999</v>
      </c>
      <c r="Y134" s="22">
        <v>1110541850</v>
      </c>
    </row>
    <row r="135" spans="1:26" ht="75" x14ac:dyDescent="0.25">
      <c r="A135" s="1" t="s">
        <v>144</v>
      </c>
      <c r="B135" s="65" t="s">
        <v>175</v>
      </c>
      <c r="C135" s="4" t="s">
        <v>295</v>
      </c>
      <c r="D135" s="29">
        <v>4956.7</v>
      </c>
      <c r="E135" s="29"/>
      <c r="F135" s="29">
        <f t="shared" si="126"/>
        <v>4956.7</v>
      </c>
      <c r="G135" s="29"/>
      <c r="H135" s="29">
        <f t="shared" si="127"/>
        <v>4956.7</v>
      </c>
      <c r="I135" s="29"/>
      <c r="J135" s="29">
        <f t="shared" si="128"/>
        <v>4956.7</v>
      </c>
      <c r="K135" s="29"/>
      <c r="L135" s="29">
        <f t="shared" si="129"/>
        <v>4956.7</v>
      </c>
      <c r="M135" s="29"/>
      <c r="N135" s="29">
        <f t="shared" si="130"/>
        <v>4956.7</v>
      </c>
      <c r="O135" s="29">
        <v>-1215.3119999999999</v>
      </c>
      <c r="P135" s="29">
        <f t="shared" si="131"/>
        <v>3741.3879999999999</v>
      </c>
      <c r="Q135" s="29"/>
      <c r="R135" s="29">
        <f t="shared" si="132"/>
        <v>3741.3879999999999</v>
      </c>
      <c r="S135" s="29"/>
      <c r="T135" s="29">
        <f t="shared" si="133"/>
        <v>3741.3879999999999</v>
      </c>
      <c r="U135" s="29"/>
      <c r="V135" s="29">
        <f t="shared" si="134"/>
        <v>3741.3879999999999</v>
      </c>
      <c r="W135" s="30"/>
      <c r="X135" s="29">
        <f t="shared" si="135"/>
        <v>3741.3879999999999</v>
      </c>
      <c r="Y135" s="22">
        <v>1110541860</v>
      </c>
    </row>
    <row r="136" spans="1:26" ht="75" x14ac:dyDescent="0.25">
      <c r="A136" s="1" t="s">
        <v>145</v>
      </c>
      <c r="B136" s="65" t="s">
        <v>43</v>
      </c>
      <c r="C136" s="4" t="s">
        <v>295</v>
      </c>
      <c r="D136" s="29">
        <f>D138+D139</f>
        <v>219867</v>
      </c>
      <c r="E136" s="29">
        <f>E138+E139</f>
        <v>0</v>
      </c>
      <c r="F136" s="29">
        <f t="shared" si="126"/>
        <v>219867</v>
      </c>
      <c r="G136" s="29">
        <f>G138+G139</f>
        <v>252.65</v>
      </c>
      <c r="H136" s="29">
        <f t="shared" si="127"/>
        <v>220119.65</v>
      </c>
      <c r="I136" s="29">
        <f>I138+I139</f>
        <v>0</v>
      </c>
      <c r="J136" s="29">
        <f t="shared" si="128"/>
        <v>220119.65</v>
      </c>
      <c r="K136" s="29">
        <f>K138+K139</f>
        <v>0</v>
      </c>
      <c r="L136" s="29">
        <f t="shared" si="129"/>
        <v>220119.65</v>
      </c>
      <c r="M136" s="29">
        <f>M138+M139</f>
        <v>0</v>
      </c>
      <c r="N136" s="29">
        <f t="shared" si="130"/>
        <v>220119.65</v>
      </c>
      <c r="O136" s="29">
        <f>O138+O139</f>
        <v>728.84199999999998</v>
      </c>
      <c r="P136" s="29">
        <f t="shared" si="131"/>
        <v>220848.492</v>
      </c>
      <c r="Q136" s="29">
        <f>Q138+Q139</f>
        <v>0</v>
      </c>
      <c r="R136" s="29">
        <f t="shared" si="132"/>
        <v>220848.492</v>
      </c>
      <c r="S136" s="29">
        <f>S138+S139</f>
        <v>206.875</v>
      </c>
      <c r="T136" s="29">
        <f t="shared" si="133"/>
        <v>221055.367</v>
      </c>
      <c r="U136" s="29">
        <f>U138+U139</f>
        <v>0</v>
      </c>
      <c r="V136" s="29">
        <f t="shared" si="134"/>
        <v>221055.367</v>
      </c>
      <c r="W136" s="30">
        <f>W138+W139</f>
        <v>28239.839</v>
      </c>
      <c r="X136" s="29">
        <f t="shared" si="135"/>
        <v>249295.20600000001</v>
      </c>
    </row>
    <row r="137" spans="1:26" x14ac:dyDescent="0.25">
      <c r="A137" s="1"/>
      <c r="B137" s="4" t="s">
        <v>2</v>
      </c>
      <c r="C137" s="66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30"/>
      <c r="X137" s="29"/>
    </row>
    <row r="138" spans="1:26" hidden="1" x14ac:dyDescent="0.25">
      <c r="A138" s="1"/>
      <c r="B138" s="4" t="s">
        <v>3</v>
      </c>
      <c r="C138" s="14"/>
      <c r="D138" s="29">
        <v>84867</v>
      </c>
      <c r="E138" s="29"/>
      <c r="F138" s="29">
        <f t="shared" si="126"/>
        <v>84867</v>
      </c>
      <c r="G138" s="29">
        <v>252.65</v>
      </c>
      <c r="H138" s="29">
        <f t="shared" ref="H138:H146" si="136">F138+G138</f>
        <v>85119.65</v>
      </c>
      <c r="I138" s="29"/>
      <c r="J138" s="29">
        <f t="shared" ref="J138:J146" si="137">H138+I138</f>
        <v>85119.65</v>
      </c>
      <c r="K138" s="29"/>
      <c r="L138" s="29">
        <f t="shared" ref="L138:L146" si="138">J138+K138</f>
        <v>85119.65</v>
      </c>
      <c r="M138" s="29"/>
      <c r="N138" s="29">
        <f t="shared" ref="N138:N146" si="139">L138+M138</f>
        <v>85119.65</v>
      </c>
      <c r="O138" s="29">
        <f>643.915+84.927</f>
        <v>728.84199999999998</v>
      </c>
      <c r="P138" s="29">
        <f t="shared" ref="P138:P146" si="140">N138+O138</f>
        <v>85848.491999999998</v>
      </c>
      <c r="Q138" s="29"/>
      <c r="R138" s="29">
        <f t="shared" ref="R138:R146" si="141">P138+Q138</f>
        <v>85848.491999999998</v>
      </c>
      <c r="S138" s="29">
        <v>206.875</v>
      </c>
      <c r="T138" s="29">
        <f t="shared" ref="T138:T146" si="142">R138+S138</f>
        <v>86055.366999999998</v>
      </c>
      <c r="U138" s="29"/>
      <c r="V138" s="29">
        <f t="shared" ref="V138:V146" si="143">T138+U138</f>
        <v>86055.366999999998</v>
      </c>
      <c r="W138" s="30">
        <v>28239.839</v>
      </c>
      <c r="X138" s="29">
        <f t="shared" ref="X138:X146" si="144">V138+W138</f>
        <v>114295.20600000001</v>
      </c>
      <c r="Y138" s="22" t="s">
        <v>268</v>
      </c>
      <c r="Z138" s="8">
        <v>0</v>
      </c>
    </row>
    <row r="139" spans="1:26" x14ac:dyDescent="0.25">
      <c r="A139" s="1"/>
      <c r="B139" s="4" t="s">
        <v>16</v>
      </c>
      <c r="C139" s="66"/>
      <c r="D139" s="29">
        <v>135000</v>
      </c>
      <c r="E139" s="29"/>
      <c r="F139" s="29">
        <f t="shared" si="126"/>
        <v>135000</v>
      </c>
      <c r="G139" s="29"/>
      <c r="H139" s="29">
        <f t="shared" si="136"/>
        <v>135000</v>
      </c>
      <c r="I139" s="29"/>
      <c r="J139" s="29">
        <f t="shared" si="137"/>
        <v>135000</v>
      </c>
      <c r="K139" s="29"/>
      <c r="L139" s="29">
        <f t="shared" si="138"/>
        <v>135000</v>
      </c>
      <c r="M139" s="29"/>
      <c r="N139" s="29">
        <f t="shared" si="139"/>
        <v>135000</v>
      </c>
      <c r="O139" s="29"/>
      <c r="P139" s="29">
        <f t="shared" si="140"/>
        <v>135000</v>
      </c>
      <c r="Q139" s="29"/>
      <c r="R139" s="29">
        <f t="shared" si="141"/>
        <v>135000</v>
      </c>
      <c r="S139" s="29"/>
      <c r="T139" s="29">
        <f t="shared" si="142"/>
        <v>135000</v>
      </c>
      <c r="U139" s="29"/>
      <c r="V139" s="29">
        <f t="shared" si="143"/>
        <v>135000</v>
      </c>
      <c r="W139" s="30"/>
      <c r="X139" s="29">
        <f t="shared" si="144"/>
        <v>135000</v>
      </c>
      <c r="Y139" s="22" t="s">
        <v>267</v>
      </c>
    </row>
    <row r="140" spans="1:26" ht="75" x14ac:dyDescent="0.25">
      <c r="A140" s="1" t="s">
        <v>146</v>
      </c>
      <c r="B140" s="65" t="s">
        <v>57</v>
      </c>
      <c r="C140" s="4" t="s">
        <v>295</v>
      </c>
      <c r="D140" s="29">
        <v>30036.1</v>
      </c>
      <c r="E140" s="29"/>
      <c r="F140" s="29">
        <f t="shared" si="126"/>
        <v>30036.1</v>
      </c>
      <c r="G140" s="29"/>
      <c r="H140" s="29">
        <f t="shared" si="136"/>
        <v>30036.1</v>
      </c>
      <c r="I140" s="29"/>
      <c r="J140" s="29">
        <f t="shared" si="137"/>
        <v>30036.1</v>
      </c>
      <c r="K140" s="29"/>
      <c r="L140" s="29">
        <f t="shared" si="138"/>
        <v>30036.1</v>
      </c>
      <c r="M140" s="29"/>
      <c r="N140" s="29">
        <f t="shared" si="139"/>
        <v>30036.1</v>
      </c>
      <c r="O140" s="29"/>
      <c r="P140" s="29">
        <f t="shared" si="140"/>
        <v>30036.1</v>
      </c>
      <c r="Q140" s="29"/>
      <c r="R140" s="29">
        <f t="shared" si="141"/>
        <v>30036.1</v>
      </c>
      <c r="S140" s="29">
        <v>28036.1</v>
      </c>
      <c r="T140" s="29">
        <f t="shared" si="142"/>
        <v>58072.2</v>
      </c>
      <c r="U140" s="29"/>
      <c r="V140" s="29">
        <f t="shared" si="143"/>
        <v>58072.2</v>
      </c>
      <c r="W140" s="30"/>
      <c r="X140" s="29">
        <f t="shared" si="144"/>
        <v>58072.2</v>
      </c>
      <c r="Y140" s="22">
        <v>1120441540</v>
      </c>
    </row>
    <row r="141" spans="1:26" ht="75" x14ac:dyDescent="0.25">
      <c r="A141" s="1" t="s">
        <v>147</v>
      </c>
      <c r="B141" s="65" t="s">
        <v>58</v>
      </c>
      <c r="C141" s="4" t="s">
        <v>295</v>
      </c>
      <c r="D141" s="29">
        <v>7443.5</v>
      </c>
      <c r="E141" s="29"/>
      <c r="F141" s="29">
        <f t="shared" si="126"/>
        <v>7443.5</v>
      </c>
      <c r="G141" s="29"/>
      <c r="H141" s="29">
        <f t="shared" si="136"/>
        <v>7443.5</v>
      </c>
      <c r="I141" s="29"/>
      <c r="J141" s="29">
        <f t="shared" si="137"/>
        <v>7443.5</v>
      </c>
      <c r="K141" s="29"/>
      <c r="L141" s="29">
        <f t="shared" si="138"/>
        <v>7443.5</v>
      </c>
      <c r="M141" s="29"/>
      <c r="N141" s="29">
        <f t="shared" si="139"/>
        <v>7443.5</v>
      </c>
      <c r="O141" s="29">
        <v>-93.5</v>
      </c>
      <c r="P141" s="29">
        <f t="shared" si="140"/>
        <v>7350</v>
      </c>
      <c r="Q141" s="29"/>
      <c r="R141" s="29">
        <f t="shared" si="141"/>
        <v>7350</v>
      </c>
      <c r="S141" s="29"/>
      <c r="T141" s="29">
        <f t="shared" si="142"/>
        <v>7350</v>
      </c>
      <c r="U141" s="29"/>
      <c r="V141" s="29">
        <f t="shared" si="143"/>
        <v>7350</v>
      </c>
      <c r="W141" s="30">
        <v>44.999000000000002</v>
      </c>
      <c r="X141" s="29">
        <f t="shared" si="144"/>
        <v>7394.9989999999998</v>
      </c>
      <c r="Y141" s="22">
        <v>1120441870</v>
      </c>
    </row>
    <row r="142" spans="1:26" ht="75" x14ac:dyDescent="0.25">
      <c r="A142" s="1" t="s">
        <v>148</v>
      </c>
      <c r="B142" s="65" t="s">
        <v>196</v>
      </c>
      <c r="C142" s="4" t="s">
        <v>295</v>
      </c>
      <c r="D142" s="29"/>
      <c r="E142" s="29"/>
      <c r="F142" s="29"/>
      <c r="G142" s="29">
        <v>395.28300000000002</v>
      </c>
      <c r="H142" s="29">
        <f t="shared" si="136"/>
        <v>395.28300000000002</v>
      </c>
      <c r="I142" s="29"/>
      <c r="J142" s="29">
        <f t="shared" si="137"/>
        <v>395.28300000000002</v>
      </c>
      <c r="K142" s="29"/>
      <c r="L142" s="29">
        <f t="shared" si="138"/>
        <v>395.28300000000002</v>
      </c>
      <c r="M142" s="29"/>
      <c r="N142" s="29">
        <f t="shared" si="139"/>
        <v>395.28300000000002</v>
      </c>
      <c r="O142" s="29"/>
      <c r="P142" s="29">
        <f t="shared" si="140"/>
        <v>395.28300000000002</v>
      </c>
      <c r="Q142" s="29"/>
      <c r="R142" s="29">
        <f t="shared" si="141"/>
        <v>395.28300000000002</v>
      </c>
      <c r="S142" s="29"/>
      <c r="T142" s="29">
        <f t="shared" si="142"/>
        <v>395.28300000000002</v>
      </c>
      <c r="U142" s="29"/>
      <c r="V142" s="29">
        <f t="shared" si="143"/>
        <v>395.28300000000002</v>
      </c>
      <c r="W142" s="30"/>
      <c r="X142" s="29">
        <f t="shared" si="144"/>
        <v>395.28300000000002</v>
      </c>
      <c r="Y142" s="22" t="s">
        <v>199</v>
      </c>
    </row>
    <row r="143" spans="1:26" ht="75" x14ac:dyDescent="0.25">
      <c r="A143" s="1" t="s">
        <v>149</v>
      </c>
      <c r="B143" s="65" t="s">
        <v>197</v>
      </c>
      <c r="C143" s="4" t="s">
        <v>295</v>
      </c>
      <c r="D143" s="29"/>
      <c r="E143" s="29"/>
      <c r="F143" s="29"/>
      <c r="G143" s="29">
        <v>2744.8009999999999</v>
      </c>
      <c r="H143" s="29">
        <f t="shared" si="136"/>
        <v>2744.8009999999999</v>
      </c>
      <c r="I143" s="29"/>
      <c r="J143" s="29">
        <f t="shared" si="137"/>
        <v>2744.8009999999999</v>
      </c>
      <c r="K143" s="29"/>
      <c r="L143" s="29">
        <f t="shared" si="138"/>
        <v>2744.8009999999999</v>
      </c>
      <c r="M143" s="29"/>
      <c r="N143" s="29">
        <f t="shared" si="139"/>
        <v>2744.8009999999999</v>
      </c>
      <c r="O143" s="29"/>
      <c r="P143" s="29">
        <f t="shared" si="140"/>
        <v>2744.8009999999999</v>
      </c>
      <c r="Q143" s="29"/>
      <c r="R143" s="29">
        <f t="shared" si="141"/>
        <v>2744.8009999999999</v>
      </c>
      <c r="S143" s="29"/>
      <c r="T143" s="29">
        <f t="shared" si="142"/>
        <v>2744.8009999999999</v>
      </c>
      <c r="U143" s="29"/>
      <c r="V143" s="29">
        <f t="shared" si="143"/>
        <v>2744.8009999999999</v>
      </c>
      <c r="W143" s="30"/>
      <c r="X143" s="29">
        <f t="shared" si="144"/>
        <v>2744.8009999999999</v>
      </c>
      <c r="Y143" s="22" t="s">
        <v>200</v>
      </c>
    </row>
    <row r="144" spans="1:26" ht="75" x14ac:dyDescent="0.25">
      <c r="A144" s="1" t="s">
        <v>150</v>
      </c>
      <c r="B144" s="65" t="s">
        <v>198</v>
      </c>
      <c r="C144" s="4" t="s">
        <v>295</v>
      </c>
      <c r="D144" s="29"/>
      <c r="E144" s="29"/>
      <c r="F144" s="29"/>
      <c r="G144" s="29">
        <v>472.8</v>
      </c>
      <c r="H144" s="29">
        <f t="shared" si="136"/>
        <v>472.8</v>
      </c>
      <c r="I144" s="29"/>
      <c r="J144" s="29">
        <f t="shared" si="137"/>
        <v>472.8</v>
      </c>
      <c r="K144" s="29"/>
      <c r="L144" s="29">
        <f t="shared" si="138"/>
        <v>472.8</v>
      </c>
      <c r="M144" s="29"/>
      <c r="N144" s="29">
        <f t="shared" si="139"/>
        <v>472.8</v>
      </c>
      <c r="O144" s="29"/>
      <c r="P144" s="29">
        <f t="shared" si="140"/>
        <v>472.8</v>
      </c>
      <c r="Q144" s="29"/>
      <c r="R144" s="29">
        <f t="shared" si="141"/>
        <v>472.8</v>
      </c>
      <c r="S144" s="29"/>
      <c r="T144" s="29">
        <f t="shared" si="142"/>
        <v>472.8</v>
      </c>
      <c r="U144" s="29"/>
      <c r="V144" s="29">
        <f t="shared" si="143"/>
        <v>472.8</v>
      </c>
      <c r="W144" s="30"/>
      <c r="X144" s="29">
        <f t="shared" si="144"/>
        <v>472.8</v>
      </c>
      <c r="Y144" s="22" t="s">
        <v>201</v>
      </c>
    </row>
    <row r="145" spans="1:26" ht="75" x14ac:dyDescent="0.25">
      <c r="A145" s="1" t="s">
        <v>151</v>
      </c>
      <c r="B145" s="65" t="s">
        <v>234</v>
      </c>
      <c r="C145" s="4" t="s">
        <v>295</v>
      </c>
      <c r="D145" s="29"/>
      <c r="E145" s="29"/>
      <c r="F145" s="29"/>
      <c r="G145" s="29">
        <f>40000+9758.877</f>
        <v>49758.877</v>
      </c>
      <c r="H145" s="29">
        <f t="shared" si="136"/>
        <v>49758.877</v>
      </c>
      <c r="I145" s="29"/>
      <c r="J145" s="29">
        <f t="shared" si="137"/>
        <v>49758.877</v>
      </c>
      <c r="K145" s="29"/>
      <c r="L145" s="29">
        <f t="shared" si="138"/>
        <v>49758.877</v>
      </c>
      <c r="M145" s="29"/>
      <c r="N145" s="29">
        <f t="shared" si="139"/>
        <v>49758.877</v>
      </c>
      <c r="O145" s="29">
        <v>16000</v>
      </c>
      <c r="P145" s="29">
        <f t="shared" si="140"/>
        <v>65758.877000000008</v>
      </c>
      <c r="Q145" s="29"/>
      <c r="R145" s="29">
        <f t="shared" si="141"/>
        <v>65758.877000000008</v>
      </c>
      <c r="S145" s="29">
        <v>-5212.4160000000002</v>
      </c>
      <c r="T145" s="29">
        <f t="shared" si="142"/>
        <v>60546.46100000001</v>
      </c>
      <c r="U145" s="29"/>
      <c r="V145" s="29">
        <f t="shared" si="143"/>
        <v>60546.46100000001</v>
      </c>
      <c r="W145" s="30">
        <v>-35422.743999999999</v>
      </c>
      <c r="X145" s="29">
        <f t="shared" si="144"/>
        <v>25123.717000000011</v>
      </c>
      <c r="Y145" s="22" t="s">
        <v>235</v>
      </c>
    </row>
    <row r="146" spans="1:26" x14ac:dyDescent="0.25">
      <c r="A146" s="1"/>
      <c r="B146" s="4" t="s">
        <v>6</v>
      </c>
      <c r="C146" s="69"/>
      <c r="D146" s="28">
        <f>D148+D149</f>
        <v>1464315.0999999999</v>
      </c>
      <c r="E146" s="28">
        <f>E148+E149</f>
        <v>100000</v>
      </c>
      <c r="F146" s="28">
        <f t="shared" si="126"/>
        <v>1564315.0999999999</v>
      </c>
      <c r="G146" s="28">
        <f>G148+G149</f>
        <v>139754.22499999998</v>
      </c>
      <c r="H146" s="28">
        <f t="shared" si="136"/>
        <v>1704069.3249999997</v>
      </c>
      <c r="I146" s="28">
        <f>I148+I149</f>
        <v>0</v>
      </c>
      <c r="J146" s="28">
        <f t="shared" si="137"/>
        <v>1704069.3249999997</v>
      </c>
      <c r="K146" s="28">
        <f>K148+K149</f>
        <v>283733.40000000002</v>
      </c>
      <c r="L146" s="28">
        <f t="shared" si="138"/>
        <v>1987802.7249999996</v>
      </c>
      <c r="M146" s="28">
        <f>M148+M149</f>
        <v>0</v>
      </c>
      <c r="N146" s="28">
        <f t="shared" si="139"/>
        <v>1987802.7249999996</v>
      </c>
      <c r="O146" s="28">
        <f>O148+O149</f>
        <v>-334752.24599999998</v>
      </c>
      <c r="P146" s="28">
        <f t="shared" si="140"/>
        <v>1653050.4789999996</v>
      </c>
      <c r="Q146" s="28">
        <f>Q148+Q149</f>
        <v>0</v>
      </c>
      <c r="R146" s="28">
        <f t="shared" si="141"/>
        <v>1653050.4789999996</v>
      </c>
      <c r="S146" s="29">
        <f>S148+S149</f>
        <v>8195.7669999999998</v>
      </c>
      <c r="T146" s="29">
        <f t="shared" si="142"/>
        <v>1661246.2459999996</v>
      </c>
      <c r="U146" s="29">
        <f>U148+U149</f>
        <v>0</v>
      </c>
      <c r="V146" s="28">
        <f t="shared" si="143"/>
        <v>1661246.2459999996</v>
      </c>
      <c r="W146" s="28">
        <f>W148+W149</f>
        <v>-21331.741999999998</v>
      </c>
      <c r="X146" s="29">
        <f t="shared" si="144"/>
        <v>1639914.5039999995</v>
      </c>
      <c r="Y146" s="61"/>
      <c r="Z146" s="62"/>
    </row>
    <row r="147" spans="1:26" x14ac:dyDescent="0.25">
      <c r="A147" s="1"/>
      <c r="B147" s="10" t="s">
        <v>2</v>
      </c>
      <c r="C147" s="66"/>
      <c r="D147" s="34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30"/>
      <c r="X147" s="29"/>
    </row>
    <row r="148" spans="1:26" hidden="1" x14ac:dyDescent="0.3">
      <c r="A148" s="1"/>
      <c r="B148" s="10" t="s">
        <v>3</v>
      </c>
      <c r="C148" s="5"/>
      <c r="D148" s="35">
        <f>D152+D156+D160+D164+D168+D172+D176+D178+D179+D180+D181+D185</f>
        <v>505895.59999999992</v>
      </c>
      <c r="E148" s="31">
        <f>E152+E156+E160+E164+E168+E172+E176+E178+E179+E180+E181+E187</f>
        <v>0</v>
      </c>
      <c r="F148" s="29">
        <f t="shared" si="126"/>
        <v>505895.59999999992</v>
      </c>
      <c r="G148" s="31">
        <f>G152+G156+G160+G164+G168+G172+G176+G178+G179+G180+G181+G187+G189+G190+G191+G192+G193</f>
        <v>139754.22499999998</v>
      </c>
      <c r="H148" s="29">
        <f t="shared" ref="H148:H150" si="145">F148+G148</f>
        <v>645649.82499999995</v>
      </c>
      <c r="I148" s="31">
        <f>I152+I156+I160+I164+I168+I172+I176+I178+I179+I180+I181+I187+I189+I190+I191+I192+I193</f>
        <v>0</v>
      </c>
      <c r="J148" s="29">
        <f t="shared" ref="J148:J150" si="146">H148+I148</f>
        <v>645649.82499999995</v>
      </c>
      <c r="K148" s="31">
        <f>K152+K156+K160+K164+K168+K172+K176+K178+K179+K187+K189+K190+K191+K192+K193+K196+K183+K204</f>
        <v>70933.399999999994</v>
      </c>
      <c r="L148" s="29">
        <f t="shared" ref="L148:L150" si="147">J148+K148</f>
        <v>716583.22499999998</v>
      </c>
      <c r="M148" s="31">
        <f>M152+M156+M160+M164+M168+M172+M176+M178+M179+M187+M189+M190+M191+M192+M193+M196+M183+M204</f>
        <v>0</v>
      </c>
      <c r="N148" s="29">
        <f t="shared" ref="N148:N150" si="148">L148+M148</f>
        <v>716583.22499999998</v>
      </c>
      <c r="O148" s="31">
        <f>O152+O156+O160+O164+O168+O172+O176+O178+O179+O187+O189+O190+O191+O192+O193+O196+O183+O204+O180+O206</f>
        <v>-103167.246</v>
      </c>
      <c r="P148" s="29">
        <f t="shared" ref="P148:P150" si="149">N148+O148</f>
        <v>613415.97899999993</v>
      </c>
      <c r="Q148" s="31">
        <f>Q152+Q156+Q160+Q164+Q168+Q172+Q176+Q178+Q179+Q187+Q189+Q190+Q191+Q192+Q193+Q196+Q183+Q204+Q180+Q206</f>
        <v>0</v>
      </c>
      <c r="R148" s="29">
        <f t="shared" ref="R148:R150" si="150">P148+Q148</f>
        <v>613415.97899999993</v>
      </c>
      <c r="S148" s="31">
        <f>S152+S156+S160+S164+S168+S172+S176+S178+S179+S187+S189+S190+S191+S192+S193+S196+S183+S204+S180+S206</f>
        <v>8195.7669999999998</v>
      </c>
      <c r="T148" s="29">
        <f t="shared" ref="T148:T150" si="151">R148+S148</f>
        <v>621611.74599999993</v>
      </c>
      <c r="U148" s="31">
        <f>U152+U156+U160+U164+U168+U172+U176+U178+U179+U187+U189+U190+U191+U192+U193+U196+U183+U204+U180+U206</f>
        <v>0</v>
      </c>
      <c r="V148" s="29">
        <f t="shared" ref="V148:V150" si="152">T148+U148</f>
        <v>621611.74599999993</v>
      </c>
      <c r="W148" s="32">
        <f>W152+W156+W160+W164+W168+W172+W176+W178+W179+W187+W189+W190+W191+W192+W193+W196+W183+W204+W180+W206+W200</f>
        <v>-21331.741999999998</v>
      </c>
      <c r="X148" s="29">
        <f t="shared" ref="X148:X150" si="153">V148+W148</f>
        <v>600280.00399999996</v>
      </c>
      <c r="Z148" s="8">
        <v>0</v>
      </c>
    </row>
    <row r="149" spans="1:26" x14ac:dyDescent="0.25">
      <c r="A149" s="1"/>
      <c r="B149" s="10" t="s">
        <v>24</v>
      </c>
      <c r="C149" s="65"/>
      <c r="D149" s="34">
        <f>D153+D161+D165+D169+D173+D177+D157</f>
        <v>958419.5</v>
      </c>
      <c r="E149" s="29">
        <f>E153+E161+E165+E169+E173+E177+E157+E188</f>
        <v>100000</v>
      </c>
      <c r="F149" s="29">
        <f t="shared" si="126"/>
        <v>1058419.5</v>
      </c>
      <c r="G149" s="29">
        <f>G153+G161+G165+G169+G173+G177+G157+G188</f>
        <v>0</v>
      </c>
      <c r="H149" s="29">
        <f t="shared" si="145"/>
        <v>1058419.5</v>
      </c>
      <c r="I149" s="29">
        <f>I153+I161+I165+I169+I173+I177+I157+I188</f>
        <v>0</v>
      </c>
      <c r="J149" s="29">
        <f t="shared" si="146"/>
        <v>1058419.5</v>
      </c>
      <c r="K149" s="29">
        <f>K153+K161+K165+K169+K173+K177+K157+K188+K197+K184+K205</f>
        <v>212800</v>
      </c>
      <c r="L149" s="29">
        <f t="shared" si="147"/>
        <v>1271219.5</v>
      </c>
      <c r="M149" s="29">
        <f>M153+M161+M165+M169+M173+M177+M157+M188+M197+M184+M205</f>
        <v>0</v>
      </c>
      <c r="N149" s="29">
        <f t="shared" si="148"/>
        <v>1271219.5</v>
      </c>
      <c r="O149" s="29">
        <f>O153+O161+O165+O169+O173+O177+O157+O188+O197+O184+O205</f>
        <v>-231585</v>
      </c>
      <c r="P149" s="29">
        <f t="shared" si="149"/>
        <v>1039634.5</v>
      </c>
      <c r="Q149" s="29">
        <f>Q153+Q161+Q165+Q169+Q173+Q177+Q157+Q188+Q197+Q184+Q205</f>
        <v>0</v>
      </c>
      <c r="R149" s="29">
        <f t="shared" si="150"/>
        <v>1039634.5</v>
      </c>
      <c r="S149" s="29">
        <f>S153+S161+S165+S169+S173+S177+S157+S188+S197+S184+S205</f>
        <v>0</v>
      </c>
      <c r="T149" s="29">
        <f t="shared" si="151"/>
        <v>1039634.5</v>
      </c>
      <c r="U149" s="29">
        <f>U153+U161+U165+U169+U173+U177+U157+U188+U197+U184+U205</f>
        <v>0</v>
      </c>
      <c r="V149" s="29">
        <f t="shared" si="152"/>
        <v>1039634.5</v>
      </c>
      <c r="W149" s="30">
        <f>W153+W161+W165+W169+W173+W177+W157+W188+W197+W184+W205+W201</f>
        <v>0</v>
      </c>
      <c r="X149" s="29">
        <f t="shared" si="153"/>
        <v>1039634.5</v>
      </c>
    </row>
    <row r="150" spans="1:26" ht="75" x14ac:dyDescent="0.25">
      <c r="A150" s="1" t="s">
        <v>152</v>
      </c>
      <c r="B150" s="4" t="s">
        <v>29</v>
      </c>
      <c r="C150" s="4" t="s">
        <v>295</v>
      </c>
      <c r="D150" s="34">
        <f>D152+D153</f>
        <v>248624.9</v>
      </c>
      <c r="E150" s="29">
        <f>E152+E153</f>
        <v>25000</v>
      </c>
      <c r="F150" s="29">
        <f t="shared" si="126"/>
        <v>273624.90000000002</v>
      </c>
      <c r="G150" s="29">
        <f>G152+G153</f>
        <v>-19620.5</v>
      </c>
      <c r="H150" s="29">
        <f t="shared" si="145"/>
        <v>254004.40000000002</v>
      </c>
      <c r="I150" s="29">
        <f>I152+I153</f>
        <v>0</v>
      </c>
      <c r="J150" s="29">
        <f t="shared" si="146"/>
        <v>254004.40000000002</v>
      </c>
      <c r="K150" s="29">
        <f>K152+K153</f>
        <v>85032.299999999988</v>
      </c>
      <c r="L150" s="29">
        <f t="shared" si="147"/>
        <v>339036.7</v>
      </c>
      <c r="M150" s="29">
        <f>M152+M153</f>
        <v>0</v>
      </c>
      <c r="N150" s="29">
        <f t="shared" si="148"/>
        <v>339036.7</v>
      </c>
      <c r="O150" s="29">
        <f>O152+O153</f>
        <v>55486.400000000001</v>
      </c>
      <c r="P150" s="29">
        <f t="shared" si="149"/>
        <v>394523.10000000003</v>
      </c>
      <c r="Q150" s="29">
        <f>Q152+Q153</f>
        <v>0</v>
      </c>
      <c r="R150" s="29">
        <f t="shared" si="150"/>
        <v>394523.10000000003</v>
      </c>
      <c r="S150" s="29">
        <f>S152+S153</f>
        <v>243.52</v>
      </c>
      <c r="T150" s="29">
        <f t="shared" si="151"/>
        <v>394766.62000000005</v>
      </c>
      <c r="U150" s="29">
        <f>U152+U153</f>
        <v>0</v>
      </c>
      <c r="V150" s="29">
        <f t="shared" si="152"/>
        <v>394766.62000000005</v>
      </c>
      <c r="W150" s="30">
        <f>W152+W153</f>
        <v>0</v>
      </c>
      <c r="X150" s="29">
        <f t="shared" si="153"/>
        <v>394766.62000000005</v>
      </c>
    </row>
    <row r="151" spans="1:26" x14ac:dyDescent="0.25">
      <c r="A151" s="1"/>
      <c r="B151" s="4" t="s">
        <v>2</v>
      </c>
      <c r="C151" s="4"/>
      <c r="D151" s="34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30"/>
      <c r="X151" s="29"/>
    </row>
    <row r="152" spans="1:26" hidden="1" x14ac:dyDescent="0.25">
      <c r="A152" s="1"/>
      <c r="B152" s="4" t="s">
        <v>3</v>
      </c>
      <c r="C152" s="4"/>
      <c r="D152" s="34">
        <v>164530.29999999999</v>
      </c>
      <c r="E152" s="29"/>
      <c r="F152" s="29">
        <f t="shared" si="126"/>
        <v>164530.29999999999</v>
      </c>
      <c r="G152" s="29">
        <f>-25000+5379.5</f>
        <v>-19620.5</v>
      </c>
      <c r="H152" s="29">
        <f t="shared" ref="H152:H154" si="154">F152+G152</f>
        <v>144909.79999999999</v>
      </c>
      <c r="I152" s="29"/>
      <c r="J152" s="29">
        <f t="shared" ref="J152:J154" si="155">H152+I152</f>
        <v>144909.79999999999</v>
      </c>
      <c r="K152" s="29">
        <f>21258.1-0.1</f>
        <v>21258</v>
      </c>
      <c r="L152" s="29">
        <f t="shared" ref="L152:L154" si="156">J152+K152</f>
        <v>166167.79999999999</v>
      </c>
      <c r="M152" s="29"/>
      <c r="N152" s="29">
        <f t="shared" ref="N152:N154" si="157">L152+M152</f>
        <v>166167.79999999999</v>
      </c>
      <c r="O152" s="29">
        <v>13871.6</v>
      </c>
      <c r="P152" s="29">
        <f t="shared" ref="P152:P154" si="158">N152+O152</f>
        <v>180039.4</v>
      </c>
      <c r="Q152" s="29"/>
      <c r="R152" s="29">
        <f t="shared" ref="R152:R154" si="159">P152+Q152</f>
        <v>180039.4</v>
      </c>
      <c r="S152" s="29">
        <v>243.52</v>
      </c>
      <c r="T152" s="29">
        <f t="shared" ref="T152:T154" si="160">R152+S152</f>
        <v>180282.91999999998</v>
      </c>
      <c r="U152" s="29"/>
      <c r="V152" s="29">
        <f t="shared" ref="V152:V154" si="161">T152+U152</f>
        <v>180282.91999999998</v>
      </c>
      <c r="W152" s="30"/>
      <c r="X152" s="29">
        <f t="shared" ref="X152:X154" si="162">V152+W152</f>
        <v>180282.91999999998</v>
      </c>
      <c r="Y152" s="22" t="s">
        <v>282</v>
      </c>
      <c r="Z152" s="8">
        <v>0</v>
      </c>
    </row>
    <row r="153" spans="1:26" x14ac:dyDescent="0.25">
      <c r="A153" s="1"/>
      <c r="B153" s="4" t="s">
        <v>24</v>
      </c>
      <c r="C153" s="4"/>
      <c r="D153" s="36">
        <v>84094.6</v>
      </c>
      <c r="E153" s="36">
        <v>25000</v>
      </c>
      <c r="F153" s="29">
        <f t="shared" si="126"/>
        <v>109094.6</v>
      </c>
      <c r="G153" s="36"/>
      <c r="H153" s="29">
        <f t="shared" si="154"/>
        <v>109094.6</v>
      </c>
      <c r="I153" s="36"/>
      <c r="J153" s="29">
        <f t="shared" si="155"/>
        <v>109094.6</v>
      </c>
      <c r="K153" s="36">
        <f>63774.2+0.1</f>
        <v>63774.299999999996</v>
      </c>
      <c r="L153" s="29">
        <f t="shared" si="156"/>
        <v>172868.9</v>
      </c>
      <c r="M153" s="36"/>
      <c r="N153" s="29">
        <f t="shared" si="157"/>
        <v>172868.9</v>
      </c>
      <c r="O153" s="36">
        <f>0.1-0.1+41614.8</f>
        <v>41614.800000000003</v>
      </c>
      <c r="P153" s="29">
        <f t="shared" si="158"/>
        <v>214483.7</v>
      </c>
      <c r="Q153" s="36"/>
      <c r="R153" s="29">
        <f t="shared" si="159"/>
        <v>214483.7</v>
      </c>
      <c r="S153" s="36"/>
      <c r="T153" s="29">
        <f t="shared" si="160"/>
        <v>214483.7</v>
      </c>
      <c r="U153" s="36"/>
      <c r="V153" s="29">
        <f t="shared" si="161"/>
        <v>214483.7</v>
      </c>
      <c r="W153" s="38"/>
      <c r="X153" s="29">
        <f t="shared" si="162"/>
        <v>214483.7</v>
      </c>
      <c r="Y153" s="22" t="s">
        <v>162</v>
      </c>
    </row>
    <row r="154" spans="1:26" ht="75" x14ac:dyDescent="0.25">
      <c r="A154" s="1" t="s">
        <v>153</v>
      </c>
      <c r="B154" s="4" t="s">
        <v>56</v>
      </c>
      <c r="C154" s="4" t="s">
        <v>295</v>
      </c>
      <c r="D154" s="34">
        <f>D156+D157</f>
        <v>18135</v>
      </c>
      <c r="E154" s="29">
        <f>E156+E157</f>
        <v>0</v>
      </c>
      <c r="F154" s="29">
        <f t="shared" si="126"/>
        <v>18135</v>
      </c>
      <c r="G154" s="29">
        <f>G156+G157</f>
        <v>4545</v>
      </c>
      <c r="H154" s="29">
        <f t="shared" si="154"/>
        <v>22680</v>
      </c>
      <c r="I154" s="29">
        <f>I156+I157</f>
        <v>0</v>
      </c>
      <c r="J154" s="29">
        <f t="shared" si="155"/>
        <v>22680</v>
      </c>
      <c r="K154" s="29">
        <f>K156+K157</f>
        <v>0</v>
      </c>
      <c r="L154" s="29">
        <f t="shared" si="156"/>
        <v>22680</v>
      </c>
      <c r="M154" s="29">
        <f>M156+M157</f>
        <v>0</v>
      </c>
      <c r="N154" s="29">
        <f t="shared" si="157"/>
        <v>22680</v>
      </c>
      <c r="O154" s="29">
        <f>O156+O157</f>
        <v>0</v>
      </c>
      <c r="P154" s="29">
        <f t="shared" si="158"/>
        <v>22680</v>
      </c>
      <c r="Q154" s="29">
        <f>Q156+Q157</f>
        <v>0</v>
      </c>
      <c r="R154" s="29">
        <f t="shared" si="159"/>
        <v>22680</v>
      </c>
      <c r="S154" s="29">
        <f>S156+S157</f>
        <v>0</v>
      </c>
      <c r="T154" s="29">
        <f t="shared" si="160"/>
        <v>22680</v>
      </c>
      <c r="U154" s="29">
        <f>U156+U157</f>
        <v>0</v>
      </c>
      <c r="V154" s="29">
        <f t="shared" si="161"/>
        <v>22680</v>
      </c>
      <c r="W154" s="30">
        <f>W156+W157</f>
        <v>-14934.742</v>
      </c>
      <c r="X154" s="29">
        <f t="shared" si="162"/>
        <v>7745.2579999999998</v>
      </c>
    </row>
    <row r="155" spans="1:26" hidden="1" x14ac:dyDescent="0.25">
      <c r="A155" s="1"/>
      <c r="B155" s="4" t="s">
        <v>2</v>
      </c>
      <c r="C155" s="4"/>
      <c r="D155" s="34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30"/>
      <c r="X155" s="29"/>
      <c r="Z155" s="8">
        <v>0</v>
      </c>
    </row>
    <row r="156" spans="1:26" hidden="1" x14ac:dyDescent="0.25">
      <c r="A156" s="1"/>
      <c r="B156" s="4" t="s">
        <v>3</v>
      </c>
      <c r="C156" s="4"/>
      <c r="D156" s="34">
        <v>18135</v>
      </c>
      <c r="E156" s="29"/>
      <c r="F156" s="29">
        <f t="shared" si="126"/>
        <v>18135</v>
      </c>
      <c r="G156" s="29">
        <f>8.829+4536.171</f>
        <v>4545</v>
      </c>
      <c r="H156" s="29">
        <f t="shared" ref="H156:H158" si="163">F156+G156</f>
        <v>22680</v>
      </c>
      <c r="I156" s="29"/>
      <c r="J156" s="29">
        <f t="shared" ref="J156:J158" si="164">H156+I156</f>
        <v>22680</v>
      </c>
      <c r="K156" s="29"/>
      <c r="L156" s="29">
        <f t="shared" ref="L156:L158" si="165">J156+K156</f>
        <v>22680</v>
      </c>
      <c r="M156" s="29"/>
      <c r="N156" s="29">
        <f t="shared" ref="N156:N158" si="166">L156+M156</f>
        <v>22680</v>
      </c>
      <c r="O156" s="29"/>
      <c r="P156" s="29">
        <f t="shared" ref="P156:P158" si="167">N156+O156</f>
        <v>22680</v>
      </c>
      <c r="Q156" s="29"/>
      <c r="R156" s="29">
        <f t="shared" ref="R156:R158" si="168">P156+Q156</f>
        <v>22680</v>
      </c>
      <c r="S156" s="29"/>
      <c r="T156" s="29">
        <f t="shared" ref="T156:T158" si="169">R156+S156</f>
        <v>22680</v>
      </c>
      <c r="U156" s="29"/>
      <c r="V156" s="29">
        <f t="shared" ref="V156:V158" si="170">T156+U156</f>
        <v>22680</v>
      </c>
      <c r="W156" s="30">
        <v>-14934.742</v>
      </c>
      <c r="X156" s="29">
        <f t="shared" ref="X156:X158" si="171">V156+W156</f>
        <v>7745.2579999999998</v>
      </c>
      <c r="Y156" s="22">
        <v>1020141920</v>
      </c>
      <c r="Z156" s="8">
        <v>0</v>
      </c>
    </row>
    <row r="157" spans="1:26" hidden="1" x14ac:dyDescent="0.25">
      <c r="A157" s="1"/>
      <c r="B157" s="4" t="s">
        <v>24</v>
      </c>
      <c r="C157" s="4"/>
      <c r="D157" s="34">
        <v>0</v>
      </c>
      <c r="E157" s="29">
        <v>0</v>
      </c>
      <c r="F157" s="29">
        <f t="shared" si="126"/>
        <v>0</v>
      </c>
      <c r="G157" s="29">
        <v>0</v>
      </c>
      <c r="H157" s="29">
        <f t="shared" si="163"/>
        <v>0</v>
      </c>
      <c r="I157" s="29">
        <v>0</v>
      </c>
      <c r="J157" s="29">
        <f t="shared" si="164"/>
        <v>0</v>
      </c>
      <c r="K157" s="29">
        <v>0</v>
      </c>
      <c r="L157" s="29">
        <f t="shared" si="165"/>
        <v>0</v>
      </c>
      <c r="M157" s="29">
        <v>0</v>
      </c>
      <c r="N157" s="29">
        <f t="shared" si="166"/>
        <v>0</v>
      </c>
      <c r="O157" s="29">
        <v>0</v>
      </c>
      <c r="P157" s="29">
        <f t="shared" si="167"/>
        <v>0</v>
      </c>
      <c r="Q157" s="29">
        <v>0</v>
      </c>
      <c r="R157" s="29">
        <f t="shared" si="168"/>
        <v>0</v>
      </c>
      <c r="S157" s="29">
        <v>0</v>
      </c>
      <c r="T157" s="29">
        <f t="shared" si="169"/>
        <v>0</v>
      </c>
      <c r="U157" s="29">
        <v>0</v>
      </c>
      <c r="V157" s="29">
        <f t="shared" si="170"/>
        <v>0</v>
      </c>
      <c r="W157" s="30">
        <v>0</v>
      </c>
      <c r="X157" s="29">
        <f t="shared" si="171"/>
        <v>0</v>
      </c>
      <c r="Y157" s="22" t="s">
        <v>162</v>
      </c>
      <c r="Z157" s="8">
        <v>0</v>
      </c>
    </row>
    <row r="158" spans="1:26" ht="69.75" customHeight="1" x14ac:dyDescent="0.25">
      <c r="A158" s="1" t="s">
        <v>154</v>
      </c>
      <c r="B158" s="4" t="s">
        <v>82</v>
      </c>
      <c r="C158" s="4" t="s">
        <v>295</v>
      </c>
      <c r="D158" s="34">
        <f>D160+D161</f>
        <v>732685.8</v>
      </c>
      <c r="E158" s="29">
        <f>E160+E161</f>
        <v>0</v>
      </c>
      <c r="F158" s="29">
        <f t="shared" si="126"/>
        <v>732685.8</v>
      </c>
      <c r="G158" s="29">
        <f>G160+G161</f>
        <v>69317.505999999994</v>
      </c>
      <c r="H158" s="29">
        <f t="shared" si="163"/>
        <v>802003.3060000001</v>
      </c>
      <c r="I158" s="29">
        <f>I160+I161</f>
        <v>0</v>
      </c>
      <c r="J158" s="29">
        <f t="shared" si="164"/>
        <v>802003.3060000001</v>
      </c>
      <c r="K158" s="29">
        <f>K160+K161</f>
        <v>0</v>
      </c>
      <c r="L158" s="29">
        <f t="shared" si="165"/>
        <v>802003.3060000001</v>
      </c>
      <c r="M158" s="29">
        <f>M160+M161</f>
        <v>0</v>
      </c>
      <c r="N158" s="29">
        <f t="shared" si="166"/>
        <v>802003.3060000001</v>
      </c>
      <c r="O158" s="29">
        <f>O160+O161</f>
        <v>72725.600000000006</v>
      </c>
      <c r="P158" s="29">
        <f t="shared" si="167"/>
        <v>874728.90600000008</v>
      </c>
      <c r="Q158" s="29">
        <f>Q160+Q161</f>
        <v>0</v>
      </c>
      <c r="R158" s="29">
        <f t="shared" si="168"/>
        <v>874728.90600000008</v>
      </c>
      <c r="S158" s="29">
        <f>S160+S161</f>
        <v>9165.8140000000003</v>
      </c>
      <c r="T158" s="29">
        <f t="shared" si="169"/>
        <v>883894.72000000009</v>
      </c>
      <c r="U158" s="29">
        <f>U160+U161</f>
        <v>0</v>
      </c>
      <c r="V158" s="29">
        <f t="shared" si="170"/>
        <v>883894.72000000009</v>
      </c>
      <c r="W158" s="30">
        <f>W160+W161</f>
        <v>0</v>
      </c>
      <c r="X158" s="29">
        <f t="shared" si="171"/>
        <v>883894.72000000009</v>
      </c>
    </row>
    <row r="159" spans="1:26" x14ac:dyDescent="0.25">
      <c r="A159" s="1"/>
      <c r="B159" s="4" t="s">
        <v>2</v>
      </c>
      <c r="C159" s="4"/>
      <c r="D159" s="34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30"/>
      <c r="X159" s="29"/>
    </row>
    <row r="160" spans="1:26" hidden="1" x14ac:dyDescent="0.25">
      <c r="A160" s="1"/>
      <c r="B160" s="4" t="s">
        <v>3</v>
      </c>
      <c r="C160" s="4"/>
      <c r="D160" s="34">
        <v>183171.5</v>
      </c>
      <c r="E160" s="29"/>
      <c r="F160" s="29">
        <f t="shared" si="126"/>
        <v>183171.5</v>
      </c>
      <c r="G160" s="29">
        <f>44317.506+25000</f>
        <v>69317.505999999994</v>
      </c>
      <c r="H160" s="29">
        <f t="shared" ref="H160:H162" si="172">F160+G160</f>
        <v>252489.00599999999</v>
      </c>
      <c r="I160" s="29"/>
      <c r="J160" s="29">
        <f t="shared" ref="J160:J162" si="173">H160+I160</f>
        <v>252489.00599999999</v>
      </c>
      <c r="K160" s="29"/>
      <c r="L160" s="29">
        <f t="shared" ref="L160:L162" si="174">J160+K160</f>
        <v>252489.00599999999</v>
      </c>
      <c r="M160" s="29"/>
      <c r="N160" s="29">
        <f t="shared" ref="N160:N162" si="175">L160+M160</f>
        <v>252489.00599999999</v>
      </c>
      <c r="O160" s="29">
        <v>28705.4</v>
      </c>
      <c r="P160" s="29">
        <f t="shared" ref="P160:P162" si="176">N160+O160</f>
        <v>281194.40600000002</v>
      </c>
      <c r="Q160" s="29"/>
      <c r="R160" s="29">
        <f t="shared" ref="R160:R162" si="177">P160+Q160</f>
        <v>281194.40600000002</v>
      </c>
      <c r="S160" s="29">
        <f>9165.814</f>
        <v>9165.8140000000003</v>
      </c>
      <c r="T160" s="29">
        <f t="shared" ref="T160:T162" si="178">R160+S160</f>
        <v>290360.22000000003</v>
      </c>
      <c r="U160" s="29"/>
      <c r="V160" s="29">
        <f t="shared" ref="V160:V162" si="179">T160+U160</f>
        <v>290360.22000000003</v>
      </c>
      <c r="W160" s="30">
        <f>-183171.5+183171.5</f>
        <v>0</v>
      </c>
      <c r="X160" s="29">
        <f t="shared" ref="X160:X162" si="180">V160+W160</f>
        <v>290360.22000000003</v>
      </c>
      <c r="Y160" s="22" t="s">
        <v>297</v>
      </c>
      <c r="Z160" s="8">
        <v>0</v>
      </c>
    </row>
    <row r="161" spans="1:26" x14ac:dyDescent="0.25">
      <c r="A161" s="1"/>
      <c r="B161" s="4" t="s">
        <v>24</v>
      </c>
      <c r="C161" s="4"/>
      <c r="D161" s="34">
        <v>549514.30000000005</v>
      </c>
      <c r="E161" s="29"/>
      <c r="F161" s="29">
        <f t="shared" si="126"/>
        <v>549514.30000000005</v>
      </c>
      <c r="G161" s="29"/>
      <c r="H161" s="29">
        <f t="shared" si="172"/>
        <v>549514.30000000005</v>
      </c>
      <c r="I161" s="29"/>
      <c r="J161" s="29">
        <f t="shared" si="173"/>
        <v>549514.30000000005</v>
      </c>
      <c r="K161" s="29"/>
      <c r="L161" s="29">
        <f t="shared" si="174"/>
        <v>549514.30000000005</v>
      </c>
      <c r="M161" s="29"/>
      <c r="N161" s="29">
        <f t="shared" si="175"/>
        <v>549514.30000000005</v>
      </c>
      <c r="O161" s="29">
        <v>44020.2</v>
      </c>
      <c r="P161" s="29">
        <f t="shared" si="176"/>
        <v>593534.5</v>
      </c>
      <c r="Q161" s="29"/>
      <c r="R161" s="29">
        <f t="shared" si="177"/>
        <v>593534.5</v>
      </c>
      <c r="S161" s="29"/>
      <c r="T161" s="29">
        <f t="shared" si="178"/>
        <v>593534.5</v>
      </c>
      <c r="U161" s="29"/>
      <c r="V161" s="29">
        <f t="shared" si="179"/>
        <v>593534.5</v>
      </c>
      <c r="W161" s="30">
        <f>-549514.3+549514.3</f>
        <v>0</v>
      </c>
      <c r="X161" s="29">
        <f t="shared" si="180"/>
        <v>593534.5</v>
      </c>
      <c r="Y161" s="22" t="s">
        <v>276</v>
      </c>
    </row>
    <row r="162" spans="1:26" ht="75" hidden="1" x14ac:dyDescent="0.25">
      <c r="A162" s="1" t="s">
        <v>155</v>
      </c>
      <c r="B162" s="4" t="s">
        <v>30</v>
      </c>
      <c r="C162" s="4" t="s">
        <v>295</v>
      </c>
      <c r="D162" s="34">
        <f>D164+D165</f>
        <v>85032.299999999988</v>
      </c>
      <c r="E162" s="29">
        <f>E164+E165</f>
        <v>0</v>
      </c>
      <c r="F162" s="29">
        <f t="shared" si="126"/>
        <v>85032.299999999988</v>
      </c>
      <c r="G162" s="29">
        <f>G164+G165</f>
        <v>6397</v>
      </c>
      <c r="H162" s="29">
        <f t="shared" si="172"/>
        <v>91429.299999999988</v>
      </c>
      <c r="I162" s="29">
        <f>I164+I165</f>
        <v>0</v>
      </c>
      <c r="J162" s="29">
        <f t="shared" si="173"/>
        <v>91429.299999999988</v>
      </c>
      <c r="K162" s="29">
        <f>K164+K165</f>
        <v>-85032.299999999988</v>
      </c>
      <c r="L162" s="29">
        <f t="shared" si="174"/>
        <v>6397</v>
      </c>
      <c r="M162" s="29">
        <f>M164+M165</f>
        <v>0</v>
      </c>
      <c r="N162" s="29">
        <f t="shared" si="175"/>
        <v>6397</v>
      </c>
      <c r="O162" s="29">
        <f>O164+O165</f>
        <v>0</v>
      </c>
      <c r="P162" s="29">
        <f t="shared" si="176"/>
        <v>6397</v>
      </c>
      <c r="Q162" s="29">
        <f>Q164+Q165</f>
        <v>0</v>
      </c>
      <c r="R162" s="29">
        <f t="shared" si="177"/>
        <v>6397</v>
      </c>
      <c r="S162" s="29">
        <f>S164+S165</f>
        <v>0</v>
      </c>
      <c r="T162" s="29">
        <f t="shared" si="178"/>
        <v>6397</v>
      </c>
      <c r="U162" s="29">
        <f>U164+U165</f>
        <v>0</v>
      </c>
      <c r="V162" s="29">
        <f t="shared" si="179"/>
        <v>6397</v>
      </c>
      <c r="W162" s="30">
        <f>W164+W165</f>
        <v>-6397</v>
      </c>
      <c r="X162" s="29">
        <f t="shared" si="180"/>
        <v>0</v>
      </c>
      <c r="Z162" s="8">
        <v>0</v>
      </c>
    </row>
    <row r="163" spans="1:26" hidden="1" x14ac:dyDescent="0.25">
      <c r="A163" s="1"/>
      <c r="B163" s="4" t="s">
        <v>2</v>
      </c>
      <c r="C163" s="4"/>
      <c r="D163" s="34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30"/>
      <c r="X163" s="29"/>
      <c r="Z163" s="8">
        <v>0</v>
      </c>
    </row>
    <row r="164" spans="1:26" hidden="1" x14ac:dyDescent="0.25">
      <c r="A164" s="1"/>
      <c r="B164" s="4" t="s">
        <v>3</v>
      </c>
      <c r="C164" s="4"/>
      <c r="D164" s="34">
        <v>21258.1</v>
      </c>
      <c r="E164" s="29"/>
      <c r="F164" s="29">
        <f t="shared" si="126"/>
        <v>21258.1</v>
      </c>
      <c r="G164" s="29">
        <v>6397</v>
      </c>
      <c r="H164" s="29">
        <f t="shared" ref="H164:H166" si="181">F164+G164</f>
        <v>27655.1</v>
      </c>
      <c r="I164" s="29"/>
      <c r="J164" s="29">
        <f t="shared" ref="J164:J166" si="182">H164+I164</f>
        <v>27655.1</v>
      </c>
      <c r="K164" s="29">
        <v>-21258.1</v>
      </c>
      <c r="L164" s="29">
        <f t="shared" ref="L164:L166" si="183">J164+K164</f>
        <v>6397</v>
      </c>
      <c r="M164" s="29"/>
      <c r="N164" s="29">
        <f t="shared" ref="N164:N166" si="184">L164+M164</f>
        <v>6397</v>
      </c>
      <c r="O164" s="29"/>
      <c r="P164" s="29">
        <f t="shared" ref="P164:P166" si="185">N164+O164</f>
        <v>6397</v>
      </c>
      <c r="Q164" s="29"/>
      <c r="R164" s="29">
        <f t="shared" ref="R164:R166" si="186">P164+Q164</f>
        <v>6397</v>
      </c>
      <c r="S164" s="29"/>
      <c r="T164" s="29">
        <f t="shared" ref="T164:T166" si="187">R164+S164</f>
        <v>6397</v>
      </c>
      <c r="U164" s="29"/>
      <c r="V164" s="29">
        <f t="shared" ref="V164:V166" si="188">T164+U164</f>
        <v>6397</v>
      </c>
      <c r="W164" s="30">
        <v>-6397</v>
      </c>
      <c r="X164" s="29">
        <f t="shared" ref="X164:X166" si="189">V164+W164</f>
        <v>0</v>
      </c>
      <c r="Y164" s="22" t="s">
        <v>38</v>
      </c>
      <c r="Z164" s="8">
        <v>0</v>
      </c>
    </row>
    <row r="165" spans="1:26" hidden="1" x14ac:dyDescent="0.25">
      <c r="A165" s="1"/>
      <c r="B165" s="4" t="s">
        <v>24</v>
      </c>
      <c r="C165" s="4"/>
      <c r="D165" s="34">
        <v>63774.2</v>
      </c>
      <c r="E165" s="29"/>
      <c r="F165" s="29">
        <f t="shared" si="126"/>
        <v>63774.2</v>
      </c>
      <c r="G165" s="29"/>
      <c r="H165" s="29">
        <f t="shared" si="181"/>
        <v>63774.2</v>
      </c>
      <c r="I165" s="29"/>
      <c r="J165" s="29">
        <f t="shared" si="182"/>
        <v>63774.2</v>
      </c>
      <c r="K165" s="29">
        <v>-63774.2</v>
      </c>
      <c r="L165" s="29">
        <f t="shared" si="183"/>
        <v>0</v>
      </c>
      <c r="M165" s="29"/>
      <c r="N165" s="29">
        <f t="shared" si="184"/>
        <v>0</v>
      </c>
      <c r="O165" s="29"/>
      <c r="P165" s="29">
        <f t="shared" si="185"/>
        <v>0</v>
      </c>
      <c r="Q165" s="29"/>
      <c r="R165" s="29">
        <f t="shared" si="186"/>
        <v>0</v>
      </c>
      <c r="S165" s="29"/>
      <c r="T165" s="29">
        <f t="shared" si="187"/>
        <v>0</v>
      </c>
      <c r="U165" s="29"/>
      <c r="V165" s="29">
        <f t="shared" si="188"/>
        <v>0</v>
      </c>
      <c r="W165" s="30"/>
      <c r="X165" s="29">
        <f t="shared" si="189"/>
        <v>0</v>
      </c>
      <c r="Y165" s="22" t="s">
        <v>162</v>
      </c>
      <c r="Z165" s="8">
        <v>0</v>
      </c>
    </row>
    <row r="166" spans="1:26" ht="75" x14ac:dyDescent="0.25">
      <c r="A166" s="1" t="s">
        <v>155</v>
      </c>
      <c r="B166" s="4" t="s">
        <v>31</v>
      </c>
      <c r="C166" s="4" t="s">
        <v>295</v>
      </c>
      <c r="D166" s="34">
        <f>D168+D169</f>
        <v>230000</v>
      </c>
      <c r="E166" s="29">
        <f>E168+E169</f>
        <v>0</v>
      </c>
      <c r="F166" s="29">
        <f t="shared" si="126"/>
        <v>230000</v>
      </c>
      <c r="G166" s="29">
        <f>G168+G169</f>
        <v>31449.631999999998</v>
      </c>
      <c r="H166" s="29">
        <f t="shared" si="181"/>
        <v>261449.63199999998</v>
      </c>
      <c r="I166" s="29">
        <f>I168+I169</f>
        <v>0</v>
      </c>
      <c r="J166" s="29">
        <f t="shared" si="182"/>
        <v>261449.63199999998</v>
      </c>
      <c r="K166" s="29">
        <f>K168+K169</f>
        <v>0</v>
      </c>
      <c r="L166" s="29">
        <f t="shared" si="183"/>
        <v>261449.63199999998</v>
      </c>
      <c r="M166" s="29">
        <f>M168+M169</f>
        <v>0</v>
      </c>
      <c r="N166" s="29">
        <f t="shared" si="184"/>
        <v>261449.63199999998</v>
      </c>
      <c r="O166" s="29">
        <f>O168+O169</f>
        <v>-236250</v>
      </c>
      <c r="P166" s="29">
        <f t="shared" si="185"/>
        <v>25199.631999999983</v>
      </c>
      <c r="Q166" s="29">
        <f>Q168+Q169</f>
        <v>0</v>
      </c>
      <c r="R166" s="29">
        <f t="shared" si="186"/>
        <v>25199.631999999983</v>
      </c>
      <c r="S166" s="29">
        <f>S168+S169</f>
        <v>0</v>
      </c>
      <c r="T166" s="29">
        <f t="shared" si="187"/>
        <v>25199.631999999983</v>
      </c>
      <c r="U166" s="29">
        <f>U168+U169</f>
        <v>0</v>
      </c>
      <c r="V166" s="29">
        <f t="shared" si="188"/>
        <v>25199.631999999983</v>
      </c>
      <c r="W166" s="30">
        <f>W168+W169</f>
        <v>0</v>
      </c>
      <c r="X166" s="29">
        <f t="shared" si="189"/>
        <v>25199.631999999983</v>
      </c>
    </row>
    <row r="167" spans="1:26" hidden="1" x14ac:dyDescent="0.25">
      <c r="A167" s="1"/>
      <c r="B167" s="4" t="s">
        <v>2</v>
      </c>
      <c r="C167" s="4"/>
      <c r="D167" s="34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30"/>
      <c r="X167" s="29"/>
      <c r="Z167" s="8">
        <v>0</v>
      </c>
    </row>
    <row r="168" spans="1:26" hidden="1" x14ac:dyDescent="0.25">
      <c r="A168" s="1"/>
      <c r="B168" s="4" t="s">
        <v>3</v>
      </c>
      <c r="C168" s="4"/>
      <c r="D168" s="34">
        <v>57500</v>
      </c>
      <c r="E168" s="29"/>
      <c r="F168" s="29">
        <f t="shared" si="126"/>
        <v>57500</v>
      </c>
      <c r="G168" s="29">
        <f>12699.632+18750</f>
        <v>31449.631999999998</v>
      </c>
      <c r="H168" s="29">
        <f t="shared" ref="H168:H170" si="190">F168+G168</f>
        <v>88949.631999999998</v>
      </c>
      <c r="I168" s="29"/>
      <c r="J168" s="29">
        <f t="shared" ref="J168:J170" si="191">H168+I168</f>
        <v>88949.631999999998</v>
      </c>
      <c r="K168" s="29"/>
      <c r="L168" s="29">
        <f t="shared" ref="L168:L170" si="192">J168+K168</f>
        <v>88949.631999999998</v>
      </c>
      <c r="M168" s="29"/>
      <c r="N168" s="29">
        <f t="shared" ref="N168:N170" si="193">L168+M168</f>
        <v>88949.631999999998</v>
      </c>
      <c r="O168" s="29">
        <v>-63750</v>
      </c>
      <c r="P168" s="29">
        <f t="shared" ref="P168:P170" si="194">N168+O168</f>
        <v>25199.631999999998</v>
      </c>
      <c r="Q168" s="29"/>
      <c r="R168" s="29">
        <f t="shared" ref="R168:R170" si="195">P168+Q168</f>
        <v>25199.631999999998</v>
      </c>
      <c r="S168" s="29"/>
      <c r="T168" s="29">
        <f t="shared" ref="T168:T170" si="196">R168+S168</f>
        <v>25199.631999999998</v>
      </c>
      <c r="U168" s="29"/>
      <c r="V168" s="29">
        <f t="shared" ref="V168:V170" si="197">T168+U168</f>
        <v>25199.631999999998</v>
      </c>
      <c r="W168" s="30"/>
      <c r="X168" s="29">
        <f t="shared" ref="X168:X170" si="198">V168+W168</f>
        <v>25199.631999999998</v>
      </c>
      <c r="Y168" s="22" t="s">
        <v>202</v>
      </c>
      <c r="Z168" s="8">
        <v>0</v>
      </c>
    </row>
    <row r="169" spans="1:26" hidden="1" x14ac:dyDescent="0.25">
      <c r="A169" s="1"/>
      <c r="B169" s="4" t="s">
        <v>24</v>
      </c>
      <c r="C169" s="4"/>
      <c r="D169" s="34">
        <v>172500</v>
      </c>
      <c r="E169" s="29"/>
      <c r="F169" s="29">
        <f t="shared" si="126"/>
        <v>172500</v>
      </c>
      <c r="G169" s="29"/>
      <c r="H169" s="29">
        <f t="shared" si="190"/>
        <v>172500</v>
      </c>
      <c r="I169" s="29"/>
      <c r="J169" s="29">
        <f t="shared" si="191"/>
        <v>172500</v>
      </c>
      <c r="K169" s="29"/>
      <c r="L169" s="29">
        <f t="shared" si="192"/>
        <v>172500</v>
      </c>
      <c r="M169" s="29"/>
      <c r="N169" s="29">
        <f t="shared" si="193"/>
        <v>172500</v>
      </c>
      <c r="O169" s="29">
        <v>-172500</v>
      </c>
      <c r="P169" s="29">
        <f t="shared" si="194"/>
        <v>0</v>
      </c>
      <c r="Q169" s="29"/>
      <c r="R169" s="29">
        <f t="shared" si="195"/>
        <v>0</v>
      </c>
      <c r="S169" s="29"/>
      <c r="T169" s="29">
        <f t="shared" si="196"/>
        <v>0</v>
      </c>
      <c r="U169" s="29"/>
      <c r="V169" s="29">
        <f t="shared" si="197"/>
        <v>0</v>
      </c>
      <c r="W169" s="30"/>
      <c r="X169" s="29">
        <f t="shared" si="198"/>
        <v>0</v>
      </c>
      <c r="Y169" s="22" t="s">
        <v>162</v>
      </c>
      <c r="Z169" s="8">
        <v>0</v>
      </c>
    </row>
    <row r="170" spans="1:26" ht="75" x14ac:dyDescent="0.25">
      <c r="A170" s="1" t="s">
        <v>156</v>
      </c>
      <c r="B170" s="4" t="s">
        <v>37</v>
      </c>
      <c r="C170" s="4" t="s">
        <v>295</v>
      </c>
      <c r="D170" s="34">
        <f>D172+D173</f>
        <v>100000</v>
      </c>
      <c r="E170" s="29">
        <f>E172+E173</f>
        <v>0</v>
      </c>
      <c r="F170" s="29">
        <f t="shared" si="126"/>
        <v>100000</v>
      </c>
      <c r="G170" s="29">
        <f>G172+G173</f>
        <v>10376.956</v>
      </c>
      <c r="H170" s="29">
        <f t="shared" si="190"/>
        <v>110376.95600000001</v>
      </c>
      <c r="I170" s="29">
        <f>I172+I173</f>
        <v>0</v>
      </c>
      <c r="J170" s="29">
        <f t="shared" si="191"/>
        <v>110376.95600000001</v>
      </c>
      <c r="K170" s="29">
        <f>K172+K173</f>
        <v>0</v>
      </c>
      <c r="L170" s="29">
        <f t="shared" si="192"/>
        <v>110376.95600000001</v>
      </c>
      <c r="M170" s="29">
        <f>M172+M173</f>
        <v>0</v>
      </c>
      <c r="N170" s="29">
        <f t="shared" si="193"/>
        <v>110376.95600000001</v>
      </c>
      <c r="O170" s="29">
        <f>O172+O173</f>
        <v>-102856.3</v>
      </c>
      <c r="P170" s="29">
        <f t="shared" si="194"/>
        <v>7520.6560000000027</v>
      </c>
      <c r="Q170" s="29">
        <f>Q172+Q173</f>
        <v>0</v>
      </c>
      <c r="R170" s="29">
        <f t="shared" si="195"/>
        <v>7520.6560000000027</v>
      </c>
      <c r="S170" s="29">
        <f>S172+S173</f>
        <v>0</v>
      </c>
      <c r="T170" s="29">
        <f t="shared" si="196"/>
        <v>7520.6560000000027</v>
      </c>
      <c r="U170" s="29">
        <f>U172+U173</f>
        <v>0</v>
      </c>
      <c r="V170" s="29">
        <f t="shared" si="197"/>
        <v>7520.6560000000027</v>
      </c>
      <c r="W170" s="30">
        <f>W172+W173</f>
        <v>0</v>
      </c>
      <c r="X170" s="29">
        <f t="shared" si="198"/>
        <v>7520.6560000000027</v>
      </c>
    </row>
    <row r="171" spans="1:26" hidden="1" x14ac:dyDescent="0.25">
      <c r="A171" s="1"/>
      <c r="B171" s="4" t="s">
        <v>2</v>
      </c>
      <c r="C171" s="4"/>
      <c r="D171" s="34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30"/>
      <c r="X171" s="29"/>
      <c r="Z171" s="8">
        <v>0</v>
      </c>
    </row>
    <row r="172" spans="1:26" hidden="1" x14ac:dyDescent="0.25">
      <c r="A172" s="1"/>
      <c r="B172" s="4" t="s">
        <v>3</v>
      </c>
      <c r="C172" s="4"/>
      <c r="D172" s="34">
        <v>25000</v>
      </c>
      <c r="E172" s="29"/>
      <c r="F172" s="29">
        <f t="shared" si="126"/>
        <v>25000</v>
      </c>
      <c r="G172" s="29">
        <f>7520.656+2856.3</f>
        <v>10376.956</v>
      </c>
      <c r="H172" s="29">
        <f t="shared" ref="H172:H174" si="199">F172+G172</f>
        <v>35376.955999999998</v>
      </c>
      <c r="I172" s="29"/>
      <c r="J172" s="29">
        <f t="shared" ref="J172:J174" si="200">H172+I172</f>
        <v>35376.955999999998</v>
      </c>
      <c r="K172" s="29"/>
      <c r="L172" s="29">
        <f t="shared" ref="L172:L174" si="201">J172+K172</f>
        <v>35376.955999999998</v>
      </c>
      <c r="M172" s="29"/>
      <c r="N172" s="29">
        <f t="shared" ref="N172:N174" si="202">L172+M172</f>
        <v>35376.955999999998</v>
      </c>
      <c r="O172" s="29">
        <v>-27856.3</v>
      </c>
      <c r="P172" s="29">
        <f t="shared" ref="P172:P174" si="203">N172+O172</f>
        <v>7520.655999999999</v>
      </c>
      <c r="Q172" s="29"/>
      <c r="R172" s="29">
        <f t="shared" ref="R172:R174" si="204">P172+Q172</f>
        <v>7520.655999999999</v>
      </c>
      <c r="S172" s="29"/>
      <c r="T172" s="29">
        <f t="shared" ref="T172:T174" si="205">R172+S172</f>
        <v>7520.655999999999</v>
      </c>
      <c r="U172" s="29"/>
      <c r="V172" s="29">
        <f t="shared" ref="V172:V174" si="206">T172+U172</f>
        <v>7520.655999999999</v>
      </c>
      <c r="W172" s="30"/>
      <c r="X172" s="29">
        <f t="shared" ref="X172:X174" si="207">V172+W172</f>
        <v>7520.655999999999</v>
      </c>
      <c r="Y172" s="22" t="s">
        <v>39</v>
      </c>
      <c r="Z172" s="8">
        <v>0</v>
      </c>
    </row>
    <row r="173" spans="1:26" hidden="1" x14ac:dyDescent="0.25">
      <c r="A173" s="1"/>
      <c r="B173" s="4" t="s">
        <v>24</v>
      </c>
      <c r="C173" s="4"/>
      <c r="D173" s="34">
        <v>75000</v>
      </c>
      <c r="E173" s="29"/>
      <c r="F173" s="29">
        <f t="shared" si="126"/>
        <v>75000</v>
      </c>
      <c r="G173" s="29"/>
      <c r="H173" s="29">
        <f t="shared" si="199"/>
        <v>75000</v>
      </c>
      <c r="I173" s="29"/>
      <c r="J173" s="29">
        <f t="shared" si="200"/>
        <v>75000</v>
      </c>
      <c r="K173" s="29"/>
      <c r="L173" s="29">
        <f t="shared" si="201"/>
        <v>75000</v>
      </c>
      <c r="M173" s="29"/>
      <c r="N173" s="29">
        <f t="shared" si="202"/>
        <v>75000</v>
      </c>
      <c r="O173" s="29">
        <v>-75000</v>
      </c>
      <c r="P173" s="29">
        <f t="shared" si="203"/>
        <v>0</v>
      </c>
      <c r="Q173" s="29"/>
      <c r="R173" s="29">
        <f t="shared" si="204"/>
        <v>0</v>
      </c>
      <c r="S173" s="29"/>
      <c r="T173" s="29">
        <f t="shared" si="205"/>
        <v>0</v>
      </c>
      <c r="U173" s="29"/>
      <c r="V173" s="29">
        <f t="shared" si="206"/>
        <v>0</v>
      </c>
      <c r="W173" s="30"/>
      <c r="X173" s="29">
        <f t="shared" si="207"/>
        <v>0</v>
      </c>
      <c r="Y173" s="22" t="s">
        <v>162</v>
      </c>
      <c r="Z173" s="8">
        <v>0</v>
      </c>
    </row>
    <row r="174" spans="1:26" ht="75" x14ac:dyDescent="0.25">
      <c r="A174" s="1" t="s">
        <v>157</v>
      </c>
      <c r="B174" s="4" t="s">
        <v>164</v>
      </c>
      <c r="C174" s="4" t="s">
        <v>295</v>
      </c>
      <c r="D174" s="29">
        <f>D176+D177</f>
        <v>18048.5</v>
      </c>
      <c r="E174" s="29">
        <f>E176+E177</f>
        <v>0</v>
      </c>
      <c r="F174" s="29">
        <f t="shared" si="126"/>
        <v>18048.5</v>
      </c>
      <c r="G174" s="29">
        <f>G176+G177</f>
        <v>0</v>
      </c>
      <c r="H174" s="29">
        <f t="shared" si="199"/>
        <v>18048.5</v>
      </c>
      <c r="I174" s="29">
        <f>I176+I177</f>
        <v>0</v>
      </c>
      <c r="J174" s="29">
        <f t="shared" si="200"/>
        <v>18048.5</v>
      </c>
      <c r="K174" s="29">
        <f>K176+K177</f>
        <v>0</v>
      </c>
      <c r="L174" s="29">
        <f t="shared" si="201"/>
        <v>18048.5</v>
      </c>
      <c r="M174" s="29">
        <f>M176+M177</f>
        <v>0</v>
      </c>
      <c r="N174" s="29">
        <f t="shared" si="202"/>
        <v>18048.5</v>
      </c>
      <c r="O174" s="29">
        <f>O176+O177</f>
        <v>0</v>
      </c>
      <c r="P174" s="29">
        <f t="shared" si="203"/>
        <v>18048.5</v>
      </c>
      <c r="Q174" s="29">
        <f>Q176+Q177</f>
        <v>0</v>
      </c>
      <c r="R174" s="29">
        <f t="shared" si="204"/>
        <v>18048.5</v>
      </c>
      <c r="S174" s="29">
        <f>S176+S177</f>
        <v>0</v>
      </c>
      <c r="T174" s="29">
        <f t="shared" si="205"/>
        <v>18048.5</v>
      </c>
      <c r="U174" s="29">
        <f>U176+U177</f>
        <v>0</v>
      </c>
      <c r="V174" s="29">
        <f t="shared" si="206"/>
        <v>18048.5</v>
      </c>
      <c r="W174" s="30">
        <f>W176+W177</f>
        <v>0</v>
      </c>
      <c r="X174" s="29">
        <f t="shared" si="207"/>
        <v>18048.5</v>
      </c>
    </row>
    <row r="175" spans="1:26" x14ac:dyDescent="0.25">
      <c r="A175" s="1"/>
      <c r="B175" s="4" t="s">
        <v>2</v>
      </c>
      <c r="C175" s="4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30"/>
      <c r="X175" s="29"/>
    </row>
    <row r="176" spans="1:26" hidden="1" x14ac:dyDescent="0.25">
      <c r="A176" s="1"/>
      <c r="B176" s="4" t="s">
        <v>3</v>
      </c>
      <c r="C176" s="4"/>
      <c r="D176" s="29">
        <v>4512.1000000000004</v>
      </c>
      <c r="E176" s="29"/>
      <c r="F176" s="29">
        <f t="shared" si="126"/>
        <v>4512.1000000000004</v>
      </c>
      <c r="G176" s="29"/>
      <c r="H176" s="29">
        <f t="shared" ref="H176:H185" si="208">F176+G176</f>
        <v>4512.1000000000004</v>
      </c>
      <c r="I176" s="29"/>
      <c r="J176" s="29">
        <f t="shared" ref="J176:J185" si="209">H176+I176</f>
        <v>4512.1000000000004</v>
      </c>
      <c r="K176" s="29">
        <v>0.1</v>
      </c>
      <c r="L176" s="29">
        <f t="shared" ref="L176:L185" si="210">J176+K176</f>
        <v>4512.2000000000007</v>
      </c>
      <c r="M176" s="29"/>
      <c r="N176" s="29">
        <f t="shared" ref="N176:N181" si="211">L176+M176</f>
        <v>4512.2000000000007</v>
      </c>
      <c r="O176" s="29"/>
      <c r="P176" s="29">
        <f t="shared" ref="P176:P181" si="212">N176+O176</f>
        <v>4512.2000000000007</v>
      </c>
      <c r="Q176" s="29"/>
      <c r="R176" s="29">
        <f t="shared" ref="R176:R181" si="213">P176+Q176</f>
        <v>4512.2000000000007</v>
      </c>
      <c r="S176" s="29"/>
      <c r="T176" s="29">
        <f t="shared" ref="T176:T181" si="214">R176+S176</f>
        <v>4512.2000000000007</v>
      </c>
      <c r="U176" s="29"/>
      <c r="V176" s="29">
        <f t="shared" ref="V176:V181" si="215">T176+U176</f>
        <v>4512.2000000000007</v>
      </c>
      <c r="W176" s="30"/>
      <c r="X176" s="29">
        <f t="shared" ref="X176:X181" si="216">V176+W176</f>
        <v>4512.2000000000007</v>
      </c>
      <c r="Y176" s="22" t="s">
        <v>40</v>
      </c>
      <c r="Z176" s="8">
        <v>0</v>
      </c>
    </row>
    <row r="177" spans="1:26" x14ac:dyDescent="0.25">
      <c r="A177" s="1"/>
      <c r="B177" s="4" t="s">
        <v>24</v>
      </c>
      <c r="C177" s="4"/>
      <c r="D177" s="29">
        <v>13536.4</v>
      </c>
      <c r="E177" s="29"/>
      <c r="F177" s="29">
        <f t="shared" si="126"/>
        <v>13536.4</v>
      </c>
      <c r="G177" s="29"/>
      <c r="H177" s="29">
        <f t="shared" si="208"/>
        <v>13536.4</v>
      </c>
      <c r="I177" s="29"/>
      <c r="J177" s="29">
        <f t="shared" si="209"/>
        <v>13536.4</v>
      </c>
      <c r="K177" s="29">
        <v>-0.1</v>
      </c>
      <c r="L177" s="29">
        <f t="shared" si="210"/>
        <v>13536.3</v>
      </c>
      <c r="M177" s="29"/>
      <c r="N177" s="29">
        <f t="shared" si="211"/>
        <v>13536.3</v>
      </c>
      <c r="O177" s="29"/>
      <c r="P177" s="29">
        <f t="shared" si="212"/>
        <v>13536.3</v>
      </c>
      <c r="Q177" s="29"/>
      <c r="R177" s="29">
        <f t="shared" si="213"/>
        <v>13536.3</v>
      </c>
      <c r="S177" s="29"/>
      <c r="T177" s="29">
        <f t="shared" si="214"/>
        <v>13536.3</v>
      </c>
      <c r="U177" s="29"/>
      <c r="V177" s="29">
        <f t="shared" si="215"/>
        <v>13536.3</v>
      </c>
      <c r="W177" s="30"/>
      <c r="X177" s="29">
        <f t="shared" si="216"/>
        <v>13536.3</v>
      </c>
      <c r="Y177" s="22" t="s">
        <v>162</v>
      </c>
    </row>
    <row r="178" spans="1:26" ht="75" hidden="1" x14ac:dyDescent="0.25">
      <c r="A178" s="1" t="s">
        <v>157</v>
      </c>
      <c r="B178" s="4" t="s">
        <v>165</v>
      </c>
      <c r="C178" s="4" t="s">
        <v>295</v>
      </c>
      <c r="D178" s="29">
        <v>5527</v>
      </c>
      <c r="E178" s="29"/>
      <c r="F178" s="29">
        <f t="shared" si="126"/>
        <v>5527</v>
      </c>
      <c r="G178" s="29"/>
      <c r="H178" s="29">
        <f t="shared" si="208"/>
        <v>5527</v>
      </c>
      <c r="I178" s="29"/>
      <c r="J178" s="29">
        <f t="shared" si="209"/>
        <v>5527</v>
      </c>
      <c r="K178" s="29"/>
      <c r="L178" s="29">
        <f t="shared" si="210"/>
        <v>5527</v>
      </c>
      <c r="M178" s="29"/>
      <c r="N178" s="29">
        <f t="shared" si="211"/>
        <v>5527</v>
      </c>
      <c r="O178" s="29">
        <v>-5527</v>
      </c>
      <c r="P178" s="29">
        <f t="shared" si="212"/>
        <v>0</v>
      </c>
      <c r="Q178" s="29"/>
      <c r="R178" s="29">
        <f t="shared" si="213"/>
        <v>0</v>
      </c>
      <c r="S178" s="29"/>
      <c r="T178" s="29">
        <f t="shared" si="214"/>
        <v>0</v>
      </c>
      <c r="U178" s="29"/>
      <c r="V178" s="29">
        <f t="shared" si="215"/>
        <v>0</v>
      </c>
      <c r="W178" s="30"/>
      <c r="X178" s="29">
        <f t="shared" si="216"/>
        <v>0</v>
      </c>
      <c r="Y178" s="22" t="s">
        <v>41</v>
      </c>
      <c r="Z178" s="8">
        <v>0</v>
      </c>
    </row>
    <row r="179" spans="1:26" ht="102" hidden="1" customHeight="1" x14ac:dyDescent="0.25">
      <c r="A179" s="1" t="s">
        <v>138</v>
      </c>
      <c r="B179" s="4" t="s">
        <v>169</v>
      </c>
      <c r="C179" s="4" t="s">
        <v>295</v>
      </c>
      <c r="D179" s="29">
        <v>1767</v>
      </c>
      <c r="E179" s="29"/>
      <c r="F179" s="29">
        <f t="shared" si="126"/>
        <v>1767</v>
      </c>
      <c r="G179" s="29"/>
      <c r="H179" s="29">
        <f t="shared" si="208"/>
        <v>1767</v>
      </c>
      <c r="I179" s="29"/>
      <c r="J179" s="29">
        <f t="shared" si="209"/>
        <v>1767</v>
      </c>
      <c r="K179" s="29"/>
      <c r="L179" s="29">
        <f t="shared" si="210"/>
        <v>1767</v>
      </c>
      <c r="M179" s="29"/>
      <c r="N179" s="29">
        <f t="shared" si="211"/>
        <v>1767</v>
      </c>
      <c r="O179" s="29">
        <v>-1767</v>
      </c>
      <c r="P179" s="29">
        <f t="shared" si="212"/>
        <v>0</v>
      </c>
      <c r="Q179" s="29"/>
      <c r="R179" s="29">
        <f t="shared" si="213"/>
        <v>0</v>
      </c>
      <c r="S179" s="29"/>
      <c r="T179" s="29">
        <f t="shared" si="214"/>
        <v>0</v>
      </c>
      <c r="U179" s="29"/>
      <c r="V179" s="29">
        <f t="shared" si="215"/>
        <v>0</v>
      </c>
      <c r="W179" s="30"/>
      <c r="X179" s="29">
        <f t="shared" si="216"/>
        <v>0</v>
      </c>
      <c r="Y179" s="22" t="s">
        <v>42</v>
      </c>
      <c r="Z179" s="8">
        <v>0</v>
      </c>
    </row>
    <row r="180" spans="1:26" ht="75" hidden="1" x14ac:dyDescent="0.25">
      <c r="A180" s="1" t="s">
        <v>158</v>
      </c>
      <c r="B180" s="4" t="s">
        <v>166</v>
      </c>
      <c r="C180" s="4" t="s">
        <v>295</v>
      </c>
      <c r="D180" s="29">
        <v>17756.599999999999</v>
      </c>
      <c r="E180" s="29"/>
      <c r="F180" s="29">
        <f t="shared" si="126"/>
        <v>17756.599999999999</v>
      </c>
      <c r="G180" s="29"/>
      <c r="H180" s="29">
        <f t="shared" si="208"/>
        <v>17756.599999999999</v>
      </c>
      <c r="I180" s="29"/>
      <c r="J180" s="29">
        <f t="shared" si="209"/>
        <v>17756.599999999999</v>
      </c>
      <c r="K180" s="29"/>
      <c r="L180" s="29">
        <f t="shared" si="210"/>
        <v>17756.599999999999</v>
      </c>
      <c r="M180" s="29"/>
      <c r="N180" s="29">
        <f t="shared" si="211"/>
        <v>17756.599999999999</v>
      </c>
      <c r="O180" s="29">
        <v>-17756.599999999999</v>
      </c>
      <c r="P180" s="29">
        <f t="shared" si="212"/>
        <v>0</v>
      </c>
      <c r="Q180" s="29"/>
      <c r="R180" s="29">
        <f t="shared" si="213"/>
        <v>0</v>
      </c>
      <c r="S180" s="29"/>
      <c r="T180" s="29">
        <f t="shared" si="214"/>
        <v>0</v>
      </c>
      <c r="U180" s="29"/>
      <c r="V180" s="29">
        <f t="shared" si="215"/>
        <v>0</v>
      </c>
      <c r="W180" s="30"/>
      <c r="X180" s="29">
        <f t="shared" si="216"/>
        <v>0</v>
      </c>
      <c r="Y180" s="22">
        <v>1020141480</v>
      </c>
      <c r="Z180" s="8">
        <v>0</v>
      </c>
    </row>
    <row r="181" spans="1:26" ht="75" hidden="1" x14ac:dyDescent="0.25">
      <c r="A181" s="1" t="s">
        <v>205</v>
      </c>
      <c r="B181" s="4" t="s">
        <v>167</v>
      </c>
      <c r="C181" s="4" t="s">
        <v>295</v>
      </c>
      <c r="D181" s="29">
        <v>4659</v>
      </c>
      <c r="E181" s="29"/>
      <c r="F181" s="29">
        <f t="shared" si="126"/>
        <v>4659</v>
      </c>
      <c r="G181" s="29"/>
      <c r="H181" s="29">
        <f t="shared" si="208"/>
        <v>4659</v>
      </c>
      <c r="I181" s="29"/>
      <c r="J181" s="29">
        <f>H181+I181</f>
        <v>4659</v>
      </c>
      <c r="K181" s="29">
        <f>K183+K184</f>
        <v>13977</v>
      </c>
      <c r="L181" s="29">
        <f t="shared" si="210"/>
        <v>18636</v>
      </c>
      <c r="M181" s="29">
        <f>M183+M184</f>
        <v>0</v>
      </c>
      <c r="N181" s="29">
        <f t="shared" si="211"/>
        <v>18636</v>
      </c>
      <c r="O181" s="29">
        <f>O183+O184</f>
        <v>-18636</v>
      </c>
      <c r="P181" s="29">
        <f t="shared" si="212"/>
        <v>0</v>
      </c>
      <c r="Q181" s="29">
        <f>Q183+Q184</f>
        <v>0</v>
      </c>
      <c r="R181" s="29">
        <f t="shared" si="213"/>
        <v>0</v>
      </c>
      <c r="S181" s="29">
        <f>S183+S184</f>
        <v>0</v>
      </c>
      <c r="T181" s="29">
        <f t="shared" si="214"/>
        <v>0</v>
      </c>
      <c r="U181" s="29">
        <f>U183+U184</f>
        <v>0</v>
      </c>
      <c r="V181" s="29">
        <f t="shared" si="215"/>
        <v>0</v>
      </c>
      <c r="W181" s="30">
        <f>W183+W184</f>
        <v>0</v>
      </c>
      <c r="X181" s="29">
        <f t="shared" si="216"/>
        <v>0</v>
      </c>
      <c r="Z181" s="8">
        <v>0</v>
      </c>
    </row>
    <row r="182" spans="1:26" hidden="1" x14ac:dyDescent="0.25">
      <c r="A182" s="1"/>
      <c r="B182" s="4" t="s">
        <v>2</v>
      </c>
      <c r="C182" s="4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30"/>
      <c r="X182" s="29"/>
      <c r="Z182" s="8">
        <v>0</v>
      </c>
    </row>
    <row r="183" spans="1:26" hidden="1" x14ac:dyDescent="0.25">
      <c r="A183" s="1"/>
      <c r="B183" s="4" t="s">
        <v>3</v>
      </c>
      <c r="C183" s="4"/>
      <c r="D183" s="29">
        <v>4659</v>
      </c>
      <c r="E183" s="29"/>
      <c r="F183" s="29">
        <f t="shared" si="126"/>
        <v>4659</v>
      </c>
      <c r="G183" s="29"/>
      <c r="H183" s="29">
        <f t="shared" si="208"/>
        <v>4659</v>
      </c>
      <c r="I183" s="29"/>
      <c r="J183" s="29">
        <f t="shared" ref="J183" si="217">H183+I183</f>
        <v>4659</v>
      </c>
      <c r="K183" s="29">
        <f>-4659+4659</f>
        <v>0</v>
      </c>
      <c r="L183" s="29">
        <f t="shared" si="210"/>
        <v>4659</v>
      </c>
      <c r="M183" s="29"/>
      <c r="N183" s="29">
        <f t="shared" ref="N183:N185" si="218">L183+M183</f>
        <v>4659</v>
      </c>
      <c r="O183" s="29">
        <v>-4659</v>
      </c>
      <c r="P183" s="29">
        <f t="shared" ref="P183:P185" si="219">N183+O183</f>
        <v>0</v>
      </c>
      <c r="Q183" s="29"/>
      <c r="R183" s="29">
        <f t="shared" ref="R183:R185" si="220">P183+Q183</f>
        <v>0</v>
      </c>
      <c r="S183" s="29"/>
      <c r="T183" s="29">
        <f t="shared" ref="T183:T185" si="221">R183+S183</f>
        <v>0</v>
      </c>
      <c r="U183" s="29"/>
      <c r="V183" s="29">
        <f t="shared" ref="V183:V185" si="222">T183+U183</f>
        <v>0</v>
      </c>
      <c r="W183" s="30"/>
      <c r="X183" s="29">
        <f t="shared" ref="X183:X185" si="223">V183+W183</f>
        <v>0</v>
      </c>
      <c r="Y183" s="22" t="s">
        <v>244</v>
      </c>
      <c r="Z183" s="8">
        <v>0</v>
      </c>
    </row>
    <row r="184" spans="1:26" hidden="1" x14ac:dyDescent="0.25">
      <c r="A184" s="1"/>
      <c r="B184" s="4" t="s">
        <v>24</v>
      </c>
      <c r="C184" s="4"/>
      <c r="D184" s="29"/>
      <c r="E184" s="29"/>
      <c r="F184" s="29"/>
      <c r="G184" s="29"/>
      <c r="H184" s="29"/>
      <c r="I184" s="29"/>
      <c r="J184" s="29"/>
      <c r="K184" s="29">
        <v>13977</v>
      </c>
      <c r="L184" s="29">
        <f t="shared" si="210"/>
        <v>13977</v>
      </c>
      <c r="M184" s="29"/>
      <c r="N184" s="29">
        <f t="shared" si="218"/>
        <v>13977</v>
      </c>
      <c r="O184" s="29">
        <v>-13977</v>
      </c>
      <c r="P184" s="29">
        <f t="shared" si="219"/>
        <v>0</v>
      </c>
      <c r="Q184" s="29"/>
      <c r="R184" s="29">
        <f t="shared" si="220"/>
        <v>0</v>
      </c>
      <c r="S184" s="29"/>
      <c r="T184" s="29">
        <f t="shared" si="221"/>
        <v>0</v>
      </c>
      <c r="U184" s="29"/>
      <c r="V184" s="29">
        <f t="shared" si="222"/>
        <v>0</v>
      </c>
      <c r="W184" s="30"/>
      <c r="X184" s="29">
        <f t="shared" si="223"/>
        <v>0</v>
      </c>
      <c r="Z184" s="8">
        <v>0</v>
      </c>
    </row>
    <row r="185" spans="1:26" ht="75" hidden="1" x14ac:dyDescent="0.25">
      <c r="A185" s="1" t="s">
        <v>206</v>
      </c>
      <c r="B185" s="4" t="s">
        <v>168</v>
      </c>
      <c r="C185" s="4" t="s">
        <v>295</v>
      </c>
      <c r="D185" s="29">
        <f>D187</f>
        <v>2079</v>
      </c>
      <c r="E185" s="29">
        <f>E187+E188</f>
        <v>75000</v>
      </c>
      <c r="F185" s="29">
        <f t="shared" si="126"/>
        <v>77079</v>
      </c>
      <c r="G185" s="29">
        <f>G187+G188</f>
        <v>25000</v>
      </c>
      <c r="H185" s="29">
        <f t="shared" si="208"/>
        <v>102079</v>
      </c>
      <c r="I185" s="29">
        <f>I187+I188</f>
        <v>0</v>
      </c>
      <c r="J185" s="29">
        <f t="shared" si="209"/>
        <v>102079</v>
      </c>
      <c r="K185" s="29">
        <f>K187+K188</f>
        <v>-21017</v>
      </c>
      <c r="L185" s="29">
        <f t="shared" si="210"/>
        <v>81062</v>
      </c>
      <c r="M185" s="29">
        <f>M187+M188</f>
        <v>0</v>
      </c>
      <c r="N185" s="29">
        <f t="shared" si="218"/>
        <v>81062</v>
      </c>
      <c r="O185" s="29">
        <f>O187+O188</f>
        <v>-81062</v>
      </c>
      <c r="P185" s="29">
        <f t="shared" si="219"/>
        <v>0</v>
      </c>
      <c r="Q185" s="29">
        <f>Q187+Q188</f>
        <v>0</v>
      </c>
      <c r="R185" s="29">
        <f t="shared" si="220"/>
        <v>0</v>
      </c>
      <c r="S185" s="29">
        <f>S187+S188</f>
        <v>0</v>
      </c>
      <c r="T185" s="29">
        <f t="shared" si="221"/>
        <v>0</v>
      </c>
      <c r="U185" s="29">
        <f>U187+U188</f>
        <v>0</v>
      </c>
      <c r="V185" s="29">
        <f t="shared" si="222"/>
        <v>0</v>
      </c>
      <c r="W185" s="30">
        <f>W187+W188</f>
        <v>0</v>
      </c>
      <c r="X185" s="29">
        <f t="shared" si="223"/>
        <v>0</v>
      </c>
      <c r="Z185" s="8">
        <v>0</v>
      </c>
    </row>
    <row r="186" spans="1:26" hidden="1" x14ac:dyDescent="0.25">
      <c r="A186" s="1"/>
      <c r="B186" s="4" t="s">
        <v>2</v>
      </c>
      <c r="C186" s="4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30"/>
      <c r="X186" s="29"/>
      <c r="Z186" s="8">
        <v>0</v>
      </c>
    </row>
    <row r="187" spans="1:26" hidden="1" x14ac:dyDescent="0.25">
      <c r="A187" s="1"/>
      <c r="B187" s="4" t="s">
        <v>3</v>
      </c>
      <c r="C187" s="4"/>
      <c r="D187" s="29">
        <v>2079</v>
      </c>
      <c r="E187" s="29">
        <v>0</v>
      </c>
      <c r="F187" s="29">
        <f t="shared" si="126"/>
        <v>2079</v>
      </c>
      <c r="G187" s="29">
        <v>25000</v>
      </c>
      <c r="H187" s="29">
        <f t="shared" ref="H187:H210" si="224">F187+G187</f>
        <v>27079</v>
      </c>
      <c r="I187" s="29"/>
      <c r="J187" s="29">
        <f t="shared" ref="J187" si="225">H187+I187</f>
        <v>27079</v>
      </c>
      <c r="K187" s="29">
        <v>-1760</v>
      </c>
      <c r="L187" s="29">
        <f t="shared" ref="L187" si="226">J187+K187</f>
        <v>25319</v>
      </c>
      <c r="M187" s="29"/>
      <c r="N187" s="29">
        <f t="shared" ref="N187" si="227">L187+M187</f>
        <v>25319</v>
      </c>
      <c r="O187" s="29">
        <f>-2079-23240</f>
        <v>-25319</v>
      </c>
      <c r="P187" s="29">
        <f t="shared" ref="P187" si="228">N187+O187</f>
        <v>0</v>
      </c>
      <c r="Q187" s="29"/>
      <c r="R187" s="29">
        <f t="shared" ref="R187" si="229">P187+Q187</f>
        <v>0</v>
      </c>
      <c r="S187" s="29"/>
      <c r="T187" s="29">
        <f t="shared" ref="T187" si="230">R187+S187</f>
        <v>0</v>
      </c>
      <c r="U187" s="29"/>
      <c r="V187" s="29">
        <f t="shared" ref="V187" si="231">T187+U187</f>
        <v>0</v>
      </c>
      <c r="W187" s="30"/>
      <c r="X187" s="29">
        <f t="shared" ref="X187" si="232">V187+W187</f>
        <v>0</v>
      </c>
      <c r="Y187" s="22" t="s">
        <v>232</v>
      </c>
      <c r="Z187" s="8">
        <v>0</v>
      </c>
    </row>
    <row r="188" spans="1:26" hidden="1" x14ac:dyDescent="0.25">
      <c r="A188" s="1"/>
      <c r="B188" s="4" t="s">
        <v>24</v>
      </c>
      <c r="C188" s="4"/>
      <c r="D188" s="29">
        <v>0</v>
      </c>
      <c r="E188" s="29">
        <v>75000</v>
      </c>
      <c r="F188" s="29">
        <f t="shared" si="126"/>
        <v>75000</v>
      </c>
      <c r="G188" s="29"/>
      <c r="H188" s="29">
        <f>F188+G188</f>
        <v>75000</v>
      </c>
      <c r="I188" s="29"/>
      <c r="J188" s="29">
        <f>H188+I188</f>
        <v>75000</v>
      </c>
      <c r="K188" s="29">
        <v>-19257</v>
      </c>
      <c r="L188" s="29">
        <f>J188+K188</f>
        <v>55743</v>
      </c>
      <c r="M188" s="29"/>
      <c r="N188" s="29">
        <f>L188+M188</f>
        <v>55743</v>
      </c>
      <c r="O188" s="29">
        <v>-55743</v>
      </c>
      <c r="P188" s="29">
        <f>N188+O188</f>
        <v>0</v>
      </c>
      <c r="Q188" s="29"/>
      <c r="R188" s="29">
        <f>P188+Q188</f>
        <v>0</v>
      </c>
      <c r="S188" s="29"/>
      <c r="T188" s="29">
        <f>R188+S188</f>
        <v>0</v>
      </c>
      <c r="U188" s="29"/>
      <c r="V188" s="29">
        <f>T188+U188</f>
        <v>0</v>
      </c>
      <c r="W188" s="30"/>
      <c r="X188" s="29">
        <f>V188+W188</f>
        <v>0</v>
      </c>
      <c r="Y188" s="22" t="s">
        <v>162</v>
      </c>
      <c r="Z188" s="8">
        <v>0</v>
      </c>
    </row>
    <row r="189" spans="1:26" ht="75" hidden="1" x14ac:dyDescent="0.25">
      <c r="A189" s="1" t="s">
        <v>157</v>
      </c>
      <c r="B189" s="4" t="s">
        <v>188</v>
      </c>
      <c r="C189" s="4" t="s">
        <v>295</v>
      </c>
      <c r="D189" s="29"/>
      <c r="E189" s="29"/>
      <c r="F189" s="29"/>
      <c r="G189" s="29">
        <v>1213.567</v>
      </c>
      <c r="H189" s="29">
        <f t="shared" ref="H189:H193" si="233">F189+G189</f>
        <v>1213.567</v>
      </c>
      <c r="I189" s="29"/>
      <c r="J189" s="29">
        <f t="shared" ref="J189:J210" si="234">H189+I189</f>
        <v>1213.567</v>
      </c>
      <c r="K189" s="29"/>
      <c r="L189" s="29">
        <f t="shared" ref="L189:L210" si="235">J189+K189</f>
        <v>1213.567</v>
      </c>
      <c r="M189" s="29"/>
      <c r="N189" s="29">
        <f t="shared" ref="N189:N194" si="236">L189+M189</f>
        <v>1213.567</v>
      </c>
      <c r="O189" s="29"/>
      <c r="P189" s="29">
        <f t="shared" ref="P189:P194" si="237">N189+O189</f>
        <v>1213.567</v>
      </c>
      <c r="Q189" s="29"/>
      <c r="R189" s="29">
        <f t="shared" ref="R189:R194" si="238">P189+Q189</f>
        <v>1213.567</v>
      </c>
      <c r="S189" s="29">
        <v>-1213.567</v>
      </c>
      <c r="T189" s="29">
        <f t="shared" ref="T189:T194" si="239">R189+S189</f>
        <v>0</v>
      </c>
      <c r="U189" s="29"/>
      <c r="V189" s="29">
        <f t="shared" ref="V189:V194" si="240">T189+U189</f>
        <v>0</v>
      </c>
      <c r="W189" s="30"/>
      <c r="X189" s="29">
        <f t="shared" ref="X189:X194" si="241">V189+W189</f>
        <v>0</v>
      </c>
      <c r="Y189" s="22" t="s">
        <v>191</v>
      </c>
      <c r="Z189" s="8">
        <v>0</v>
      </c>
    </row>
    <row r="190" spans="1:26" ht="75" hidden="1" x14ac:dyDescent="0.25">
      <c r="A190" s="1" t="s">
        <v>207</v>
      </c>
      <c r="B190" s="4" t="s">
        <v>189</v>
      </c>
      <c r="C190" s="4" t="s">
        <v>295</v>
      </c>
      <c r="D190" s="29"/>
      <c r="E190" s="29"/>
      <c r="F190" s="29"/>
      <c r="G190" s="29">
        <v>5305</v>
      </c>
      <c r="H190" s="29">
        <f t="shared" si="233"/>
        <v>5305</v>
      </c>
      <c r="I190" s="29"/>
      <c r="J190" s="29">
        <f t="shared" si="234"/>
        <v>5305</v>
      </c>
      <c r="K190" s="29"/>
      <c r="L190" s="29">
        <f t="shared" si="235"/>
        <v>5305</v>
      </c>
      <c r="M190" s="29"/>
      <c r="N190" s="29">
        <f t="shared" si="236"/>
        <v>5305</v>
      </c>
      <c r="O190" s="29">
        <v>-5305</v>
      </c>
      <c r="P190" s="29">
        <f t="shared" si="237"/>
        <v>0</v>
      </c>
      <c r="Q190" s="29"/>
      <c r="R190" s="29">
        <f t="shared" si="238"/>
        <v>0</v>
      </c>
      <c r="S190" s="29"/>
      <c r="T190" s="29">
        <f t="shared" si="239"/>
        <v>0</v>
      </c>
      <c r="U190" s="29"/>
      <c r="V190" s="29">
        <f t="shared" si="240"/>
        <v>0</v>
      </c>
      <c r="W190" s="30"/>
      <c r="X190" s="29">
        <f t="shared" si="241"/>
        <v>0</v>
      </c>
      <c r="Y190" s="22" t="s">
        <v>192</v>
      </c>
      <c r="Z190" s="8">
        <v>0</v>
      </c>
    </row>
    <row r="191" spans="1:26" ht="75" x14ac:dyDescent="0.25">
      <c r="A191" s="1" t="s">
        <v>138</v>
      </c>
      <c r="B191" s="4" t="s">
        <v>190</v>
      </c>
      <c r="C191" s="4" t="s">
        <v>295</v>
      </c>
      <c r="D191" s="29"/>
      <c r="E191" s="29"/>
      <c r="F191" s="29"/>
      <c r="G191" s="29">
        <v>2351.5</v>
      </c>
      <c r="H191" s="29">
        <f t="shared" si="233"/>
        <v>2351.5</v>
      </c>
      <c r="I191" s="29"/>
      <c r="J191" s="29">
        <f t="shared" si="234"/>
        <v>2351.5</v>
      </c>
      <c r="K191" s="29"/>
      <c r="L191" s="29">
        <f t="shared" si="235"/>
        <v>2351.5</v>
      </c>
      <c r="M191" s="29"/>
      <c r="N191" s="29">
        <f t="shared" si="236"/>
        <v>2351.5</v>
      </c>
      <c r="O191" s="29"/>
      <c r="P191" s="29">
        <f t="shared" si="237"/>
        <v>2351.5</v>
      </c>
      <c r="Q191" s="29"/>
      <c r="R191" s="29">
        <f t="shared" si="238"/>
        <v>2351.5</v>
      </c>
      <c r="S191" s="29"/>
      <c r="T191" s="29">
        <f t="shared" si="239"/>
        <v>2351.5</v>
      </c>
      <c r="U191" s="29"/>
      <c r="V191" s="29">
        <f t="shared" si="240"/>
        <v>2351.5</v>
      </c>
      <c r="W191" s="30"/>
      <c r="X191" s="29">
        <f t="shared" si="241"/>
        <v>2351.5</v>
      </c>
      <c r="Y191" s="22" t="s">
        <v>193</v>
      </c>
    </row>
    <row r="192" spans="1:26" ht="75" x14ac:dyDescent="0.25">
      <c r="A192" s="1" t="s">
        <v>158</v>
      </c>
      <c r="B192" s="4" t="s">
        <v>273</v>
      </c>
      <c r="C192" s="4" t="s">
        <v>295</v>
      </c>
      <c r="D192" s="29"/>
      <c r="E192" s="29"/>
      <c r="F192" s="29"/>
      <c r="G192" s="29">
        <v>3396.34</v>
      </c>
      <c r="H192" s="29">
        <f t="shared" si="233"/>
        <v>3396.34</v>
      </c>
      <c r="I192" s="29"/>
      <c r="J192" s="29">
        <f t="shared" si="234"/>
        <v>3396.34</v>
      </c>
      <c r="K192" s="29"/>
      <c r="L192" s="29">
        <f t="shared" si="235"/>
        <v>3396.34</v>
      </c>
      <c r="M192" s="29"/>
      <c r="N192" s="29">
        <f t="shared" si="236"/>
        <v>3396.34</v>
      </c>
      <c r="O192" s="29"/>
      <c r="P192" s="29">
        <f t="shared" si="237"/>
        <v>3396.34</v>
      </c>
      <c r="Q192" s="29"/>
      <c r="R192" s="29">
        <f t="shared" si="238"/>
        <v>3396.34</v>
      </c>
      <c r="S192" s="29"/>
      <c r="T192" s="29">
        <f t="shared" si="239"/>
        <v>3396.34</v>
      </c>
      <c r="U192" s="29"/>
      <c r="V192" s="29">
        <f t="shared" si="240"/>
        <v>3396.34</v>
      </c>
      <c r="W192" s="30"/>
      <c r="X192" s="29">
        <f t="shared" si="241"/>
        <v>3396.34</v>
      </c>
      <c r="Y192" s="22" t="s">
        <v>194</v>
      </c>
    </row>
    <row r="193" spans="1:26" ht="75" x14ac:dyDescent="0.25">
      <c r="A193" s="1" t="s">
        <v>205</v>
      </c>
      <c r="B193" s="4" t="s">
        <v>233</v>
      </c>
      <c r="C193" s="4" t="s">
        <v>295</v>
      </c>
      <c r="D193" s="29"/>
      <c r="E193" s="29"/>
      <c r="F193" s="29"/>
      <c r="G193" s="29">
        <v>22.224</v>
      </c>
      <c r="H193" s="29">
        <f t="shared" si="233"/>
        <v>22.224</v>
      </c>
      <c r="I193" s="29"/>
      <c r="J193" s="29">
        <f t="shared" si="234"/>
        <v>22.224</v>
      </c>
      <c r="K193" s="29"/>
      <c r="L193" s="29">
        <f t="shared" si="235"/>
        <v>22.224</v>
      </c>
      <c r="M193" s="29"/>
      <c r="N193" s="29">
        <f t="shared" si="236"/>
        <v>22.224</v>
      </c>
      <c r="O193" s="29"/>
      <c r="P193" s="29">
        <f t="shared" si="237"/>
        <v>22.224</v>
      </c>
      <c r="Q193" s="29"/>
      <c r="R193" s="29">
        <f t="shared" si="238"/>
        <v>22.224</v>
      </c>
      <c r="S193" s="29"/>
      <c r="T193" s="29">
        <f t="shared" si="239"/>
        <v>22.224</v>
      </c>
      <c r="U193" s="29"/>
      <c r="V193" s="29">
        <f t="shared" si="240"/>
        <v>22.224</v>
      </c>
      <c r="W193" s="30"/>
      <c r="X193" s="29">
        <f t="shared" si="241"/>
        <v>22.224</v>
      </c>
      <c r="Y193" s="22" t="s">
        <v>195</v>
      </c>
    </row>
    <row r="194" spans="1:26" ht="75" hidden="1" x14ac:dyDescent="0.25">
      <c r="A194" s="1" t="s">
        <v>205</v>
      </c>
      <c r="B194" s="4" t="s">
        <v>243</v>
      </c>
      <c r="C194" s="4" t="s">
        <v>295</v>
      </c>
      <c r="D194" s="29"/>
      <c r="E194" s="29"/>
      <c r="F194" s="29"/>
      <c r="G194" s="29"/>
      <c r="H194" s="29"/>
      <c r="I194" s="29"/>
      <c r="J194" s="29"/>
      <c r="K194" s="29">
        <f>K196+K197</f>
        <v>283733.40000000002</v>
      </c>
      <c r="L194" s="29">
        <f t="shared" si="235"/>
        <v>283733.40000000002</v>
      </c>
      <c r="M194" s="29">
        <f>M196+M197</f>
        <v>0</v>
      </c>
      <c r="N194" s="29">
        <f t="shared" si="236"/>
        <v>283733.40000000002</v>
      </c>
      <c r="O194" s="29">
        <f>O196+O197</f>
        <v>0</v>
      </c>
      <c r="P194" s="29">
        <f t="shared" si="237"/>
        <v>283733.40000000002</v>
      </c>
      <c r="Q194" s="29">
        <f>Q196+Q197</f>
        <v>0</v>
      </c>
      <c r="R194" s="29">
        <f t="shared" si="238"/>
        <v>283733.40000000002</v>
      </c>
      <c r="S194" s="29">
        <f>S196+S197</f>
        <v>0</v>
      </c>
      <c r="T194" s="29">
        <f t="shared" si="239"/>
        <v>283733.40000000002</v>
      </c>
      <c r="U194" s="29">
        <f>U196+U197</f>
        <v>0</v>
      </c>
      <c r="V194" s="29">
        <f t="shared" si="240"/>
        <v>283733.40000000002</v>
      </c>
      <c r="W194" s="30">
        <f>W196+W197</f>
        <v>-283733.40000000002</v>
      </c>
      <c r="X194" s="29">
        <f t="shared" si="241"/>
        <v>0</v>
      </c>
      <c r="Z194" s="8">
        <v>0</v>
      </c>
    </row>
    <row r="195" spans="1:26" hidden="1" x14ac:dyDescent="0.25">
      <c r="A195" s="1"/>
      <c r="B195" s="4" t="s">
        <v>2</v>
      </c>
      <c r="C195" s="4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30"/>
      <c r="X195" s="29"/>
      <c r="Z195" s="8">
        <v>0</v>
      </c>
    </row>
    <row r="196" spans="1:26" hidden="1" x14ac:dyDescent="0.25">
      <c r="A196" s="1"/>
      <c r="B196" s="4" t="s">
        <v>3</v>
      </c>
      <c r="C196" s="4"/>
      <c r="D196" s="29"/>
      <c r="E196" s="29"/>
      <c r="F196" s="29"/>
      <c r="G196" s="29"/>
      <c r="H196" s="29"/>
      <c r="I196" s="29"/>
      <c r="J196" s="29"/>
      <c r="K196" s="29">
        <v>70933.399999999994</v>
      </c>
      <c r="L196" s="29">
        <f t="shared" si="235"/>
        <v>70933.399999999994</v>
      </c>
      <c r="M196" s="29"/>
      <c r="N196" s="29">
        <f t="shared" ref="N196:N202" si="242">L196+M196</f>
        <v>70933.399999999994</v>
      </c>
      <c r="O196" s="29"/>
      <c r="P196" s="29">
        <f t="shared" ref="P196:P202" si="243">N196+O196</f>
        <v>70933.399999999994</v>
      </c>
      <c r="Q196" s="29"/>
      <c r="R196" s="29">
        <f t="shared" ref="R196:R202" si="244">P196+Q196</f>
        <v>70933.399999999994</v>
      </c>
      <c r="S196" s="29"/>
      <c r="T196" s="29">
        <f t="shared" ref="T196:T202" si="245">R196+S196</f>
        <v>70933.399999999994</v>
      </c>
      <c r="U196" s="29"/>
      <c r="V196" s="29">
        <f t="shared" ref="V196:V202" si="246">T196+U196</f>
        <v>70933.399999999994</v>
      </c>
      <c r="W196" s="30">
        <v>-70933.399999999994</v>
      </c>
      <c r="X196" s="29">
        <f t="shared" ref="X196:X202" si="247">V196+W196</f>
        <v>0</v>
      </c>
      <c r="Y196" s="22" t="s">
        <v>242</v>
      </c>
      <c r="Z196" s="8">
        <v>0</v>
      </c>
    </row>
    <row r="197" spans="1:26" hidden="1" x14ac:dyDescent="0.25">
      <c r="A197" s="1"/>
      <c r="B197" s="4" t="s">
        <v>24</v>
      </c>
      <c r="C197" s="4"/>
      <c r="D197" s="29"/>
      <c r="E197" s="29"/>
      <c r="F197" s="29"/>
      <c r="G197" s="29"/>
      <c r="H197" s="29"/>
      <c r="I197" s="29"/>
      <c r="J197" s="29"/>
      <c r="K197" s="29">
        <v>212800</v>
      </c>
      <c r="L197" s="29">
        <f t="shared" si="235"/>
        <v>212800</v>
      </c>
      <c r="M197" s="29"/>
      <c r="N197" s="29">
        <f t="shared" si="242"/>
        <v>212800</v>
      </c>
      <c r="O197" s="29"/>
      <c r="P197" s="29">
        <f t="shared" si="243"/>
        <v>212800</v>
      </c>
      <c r="Q197" s="29"/>
      <c r="R197" s="29">
        <f t="shared" si="244"/>
        <v>212800</v>
      </c>
      <c r="S197" s="29"/>
      <c r="T197" s="29">
        <f t="shared" si="245"/>
        <v>212800</v>
      </c>
      <c r="U197" s="29"/>
      <c r="V197" s="29">
        <f t="shared" si="246"/>
        <v>212800</v>
      </c>
      <c r="W197" s="30">
        <v>-212800</v>
      </c>
      <c r="X197" s="29">
        <f t="shared" si="247"/>
        <v>0</v>
      </c>
      <c r="Y197" s="22" t="s">
        <v>242</v>
      </c>
      <c r="Z197" s="8">
        <v>0</v>
      </c>
    </row>
    <row r="198" spans="1:26" ht="56.25" x14ac:dyDescent="0.25">
      <c r="A198" s="1" t="s">
        <v>206</v>
      </c>
      <c r="B198" s="4" t="s">
        <v>243</v>
      </c>
      <c r="C198" s="4" t="s">
        <v>296</v>
      </c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30">
        <f>W200+W201</f>
        <v>283733.40000000002</v>
      </c>
      <c r="X198" s="29">
        <f t="shared" si="247"/>
        <v>283733.40000000002</v>
      </c>
    </row>
    <row r="199" spans="1:26" x14ac:dyDescent="0.25">
      <c r="A199" s="1"/>
      <c r="B199" s="4" t="s">
        <v>2</v>
      </c>
      <c r="C199" s="4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30"/>
      <c r="X199" s="29"/>
    </row>
    <row r="200" spans="1:26" hidden="1" x14ac:dyDescent="0.25">
      <c r="A200" s="1"/>
      <c r="B200" s="4" t="s">
        <v>3</v>
      </c>
      <c r="C200" s="4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30">
        <v>70933.399999999994</v>
      </c>
      <c r="X200" s="29">
        <f t="shared" si="247"/>
        <v>70933.399999999994</v>
      </c>
      <c r="Y200" s="22" t="s">
        <v>242</v>
      </c>
      <c r="Z200" s="8">
        <v>0</v>
      </c>
    </row>
    <row r="201" spans="1:26" x14ac:dyDescent="0.25">
      <c r="A201" s="1"/>
      <c r="B201" s="4" t="s">
        <v>24</v>
      </c>
      <c r="C201" s="4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30">
        <v>212800</v>
      </c>
      <c r="X201" s="29">
        <f t="shared" si="247"/>
        <v>212800</v>
      </c>
      <c r="Y201" s="22" t="s">
        <v>242</v>
      </c>
    </row>
    <row r="202" spans="1:26" ht="65.25" customHeight="1" x14ac:dyDescent="0.25">
      <c r="A202" s="1" t="s">
        <v>159</v>
      </c>
      <c r="B202" s="4" t="s">
        <v>245</v>
      </c>
      <c r="C202" s="4" t="s">
        <v>295</v>
      </c>
      <c r="D202" s="29"/>
      <c r="E202" s="29"/>
      <c r="F202" s="29"/>
      <c r="G202" s="29"/>
      <c r="H202" s="29"/>
      <c r="I202" s="29"/>
      <c r="J202" s="29"/>
      <c r="K202" s="29">
        <f>K204+K205</f>
        <v>7040</v>
      </c>
      <c r="L202" s="29">
        <f t="shared" si="235"/>
        <v>7040</v>
      </c>
      <c r="M202" s="29">
        <f>M204+M205</f>
        <v>0</v>
      </c>
      <c r="N202" s="29">
        <f t="shared" si="242"/>
        <v>7040</v>
      </c>
      <c r="O202" s="29">
        <f>O204+O205</f>
        <v>0</v>
      </c>
      <c r="P202" s="29">
        <f t="shared" si="243"/>
        <v>7040</v>
      </c>
      <c r="Q202" s="29">
        <f>Q204+Q205</f>
        <v>0</v>
      </c>
      <c r="R202" s="29">
        <f t="shared" si="244"/>
        <v>7040</v>
      </c>
      <c r="S202" s="29">
        <f>S204+S205</f>
        <v>0</v>
      </c>
      <c r="T202" s="29">
        <f t="shared" si="245"/>
        <v>7040</v>
      </c>
      <c r="U202" s="29">
        <f>U204+U205</f>
        <v>0</v>
      </c>
      <c r="V202" s="29">
        <f t="shared" si="246"/>
        <v>7040</v>
      </c>
      <c r="W202" s="30">
        <f>W204+W205</f>
        <v>0</v>
      </c>
      <c r="X202" s="29">
        <f t="shared" si="247"/>
        <v>7040</v>
      </c>
    </row>
    <row r="203" spans="1:26" x14ac:dyDescent="0.25">
      <c r="A203" s="1"/>
      <c r="B203" s="4" t="s">
        <v>2</v>
      </c>
      <c r="C203" s="4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30"/>
      <c r="X203" s="29"/>
    </row>
    <row r="204" spans="1:26" hidden="1" x14ac:dyDescent="0.25">
      <c r="A204" s="1"/>
      <c r="B204" s="4" t="s">
        <v>3</v>
      </c>
      <c r="C204" s="4"/>
      <c r="D204" s="29"/>
      <c r="E204" s="29"/>
      <c r="F204" s="29"/>
      <c r="G204" s="29"/>
      <c r="H204" s="29"/>
      <c r="I204" s="29"/>
      <c r="J204" s="29"/>
      <c r="K204" s="29">
        <v>1760</v>
      </c>
      <c r="L204" s="29">
        <f t="shared" si="235"/>
        <v>1760</v>
      </c>
      <c r="M204" s="29"/>
      <c r="N204" s="29">
        <f t="shared" ref="N204:N210" si="248">L204+M204</f>
        <v>1760</v>
      </c>
      <c r="O204" s="29"/>
      <c r="P204" s="29">
        <f t="shared" ref="P204:P210" si="249">N204+O204</f>
        <v>1760</v>
      </c>
      <c r="Q204" s="29"/>
      <c r="R204" s="29">
        <f t="shared" ref="R204" si="250">P204+Q204</f>
        <v>1760</v>
      </c>
      <c r="S204" s="29"/>
      <c r="T204" s="29">
        <f t="shared" ref="T204" si="251">R204+S204</f>
        <v>1760</v>
      </c>
      <c r="U204" s="29"/>
      <c r="V204" s="29">
        <f t="shared" ref="V204" si="252">T204+U204</f>
        <v>1760</v>
      </c>
      <c r="W204" s="30"/>
      <c r="X204" s="29">
        <f t="shared" ref="X204" si="253">V204+W204</f>
        <v>1760</v>
      </c>
      <c r="Y204" s="22" t="s">
        <v>246</v>
      </c>
      <c r="Z204" s="8">
        <v>0</v>
      </c>
    </row>
    <row r="205" spans="1:26" x14ac:dyDescent="0.25">
      <c r="A205" s="1"/>
      <c r="B205" s="4" t="s">
        <v>24</v>
      </c>
      <c r="C205" s="4"/>
      <c r="D205" s="29"/>
      <c r="E205" s="29"/>
      <c r="F205" s="29"/>
      <c r="G205" s="29"/>
      <c r="H205" s="29"/>
      <c r="I205" s="29"/>
      <c r="J205" s="29"/>
      <c r="K205" s="29">
        <v>5280</v>
      </c>
      <c r="L205" s="29">
        <f t="shared" si="235"/>
        <v>5280</v>
      </c>
      <c r="M205" s="29"/>
      <c r="N205" s="29">
        <f t="shared" si="248"/>
        <v>5280</v>
      </c>
      <c r="O205" s="29"/>
      <c r="P205" s="29">
        <f>N205+O205</f>
        <v>5280</v>
      </c>
      <c r="Q205" s="29"/>
      <c r="R205" s="29">
        <f>P205+Q205</f>
        <v>5280</v>
      </c>
      <c r="S205" s="29"/>
      <c r="T205" s="29">
        <f>R205+S205</f>
        <v>5280</v>
      </c>
      <c r="U205" s="29"/>
      <c r="V205" s="29">
        <f>T205+U205</f>
        <v>5280</v>
      </c>
      <c r="W205" s="30"/>
      <c r="X205" s="29">
        <f>V205+W205</f>
        <v>5280</v>
      </c>
      <c r="Y205" s="22" t="s">
        <v>247</v>
      </c>
    </row>
    <row r="206" spans="1:26" ht="75" x14ac:dyDescent="0.25">
      <c r="A206" s="1" t="s">
        <v>207</v>
      </c>
      <c r="B206" s="4" t="s">
        <v>261</v>
      </c>
      <c r="C206" s="4" t="s">
        <v>295</v>
      </c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>
        <v>6195.6540000000005</v>
      </c>
      <c r="P206" s="29">
        <f>N206+O206</f>
        <v>6195.6540000000005</v>
      </c>
      <c r="Q206" s="29"/>
      <c r="R206" s="29">
        <f>P206+Q206</f>
        <v>6195.6540000000005</v>
      </c>
      <c r="S206" s="29"/>
      <c r="T206" s="29">
        <f>R206+S206</f>
        <v>6195.6540000000005</v>
      </c>
      <c r="U206" s="29"/>
      <c r="V206" s="29">
        <f>T206+U206</f>
        <v>6195.6540000000005</v>
      </c>
      <c r="W206" s="30"/>
      <c r="X206" s="29">
        <f>V206+W206</f>
        <v>6195.6540000000005</v>
      </c>
      <c r="Y206" s="22" t="s">
        <v>262</v>
      </c>
    </row>
    <row r="207" spans="1:26" x14ac:dyDescent="0.25">
      <c r="A207" s="1"/>
      <c r="B207" s="4" t="s">
        <v>26</v>
      </c>
      <c r="C207" s="66"/>
      <c r="D207" s="28">
        <f>D208</f>
        <v>12000</v>
      </c>
      <c r="E207" s="28">
        <f>E208</f>
        <v>2050</v>
      </c>
      <c r="F207" s="28">
        <f t="shared" si="126"/>
        <v>14050</v>
      </c>
      <c r="G207" s="28">
        <f>G208+G209</f>
        <v>25999.042000000001</v>
      </c>
      <c r="H207" s="28">
        <f t="shared" si="224"/>
        <v>40049.042000000001</v>
      </c>
      <c r="I207" s="28">
        <f>I208+I209</f>
        <v>0</v>
      </c>
      <c r="J207" s="28">
        <f t="shared" si="234"/>
        <v>40049.042000000001</v>
      </c>
      <c r="K207" s="28">
        <f>K208+K209</f>
        <v>-14050</v>
      </c>
      <c r="L207" s="28">
        <f t="shared" si="235"/>
        <v>25999.042000000001</v>
      </c>
      <c r="M207" s="28">
        <f>M208+M209</f>
        <v>0</v>
      </c>
      <c r="N207" s="28">
        <f t="shared" si="248"/>
        <v>25999.042000000001</v>
      </c>
      <c r="O207" s="28">
        <f>O208+O209</f>
        <v>0</v>
      </c>
      <c r="P207" s="28">
        <f t="shared" si="249"/>
        <v>25999.042000000001</v>
      </c>
      <c r="Q207" s="28">
        <f>Q208+Q209</f>
        <v>0</v>
      </c>
      <c r="R207" s="28">
        <f t="shared" ref="R207:R210" si="254">P207+Q207</f>
        <v>25999.042000000001</v>
      </c>
      <c r="S207" s="28">
        <f>S208+S209</f>
        <v>6841.009</v>
      </c>
      <c r="T207" s="28">
        <f t="shared" ref="T207:T210" si="255">R207+S207</f>
        <v>32840.050999999999</v>
      </c>
      <c r="U207" s="28">
        <f>U208+U209</f>
        <v>0</v>
      </c>
      <c r="V207" s="28">
        <f t="shared" ref="V207:V210" si="256">T207+U207</f>
        <v>32840.050999999999</v>
      </c>
      <c r="W207" s="28">
        <f>W208+W209</f>
        <v>0</v>
      </c>
      <c r="X207" s="29">
        <f t="shared" ref="X207:X210" si="257">V207+W207</f>
        <v>32840.050999999999</v>
      </c>
      <c r="Y207" s="61"/>
      <c r="Z207" s="62"/>
    </row>
    <row r="208" spans="1:26" ht="56.25" hidden="1" x14ac:dyDescent="0.25">
      <c r="A208" s="1" t="s">
        <v>210</v>
      </c>
      <c r="B208" s="4" t="s">
        <v>65</v>
      </c>
      <c r="C208" s="50" t="s">
        <v>45</v>
      </c>
      <c r="D208" s="29">
        <v>12000</v>
      </c>
      <c r="E208" s="29">
        <v>2050</v>
      </c>
      <c r="F208" s="29">
        <f t="shared" si="126"/>
        <v>14050</v>
      </c>
      <c r="G208" s="29"/>
      <c r="H208" s="29">
        <f t="shared" si="224"/>
        <v>14050</v>
      </c>
      <c r="I208" s="29"/>
      <c r="J208" s="29">
        <f t="shared" si="234"/>
        <v>14050</v>
      </c>
      <c r="K208" s="29">
        <v>-14050</v>
      </c>
      <c r="L208" s="29">
        <f t="shared" si="235"/>
        <v>0</v>
      </c>
      <c r="M208" s="29"/>
      <c r="N208" s="29">
        <f t="shared" si="248"/>
        <v>0</v>
      </c>
      <c r="O208" s="29"/>
      <c r="P208" s="29">
        <f t="shared" si="249"/>
        <v>0</v>
      </c>
      <c r="Q208" s="29"/>
      <c r="R208" s="29">
        <f t="shared" si="254"/>
        <v>0</v>
      </c>
      <c r="S208" s="29"/>
      <c r="T208" s="29">
        <f t="shared" si="255"/>
        <v>0</v>
      </c>
      <c r="U208" s="29"/>
      <c r="V208" s="29">
        <f t="shared" si="256"/>
        <v>0</v>
      </c>
      <c r="W208" s="30"/>
      <c r="X208" s="29">
        <f t="shared" si="257"/>
        <v>0</v>
      </c>
      <c r="Y208" s="22" t="s">
        <v>66</v>
      </c>
      <c r="Z208" s="8">
        <v>0</v>
      </c>
    </row>
    <row r="209" spans="1:26" ht="56.25" x14ac:dyDescent="0.25">
      <c r="A209" s="1" t="s">
        <v>208</v>
      </c>
      <c r="B209" s="4" t="s">
        <v>184</v>
      </c>
      <c r="C209" s="69" t="s">
        <v>45</v>
      </c>
      <c r="D209" s="29"/>
      <c r="E209" s="29"/>
      <c r="F209" s="29"/>
      <c r="G209" s="29">
        <f>11499.042+14500</f>
        <v>25999.042000000001</v>
      </c>
      <c r="H209" s="29">
        <f t="shared" si="224"/>
        <v>25999.042000000001</v>
      </c>
      <c r="I209" s="29"/>
      <c r="J209" s="29">
        <f t="shared" si="234"/>
        <v>25999.042000000001</v>
      </c>
      <c r="K209" s="29"/>
      <c r="L209" s="29">
        <f t="shared" si="235"/>
        <v>25999.042000000001</v>
      </c>
      <c r="M209" s="29"/>
      <c r="N209" s="29">
        <f t="shared" si="248"/>
        <v>25999.042000000001</v>
      </c>
      <c r="O209" s="29"/>
      <c r="P209" s="29">
        <f t="shared" si="249"/>
        <v>25999.042000000001</v>
      </c>
      <c r="Q209" s="29"/>
      <c r="R209" s="29">
        <f t="shared" si="254"/>
        <v>25999.042000000001</v>
      </c>
      <c r="S209" s="29">
        <v>6841.009</v>
      </c>
      <c r="T209" s="29">
        <f t="shared" si="255"/>
        <v>32840.050999999999</v>
      </c>
      <c r="U209" s="29"/>
      <c r="V209" s="29">
        <f t="shared" si="256"/>
        <v>32840.050999999999</v>
      </c>
      <c r="W209" s="30"/>
      <c r="X209" s="29">
        <f t="shared" si="257"/>
        <v>32840.050999999999</v>
      </c>
      <c r="Y209" s="22" t="s">
        <v>185</v>
      </c>
    </row>
    <row r="210" spans="1:26" x14ac:dyDescent="0.25">
      <c r="A210" s="1"/>
      <c r="B210" s="71" t="s">
        <v>7</v>
      </c>
      <c r="C210" s="17"/>
      <c r="D210" s="28">
        <f>D214+D215+D219+D220+D221+D222</f>
        <v>289256.8</v>
      </c>
      <c r="E210" s="28">
        <f>E214+E215+E219+E220+E221+E222</f>
        <v>-143390.389</v>
      </c>
      <c r="F210" s="28">
        <f t="shared" si="126"/>
        <v>145866.41099999999</v>
      </c>
      <c r="G210" s="28">
        <f>G214+G215+G219+G220+G221+G222</f>
        <v>18090.346000000001</v>
      </c>
      <c r="H210" s="28">
        <f t="shared" si="224"/>
        <v>163956.75699999998</v>
      </c>
      <c r="I210" s="28">
        <f>I214+I215+I219+I220+I221+I222</f>
        <v>0</v>
      </c>
      <c r="J210" s="28">
        <f t="shared" si="234"/>
        <v>163956.75699999998</v>
      </c>
      <c r="K210" s="28">
        <f>K214+K215+K219+K220+K221+K222+K223</f>
        <v>3132.9859999999999</v>
      </c>
      <c r="L210" s="28">
        <f t="shared" si="235"/>
        <v>167089.74299999999</v>
      </c>
      <c r="M210" s="28">
        <f>M214+M215+M219+M220+M221+M222+M223</f>
        <v>0</v>
      </c>
      <c r="N210" s="28">
        <f t="shared" si="248"/>
        <v>167089.74299999999</v>
      </c>
      <c r="O210" s="28">
        <f>O214+O215+O219+O220+O221+O222+O223</f>
        <v>0</v>
      </c>
      <c r="P210" s="28">
        <f t="shared" si="249"/>
        <v>167089.74299999999</v>
      </c>
      <c r="Q210" s="28">
        <f>Q214+Q215+Q219+Q220+Q221+Q222+Q223</f>
        <v>0</v>
      </c>
      <c r="R210" s="28">
        <f t="shared" si="254"/>
        <v>167089.74299999999</v>
      </c>
      <c r="S210" s="28">
        <f>S214+S215+S219+S220+S221+S222+S223</f>
        <v>-17083.050999999999</v>
      </c>
      <c r="T210" s="28">
        <f t="shared" si="255"/>
        <v>150006.69199999998</v>
      </c>
      <c r="U210" s="28">
        <f>U214+U215+U219+U220+U221+U222+U223</f>
        <v>0</v>
      </c>
      <c r="V210" s="28">
        <f t="shared" si="256"/>
        <v>150006.69199999998</v>
      </c>
      <c r="W210" s="28">
        <f>W214+W215+W219+W220+W221+W222+W223</f>
        <v>-3874</v>
      </c>
      <c r="X210" s="29">
        <f t="shared" si="257"/>
        <v>146132.69199999998</v>
      </c>
      <c r="Y210" s="61"/>
      <c r="Z210" s="62"/>
    </row>
    <row r="211" spans="1:26" x14ac:dyDescent="0.25">
      <c r="A211" s="64"/>
      <c r="B211" s="4" t="s">
        <v>2</v>
      </c>
      <c r="C211" s="17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30"/>
      <c r="X211" s="29"/>
    </row>
    <row r="212" spans="1:26" hidden="1" x14ac:dyDescent="0.25">
      <c r="A212" s="16"/>
      <c r="B212" s="4" t="s">
        <v>3</v>
      </c>
      <c r="C212" s="17"/>
      <c r="D212" s="29">
        <f>D214+D217+D219+D220+D221+D222</f>
        <v>249198.9</v>
      </c>
      <c r="E212" s="29">
        <f>E214+E217+E219+E220+E221+E222</f>
        <v>-143390.389</v>
      </c>
      <c r="F212" s="29">
        <f t="shared" si="126"/>
        <v>105808.511</v>
      </c>
      <c r="G212" s="29">
        <f>G214+G217+G219+G220+G221+G222</f>
        <v>18090.346000000001</v>
      </c>
      <c r="H212" s="29">
        <f t="shared" ref="H212:H215" si="258">F212+G212</f>
        <v>123898.857</v>
      </c>
      <c r="I212" s="29">
        <f>I214+I217+I219+I220+I221+I222</f>
        <v>0</v>
      </c>
      <c r="J212" s="29">
        <f t="shared" ref="J212:J215" si="259">H212+I212</f>
        <v>123898.857</v>
      </c>
      <c r="K212" s="29">
        <f>K214+K217+K219+K220+K221+K222+K223</f>
        <v>3132.9859999999999</v>
      </c>
      <c r="L212" s="29">
        <f t="shared" ref="L212:L215" si="260">J212+K212</f>
        <v>127031.84300000001</v>
      </c>
      <c r="M212" s="29">
        <f>M214+M217+M219+M220+M221+M222+M223</f>
        <v>0</v>
      </c>
      <c r="N212" s="29">
        <f t="shared" ref="N212:N215" si="261">L212+M212</f>
        <v>127031.84300000001</v>
      </c>
      <c r="O212" s="29">
        <f>O214+O217+O219+O220+O221+O222+O223</f>
        <v>0</v>
      </c>
      <c r="P212" s="29">
        <f t="shared" ref="P212:P215" si="262">N212+O212</f>
        <v>127031.84300000001</v>
      </c>
      <c r="Q212" s="29">
        <f>Q214+Q217+Q219+Q220+Q221+Q222+Q223</f>
        <v>0</v>
      </c>
      <c r="R212" s="29">
        <f t="shared" ref="R212:R215" si="263">P212+Q212</f>
        <v>127031.84300000001</v>
      </c>
      <c r="S212" s="29">
        <f>S214+S217+S219+S220+S221+S222+S223</f>
        <v>-17083.050999999999</v>
      </c>
      <c r="T212" s="29">
        <f t="shared" ref="T212:T215" si="264">R212+S212</f>
        <v>109948.79200000002</v>
      </c>
      <c r="U212" s="29">
        <f>U214+U217+U219+U220+U221+U222+U223</f>
        <v>0</v>
      </c>
      <c r="V212" s="29">
        <f t="shared" ref="V212:V215" si="265">T212+U212</f>
        <v>109948.79200000002</v>
      </c>
      <c r="W212" s="30">
        <f>W214+W217+W219+W220+W221+W222+W223</f>
        <v>-3874</v>
      </c>
      <c r="X212" s="29">
        <f t="shared" ref="X212:X215" si="266">V212+W212</f>
        <v>106074.79200000002</v>
      </c>
      <c r="Z212" s="8">
        <v>0</v>
      </c>
    </row>
    <row r="213" spans="1:26" x14ac:dyDescent="0.25">
      <c r="A213" s="1"/>
      <c r="B213" s="4" t="s">
        <v>16</v>
      </c>
      <c r="C213" s="17"/>
      <c r="D213" s="29">
        <f>D218</f>
        <v>40057.9</v>
      </c>
      <c r="E213" s="29">
        <f>E218</f>
        <v>0</v>
      </c>
      <c r="F213" s="29">
        <f t="shared" si="126"/>
        <v>40057.9</v>
      </c>
      <c r="G213" s="29">
        <f>G218</f>
        <v>0</v>
      </c>
      <c r="H213" s="29">
        <f t="shared" si="258"/>
        <v>40057.9</v>
      </c>
      <c r="I213" s="29">
        <f>I218</f>
        <v>0</v>
      </c>
      <c r="J213" s="29">
        <f t="shared" si="259"/>
        <v>40057.9</v>
      </c>
      <c r="K213" s="29">
        <f>K218</f>
        <v>0</v>
      </c>
      <c r="L213" s="29">
        <f t="shared" si="260"/>
        <v>40057.9</v>
      </c>
      <c r="M213" s="29">
        <f>M218</f>
        <v>0</v>
      </c>
      <c r="N213" s="29">
        <f t="shared" si="261"/>
        <v>40057.9</v>
      </c>
      <c r="O213" s="29">
        <f>O218</f>
        <v>0</v>
      </c>
      <c r="P213" s="29">
        <f t="shared" si="262"/>
        <v>40057.9</v>
      </c>
      <c r="Q213" s="29">
        <f>Q218</f>
        <v>0</v>
      </c>
      <c r="R213" s="29">
        <f t="shared" si="263"/>
        <v>40057.9</v>
      </c>
      <c r="S213" s="29">
        <f>S218</f>
        <v>0</v>
      </c>
      <c r="T213" s="29">
        <f t="shared" si="264"/>
        <v>40057.9</v>
      </c>
      <c r="U213" s="29">
        <f>U218</f>
        <v>0</v>
      </c>
      <c r="V213" s="29">
        <f t="shared" si="265"/>
        <v>40057.9</v>
      </c>
      <c r="W213" s="30">
        <f>W218</f>
        <v>0</v>
      </c>
      <c r="X213" s="29">
        <f t="shared" si="266"/>
        <v>40057.9</v>
      </c>
    </row>
    <row r="214" spans="1:26" ht="75" hidden="1" x14ac:dyDescent="0.25">
      <c r="A214" s="85" t="s">
        <v>209</v>
      </c>
      <c r="B214" s="52" t="s">
        <v>67</v>
      </c>
      <c r="C214" s="53" t="s">
        <v>68</v>
      </c>
      <c r="D214" s="29">
        <v>9187.2999999999993</v>
      </c>
      <c r="E214" s="29"/>
      <c r="F214" s="29">
        <f t="shared" si="126"/>
        <v>9187.2999999999993</v>
      </c>
      <c r="G214" s="29"/>
      <c r="H214" s="29">
        <f t="shared" si="258"/>
        <v>9187.2999999999993</v>
      </c>
      <c r="I214" s="29"/>
      <c r="J214" s="29">
        <f t="shared" si="259"/>
        <v>9187.2999999999993</v>
      </c>
      <c r="K214" s="29"/>
      <c r="L214" s="29">
        <f t="shared" si="260"/>
        <v>9187.2999999999993</v>
      </c>
      <c r="M214" s="29"/>
      <c r="N214" s="29">
        <f t="shared" si="261"/>
        <v>9187.2999999999993</v>
      </c>
      <c r="O214" s="29"/>
      <c r="P214" s="29">
        <f t="shared" si="262"/>
        <v>9187.2999999999993</v>
      </c>
      <c r="Q214" s="29"/>
      <c r="R214" s="29">
        <f t="shared" si="263"/>
        <v>9187.2999999999993</v>
      </c>
      <c r="S214" s="29">
        <v>-9187.2999999999993</v>
      </c>
      <c r="T214" s="29">
        <f t="shared" si="264"/>
        <v>0</v>
      </c>
      <c r="U214" s="29"/>
      <c r="V214" s="29">
        <f t="shared" si="265"/>
        <v>0</v>
      </c>
      <c r="W214" s="30"/>
      <c r="X214" s="29">
        <f t="shared" si="266"/>
        <v>0</v>
      </c>
      <c r="Y214" s="22" t="s">
        <v>283</v>
      </c>
      <c r="Z214" s="8">
        <v>0</v>
      </c>
    </row>
    <row r="215" spans="1:26" ht="56.25" x14ac:dyDescent="0.25">
      <c r="A215" s="87"/>
      <c r="B215" s="70" t="s">
        <v>67</v>
      </c>
      <c r="C215" s="69" t="s">
        <v>45</v>
      </c>
      <c r="D215" s="29">
        <f>D217+D218</f>
        <v>44223.3</v>
      </c>
      <c r="E215" s="29">
        <f>E217+E218</f>
        <v>21609.611000000001</v>
      </c>
      <c r="F215" s="29">
        <f t="shared" si="126"/>
        <v>65832.911000000007</v>
      </c>
      <c r="G215" s="29">
        <f>G217+G218</f>
        <v>18090.346000000001</v>
      </c>
      <c r="H215" s="29">
        <f t="shared" si="258"/>
        <v>83923.257000000012</v>
      </c>
      <c r="I215" s="29">
        <f>I217+I218</f>
        <v>0</v>
      </c>
      <c r="J215" s="29">
        <f t="shared" si="259"/>
        <v>83923.257000000012</v>
      </c>
      <c r="K215" s="29">
        <f>K217+K218</f>
        <v>101.965</v>
      </c>
      <c r="L215" s="29">
        <f t="shared" si="260"/>
        <v>84025.222000000009</v>
      </c>
      <c r="M215" s="29">
        <f>M217+M218</f>
        <v>0</v>
      </c>
      <c r="N215" s="29">
        <f t="shared" si="261"/>
        <v>84025.222000000009</v>
      </c>
      <c r="O215" s="29">
        <f>O217+O218</f>
        <v>0</v>
      </c>
      <c r="P215" s="29">
        <f t="shared" si="262"/>
        <v>84025.222000000009</v>
      </c>
      <c r="Q215" s="29">
        <f>Q217+Q218</f>
        <v>0</v>
      </c>
      <c r="R215" s="29">
        <f t="shared" si="263"/>
        <v>84025.222000000009</v>
      </c>
      <c r="S215" s="29">
        <f>S217+S218</f>
        <v>0</v>
      </c>
      <c r="T215" s="29">
        <f t="shared" si="264"/>
        <v>84025.222000000009</v>
      </c>
      <c r="U215" s="29">
        <f>U217+U218</f>
        <v>0</v>
      </c>
      <c r="V215" s="29">
        <f t="shared" si="265"/>
        <v>84025.222000000009</v>
      </c>
      <c r="W215" s="30">
        <f>W217+W218</f>
        <v>0</v>
      </c>
      <c r="X215" s="29">
        <f t="shared" si="266"/>
        <v>84025.222000000009</v>
      </c>
    </row>
    <row r="216" spans="1:26" x14ac:dyDescent="0.25">
      <c r="A216" s="1"/>
      <c r="B216" s="4" t="s">
        <v>2</v>
      </c>
      <c r="C216" s="6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30"/>
      <c r="X216" s="29"/>
    </row>
    <row r="217" spans="1:26" hidden="1" x14ac:dyDescent="0.25">
      <c r="A217" s="1"/>
      <c r="B217" s="4" t="s">
        <v>3</v>
      </c>
      <c r="C217" s="3"/>
      <c r="D217" s="29">
        <v>4165.3999999999996</v>
      </c>
      <c r="E217" s="29">
        <v>21609.611000000001</v>
      </c>
      <c r="F217" s="29">
        <f t="shared" si="126"/>
        <v>25775.010999999999</v>
      </c>
      <c r="G217" s="29">
        <v>18090.346000000001</v>
      </c>
      <c r="H217" s="29">
        <f t="shared" ref="H217:H230" si="267">F217+G217</f>
        <v>43865.357000000004</v>
      </c>
      <c r="I217" s="29">
        <f>-9187.3+9187.3</f>
        <v>0</v>
      </c>
      <c r="J217" s="29">
        <f>H217+I217</f>
        <v>43865.357000000004</v>
      </c>
      <c r="K217" s="29">
        <v>101.965</v>
      </c>
      <c r="L217" s="29">
        <f>J217+K217</f>
        <v>43967.322</v>
      </c>
      <c r="M217" s="29"/>
      <c r="N217" s="29">
        <f>L217+M217</f>
        <v>43967.322</v>
      </c>
      <c r="O217" s="29"/>
      <c r="P217" s="29">
        <f>N217+O217</f>
        <v>43967.322</v>
      </c>
      <c r="Q217" s="29"/>
      <c r="R217" s="29">
        <f>P217+Q217</f>
        <v>43967.322</v>
      </c>
      <c r="S217" s="29"/>
      <c r="T217" s="29">
        <f>R217+S217</f>
        <v>43967.322</v>
      </c>
      <c r="U217" s="29"/>
      <c r="V217" s="29">
        <f>T217+U217</f>
        <v>43967.322</v>
      </c>
      <c r="W217" s="30"/>
      <c r="X217" s="29">
        <f>V217+W217</f>
        <v>43967.322</v>
      </c>
      <c r="Y217" s="40" t="s">
        <v>214</v>
      </c>
      <c r="Z217" s="8">
        <v>0</v>
      </c>
    </row>
    <row r="218" spans="1:26" x14ac:dyDescent="0.25">
      <c r="A218" s="1"/>
      <c r="B218" s="4" t="s">
        <v>16</v>
      </c>
      <c r="C218" s="69"/>
      <c r="D218" s="29">
        <v>40057.9</v>
      </c>
      <c r="E218" s="29"/>
      <c r="F218" s="29">
        <f t="shared" ref="F218:F252" si="268">D218+E218</f>
        <v>40057.9</v>
      </c>
      <c r="G218" s="29"/>
      <c r="H218" s="29">
        <f t="shared" si="267"/>
        <v>40057.9</v>
      </c>
      <c r="I218" s="29"/>
      <c r="J218" s="29">
        <f t="shared" ref="J218:J230" si="269">H218+I218</f>
        <v>40057.9</v>
      </c>
      <c r="K218" s="29"/>
      <c r="L218" s="29">
        <f t="shared" ref="L218:L230" si="270">J218+K218</f>
        <v>40057.9</v>
      </c>
      <c r="M218" s="29"/>
      <c r="N218" s="29">
        <f t="shared" ref="N218:N230" si="271">L218+M218</f>
        <v>40057.9</v>
      </c>
      <c r="O218" s="29"/>
      <c r="P218" s="29">
        <f t="shared" ref="P218:P238" si="272">N218+O218</f>
        <v>40057.9</v>
      </c>
      <c r="Q218" s="29"/>
      <c r="R218" s="29">
        <f t="shared" ref="R218:R228" si="273">P218+Q218</f>
        <v>40057.9</v>
      </c>
      <c r="S218" s="29"/>
      <c r="T218" s="29">
        <f t="shared" ref="T218:T228" si="274">R218+S218</f>
        <v>40057.9</v>
      </c>
      <c r="U218" s="29"/>
      <c r="V218" s="29">
        <f t="shared" ref="V218:V228" si="275">T218+U218</f>
        <v>40057.9</v>
      </c>
      <c r="W218" s="30"/>
      <c r="X218" s="29">
        <f t="shared" ref="X218:X228" si="276">V218+W218</f>
        <v>40057.9</v>
      </c>
      <c r="Y218" s="22" t="s">
        <v>160</v>
      </c>
    </row>
    <row r="219" spans="1:26" ht="56.25" x14ac:dyDescent="0.25">
      <c r="A219" s="1" t="s">
        <v>210</v>
      </c>
      <c r="B219" s="4" t="s">
        <v>69</v>
      </c>
      <c r="C219" s="69" t="s">
        <v>45</v>
      </c>
      <c r="D219" s="29">
        <v>20846.2</v>
      </c>
      <c r="E219" s="29"/>
      <c r="F219" s="29">
        <f t="shared" si="268"/>
        <v>20846.2</v>
      </c>
      <c r="G219" s="29"/>
      <c r="H219" s="29">
        <f t="shared" si="267"/>
        <v>20846.2</v>
      </c>
      <c r="I219" s="29"/>
      <c r="J219" s="29">
        <f t="shared" si="269"/>
        <v>20846.2</v>
      </c>
      <c r="K219" s="29"/>
      <c r="L219" s="29">
        <f t="shared" si="270"/>
        <v>20846.2</v>
      </c>
      <c r="M219" s="29"/>
      <c r="N219" s="29">
        <f t="shared" si="271"/>
        <v>20846.2</v>
      </c>
      <c r="O219" s="29"/>
      <c r="P219" s="29">
        <f t="shared" si="272"/>
        <v>20846.2</v>
      </c>
      <c r="Q219" s="29"/>
      <c r="R219" s="29">
        <f t="shared" si="273"/>
        <v>20846.2</v>
      </c>
      <c r="S219" s="29"/>
      <c r="T219" s="29">
        <f t="shared" si="274"/>
        <v>20846.2</v>
      </c>
      <c r="U219" s="29"/>
      <c r="V219" s="29">
        <f t="shared" si="275"/>
        <v>20846.2</v>
      </c>
      <c r="W219" s="30"/>
      <c r="X219" s="29">
        <f t="shared" si="276"/>
        <v>20846.2</v>
      </c>
      <c r="Y219" s="22" t="s">
        <v>73</v>
      </c>
    </row>
    <row r="220" spans="1:26" ht="56.25" hidden="1" x14ac:dyDescent="0.25">
      <c r="A220" s="1" t="s">
        <v>212</v>
      </c>
      <c r="B220" s="4" t="s">
        <v>70</v>
      </c>
      <c r="C220" s="24" t="s">
        <v>15</v>
      </c>
      <c r="D220" s="29">
        <v>165000</v>
      </c>
      <c r="E220" s="29">
        <v>-165000</v>
      </c>
      <c r="F220" s="29">
        <f t="shared" si="268"/>
        <v>0</v>
      </c>
      <c r="G220" s="29"/>
      <c r="H220" s="29">
        <f t="shared" si="267"/>
        <v>0</v>
      </c>
      <c r="I220" s="29"/>
      <c r="J220" s="29">
        <f t="shared" si="269"/>
        <v>0</v>
      </c>
      <c r="K220" s="29"/>
      <c r="L220" s="29">
        <f t="shared" si="270"/>
        <v>0</v>
      </c>
      <c r="M220" s="29"/>
      <c r="N220" s="29">
        <f t="shared" si="271"/>
        <v>0</v>
      </c>
      <c r="O220" s="29"/>
      <c r="P220" s="29">
        <f t="shared" si="272"/>
        <v>0</v>
      </c>
      <c r="Q220" s="29"/>
      <c r="R220" s="29">
        <f t="shared" si="273"/>
        <v>0</v>
      </c>
      <c r="S220" s="29"/>
      <c r="T220" s="29">
        <f t="shared" si="274"/>
        <v>0</v>
      </c>
      <c r="U220" s="29"/>
      <c r="V220" s="29">
        <f t="shared" si="275"/>
        <v>0</v>
      </c>
      <c r="W220" s="30"/>
      <c r="X220" s="29">
        <f t="shared" si="276"/>
        <v>0</v>
      </c>
      <c r="Y220" s="22" t="s">
        <v>74</v>
      </c>
      <c r="Z220" s="8">
        <v>0</v>
      </c>
    </row>
    <row r="221" spans="1:26" ht="56.25" x14ac:dyDescent="0.25">
      <c r="A221" s="1" t="s">
        <v>211</v>
      </c>
      <c r="B221" s="4" t="s">
        <v>71</v>
      </c>
      <c r="C221" s="69" t="s">
        <v>45</v>
      </c>
      <c r="D221" s="29">
        <v>26626.5</v>
      </c>
      <c r="E221" s="29"/>
      <c r="F221" s="29">
        <f t="shared" si="268"/>
        <v>26626.5</v>
      </c>
      <c r="G221" s="29"/>
      <c r="H221" s="29">
        <f t="shared" si="267"/>
        <v>26626.5</v>
      </c>
      <c r="I221" s="29"/>
      <c r="J221" s="29">
        <f t="shared" si="269"/>
        <v>26626.5</v>
      </c>
      <c r="K221" s="29">
        <v>-842.97900000000004</v>
      </c>
      <c r="L221" s="29">
        <f t="shared" si="270"/>
        <v>25783.521000000001</v>
      </c>
      <c r="M221" s="29"/>
      <c r="N221" s="29">
        <f t="shared" si="271"/>
        <v>25783.521000000001</v>
      </c>
      <c r="O221" s="29"/>
      <c r="P221" s="29">
        <f t="shared" si="272"/>
        <v>25783.521000000001</v>
      </c>
      <c r="Q221" s="29"/>
      <c r="R221" s="29">
        <f t="shared" si="273"/>
        <v>25783.521000000001</v>
      </c>
      <c r="S221" s="29">
        <v>5731.0259999999998</v>
      </c>
      <c r="T221" s="29">
        <f t="shared" si="274"/>
        <v>31514.546999999999</v>
      </c>
      <c r="U221" s="29"/>
      <c r="V221" s="29">
        <f t="shared" si="275"/>
        <v>31514.546999999999</v>
      </c>
      <c r="W221" s="30"/>
      <c r="X221" s="29">
        <f t="shared" si="276"/>
        <v>31514.546999999999</v>
      </c>
      <c r="Y221" s="22" t="s">
        <v>75</v>
      </c>
    </row>
    <row r="222" spans="1:26" ht="56.25" x14ac:dyDescent="0.25">
      <c r="A222" s="1" t="s">
        <v>212</v>
      </c>
      <c r="B222" s="4" t="s">
        <v>72</v>
      </c>
      <c r="C222" s="69" t="s">
        <v>45</v>
      </c>
      <c r="D222" s="29">
        <v>23373.5</v>
      </c>
      <c r="E222" s="29"/>
      <c r="F222" s="29">
        <f t="shared" si="268"/>
        <v>23373.5</v>
      </c>
      <c r="G222" s="29"/>
      <c r="H222" s="29">
        <f t="shared" si="267"/>
        <v>23373.5</v>
      </c>
      <c r="I222" s="29"/>
      <c r="J222" s="29">
        <f t="shared" si="269"/>
        <v>23373.5</v>
      </c>
      <c r="K222" s="29"/>
      <c r="L222" s="29">
        <f t="shared" si="270"/>
        <v>23373.5</v>
      </c>
      <c r="M222" s="29"/>
      <c r="N222" s="29">
        <f t="shared" si="271"/>
        <v>23373.5</v>
      </c>
      <c r="O222" s="29"/>
      <c r="P222" s="29">
        <f t="shared" si="272"/>
        <v>23373.5</v>
      </c>
      <c r="Q222" s="29"/>
      <c r="R222" s="29">
        <f t="shared" si="273"/>
        <v>23373.5</v>
      </c>
      <c r="S222" s="29">
        <v>-13626.777</v>
      </c>
      <c r="T222" s="29">
        <f t="shared" si="274"/>
        <v>9746.723</v>
      </c>
      <c r="U222" s="29"/>
      <c r="V222" s="29">
        <f t="shared" si="275"/>
        <v>9746.723</v>
      </c>
      <c r="W222" s="30"/>
      <c r="X222" s="29">
        <f t="shared" si="276"/>
        <v>9746.723</v>
      </c>
      <c r="Y222" s="22" t="s">
        <v>76</v>
      </c>
    </row>
    <row r="223" spans="1:26" ht="75" hidden="1" x14ac:dyDescent="0.25">
      <c r="A223" s="1" t="s">
        <v>227</v>
      </c>
      <c r="B223" s="4" t="s">
        <v>257</v>
      </c>
      <c r="C223" s="57" t="s">
        <v>68</v>
      </c>
      <c r="D223" s="29"/>
      <c r="E223" s="29"/>
      <c r="F223" s="29"/>
      <c r="G223" s="29"/>
      <c r="H223" s="29"/>
      <c r="I223" s="29"/>
      <c r="J223" s="29"/>
      <c r="K223" s="29">
        <v>3874</v>
      </c>
      <c r="L223" s="29">
        <f t="shared" si="270"/>
        <v>3874</v>
      </c>
      <c r="M223" s="29"/>
      <c r="N223" s="29">
        <f t="shared" si="271"/>
        <v>3874</v>
      </c>
      <c r="O223" s="29"/>
      <c r="P223" s="29">
        <f t="shared" si="272"/>
        <v>3874</v>
      </c>
      <c r="Q223" s="29"/>
      <c r="R223" s="29">
        <f t="shared" si="273"/>
        <v>3874</v>
      </c>
      <c r="S223" s="29"/>
      <c r="T223" s="29">
        <f t="shared" si="274"/>
        <v>3874</v>
      </c>
      <c r="U223" s="29"/>
      <c r="V223" s="29">
        <f t="shared" si="275"/>
        <v>3874</v>
      </c>
      <c r="W223" s="30">
        <v>-3874</v>
      </c>
      <c r="X223" s="29">
        <f t="shared" si="276"/>
        <v>0</v>
      </c>
      <c r="Y223" s="22" t="s">
        <v>258</v>
      </c>
      <c r="Z223" s="8">
        <v>0</v>
      </c>
    </row>
    <row r="224" spans="1:26" ht="19.5" customHeight="1" x14ac:dyDescent="0.25">
      <c r="A224" s="1"/>
      <c r="B224" s="4" t="s">
        <v>19</v>
      </c>
      <c r="C224" s="69"/>
      <c r="D224" s="28">
        <f>D225+D226+D227</f>
        <v>134891.20000000001</v>
      </c>
      <c r="E224" s="28">
        <f>E225+E226+E227</f>
        <v>1016.4930000000002</v>
      </c>
      <c r="F224" s="28">
        <f t="shared" si="268"/>
        <v>135907.693</v>
      </c>
      <c r="G224" s="28">
        <f>G225+G226+G227+G228</f>
        <v>3070.806</v>
      </c>
      <c r="H224" s="28">
        <f t="shared" si="267"/>
        <v>138978.49900000001</v>
      </c>
      <c r="I224" s="28">
        <f>I225+I226+I227+I228</f>
        <v>0</v>
      </c>
      <c r="J224" s="28">
        <f t="shared" si="269"/>
        <v>138978.49900000001</v>
      </c>
      <c r="K224" s="28">
        <f>K225+K226+K227+K228</f>
        <v>-25.863</v>
      </c>
      <c r="L224" s="28">
        <f t="shared" si="270"/>
        <v>138952.636</v>
      </c>
      <c r="M224" s="28">
        <f>M225+M226+M227+M228</f>
        <v>0</v>
      </c>
      <c r="N224" s="28">
        <f t="shared" si="271"/>
        <v>138952.636</v>
      </c>
      <c r="O224" s="28">
        <f>O225+O226+O227+O228</f>
        <v>1153.5899999999999</v>
      </c>
      <c r="P224" s="28">
        <f t="shared" si="272"/>
        <v>140106.226</v>
      </c>
      <c r="Q224" s="28">
        <f>Q225+Q226+Q227+Q228</f>
        <v>0</v>
      </c>
      <c r="R224" s="28">
        <f t="shared" si="273"/>
        <v>140106.226</v>
      </c>
      <c r="S224" s="28">
        <f>S225+S226+S227+S228</f>
        <v>-12236.62</v>
      </c>
      <c r="T224" s="28">
        <f t="shared" si="274"/>
        <v>127869.606</v>
      </c>
      <c r="U224" s="28">
        <f>U225+U226+U227+U228</f>
        <v>-1632.0450000000001</v>
      </c>
      <c r="V224" s="28">
        <f t="shared" si="275"/>
        <v>126237.561</v>
      </c>
      <c r="W224" s="28">
        <f>W225+W226+W227+W228</f>
        <v>-43992.239000000001</v>
      </c>
      <c r="X224" s="29">
        <f t="shared" si="276"/>
        <v>82245.322</v>
      </c>
      <c r="Y224" s="61"/>
      <c r="Z224" s="62"/>
    </row>
    <row r="225" spans="1:26" ht="56.25" x14ac:dyDescent="0.25">
      <c r="A225" s="1" t="s">
        <v>226</v>
      </c>
      <c r="B225" s="4" t="s">
        <v>59</v>
      </c>
      <c r="C225" s="69" t="s">
        <v>45</v>
      </c>
      <c r="D225" s="29">
        <v>9933.7000000000007</v>
      </c>
      <c r="E225" s="29">
        <v>2890.1930000000002</v>
      </c>
      <c r="F225" s="29">
        <f t="shared" si="268"/>
        <v>12823.893</v>
      </c>
      <c r="G225" s="29"/>
      <c r="H225" s="29">
        <f t="shared" si="267"/>
        <v>12823.893</v>
      </c>
      <c r="I225" s="29"/>
      <c r="J225" s="29">
        <f t="shared" si="269"/>
        <v>12823.893</v>
      </c>
      <c r="K225" s="29">
        <v>-25.863</v>
      </c>
      <c r="L225" s="29">
        <f t="shared" si="270"/>
        <v>12798.03</v>
      </c>
      <c r="M225" s="29"/>
      <c r="N225" s="29">
        <f t="shared" si="271"/>
        <v>12798.03</v>
      </c>
      <c r="O225" s="29">
        <v>1153.5899999999999</v>
      </c>
      <c r="P225" s="29">
        <f t="shared" si="272"/>
        <v>13951.62</v>
      </c>
      <c r="Q225" s="29"/>
      <c r="R225" s="29">
        <f t="shared" si="273"/>
        <v>13951.62</v>
      </c>
      <c r="S225" s="29"/>
      <c r="T225" s="29">
        <f t="shared" si="274"/>
        <v>13951.62</v>
      </c>
      <c r="U225" s="29"/>
      <c r="V225" s="29">
        <f t="shared" si="275"/>
        <v>13951.62</v>
      </c>
      <c r="W225" s="30"/>
      <c r="X225" s="29">
        <f t="shared" si="276"/>
        <v>13951.62</v>
      </c>
      <c r="Y225" s="22" t="s">
        <v>62</v>
      </c>
    </row>
    <row r="226" spans="1:26" ht="56.25" x14ac:dyDescent="0.25">
      <c r="A226" s="1" t="s">
        <v>227</v>
      </c>
      <c r="B226" s="4" t="s">
        <v>60</v>
      </c>
      <c r="C226" s="69" t="s">
        <v>45</v>
      </c>
      <c r="D226" s="29">
        <v>55416.7</v>
      </c>
      <c r="E226" s="29"/>
      <c r="F226" s="29">
        <f t="shared" si="268"/>
        <v>55416.7</v>
      </c>
      <c r="G226" s="29"/>
      <c r="H226" s="29">
        <f t="shared" si="267"/>
        <v>55416.7</v>
      </c>
      <c r="I226" s="29"/>
      <c r="J226" s="29">
        <f t="shared" si="269"/>
        <v>55416.7</v>
      </c>
      <c r="K226" s="29"/>
      <c r="L226" s="29">
        <f t="shared" si="270"/>
        <v>55416.7</v>
      </c>
      <c r="M226" s="29"/>
      <c r="N226" s="29">
        <f t="shared" si="271"/>
        <v>55416.7</v>
      </c>
      <c r="O226" s="29"/>
      <c r="P226" s="29">
        <f t="shared" si="272"/>
        <v>55416.7</v>
      </c>
      <c r="Q226" s="29"/>
      <c r="R226" s="29">
        <f t="shared" si="273"/>
        <v>55416.7</v>
      </c>
      <c r="S226" s="29"/>
      <c r="T226" s="29">
        <f t="shared" si="274"/>
        <v>55416.7</v>
      </c>
      <c r="U226" s="29"/>
      <c r="V226" s="29">
        <f t="shared" si="275"/>
        <v>55416.7</v>
      </c>
      <c r="W226" s="30">
        <v>-43992.239000000001</v>
      </c>
      <c r="X226" s="29">
        <f t="shared" si="276"/>
        <v>11424.460999999996</v>
      </c>
      <c r="Y226" s="22" t="s">
        <v>63</v>
      </c>
    </row>
    <row r="227" spans="1:26" ht="75" x14ac:dyDescent="0.25">
      <c r="A227" s="1" t="s">
        <v>228</v>
      </c>
      <c r="B227" s="4" t="s">
        <v>61</v>
      </c>
      <c r="C227" s="4" t="s">
        <v>295</v>
      </c>
      <c r="D227" s="29">
        <v>69540.800000000003</v>
      </c>
      <c r="E227" s="29">
        <v>-1873.7</v>
      </c>
      <c r="F227" s="29">
        <f t="shared" si="268"/>
        <v>67667.100000000006</v>
      </c>
      <c r="G227" s="29"/>
      <c r="H227" s="29">
        <f t="shared" si="267"/>
        <v>67667.100000000006</v>
      </c>
      <c r="I227" s="29"/>
      <c r="J227" s="29">
        <f t="shared" si="269"/>
        <v>67667.100000000006</v>
      </c>
      <c r="K227" s="29"/>
      <c r="L227" s="29">
        <f t="shared" si="270"/>
        <v>67667.100000000006</v>
      </c>
      <c r="M227" s="29"/>
      <c r="N227" s="29">
        <f t="shared" si="271"/>
        <v>67667.100000000006</v>
      </c>
      <c r="O227" s="29"/>
      <c r="P227" s="29">
        <f t="shared" si="272"/>
        <v>67667.100000000006</v>
      </c>
      <c r="Q227" s="29"/>
      <c r="R227" s="29">
        <f t="shared" si="273"/>
        <v>67667.100000000006</v>
      </c>
      <c r="S227" s="29">
        <v>-9165.8140000000003</v>
      </c>
      <c r="T227" s="29">
        <f t="shared" si="274"/>
        <v>58501.286000000007</v>
      </c>
      <c r="U227" s="29">
        <v>-1632.0450000000001</v>
      </c>
      <c r="V227" s="29">
        <f t="shared" si="275"/>
        <v>56869.241000000009</v>
      </c>
      <c r="W227" s="30"/>
      <c r="X227" s="29">
        <f t="shared" si="276"/>
        <v>56869.241000000009</v>
      </c>
      <c r="Y227" s="22" t="s">
        <v>64</v>
      </c>
    </row>
    <row r="228" spans="1:26" ht="56.25" hidden="1" x14ac:dyDescent="0.25">
      <c r="A228" s="1" t="s">
        <v>231</v>
      </c>
      <c r="B228" s="4" t="s">
        <v>236</v>
      </c>
      <c r="C228" s="53" t="s">
        <v>45</v>
      </c>
      <c r="D228" s="29"/>
      <c r="E228" s="29"/>
      <c r="F228" s="29"/>
      <c r="G228" s="29">
        <v>3070.806</v>
      </c>
      <c r="H228" s="29">
        <f t="shared" si="267"/>
        <v>3070.806</v>
      </c>
      <c r="I228" s="29"/>
      <c r="J228" s="29">
        <f t="shared" si="269"/>
        <v>3070.806</v>
      </c>
      <c r="K228" s="29"/>
      <c r="L228" s="29">
        <f t="shared" si="270"/>
        <v>3070.806</v>
      </c>
      <c r="M228" s="29"/>
      <c r="N228" s="29">
        <f t="shared" si="271"/>
        <v>3070.806</v>
      </c>
      <c r="O228" s="29"/>
      <c r="P228" s="29">
        <f t="shared" si="272"/>
        <v>3070.806</v>
      </c>
      <c r="Q228" s="29"/>
      <c r="R228" s="29">
        <f t="shared" si="273"/>
        <v>3070.806</v>
      </c>
      <c r="S228" s="29">
        <v>-3070.806</v>
      </c>
      <c r="T228" s="29">
        <f t="shared" si="274"/>
        <v>0</v>
      </c>
      <c r="U228" s="29"/>
      <c r="V228" s="29">
        <f t="shared" si="275"/>
        <v>0</v>
      </c>
      <c r="W228" s="30"/>
      <c r="X228" s="29">
        <f t="shared" si="276"/>
        <v>0</v>
      </c>
      <c r="Y228" s="22" t="s">
        <v>237</v>
      </c>
      <c r="Z228" s="8">
        <v>0</v>
      </c>
    </row>
    <row r="229" spans="1:26" x14ac:dyDescent="0.25">
      <c r="A229" s="1"/>
      <c r="B229" s="4" t="s">
        <v>25</v>
      </c>
      <c r="C229" s="69"/>
      <c r="D229" s="28">
        <f>D230</f>
        <v>36453</v>
      </c>
      <c r="E229" s="28">
        <f>E230</f>
        <v>0</v>
      </c>
      <c r="F229" s="28">
        <f t="shared" si="268"/>
        <v>36453</v>
      </c>
      <c r="G229" s="28">
        <f>G230</f>
        <v>0</v>
      </c>
      <c r="H229" s="28">
        <f t="shared" si="267"/>
        <v>36453</v>
      </c>
      <c r="I229" s="28">
        <f>I230</f>
        <v>0</v>
      </c>
      <c r="J229" s="28">
        <f t="shared" si="269"/>
        <v>36453</v>
      </c>
      <c r="K229" s="28">
        <f>K230</f>
        <v>0</v>
      </c>
      <c r="L229" s="28">
        <f t="shared" si="270"/>
        <v>36453</v>
      </c>
      <c r="M229" s="28">
        <f>M230</f>
        <v>0</v>
      </c>
      <c r="N229" s="28">
        <f t="shared" si="271"/>
        <v>36453</v>
      </c>
      <c r="O229" s="28">
        <f>O230</f>
        <v>0</v>
      </c>
      <c r="P229" s="28">
        <f>N229+O229</f>
        <v>36453</v>
      </c>
      <c r="Q229" s="28">
        <f>Q230</f>
        <v>0</v>
      </c>
      <c r="R229" s="28">
        <f>P229+Q229</f>
        <v>36453</v>
      </c>
      <c r="S229" s="28">
        <f>S230</f>
        <v>0</v>
      </c>
      <c r="T229" s="28">
        <f>R229+S229</f>
        <v>36453</v>
      </c>
      <c r="U229" s="28">
        <f>U230</f>
        <v>0</v>
      </c>
      <c r="V229" s="28">
        <f>T229+U229</f>
        <v>36453</v>
      </c>
      <c r="W229" s="28">
        <f>W230</f>
        <v>14700</v>
      </c>
      <c r="X229" s="29">
        <f>V229+W229</f>
        <v>51153</v>
      </c>
      <c r="Y229" s="61"/>
      <c r="Z229" s="62"/>
    </row>
    <row r="230" spans="1:26" ht="56.25" x14ac:dyDescent="0.25">
      <c r="A230" s="1" t="s">
        <v>229</v>
      </c>
      <c r="B230" s="4" t="s">
        <v>174</v>
      </c>
      <c r="C230" s="69" t="s">
        <v>45</v>
      </c>
      <c r="D230" s="29">
        <v>36453</v>
      </c>
      <c r="E230" s="29"/>
      <c r="F230" s="29">
        <f t="shared" si="268"/>
        <v>36453</v>
      </c>
      <c r="G230" s="29"/>
      <c r="H230" s="29">
        <f t="shared" si="267"/>
        <v>36453</v>
      </c>
      <c r="I230" s="29"/>
      <c r="J230" s="29">
        <f t="shared" si="269"/>
        <v>36453</v>
      </c>
      <c r="K230" s="29"/>
      <c r="L230" s="29">
        <f t="shared" si="270"/>
        <v>36453</v>
      </c>
      <c r="M230" s="29"/>
      <c r="N230" s="29">
        <f t="shared" si="271"/>
        <v>36453</v>
      </c>
      <c r="O230" s="29"/>
      <c r="P230" s="29">
        <f t="shared" si="272"/>
        <v>36453</v>
      </c>
      <c r="Q230" s="29"/>
      <c r="R230" s="29">
        <f t="shared" ref="R230" si="277">P230+Q230</f>
        <v>36453</v>
      </c>
      <c r="S230" s="29"/>
      <c r="T230" s="29">
        <f t="shared" ref="T230" si="278">R230+S230</f>
        <v>36453</v>
      </c>
      <c r="U230" s="29"/>
      <c r="V230" s="29">
        <f t="shared" ref="V230" si="279">T230+U230</f>
        <v>36453</v>
      </c>
      <c r="W230" s="30">
        <v>14700</v>
      </c>
      <c r="X230" s="29">
        <f t="shared" ref="X230" si="280">V230+W230</f>
        <v>51153</v>
      </c>
      <c r="Y230" s="22" t="s">
        <v>298</v>
      </c>
    </row>
    <row r="231" spans="1:26" x14ac:dyDescent="0.25">
      <c r="A231" s="1"/>
      <c r="B231" s="4" t="s">
        <v>272</v>
      </c>
      <c r="C231" s="69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>
        <f>O233+O234</f>
        <v>300000</v>
      </c>
      <c r="P231" s="28">
        <f>N231+O231</f>
        <v>300000</v>
      </c>
      <c r="Q231" s="28">
        <f>Q233+Q234</f>
        <v>0</v>
      </c>
      <c r="R231" s="28">
        <f>P231+Q231</f>
        <v>300000</v>
      </c>
      <c r="S231" s="28">
        <f>S233+S234</f>
        <v>2080</v>
      </c>
      <c r="T231" s="28">
        <f>R231+S231</f>
        <v>302080</v>
      </c>
      <c r="U231" s="28">
        <f>U233+U234</f>
        <v>0</v>
      </c>
      <c r="V231" s="28">
        <f>T231+U231</f>
        <v>302080</v>
      </c>
      <c r="W231" s="28">
        <f>W233+W234</f>
        <v>0</v>
      </c>
      <c r="X231" s="29">
        <f>V231+W231</f>
        <v>302080</v>
      </c>
      <c r="Y231" s="61"/>
      <c r="Z231" s="62"/>
    </row>
    <row r="232" spans="1:26" x14ac:dyDescent="0.25">
      <c r="A232" s="1"/>
      <c r="B232" s="4" t="s">
        <v>2</v>
      </c>
      <c r="C232" s="6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</row>
    <row r="233" spans="1:26" hidden="1" x14ac:dyDescent="0.25">
      <c r="A233" s="1"/>
      <c r="B233" s="4" t="s">
        <v>3</v>
      </c>
      <c r="C233" s="51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>
        <f>O237</f>
        <v>15000</v>
      </c>
      <c r="P233" s="29">
        <f t="shared" ref="P233" si="281">N233+O233</f>
        <v>15000</v>
      </c>
      <c r="Q233" s="29">
        <f>Q237</f>
        <v>0</v>
      </c>
      <c r="R233" s="29">
        <f t="shared" ref="R233" si="282">P233+Q233</f>
        <v>15000</v>
      </c>
      <c r="S233" s="29">
        <f>S237+S239</f>
        <v>2080</v>
      </c>
      <c r="T233" s="29">
        <f t="shared" ref="T233" si="283">R233+S233</f>
        <v>17080</v>
      </c>
      <c r="U233" s="29">
        <f>U237+U239</f>
        <v>0</v>
      </c>
      <c r="V233" s="29">
        <f t="shared" ref="V233" si="284">T233+U233</f>
        <v>17080</v>
      </c>
      <c r="W233" s="29">
        <f>W237+W239</f>
        <v>0</v>
      </c>
      <c r="X233" s="29">
        <f t="shared" ref="X233" si="285">V233+W233</f>
        <v>17080</v>
      </c>
      <c r="Z233" s="8">
        <v>0</v>
      </c>
    </row>
    <row r="234" spans="1:26" x14ac:dyDescent="0.25">
      <c r="A234" s="1"/>
      <c r="B234" s="4" t="s">
        <v>16</v>
      </c>
      <c r="C234" s="6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>
        <f>O238</f>
        <v>285000</v>
      </c>
      <c r="P234" s="29">
        <f>N234+O234</f>
        <v>285000</v>
      </c>
      <c r="Q234" s="29">
        <f>Q238</f>
        <v>0</v>
      </c>
      <c r="R234" s="29">
        <f>P234+Q234</f>
        <v>285000</v>
      </c>
      <c r="S234" s="29">
        <f>S238</f>
        <v>0</v>
      </c>
      <c r="T234" s="29">
        <f>R234+S234</f>
        <v>285000</v>
      </c>
      <c r="U234" s="29">
        <f>U238</f>
        <v>0</v>
      </c>
      <c r="V234" s="29">
        <f>T234+U234</f>
        <v>285000</v>
      </c>
      <c r="W234" s="29">
        <f>W238</f>
        <v>0</v>
      </c>
      <c r="X234" s="29">
        <f>V234+W234</f>
        <v>285000</v>
      </c>
    </row>
    <row r="235" spans="1:26" ht="99" customHeight="1" x14ac:dyDescent="0.25">
      <c r="A235" s="1" t="s">
        <v>230</v>
      </c>
      <c r="B235" s="4" t="s">
        <v>270</v>
      </c>
      <c r="C235" s="69" t="s">
        <v>15</v>
      </c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>
        <f>O237+O238</f>
        <v>300000</v>
      </c>
      <c r="P235" s="29">
        <f t="shared" si="272"/>
        <v>300000</v>
      </c>
      <c r="Q235" s="29">
        <f>Q237+Q238</f>
        <v>0</v>
      </c>
      <c r="R235" s="29">
        <f t="shared" ref="R235" si="286">P235+Q235</f>
        <v>300000</v>
      </c>
      <c r="S235" s="29">
        <f>S237+S238</f>
        <v>0</v>
      </c>
      <c r="T235" s="29">
        <f t="shared" ref="T235" si="287">R235+S235</f>
        <v>300000</v>
      </c>
      <c r="U235" s="29">
        <f>U237+U238</f>
        <v>0</v>
      </c>
      <c r="V235" s="29">
        <f t="shared" ref="V235" si="288">T235+U235</f>
        <v>300000</v>
      </c>
      <c r="W235" s="30">
        <f>W237+W238</f>
        <v>0</v>
      </c>
      <c r="X235" s="29">
        <f t="shared" ref="X235" si="289">V235+W235</f>
        <v>300000</v>
      </c>
    </row>
    <row r="236" spans="1:26" x14ac:dyDescent="0.25">
      <c r="A236" s="1"/>
      <c r="B236" s="4" t="s">
        <v>2</v>
      </c>
      <c r="C236" s="6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30"/>
      <c r="X236" s="29"/>
    </row>
    <row r="237" spans="1:26" hidden="1" x14ac:dyDescent="0.25">
      <c r="A237" s="1"/>
      <c r="B237" s="4" t="s">
        <v>3</v>
      </c>
      <c r="C237" s="51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>
        <v>15000</v>
      </c>
      <c r="P237" s="29">
        <f t="shared" si="272"/>
        <v>15000</v>
      </c>
      <c r="Q237" s="29"/>
      <c r="R237" s="29">
        <f t="shared" ref="R237:R238" si="290">P237+Q237</f>
        <v>15000</v>
      </c>
      <c r="S237" s="29"/>
      <c r="T237" s="29">
        <f t="shared" ref="T237" si="291">R237+S237</f>
        <v>15000</v>
      </c>
      <c r="U237" s="29"/>
      <c r="V237" s="29">
        <f t="shared" ref="V237" si="292">T237+U237</f>
        <v>15000</v>
      </c>
      <c r="W237" s="30"/>
      <c r="X237" s="29">
        <f t="shared" ref="X237" si="293">V237+W237</f>
        <v>15000</v>
      </c>
      <c r="Y237" s="22" t="s">
        <v>271</v>
      </c>
      <c r="Z237" s="8">
        <v>0</v>
      </c>
    </row>
    <row r="238" spans="1:26" x14ac:dyDescent="0.25">
      <c r="A238" s="1"/>
      <c r="B238" s="4" t="s">
        <v>16</v>
      </c>
      <c r="C238" s="6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>
        <v>285000</v>
      </c>
      <c r="P238" s="29">
        <f t="shared" si="272"/>
        <v>285000</v>
      </c>
      <c r="Q238" s="29"/>
      <c r="R238" s="29">
        <f t="shared" si="290"/>
        <v>285000</v>
      </c>
      <c r="S238" s="29"/>
      <c r="T238" s="29">
        <f>R238+S238</f>
        <v>285000</v>
      </c>
      <c r="U238" s="29"/>
      <c r="V238" s="29">
        <f>T238+U238</f>
        <v>285000</v>
      </c>
      <c r="W238" s="30"/>
      <c r="X238" s="29">
        <f>V238+W238</f>
        <v>285000</v>
      </c>
      <c r="Y238" s="22" t="s">
        <v>271</v>
      </c>
    </row>
    <row r="239" spans="1:26" ht="56.25" x14ac:dyDescent="0.25">
      <c r="A239" s="1" t="s">
        <v>231</v>
      </c>
      <c r="B239" s="4" t="s">
        <v>281</v>
      </c>
      <c r="C239" s="69" t="s">
        <v>15</v>
      </c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>
        <v>2080</v>
      </c>
      <c r="T239" s="29">
        <f>R239+S239</f>
        <v>2080</v>
      </c>
      <c r="U239" s="29"/>
      <c r="V239" s="29">
        <f>T239+U239</f>
        <v>2080</v>
      </c>
      <c r="W239" s="30"/>
      <c r="X239" s="29">
        <f>V239+W239</f>
        <v>2080</v>
      </c>
      <c r="Y239" s="22" t="s">
        <v>277</v>
      </c>
    </row>
    <row r="240" spans="1:26" x14ac:dyDescent="0.25">
      <c r="A240" s="1"/>
      <c r="B240" s="95" t="s">
        <v>9</v>
      </c>
      <c r="C240" s="96"/>
      <c r="D240" s="29">
        <f>D16+D79+D125+D146+D210+D224+D229+D207</f>
        <v>4781178.4000000004</v>
      </c>
      <c r="E240" s="29">
        <f>E16+E79+E125+E146+E210+E224+E229+E207</f>
        <v>-16936.260999999988</v>
      </c>
      <c r="F240" s="29">
        <f t="shared" si="268"/>
        <v>4764242.1390000004</v>
      </c>
      <c r="G240" s="29">
        <f>G16+G79+G125+G146+G210+G224+G229+G207</f>
        <v>287474.32</v>
      </c>
      <c r="H240" s="29">
        <f>F240+G240</f>
        <v>5051716.4590000007</v>
      </c>
      <c r="I240" s="29">
        <f>I16+I79+I125+I146+I210+I224+I229+I207</f>
        <v>0</v>
      </c>
      <c r="J240" s="29">
        <f>H240+I240</f>
        <v>5051716.4590000007</v>
      </c>
      <c r="K240" s="29">
        <f>K16+K79+K125+K146+K210+K224+K229+K207</f>
        <v>263381.408</v>
      </c>
      <c r="L240" s="29">
        <f>J240+K240</f>
        <v>5315097.8670000006</v>
      </c>
      <c r="M240" s="29">
        <f>M16+M79+M125+M146+M210+M224+M229+M207</f>
        <v>-23185.34</v>
      </c>
      <c r="N240" s="29">
        <f>L240+M240</f>
        <v>5291912.5270000007</v>
      </c>
      <c r="O240" s="29">
        <f>O16+O79+O125+O146+O210+O224+O229+O207+O231</f>
        <v>1401404.1689999998</v>
      </c>
      <c r="P240" s="29">
        <f>N240+O240</f>
        <v>6693316.6960000005</v>
      </c>
      <c r="Q240" s="29">
        <f>Q16+Q79+Q125+Q146+Q210+Q224+Q229+Q207+Q231</f>
        <v>0</v>
      </c>
      <c r="R240" s="29">
        <f>P240+Q240</f>
        <v>6693316.6960000005</v>
      </c>
      <c r="S240" s="29">
        <f>S16+S79+S125+S146+S210+S224+S229+S207+S231</f>
        <v>-107975.93000000001</v>
      </c>
      <c r="T240" s="29">
        <f>R240+S240</f>
        <v>6585340.7660000008</v>
      </c>
      <c r="U240" s="29">
        <f>U16+U79+U125+U146+U210+U224+U229+U207+U231</f>
        <v>-3898.6390000000001</v>
      </c>
      <c r="V240" s="29">
        <f>T240+U240</f>
        <v>6581442.1270000003</v>
      </c>
      <c r="W240" s="30">
        <f>W16+W79+W125+W146+W210+W224+W229+W207+W231</f>
        <v>-181968.95500000002</v>
      </c>
      <c r="X240" s="29">
        <f>V240+W240</f>
        <v>6399473.1720000003</v>
      </c>
    </row>
    <row r="241" spans="1:26" x14ac:dyDescent="0.25">
      <c r="A241" s="1"/>
      <c r="B241" s="95" t="s">
        <v>10</v>
      </c>
      <c r="C241" s="97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30"/>
      <c r="X241" s="29"/>
    </row>
    <row r="242" spans="1:26" x14ac:dyDescent="0.25">
      <c r="A242" s="1"/>
      <c r="B242" s="98" t="s">
        <v>24</v>
      </c>
      <c r="C242" s="99"/>
      <c r="D242" s="29">
        <f>D149</f>
        <v>958419.5</v>
      </c>
      <c r="E242" s="29">
        <f>E149</f>
        <v>100000</v>
      </c>
      <c r="F242" s="29">
        <f t="shared" si="268"/>
        <v>1058419.5</v>
      </c>
      <c r="G242" s="29">
        <f>G149</f>
        <v>0</v>
      </c>
      <c r="H242" s="29">
        <f t="shared" ref="H242:H244" si="294">F242+G242</f>
        <v>1058419.5</v>
      </c>
      <c r="I242" s="29">
        <f>I149</f>
        <v>0</v>
      </c>
      <c r="J242" s="29">
        <f t="shared" ref="J242:J244" si="295">H242+I242</f>
        <v>1058419.5</v>
      </c>
      <c r="K242" s="29">
        <f>K149</f>
        <v>212800</v>
      </c>
      <c r="L242" s="29">
        <f t="shared" ref="L242:L244" si="296">J242+K242</f>
        <v>1271219.5</v>
      </c>
      <c r="M242" s="29">
        <f>M149</f>
        <v>0</v>
      </c>
      <c r="N242" s="29">
        <f t="shared" ref="N242:N244" si="297">L242+M242</f>
        <v>1271219.5</v>
      </c>
      <c r="O242" s="29">
        <f>O149</f>
        <v>-231585</v>
      </c>
      <c r="P242" s="29">
        <f t="shared" ref="P242:P245" si="298">N242+O242</f>
        <v>1039634.5</v>
      </c>
      <c r="Q242" s="29">
        <f>Q149</f>
        <v>0</v>
      </c>
      <c r="R242" s="29">
        <f t="shared" ref="R242:R245" si="299">P242+Q242</f>
        <v>1039634.5</v>
      </c>
      <c r="S242" s="29">
        <f>S149</f>
        <v>0</v>
      </c>
      <c r="T242" s="29">
        <f t="shared" ref="T242" si="300">R242+S242</f>
        <v>1039634.5</v>
      </c>
      <c r="U242" s="29">
        <f>U149</f>
        <v>0</v>
      </c>
      <c r="V242" s="29">
        <f t="shared" ref="V242" si="301">T242+U242</f>
        <v>1039634.5</v>
      </c>
      <c r="W242" s="30">
        <f>W149</f>
        <v>0</v>
      </c>
      <c r="X242" s="29">
        <f t="shared" ref="X242" si="302">V242+W242</f>
        <v>1039634.5</v>
      </c>
    </row>
    <row r="243" spans="1:26" x14ac:dyDescent="0.25">
      <c r="A243" s="1"/>
      <c r="B243" s="67" t="s">
        <v>16</v>
      </c>
      <c r="C243" s="68"/>
      <c r="D243" s="29">
        <f>D82+D19+D128+D213</f>
        <v>1120929.5999999999</v>
      </c>
      <c r="E243" s="29">
        <f>E82+E19+E128+E213</f>
        <v>-683.3</v>
      </c>
      <c r="F243" s="29">
        <f t="shared" si="268"/>
        <v>1120246.2999999998</v>
      </c>
      <c r="G243" s="29">
        <f>G82+G19+G128+G213</f>
        <v>0</v>
      </c>
      <c r="H243" s="29">
        <f t="shared" si="294"/>
        <v>1120246.2999999998</v>
      </c>
      <c r="I243" s="29">
        <f>I82+I19+I128+I213</f>
        <v>0</v>
      </c>
      <c r="J243" s="29">
        <f t="shared" si="295"/>
        <v>1120246.2999999998</v>
      </c>
      <c r="K243" s="29">
        <f>K82+K19+K128+K213</f>
        <v>-83064.659</v>
      </c>
      <c r="L243" s="29">
        <f t="shared" si="296"/>
        <v>1037181.6409999998</v>
      </c>
      <c r="M243" s="29">
        <f>M82+M19+M128+M213</f>
        <v>0</v>
      </c>
      <c r="N243" s="29">
        <f t="shared" si="297"/>
        <v>1037181.6409999998</v>
      </c>
      <c r="O243" s="29">
        <f>O82+O19+O128+O213+O238</f>
        <v>479038.59600000002</v>
      </c>
      <c r="P243" s="29">
        <f t="shared" si="298"/>
        <v>1516220.2369999997</v>
      </c>
      <c r="Q243" s="29">
        <f>Q82+Q19+Q128+Q213+Q234</f>
        <v>0</v>
      </c>
      <c r="R243" s="29">
        <f>P243+Q243</f>
        <v>1516220.2369999997</v>
      </c>
      <c r="S243" s="29">
        <f>S82+S19+S128+S213+S234</f>
        <v>0</v>
      </c>
      <c r="T243" s="29">
        <f>R243+S243</f>
        <v>1516220.2369999997</v>
      </c>
      <c r="U243" s="29">
        <f>U82+U19+U128+U213+U234</f>
        <v>0</v>
      </c>
      <c r="V243" s="29">
        <f>T243+U243</f>
        <v>1516220.2369999997</v>
      </c>
      <c r="W243" s="30">
        <f>W82+W19+W128+W213+W234</f>
        <v>0</v>
      </c>
      <c r="X243" s="29">
        <f>V243+W243</f>
        <v>1516220.2369999997</v>
      </c>
    </row>
    <row r="244" spans="1:26" x14ac:dyDescent="0.25">
      <c r="A244" s="1"/>
      <c r="B244" s="67" t="s">
        <v>20</v>
      </c>
      <c r="C244" s="68"/>
      <c r="D244" s="29">
        <f>D20</f>
        <v>50494.8</v>
      </c>
      <c r="E244" s="29">
        <f>E20+E83</f>
        <v>131739.79999999999</v>
      </c>
      <c r="F244" s="29">
        <f t="shared" si="268"/>
        <v>182234.59999999998</v>
      </c>
      <c r="G244" s="29">
        <f>G20+G83</f>
        <v>0</v>
      </c>
      <c r="H244" s="29">
        <f t="shared" si="294"/>
        <v>182234.59999999998</v>
      </c>
      <c r="I244" s="29">
        <f>I20+I83</f>
        <v>0</v>
      </c>
      <c r="J244" s="29">
        <f t="shared" si="295"/>
        <v>182234.59999999998</v>
      </c>
      <c r="K244" s="29">
        <f>K20+K83</f>
        <v>182598.3</v>
      </c>
      <c r="L244" s="29">
        <f t="shared" si="296"/>
        <v>364832.89999999997</v>
      </c>
      <c r="M244" s="29">
        <f>M20+M83</f>
        <v>0</v>
      </c>
      <c r="N244" s="29">
        <f t="shared" si="297"/>
        <v>364832.89999999997</v>
      </c>
      <c r="O244" s="29">
        <f>O20+O83</f>
        <v>0</v>
      </c>
      <c r="P244" s="29">
        <f t="shared" si="298"/>
        <v>364832.89999999997</v>
      </c>
      <c r="Q244" s="29">
        <f>Q20+Q83</f>
        <v>0</v>
      </c>
      <c r="R244" s="29">
        <f t="shared" si="299"/>
        <v>364832.89999999997</v>
      </c>
      <c r="S244" s="29">
        <f>S20+S83</f>
        <v>0</v>
      </c>
      <c r="T244" s="29">
        <f t="shared" ref="T244:T245" si="303">R244+S244</f>
        <v>364832.89999999997</v>
      </c>
      <c r="U244" s="29">
        <f>U20+U83</f>
        <v>0</v>
      </c>
      <c r="V244" s="29">
        <f t="shared" ref="V244:V245" si="304">T244+U244</f>
        <v>364832.89999999997</v>
      </c>
      <c r="W244" s="30">
        <f>W20+W83</f>
        <v>0</v>
      </c>
      <c r="X244" s="29">
        <f t="shared" ref="X244:X245" si="305">V244+W244</f>
        <v>364832.89999999997</v>
      </c>
    </row>
    <row r="245" spans="1:26" x14ac:dyDescent="0.25">
      <c r="A245" s="1"/>
      <c r="B245" s="98" t="s">
        <v>263</v>
      </c>
      <c r="C245" s="101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>
        <f>O84</f>
        <v>1177740.0319999999</v>
      </c>
      <c r="P245" s="29">
        <f t="shared" si="298"/>
        <v>1177740.0319999999</v>
      </c>
      <c r="Q245" s="29">
        <f>Q84</f>
        <v>0</v>
      </c>
      <c r="R245" s="29">
        <f t="shared" si="299"/>
        <v>1177740.0319999999</v>
      </c>
      <c r="S245" s="29">
        <f>S84</f>
        <v>0</v>
      </c>
      <c r="T245" s="29">
        <f t="shared" si="303"/>
        <v>1177740.0319999999</v>
      </c>
      <c r="U245" s="29">
        <f>U84</f>
        <v>0</v>
      </c>
      <c r="V245" s="29">
        <f t="shared" si="304"/>
        <v>1177740.0319999999</v>
      </c>
      <c r="W245" s="30">
        <f>W84</f>
        <v>0</v>
      </c>
      <c r="X245" s="29">
        <f t="shared" si="305"/>
        <v>1177740.0319999999</v>
      </c>
    </row>
    <row r="246" spans="1:26" x14ac:dyDescent="0.25">
      <c r="A246" s="1"/>
      <c r="B246" s="92" t="s">
        <v>14</v>
      </c>
      <c r="C246" s="100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30"/>
      <c r="X246" s="29"/>
    </row>
    <row r="247" spans="1:26" x14ac:dyDescent="0.25">
      <c r="A247" s="1"/>
      <c r="B247" s="92" t="s">
        <v>11</v>
      </c>
      <c r="C247" s="91"/>
      <c r="D247" s="29">
        <f>D36+D37+D52+D64+D65+D66+D67</f>
        <v>91162</v>
      </c>
      <c r="E247" s="29">
        <f>E36+E37+E52+E64+E65+E66+E67</f>
        <v>0</v>
      </c>
      <c r="F247" s="29">
        <f t="shared" si="268"/>
        <v>91162</v>
      </c>
      <c r="G247" s="29">
        <f>G36+G37+G52+G64+G65+G66+G67</f>
        <v>0</v>
      </c>
      <c r="H247" s="29">
        <f t="shared" ref="H247:H253" si="306">F247+G247</f>
        <v>91162</v>
      </c>
      <c r="I247" s="29">
        <f>I36+I37+I52+I64+I65+I66+I67</f>
        <v>0</v>
      </c>
      <c r="J247" s="29">
        <f t="shared" ref="J247:J253" si="307">H247+I247</f>
        <v>91162</v>
      </c>
      <c r="K247" s="29">
        <f>K36+K37+K52+K64+K65+K66+K67+K73</f>
        <v>8008.2999999999993</v>
      </c>
      <c r="L247" s="29">
        <f t="shared" ref="L247:L253" si="308">J247+K247</f>
        <v>99170.3</v>
      </c>
      <c r="M247" s="29">
        <f>M36+M37+M52+M64+M65+M66+M67+M73</f>
        <v>0</v>
      </c>
      <c r="N247" s="29">
        <f t="shared" ref="N247:N253" si="309">L247+M247</f>
        <v>99170.3</v>
      </c>
      <c r="O247" s="29">
        <f>O36+O37+O52+O64+O65+O66+O67+O73+O42</f>
        <v>10205.543</v>
      </c>
      <c r="P247" s="29">
        <f t="shared" ref="P247:P253" si="310">N247+O247</f>
        <v>109375.84300000001</v>
      </c>
      <c r="Q247" s="29">
        <f>Q36+Q37+Q52+Q64+Q65+Q66+Q67+Q73+Q42</f>
        <v>0</v>
      </c>
      <c r="R247" s="29">
        <f t="shared" ref="R247:R253" si="311">P247+Q247</f>
        <v>109375.84300000001</v>
      </c>
      <c r="S247" s="29">
        <f>S36+S37+S52+S64+S65+S66+S67+S73+S42</f>
        <v>-1760.09</v>
      </c>
      <c r="T247" s="29">
        <f t="shared" ref="T247:T253" si="312">R247+S247</f>
        <v>107615.75300000001</v>
      </c>
      <c r="U247" s="29">
        <f>U36+U37+U52+U64+U65+U66+U67+U73+U42</f>
        <v>0</v>
      </c>
      <c r="V247" s="29">
        <f t="shared" ref="V247:V253" si="313">T247+U247</f>
        <v>107615.75300000001</v>
      </c>
      <c r="W247" s="30">
        <f>W36+W37+W52+W64+W65+W66+W67+W73+W42</f>
        <v>0</v>
      </c>
      <c r="X247" s="29">
        <f t="shared" ref="X247:X254" si="314">V247+W247</f>
        <v>107615.75300000001</v>
      </c>
    </row>
    <row r="248" spans="1:26" x14ac:dyDescent="0.25">
      <c r="A248" s="1"/>
      <c r="B248" s="93" t="s">
        <v>18</v>
      </c>
      <c r="C248" s="94"/>
      <c r="D248" s="29">
        <f>D85+D87+D88+D89+D90+D91+D93+D95+D96+D97+D99+D101+D102+D215+D219+D221+D222+D225+D226+D230+D208+D21+D26+D31+D43+D47+D48+D56+D61+D62+D63</f>
        <v>1471905.2000000002</v>
      </c>
      <c r="E248" s="29">
        <f>E85+E87+E88+E89+E90+E91+E93+E95+E96+E97+E99+E101+E102+E215+E219+E221+E222+E225+E226+E230+E208+E21+E26+E31+E43+E47+E48+E56+E61+E62+E63</f>
        <v>-81119.061000000002</v>
      </c>
      <c r="F248" s="29">
        <f t="shared" si="268"/>
        <v>1390786.1390000002</v>
      </c>
      <c r="G248" s="29">
        <f>G85+G87+G88+G89+G90+G91+G93+G95+G96+G97+G99+G101+G102+G215+G219+G221+G222+G225+G226+G230+G208+G21+G26+G31+G43+G47+G48+G56+G61+G62+G63+G209+G228</f>
        <v>22737.729000000003</v>
      </c>
      <c r="H248" s="29">
        <f t="shared" si="306"/>
        <v>1413523.8680000002</v>
      </c>
      <c r="I248" s="29">
        <f>I85+I87+I88+I89+I90+I91+I93+I95+I96+I97+I99+I101+I102+I215+I219+I221+I222+I225+I226+I230+I208+I21+I26+I31+I43+I47+I48+I56+I61+I62+I63+I209+I228</f>
        <v>0</v>
      </c>
      <c r="J248" s="29">
        <f t="shared" si="307"/>
        <v>1413523.8680000002</v>
      </c>
      <c r="K248" s="29">
        <f>K85+K87+K88+K89+K90+K91+K93+K95+K96+K97+K99+K101+K102+K215+K219+K221+K222+K225+K226+K230+K208+K21+K26+K31+K43+K47+K48+K56+K61+K62+K63+K209+K228+K68</f>
        <v>-32234.291999999958</v>
      </c>
      <c r="L248" s="29">
        <f t="shared" si="308"/>
        <v>1381289.5760000004</v>
      </c>
      <c r="M248" s="29">
        <f>M85+M87+M88+M89+M90+M91+M93+M95+M96+M97+M99+M101+M102+M215+M219+M221+M222+M225+M226+M230+M208+M21+M26+M31+M43+M47+M48+M56+M61+M62+M63+M209+M228+M68</f>
        <v>-23185.34</v>
      </c>
      <c r="N248" s="29">
        <f t="shared" si="309"/>
        <v>1358104.2360000003</v>
      </c>
      <c r="O248" s="29">
        <f>O85+O87+O88+O89+O90+O91+O93+O95+O96+O97+O99+O101+O102+O215+O219+O221+O222+O225+O226+O230+O208+O21+O26+O31+O43+O47+O48+O56+O61+O62+O63+O209+O228+O68+O119</f>
        <v>4701.2790000000005</v>
      </c>
      <c r="P248" s="29">
        <f t="shared" si="310"/>
        <v>1362805.5150000004</v>
      </c>
      <c r="Q248" s="29">
        <f>Q85+Q87+Q88+Q89+Q90+Q91+Q93+Q95+Q96+Q97+Q99+Q101+Q102+Q215+Q219+Q221+Q222+Q225+Q226+Q230+Q208+Q21+Q26+Q31+Q43+Q47+Q48+Q56+Q61+Q62+Q63+Q209+Q228+Q68+Q119</f>
        <v>0</v>
      </c>
      <c r="R248" s="29">
        <f t="shared" si="311"/>
        <v>1362805.5150000004</v>
      </c>
      <c r="S248" s="29">
        <f>S85+S87+S88+S89+S90+S91+S93+S95+S96+S97+S99+S101+S102+S215+S219+S221+S222+S225+S226+S230+S208+S21+S26+S31+S43+S47+S48+S56+S61+S62+S63+S209+S228+S68+S119+S74+S75+S124+S122</f>
        <v>-134248.035</v>
      </c>
      <c r="T248" s="29">
        <f t="shared" si="312"/>
        <v>1228557.4800000004</v>
      </c>
      <c r="U248" s="29">
        <f>U85+U87+U88+U89+U90+U91+U93+U95+U96+U97+U99+U101+U102+U215+U219+U221+U222+U225+U226+U230+U208+U21+U26+U31+U43+U47+U48+U56+U61+U62+U63+U209+U228+U68+U119+U74+U75+U124+U122</f>
        <v>-2266.5940000000001</v>
      </c>
      <c r="V248" s="29">
        <f t="shared" si="313"/>
        <v>1226290.8860000004</v>
      </c>
      <c r="W248" s="30">
        <f>W85+W87+W88+W89+W90+W91+W93+W95+W96+W97+W99+W101+W102+W215+W219+W221+W222+W225+W226+W230+W208+W21+W26+W31+W43+W47+W48+W56+W61+W62+W63+W209+W228+W68+W119+W74+W75+W124+W122+W76+W77+W78</f>
        <v>-88066.12</v>
      </c>
      <c r="X248" s="29">
        <f t="shared" si="314"/>
        <v>1138224.7660000003</v>
      </c>
    </row>
    <row r="249" spans="1:26" x14ac:dyDescent="0.25">
      <c r="A249" s="1"/>
      <c r="B249" s="88" t="s">
        <v>12</v>
      </c>
      <c r="C249" s="89"/>
      <c r="D249" s="29">
        <f>D109+D112+D103</f>
        <v>1173733.3</v>
      </c>
      <c r="E249" s="29">
        <f>E109+E112+E103</f>
        <v>131056.5</v>
      </c>
      <c r="F249" s="29">
        <f t="shared" si="268"/>
        <v>1304789.8</v>
      </c>
      <c r="G249" s="29">
        <f>G109+G112+G103</f>
        <v>0</v>
      </c>
      <c r="H249" s="29">
        <f t="shared" si="306"/>
        <v>1304789.8</v>
      </c>
      <c r="I249" s="29">
        <f>I109+I112+I103</f>
        <v>0</v>
      </c>
      <c r="J249" s="29">
        <f t="shared" si="307"/>
        <v>1304789.8</v>
      </c>
      <c r="K249" s="29">
        <f>K109+K112+K103</f>
        <v>0</v>
      </c>
      <c r="L249" s="29">
        <f t="shared" si="308"/>
        <v>1304789.8</v>
      </c>
      <c r="M249" s="29">
        <f>M109+M112+M103</f>
        <v>0</v>
      </c>
      <c r="N249" s="29">
        <f t="shared" si="309"/>
        <v>1304789.8</v>
      </c>
      <c r="O249" s="29">
        <f>O109+O112+O103</f>
        <v>1414443.6209999998</v>
      </c>
      <c r="P249" s="29">
        <f t="shared" si="310"/>
        <v>2719233.4210000001</v>
      </c>
      <c r="Q249" s="29">
        <f>Q109+Q112+Q103</f>
        <v>0</v>
      </c>
      <c r="R249" s="29">
        <f t="shared" si="311"/>
        <v>2719233.4210000001</v>
      </c>
      <c r="S249" s="29">
        <f>S109+S112+S103</f>
        <v>14874.74</v>
      </c>
      <c r="T249" s="29">
        <f t="shared" si="312"/>
        <v>2734108.1610000003</v>
      </c>
      <c r="U249" s="29">
        <f>U109+U112+U103</f>
        <v>0</v>
      </c>
      <c r="V249" s="29">
        <f t="shared" si="313"/>
        <v>2734108.1610000003</v>
      </c>
      <c r="W249" s="30">
        <f>W109+W112+W103</f>
        <v>-107.95</v>
      </c>
      <c r="X249" s="29">
        <f t="shared" si="314"/>
        <v>2734000.2110000001</v>
      </c>
    </row>
    <row r="250" spans="1:26" x14ac:dyDescent="0.25">
      <c r="A250" s="1"/>
      <c r="B250" s="92" t="s">
        <v>301</v>
      </c>
      <c r="C250" s="91"/>
      <c r="D250" s="29">
        <f>D129+D130+D131+D132+D133+D134+D135+D136+D140+D141+D150+D154+D158+D162+D166+D170+D174+D178+D179+D180+D181+D185+D227</f>
        <v>1870190.6</v>
      </c>
      <c r="E250" s="29">
        <f>E129+E130+E131+E132+E133+E134+E135+E136+E140+E141+E150+E154+E158+E162+E166+E170+E174+E178+E179+E180+E181+E185+E227</f>
        <v>98126.3</v>
      </c>
      <c r="F250" s="29">
        <f t="shared" si="268"/>
        <v>1968316.9000000001</v>
      </c>
      <c r="G250" s="29">
        <f>G129+G130+G131+G132+G133+G134+G135+G136+G140+G141+G150+G154+G158+G162+G166+G170+G174+G178+G179+G180+G181+G185+G227+G189+G190+G191+G192+G193+G142+G143+G144+G145</f>
        <v>216238.28499999997</v>
      </c>
      <c r="H250" s="29">
        <f t="shared" si="306"/>
        <v>2184555.1850000001</v>
      </c>
      <c r="I250" s="29">
        <f>I129+I130+I131+I132+I133+I134+I135+I136+I140+I141+I150+I154+I158+I162+I166+I170+I174+I178+I179+I180+I181+I185+I227+I189+I190+I191+I192+I193+I142+I143+I144+I145</f>
        <v>0</v>
      </c>
      <c r="J250" s="29">
        <f t="shared" si="307"/>
        <v>2184555.1850000001</v>
      </c>
      <c r="K250" s="29">
        <f>K129+K130+K131+K132+K133+K134+K135+K136+K140+K141+K150+K154+K158+K162+K166+K170+K174+K178+K179+K180+K181+K185+K227+K189+K190+K191+K192+K193+K142+K143+K144+K145+K194+K202</f>
        <v>283733.40000000002</v>
      </c>
      <c r="L250" s="29">
        <f t="shared" si="308"/>
        <v>2468288.585</v>
      </c>
      <c r="M250" s="29">
        <f>M129+M130+M131+M132+M133+M134+M135+M136+M140+M141+M150+M154+M158+M162+M166+M170+M174+M178+M179+M180+M181+M185+M227+M189+M190+M191+M192+M193+M142+M143+M144+M145+M194+M202</f>
        <v>0</v>
      </c>
      <c r="N250" s="29">
        <f t="shared" si="309"/>
        <v>2468288.585</v>
      </c>
      <c r="O250" s="29">
        <f>O129+O130+O131+O132+O133+O134+O135+O136+O140+O141+O150+O154+O158+O162+O166+O170+O174+O178+O179+O180+O181+O185+O227+O189+O190+O191+O192+O193+O142+O143+O144+O145+O194+O202+O206</f>
        <v>-319391.85400000005</v>
      </c>
      <c r="P250" s="29">
        <f t="shared" si="310"/>
        <v>2148896.7309999997</v>
      </c>
      <c r="Q250" s="29">
        <f>Q129+Q130+Q131+Q132+Q133+Q134+Q135+Q136+Q140+Q141+Q150+Q154+Q158+Q162+Q166+Q170+Q174+Q178+Q179+Q180+Q181+Q185+Q227+Q189+Q190+Q191+Q192+Q193+Q142+Q143+Q144+Q145+Q194+Q202+Q206</f>
        <v>0</v>
      </c>
      <c r="R250" s="29">
        <f t="shared" si="311"/>
        <v>2148896.7309999997</v>
      </c>
      <c r="S250" s="29">
        <f>S129+S130+S131+S132+S133+S134+S135+S136+S140+S141+S150+S154+S158+S162+S166+S170+S174+S178+S179+S180+S181+S185+S227+S189+S190+S191+S192+S193+S142+S143+S144+S145+S194+S202+S206</f>
        <v>22060.512000000002</v>
      </c>
      <c r="T250" s="29">
        <f t="shared" si="312"/>
        <v>2170957.2429999998</v>
      </c>
      <c r="U250" s="29">
        <f>U129+U130+U131+U132+U133+U134+U135+U136+U140+U141+U150+U154+U158+U162+U166+U170+U174+U178+U179+U180+U181+U185+U227+U189+U190+U191+U192+U193+U142+U143+U144+U145+U194+U202+U206</f>
        <v>-1632.0450000000001</v>
      </c>
      <c r="V250" s="29">
        <f t="shared" si="313"/>
        <v>2169325.1979999999</v>
      </c>
      <c r="W250" s="30">
        <f>W129+W130+W131+W132+W133+W134+W135+W136+W140+W141+W150+W154+W158+W162+W166+W170+W174+W178+W179+W180+W181+W185+W227+W189+W190+W191+W192+W193+W142+W143+W144+W145+W194+W202+W206</f>
        <v>-373654.28500000003</v>
      </c>
      <c r="X250" s="29">
        <f t="shared" si="314"/>
        <v>1795670.9129999997</v>
      </c>
    </row>
    <row r="251" spans="1:26" hidden="1" x14ac:dyDescent="0.25">
      <c r="A251" s="1"/>
      <c r="B251" s="90" t="s">
        <v>8</v>
      </c>
      <c r="C251" s="91"/>
      <c r="D251" s="29">
        <f>D214</f>
        <v>9187.2999999999993</v>
      </c>
      <c r="E251" s="29">
        <f>E214</f>
        <v>0</v>
      </c>
      <c r="F251" s="29">
        <f t="shared" si="268"/>
        <v>9187.2999999999993</v>
      </c>
      <c r="G251" s="29">
        <f>G214</f>
        <v>0</v>
      </c>
      <c r="H251" s="29">
        <f t="shared" si="306"/>
        <v>9187.2999999999993</v>
      </c>
      <c r="I251" s="29">
        <f>I214</f>
        <v>0</v>
      </c>
      <c r="J251" s="29">
        <f t="shared" si="307"/>
        <v>9187.2999999999993</v>
      </c>
      <c r="K251" s="29">
        <f>K214+K223</f>
        <v>3874</v>
      </c>
      <c r="L251" s="29">
        <f t="shared" si="308"/>
        <v>13061.3</v>
      </c>
      <c r="M251" s="29">
        <f>M214+M223</f>
        <v>0</v>
      </c>
      <c r="N251" s="29">
        <f t="shared" si="309"/>
        <v>13061.3</v>
      </c>
      <c r="O251" s="29">
        <f>O214+O223</f>
        <v>0</v>
      </c>
      <c r="P251" s="29">
        <f t="shared" si="310"/>
        <v>13061.3</v>
      </c>
      <c r="Q251" s="29">
        <f>Q214+Q223</f>
        <v>0</v>
      </c>
      <c r="R251" s="29">
        <f t="shared" si="311"/>
        <v>13061.3</v>
      </c>
      <c r="S251" s="29">
        <f>S214+S223</f>
        <v>-9187.2999999999993</v>
      </c>
      <c r="T251" s="29">
        <f t="shared" si="312"/>
        <v>3874</v>
      </c>
      <c r="U251" s="29">
        <f>U214+U223</f>
        <v>0</v>
      </c>
      <c r="V251" s="29">
        <f t="shared" si="313"/>
        <v>3874</v>
      </c>
      <c r="W251" s="30">
        <f>W214+W223</f>
        <v>-3874</v>
      </c>
      <c r="X251" s="29">
        <f t="shared" si="314"/>
        <v>0</v>
      </c>
      <c r="Z251" s="8">
        <v>0</v>
      </c>
    </row>
    <row r="252" spans="1:26" x14ac:dyDescent="0.25">
      <c r="A252" s="11"/>
      <c r="B252" s="88" t="s">
        <v>15</v>
      </c>
      <c r="C252" s="89"/>
      <c r="D252" s="29">
        <f>D220</f>
        <v>165000</v>
      </c>
      <c r="E252" s="29">
        <f>E220</f>
        <v>-165000</v>
      </c>
      <c r="F252" s="29">
        <f t="shared" si="268"/>
        <v>0</v>
      </c>
      <c r="G252" s="29">
        <f>G220</f>
        <v>0</v>
      </c>
      <c r="H252" s="29">
        <f t="shared" si="306"/>
        <v>0</v>
      </c>
      <c r="I252" s="29">
        <f>I220</f>
        <v>0</v>
      </c>
      <c r="J252" s="29">
        <f t="shared" si="307"/>
        <v>0</v>
      </c>
      <c r="K252" s="29">
        <f>K220</f>
        <v>0</v>
      </c>
      <c r="L252" s="29">
        <f t="shared" si="308"/>
        <v>0</v>
      </c>
      <c r="M252" s="29">
        <f>M220</f>
        <v>0</v>
      </c>
      <c r="N252" s="29">
        <f t="shared" si="309"/>
        <v>0</v>
      </c>
      <c r="O252" s="29">
        <f>O220+O235</f>
        <v>300000</v>
      </c>
      <c r="P252" s="29">
        <f t="shared" si="310"/>
        <v>300000</v>
      </c>
      <c r="Q252" s="29">
        <f>Q220+Q235</f>
        <v>0</v>
      </c>
      <c r="R252" s="29">
        <f t="shared" si="311"/>
        <v>300000</v>
      </c>
      <c r="S252" s="29">
        <f>S220+S235+S239</f>
        <v>2080</v>
      </c>
      <c r="T252" s="29">
        <f t="shared" si="312"/>
        <v>302080</v>
      </c>
      <c r="U252" s="29">
        <f>U220+U235+U239</f>
        <v>0</v>
      </c>
      <c r="V252" s="29">
        <f t="shared" si="313"/>
        <v>302080</v>
      </c>
      <c r="W252" s="30">
        <f>W220+W235+W239</f>
        <v>0</v>
      </c>
      <c r="X252" s="29">
        <f t="shared" si="314"/>
        <v>302080</v>
      </c>
    </row>
    <row r="253" spans="1:26" x14ac:dyDescent="0.25">
      <c r="A253" s="11"/>
      <c r="B253" s="88" t="s">
        <v>215</v>
      </c>
      <c r="C253" s="89"/>
      <c r="D253" s="43"/>
      <c r="E253" s="43"/>
      <c r="F253" s="43"/>
      <c r="G253" s="29">
        <f>G86+G98+G100+G116+G117+G118+G120+G121+G123</f>
        <v>48498.305999999997</v>
      </c>
      <c r="H253" s="29">
        <f t="shared" si="306"/>
        <v>48498.305999999997</v>
      </c>
      <c r="I253" s="29">
        <f>I86+I98+I100+I116+I117+I118+I120+I121+I123</f>
        <v>0</v>
      </c>
      <c r="J253" s="29">
        <f t="shared" si="307"/>
        <v>48498.305999999997</v>
      </c>
      <c r="K253" s="29">
        <f>K86+K98+K100+K116+K117+K118+K120+K121+K123</f>
        <v>0</v>
      </c>
      <c r="L253" s="29">
        <f t="shared" si="308"/>
        <v>48498.305999999997</v>
      </c>
      <c r="M253" s="29">
        <f>M86+M98+M100+M116+M117+M118+M120+M121+M123</f>
        <v>0</v>
      </c>
      <c r="N253" s="29">
        <f t="shared" si="309"/>
        <v>48498.305999999997</v>
      </c>
      <c r="O253" s="29">
        <f>O86+O98+O100+O116+O117+O118+O120+O121+O123</f>
        <v>-8554.42</v>
      </c>
      <c r="P253" s="29">
        <f t="shared" si="310"/>
        <v>39943.885999999999</v>
      </c>
      <c r="Q253" s="29">
        <f>Q86+Q98+Q100+Q116+Q117+Q118+Q120+Q121+Q123</f>
        <v>0</v>
      </c>
      <c r="R253" s="29">
        <f t="shared" si="311"/>
        <v>39943.885999999999</v>
      </c>
      <c r="S253" s="29">
        <f>S86+S98+S100+S116+S117+S118+S120+S121+S123</f>
        <v>-1795.7570000000001</v>
      </c>
      <c r="T253" s="29">
        <f t="shared" si="312"/>
        <v>38148.129000000001</v>
      </c>
      <c r="U253" s="29">
        <f>U86+U98+U100+U116+U117+U118+U120+U121+U123</f>
        <v>0</v>
      </c>
      <c r="V253" s="29">
        <f t="shared" si="313"/>
        <v>38148.129000000001</v>
      </c>
      <c r="W253" s="30">
        <f>W86+W98+W100+W116+W117+W118+W120+W121+W123+W92+W94</f>
        <v>0</v>
      </c>
      <c r="X253" s="29">
        <f t="shared" si="314"/>
        <v>38148.129000000001</v>
      </c>
    </row>
    <row r="254" spans="1:26" x14ac:dyDescent="0.25">
      <c r="A254" s="11"/>
      <c r="B254" s="88" t="s">
        <v>296</v>
      </c>
      <c r="C254" s="89"/>
      <c r="D254" s="4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30">
        <f>W198</f>
        <v>283733.40000000002</v>
      </c>
      <c r="X254" s="29">
        <f t="shared" si="314"/>
        <v>283733.40000000002</v>
      </c>
    </row>
  </sheetData>
  <autoFilter ref="A15:Z254">
    <filterColumn colId="25">
      <filters blank="1"/>
    </filterColumn>
  </autoFilter>
  <mergeCells count="44">
    <mergeCell ref="B254:C254"/>
    <mergeCell ref="E14:E15"/>
    <mergeCell ref="K14:K15"/>
    <mergeCell ref="L14:L15"/>
    <mergeCell ref="Q14:Q15"/>
    <mergeCell ref="F14:F15"/>
    <mergeCell ref="B85:B86"/>
    <mergeCell ref="B42:B43"/>
    <mergeCell ref="R14:R15"/>
    <mergeCell ref="O14:O15"/>
    <mergeCell ref="P14:P15"/>
    <mergeCell ref="M14:M15"/>
    <mergeCell ref="N14:N15"/>
    <mergeCell ref="A85:A86"/>
    <mergeCell ref="A42:A43"/>
    <mergeCell ref="B253:C253"/>
    <mergeCell ref="B251:C251"/>
    <mergeCell ref="B250:C250"/>
    <mergeCell ref="B249:C249"/>
    <mergeCell ref="B252:C252"/>
    <mergeCell ref="A214:A215"/>
    <mergeCell ref="B248:C248"/>
    <mergeCell ref="B240:C240"/>
    <mergeCell ref="B241:C241"/>
    <mergeCell ref="B242:C242"/>
    <mergeCell ref="B246:C246"/>
    <mergeCell ref="B247:C247"/>
    <mergeCell ref="B245:C245"/>
    <mergeCell ref="W14:W15"/>
    <mergeCell ref="X14:X15"/>
    <mergeCell ref="A10:X10"/>
    <mergeCell ref="A11:X12"/>
    <mergeCell ref="I14:I15"/>
    <mergeCell ref="J14:J15"/>
    <mergeCell ref="G14:G15"/>
    <mergeCell ref="H14:H15"/>
    <mergeCell ref="C14:C15"/>
    <mergeCell ref="D14:D15"/>
    <mergeCell ref="A14:A15"/>
    <mergeCell ref="B14:B15"/>
    <mergeCell ref="U14:U15"/>
    <mergeCell ref="V14:V15"/>
    <mergeCell ref="S14:S15"/>
    <mergeCell ref="T14:T15"/>
  </mergeCells>
  <pageMargins left="0.98425196850393704" right="0.39370078740157483" top="0.78740157480314965" bottom="0.78740157480314965" header="0.31496062992125984" footer="0.31496062992125984"/>
  <pageSetup paperSize="9" scale="74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</vt:lpstr>
      <vt:lpstr>'2019'!Заголовки_для_печати</vt:lpstr>
      <vt:lpstr>'2019'!Область_печати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2019-10-01T11:44:10Z</cp:lastPrinted>
  <dcterms:created xsi:type="dcterms:W3CDTF">2013-10-12T06:09:22Z</dcterms:created>
  <dcterms:modified xsi:type="dcterms:W3CDTF">2019-10-01T11:56:08Z</dcterms:modified>
</cp:coreProperties>
</file>